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heckCompatibility="1"/>
  <bookViews>
    <workbookView xWindow="135" yWindow="195" windowWidth="9735" windowHeight="7995" tabRatio="956" firstSheet="29" activeTab="43"/>
  </bookViews>
  <sheets>
    <sheet name="lead  charge" sheetId="4" state="hidden" r:id="rId1"/>
    <sheet name="Data" sheetId="1" state="hidden" r:id="rId2"/>
    <sheet name="Elec.Data" sheetId="11" state="hidden" r:id="rId3"/>
    <sheet name="Elec.abs" sheetId="13" state="hidden" r:id="rId4"/>
    <sheet name="G. Abstract" sheetId="10" r:id="rId5"/>
    <sheet name="Abstract" sheetId="5" state="hidden" r:id="rId6"/>
    <sheet name="Sheet1" sheetId="12" state="hidden" r:id="rId7"/>
    <sheet name="G. Abstract (2)" sheetId="14" state="hidden" r:id="rId8"/>
    <sheet name="COMP D" sheetId="15" state="hidden" r:id="rId9"/>
    <sheet name="COMP A" sheetId="16" state="hidden" r:id="rId10"/>
    <sheet name="EW D" sheetId="18" state="hidden" r:id="rId11"/>
    <sheet name="EW A" sheetId="17" state="hidden" r:id="rId12"/>
    <sheet name="cycle shed D" sheetId="19" state="hidden" r:id="rId13"/>
    <sheet name="cycle shed A" sheetId="20" state="hidden" r:id="rId14"/>
    <sheet name="G.abstract" sheetId="21" state="hidden" r:id="rId15"/>
    <sheet name="Road Abs" sheetId="27" state="hidden" r:id="rId16"/>
    <sheet name="Ex.Water Abs" sheetId="22" state="hidden" r:id="rId17"/>
    <sheet name="Bldg+Dev" sheetId="9" state="hidden" r:id="rId18"/>
    <sheet name="D.W. Detailed for Septic Tank" sheetId="24" state="hidden" r:id="rId19"/>
    <sheet name="D.W.Detailed for CC road" sheetId="25" state="hidden" r:id="rId20"/>
    <sheet name="DW.Detailed for Drain" sheetId="26" state="hidden" r:id="rId21"/>
    <sheet name="Civil Abs " sheetId="64" r:id="rId22"/>
    <sheet name="Civil Det" sheetId="63" r:id="rId23"/>
    <sheet name="Electrical Abs" sheetId="45" r:id="rId24"/>
    <sheet name="Electrical Det" sheetId="43" r:id="rId25"/>
    <sheet name="Plumbing Abs " sheetId="53" r:id="rId26"/>
    <sheet name="Plumbing Det" sheetId="54" r:id="rId27"/>
    <sheet name="CCTV Abs" sheetId="28" r:id="rId28"/>
    <sheet name="CCTV Det" sheetId="39" r:id="rId29"/>
    <sheet name="Fire Abs" sheetId="55" r:id="rId30"/>
    <sheet name="Fire Det" sheetId="56" r:id="rId31"/>
    <sheet name="Inverter Abs" sheetId="49" r:id="rId32"/>
    <sheet name="Inverter Det" sheetId="50" r:id="rId33"/>
    <sheet name="Computer Abs" sheetId="51" r:id="rId34"/>
    <sheet name="Computer Det" sheetId="52" r:id="rId35"/>
    <sheet name="Furniture Abs" sheetId="61" r:id="rId36"/>
    <sheet name="Furniture Det" sheetId="62" r:id="rId37"/>
    <sheet name="RWH Abs" sheetId="34" r:id="rId38"/>
    <sheet name="RWH Detailed" sheetId="33" r:id="rId39"/>
    <sheet name=" 2 wheeler Abs" sheetId="58" r:id="rId40"/>
    <sheet name=" 2 wheeler det" sheetId="57" r:id="rId41"/>
    <sheet name="DATA1" sheetId="44" state="hidden" r:id="rId42"/>
    <sheet name="lead" sheetId="60" r:id="rId43"/>
    <sheet name="DATA2" sheetId="59" r:id="rId44"/>
    <sheet name="EX. WS Abs" sheetId="47" state="hidden" r:id="rId45"/>
    <sheet name="Septic tank Abs" sheetId="38" state="hidden" r:id="rId46"/>
    <sheet name="Sump Steel" sheetId="40" state="hidden" r:id="rId47"/>
    <sheet name="Septic Tank Det" sheetId="41" state="hidden" r:id="rId48"/>
    <sheet name="Road.Detailed" sheetId="31" state="hidden" r:id="rId49"/>
    <sheet name="Ex. WS Det." sheetId="48" state="hidden" r:id="rId50"/>
    <sheet name="Sullage Abs" sheetId="29" state="hidden" r:id="rId51"/>
    <sheet name="Sump Detailed " sheetId="32" state="hidden" r:id="rId52"/>
    <sheet name="Sullage Detailed" sheetId="23" state="hidden" r:id="rId53"/>
    <sheet name="Dis.trench Detailed " sheetId="37" state="hidden" r:id="rId54"/>
    <sheet name="Com. Statement" sheetId="30" state="hidden" r:id="rId55"/>
  </sheets>
  <externalReferences>
    <externalReference r:id="rId56"/>
    <externalReference r:id="rId57"/>
    <externalReference r:id="rId58"/>
  </externalReferences>
  <definedNames>
    <definedName name="_xlnm._FilterDatabase" localSheetId="5" hidden="1">Abstract!$A$6:$AV$4622</definedName>
    <definedName name="_xlnm._FilterDatabase" localSheetId="17" hidden="1">'Bldg+Dev'!$A$4:$V$213</definedName>
    <definedName name="_m" localSheetId="21">#REF!</definedName>
    <definedName name="_m" localSheetId="22">#REF!</definedName>
    <definedName name="_m" localSheetId="33">#REF!</definedName>
    <definedName name="_m" localSheetId="34">#REF!</definedName>
    <definedName name="_m" localSheetId="29">#REF!</definedName>
    <definedName name="_m" localSheetId="30">#REF!</definedName>
    <definedName name="_m" localSheetId="35">#REF!</definedName>
    <definedName name="_m" localSheetId="36">#REF!</definedName>
    <definedName name="_m" localSheetId="31">#REF!</definedName>
    <definedName name="_m" localSheetId="32">#REF!</definedName>
    <definedName name="_m" localSheetId="25">#REF!</definedName>
    <definedName name="_m" localSheetId="26">#REF!</definedName>
    <definedName name="_m">#REF!</definedName>
    <definedName name="Abs" localSheetId="21">#REF!</definedName>
    <definedName name="Abs" localSheetId="22">#REF!</definedName>
    <definedName name="Abs" localSheetId="33">#REF!</definedName>
    <definedName name="Abs" localSheetId="34">#REF!</definedName>
    <definedName name="Abs" localSheetId="29">#REF!</definedName>
    <definedName name="Abs" localSheetId="30">#REF!</definedName>
    <definedName name="Abs" localSheetId="35">#REF!</definedName>
    <definedName name="Abs" localSheetId="36">#REF!</definedName>
    <definedName name="Abs" localSheetId="31">#REF!</definedName>
    <definedName name="Abs" localSheetId="32">#REF!</definedName>
    <definedName name="Abs" localSheetId="25">#REF!</definedName>
    <definedName name="Abs" localSheetId="26">#REF!</definedName>
    <definedName name="Abs">#REF!</definedName>
    <definedName name="ahfk">#REF!</definedName>
    <definedName name="anbu\" localSheetId="21">#REF!</definedName>
    <definedName name="anbu\" localSheetId="22">#REF!</definedName>
    <definedName name="anbu\" localSheetId="33">#REF!</definedName>
    <definedName name="anbu\" localSheetId="34">#REF!</definedName>
    <definedName name="anbu\" localSheetId="29">#REF!</definedName>
    <definedName name="anbu\" localSheetId="30">#REF!</definedName>
    <definedName name="anbu\" localSheetId="35">#REF!</definedName>
    <definedName name="anbu\" localSheetId="36">#REF!</definedName>
    <definedName name="anbu\" localSheetId="31">#REF!</definedName>
    <definedName name="anbu\" localSheetId="32">#REF!</definedName>
    <definedName name="anbu\" localSheetId="25">#REF!</definedName>
    <definedName name="anbu\" localSheetId="26">#REF!</definedName>
    <definedName name="anbu\">#REF!</definedName>
    <definedName name="Buildingevelopment." localSheetId="21">#REF!</definedName>
    <definedName name="Buildingevelopment." localSheetId="22">#REF!</definedName>
    <definedName name="Buildingevelopment." localSheetId="33">#REF!</definedName>
    <definedName name="Buildingevelopment." localSheetId="34">#REF!</definedName>
    <definedName name="Buildingevelopment." localSheetId="29">#REF!</definedName>
    <definedName name="Buildingevelopment." localSheetId="30">#REF!</definedName>
    <definedName name="Buildingevelopment." localSheetId="35">#REF!</definedName>
    <definedName name="Buildingevelopment." localSheetId="36">#REF!</definedName>
    <definedName name="Buildingevelopment." localSheetId="31">#REF!</definedName>
    <definedName name="Buildingevelopment." localSheetId="32">#REF!</definedName>
    <definedName name="Buildingevelopment." localSheetId="25">#REF!</definedName>
    <definedName name="Buildingevelopment." localSheetId="26">#REF!</definedName>
    <definedName name="Buildingevelopment.">#REF!</definedName>
    <definedName name="c.data" localSheetId="21">#REF!</definedName>
    <definedName name="c.data" localSheetId="22">#REF!</definedName>
    <definedName name="c.data" localSheetId="33">#REF!</definedName>
    <definedName name="c.data" localSheetId="34">#REF!</definedName>
    <definedName name="c.data" localSheetId="29">#REF!</definedName>
    <definedName name="c.data" localSheetId="30">#REF!</definedName>
    <definedName name="c.data" localSheetId="35">#REF!</definedName>
    <definedName name="c.data" localSheetId="36">#REF!</definedName>
    <definedName name="c.data" localSheetId="31">#REF!</definedName>
    <definedName name="c.data" localSheetId="32">#REF!</definedName>
    <definedName name="c.data" localSheetId="25">#REF!</definedName>
    <definedName name="c.data" localSheetId="26">#REF!</definedName>
    <definedName name="c.data">#REF!</definedName>
    <definedName name="electri">#REF!</definedName>
    <definedName name="fhd">#REF!</definedName>
    <definedName name="hia" localSheetId="21">#REF!</definedName>
    <definedName name="hia" localSheetId="22">#REF!</definedName>
    <definedName name="hia" localSheetId="33">#REF!</definedName>
    <definedName name="hia" localSheetId="34">#REF!</definedName>
    <definedName name="hia" localSheetId="23">#REF!</definedName>
    <definedName name="hia" localSheetId="24">#REF!</definedName>
    <definedName name="hia" localSheetId="29">#REF!</definedName>
    <definedName name="hia" localSheetId="30">#REF!</definedName>
    <definedName name="hia" localSheetId="35">#REF!</definedName>
    <definedName name="hia" localSheetId="36">#REF!</definedName>
    <definedName name="hia" localSheetId="31">#REF!</definedName>
    <definedName name="hia" localSheetId="32">#REF!</definedName>
    <definedName name="hia" localSheetId="25">#REF!</definedName>
    <definedName name="hia" localSheetId="26">#REF!</definedName>
    <definedName name="hia">#REF!</definedName>
    <definedName name="ins">#REF!</definedName>
    <definedName name="Inverter" localSheetId="21">#REF!</definedName>
    <definedName name="Inverter" localSheetId="22">#REF!</definedName>
    <definedName name="Inverter" localSheetId="30">#REF!</definedName>
    <definedName name="Inverter" localSheetId="35">#REF!</definedName>
    <definedName name="Inverter" localSheetId="36">#REF!</definedName>
    <definedName name="Inverter">#REF!</definedName>
    <definedName name="k404.">#REF!</definedName>
    <definedName name="P" localSheetId="21">#REF!</definedName>
    <definedName name="P" localSheetId="22">#REF!</definedName>
    <definedName name="P" localSheetId="33">#REF!</definedName>
    <definedName name="P" localSheetId="34">#REF!</definedName>
    <definedName name="P" localSheetId="29">#REF!</definedName>
    <definedName name="P" localSheetId="30">#REF!</definedName>
    <definedName name="P" localSheetId="35">#REF!</definedName>
    <definedName name="P" localSheetId="36">#REF!</definedName>
    <definedName name="P" localSheetId="31">#REF!</definedName>
    <definedName name="P" localSheetId="32">#REF!</definedName>
    <definedName name="P" localSheetId="25">#REF!</definedName>
    <definedName name="P" localSheetId="26">#REF!</definedName>
    <definedName name="P">#REF!</definedName>
    <definedName name="pc">#REF!</definedName>
    <definedName name="pri" localSheetId="21">#REF!</definedName>
    <definedName name="pri" localSheetId="22">#REF!</definedName>
    <definedName name="pri" localSheetId="33">#REF!</definedName>
    <definedName name="pri" localSheetId="34">#REF!</definedName>
    <definedName name="pri" localSheetId="29">#REF!</definedName>
    <definedName name="pri" localSheetId="30">#REF!</definedName>
    <definedName name="pri" localSheetId="35">#REF!</definedName>
    <definedName name="pri" localSheetId="36">#REF!</definedName>
    <definedName name="pri" localSheetId="31">#REF!</definedName>
    <definedName name="pri" localSheetId="32">#REF!</definedName>
    <definedName name="pri" localSheetId="25">#REF!</definedName>
    <definedName name="pri" localSheetId="26">#REF!</definedName>
    <definedName name="pri">#REF!</definedName>
    <definedName name="PRIN_TITLES_MI" localSheetId="21">#REF!</definedName>
    <definedName name="PRIN_TITLES_MI" localSheetId="22">#REF!</definedName>
    <definedName name="PRIN_TITLES_MI" localSheetId="33">#REF!</definedName>
    <definedName name="PRIN_TITLES_MI" localSheetId="34">#REF!</definedName>
    <definedName name="PRIN_TITLES_MI" localSheetId="29">#REF!</definedName>
    <definedName name="PRIN_TITLES_MI" localSheetId="30">#REF!</definedName>
    <definedName name="PRIN_TITLES_MI" localSheetId="35">#REF!</definedName>
    <definedName name="PRIN_TITLES_MI" localSheetId="36">#REF!</definedName>
    <definedName name="PRIN_TITLES_MI" localSheetId="31">#REF!</definedName>
    <definedName name="PRIN_TITLES_MI" localSheetId="32">#REF!</definedName>
    <definedName name="PRIN_TITLES_MI" localSheetId="25">#REF!</definedName>
    <definedName name="PRIN_TITLES_MI" localSheetId="26">#REF!</definedName>
    <definedName name="PRIN_TITLES_MI">#REF!</definedName>
    <definedName name="print" localSheetId="21">#REF!</definedName>
    <definedName name="print" localSheetId="22">#REF!</definedName>
    <definedName name="print" localSheetId="33">#REF!</definedName>
    <definedName name="print" localSheetId="34">#REF!</definedName>
    <definedName name="print" localSheetId="23">#REF!</definedName>
    <definedName name="print" localSheetId="24">#REF!</definedName>
    <definedName name="print" localSheetId="44">#REF!</definedName>
    <definedName name="print" localSheetId="49">#REF!</definedName>
    <definedName name="print" localSheetId="29">#REF!</definedName>
    <definedName name="print" localSheetId="30">#REF!</definedName>
    <definedName name="print" localSheetId="35">#REF!</definedName>
    <definedName name="print" localSheetId="36">#REF!</definedName>
    <definedName name="print" localSheetId="31">#REF!</definedName>
    <definedName name="print" localSheetId="32">#REF!</definedName>
    <definedName name="print" localSheetId="25">#REF!</definedName>
    <definedName name="print" localSheetId="26">#REF!</definedName>
    <definedName name="print">#REF!</definedName>
    <definedName name="PRINT_ARE" localSheetId="21">#REF!</definedName>
    <definedName name="PRINT_ARE" localSheetId="22">#REF!</definedName>
    <definedName name="PRINT_ARE" localSheetId="33">#REF!</definedName>
    <definedName name="PRINT_ARE" localSheetId="34">#REF!</definedName>
    <definedName name="PRINT_ARE" localSheetId="29">#REF!</definedName>
    <definedName name="PRINT_ARE" localSheetId="30">#REF!</definedName>
    <definedName name="PRINT_ARE" localSheetId="35">#REF!</definedName>
    <definedName name="PRINT_ARE" localSheetId="36">#REF!</definedName>
    <definedName name="PRINT_ARE" localSheetId="31">#REF!</definedName>
    <definedName name="PRINT_ARE" localSheetId="32">#REF!</definedName>
    <definedName name="PRINT_ARE" localSheetId="25">#REF!</definedName>
    <definedName name="PRINT_ARE" localSheetId="26">#REF!</definedName>
    <definedName name="PRINT_ARE">#REF!</definedName>
    <definedName name="_xlnm.Print_Area" localSheetId="39">' 2 wheeler Abs'!$A$1:$F$12</definedName>
    <definedName name="_xlnm.Print_Area" localSheetId="5">Abstract!$A$510:$F$4629</definedName>
    <definedName name="_xlnm.Print_Area" localSheetId="17">'Bldg+Dev'!$A$1:$V$213</definedName>
    <definedName name="_xlnm.Print_Area" localSheetId="27">'CCTV Abs'!$A$1:$F$18</definedName>
    <definedName name="_xlnm.Print_Area" localSheetId="28">'CCTV Det'!$A$1:$H$37</definedName>
    <definedName name="_xlnm.Print_Area" localSheetId="22">'Civil Det'!$A$1:$H$342</definedName>
    <definedName name="_xlnm.Print_Area" localSheetId="9">'COMP A'!$A$1:$F$52</definedName>
    <definedName name="_xlnm.Print_Area" localSheetId="8">'COMP D'!$A$1:$H$111</definedName>
    <definedName name="_xlnm.Print_Area" localSheetId="33">'Computer Abs'!$A$1:$F$18</definedName>
    <definedName name="_xlnm.Print_Area" localSheetId="34">'Computer Det'!$A$1:$H$36</definedName>
    <definedName name="_xlnm.Print_Area" localSheetId="12">'cycle shed D'!$A$1:$I$79</definedName>
    <definedName name="_xlnm.Print_Area" localSheetId="1">Data!$F$1:$K$3636</definedName>
    <definedName name="_xlnm.Print_Area" localSheetId="41">DATA1!$A$1:$F$371</definedName>
    <definedName name="_xlnm.Print_Area" localSheetId="43">DATA2!$A$1:$F$631</definedName>
    <definedName name="_xlnm.Print_Area" localSheetId="53">'Dis.trench Detailed '!$A$1:$H$38</definedName>
    <definedName name="_xlnm.Print_Area" localSheetId="3">Elec.abs!$F$2834:$K$3950</definedName>
    <definedName name="_xlnm.Print_Area" localSheetId="2">Elec.Data!$F$2834:$K$3951</definedName>
    <definedName name="_xlnm.Print_Area" localSheetId="24">'Electrical Det'!$A$1:$H$52</definedName>
    <definedName name="_xlnm.Print_Area" localSheetId="44">'EX. WS Abs'!$A$1:$F$47</definedName>
    <definedName name="_xlnm.Print_Area" localSheetId="49">'Ex. WS Det.'!$A$1:$I$97</definedName>
    <definedName name="_xlnm.Print_Area" localSheetId="16">'Ex.Water Abs'!$A$1:$F$30</definedName>
    <definedName name="_xlnm.Print_Area" localSheetId="29">'Fire Abs'!$A$1:$F$10</definedName>
    <definedName name="_xlnm.Print_Area" localSheetId="30">'Fire Det'!$A$1:$H$13</definedName>
    <definedName name="_xlnm.Print_Area" localSheetId="35">'Furniture Abs'!$A$1:$F$29</definedName>
    <definedName name="_xlnm.Print_Area" localSheetId="36">'Furniture Det'!$A$1:$H$81</definedName>
    <definedName name="_xlnm.Print_Area" localSheetId="4">'G. Abstract'!$A$1:$F$27</definedName>
    <definedName name="_xlnm.Print_Area" localSheetId="7">'G. Abstract (2)'!$A$1:$D$15</definedName>
    <definedName name="_xlnm.Print_Area" localSheetId="14">G.abstract!$A$1:$F$16</definedName>
    <definedName name="_xlnm.Print_Area" localSheetId="31">'Inverter Abs'!$A$1:$F$11</definedName>
    <definedName name="_xlnm.Print_Area" localSheetId="32">'Inverter Det'!$A$1:$H$17</definedName>
    <definedName name="_xlnm.Print_Area" localSheetId="42">#REF!</definedName>
    <definedName name="_xlnm.Print_Area" localSheetId="25">'Plumbing Abs '!$A$1:$F$16</definedName>
    <definedName name="_xlnm.Print_Area" localSheetId="26">'Plumbing Det'!$A$1:$H$37</definedName>
    <definedName name="_xlnm.Print_Area" localSheetId="15">'Road Abs'!$A$1:$F$16</definedName>
    <definedName name="_xlnm.Print_Area" localSheetId="48">Road.Detailed!$A$1:$H$38</definedName>
    <definedName name="_xlnm.Print_Area" localSheetId="37">'RWH Abs'!$A$1:$F$16</definedName>
    <definedName name="_xlnm.Print_Area" localSheetId="38">'RWH Detailed'!$A$1:$H$61</definedName>
    <definedName name="_xlnm.Print_Area" localSheetId="45">'Septic tank Abs'!$A$1:$F$24</definedName>
    <definedName name="_xlnm.Print_Area" localSheetId="47">'Septic Tank Det'!$A$1:$H$86</definedName>
    <definedName name="_xlnm.Print_Area" localSheetId="6">Sheet1!$A$128:$D$139</definedName>
    <definedName name="_xlnm.Print_Area" localSheetId="52">'Sullage Detailed'!$A$1:$H$56</definedName>
    <definedName name="_xlnm.Print_Area" localSheetId="51">'Sump Detailed '!$A$1:$H$109</definedName>
    <definedName name="_xlnm.Print_Area" localSheetId="46">'Sump Steel'!$A$1:$P$108</definedName>
    <definedName name="_xlnm.Print_Area">#REF!</definedName>
    <definedName name="PRINT_AREA_" localSheetId="21">#REF!</definedName>
    <definedName name="PRINT_AREA_" localSheetId="22">#REF!</definedName>
    <definedName name="PRINT_AREA_" localSheetId="33">#REF!</definedName>
    <definedName name="PRINT_AREA_" localSheetId="34">#REF!</definedName>
    <definedName name="PRINT_AREA_" localSheetId="29">#REF!</definedName>
    <definedName name="PRINT_AREA_" localSheetId="30">#REF!</definedName>
    <definedName name="PRINT_AREA_" localSheetId="35">#REF!</definedName>
    <definedName name="PRINT_AREA_" localSheetId="36">#REF!</definedName>
    <definedName name="PRINT_AREA_" localSheetId="31">#REF!</definedName>
    <definedName name="PRINT_AREA_" localSheetId="32">#REF!</definedName>
    <definedName name="PRINT_AREA_" localSheetId="25">#REF!</definedName>
    <definedName name="PRINT_AREA_" localSheetId="26">#REF!</definedName>
    <definedName name="PRINT_AREA_">#REF!</definedName>
    <definedName name="PRINT_AREA_M" localSheetId="21">#REF!</definedName>
    <definedName name="PRINT_AREA_M" localSheetId="22">#REF!</definedName>
    <definedName name="PRINT_AREA_M" localSheetId="33">#REF!</definedName>
    <definedName name="PRINT_AREA_M" localSheetId="34">#REF!</definedName>
    <definedName name="PRINT_AREA_M" localSheetId="29">#REF!</definedName>
    <definedName name="PRINT_AREA_M" localSheetId="30">#REF!</definedName>
    <definedName name="PRINT_AREA_M" localSheetId="35">#REF!</definedName>
    <definedName name="PRINT_AREA_M" localSheetId="36">#REF!</definedName>
    <definedName name="PRINT_AREA_M" localSheetId="31">#REF!</definedName>
    <definedName name="PRINT_AREA_M" localSheetId="32">#REF!</definedName>
    <definedName name="PRINT_AREA_M" localSheetId="25">#REF!</definedName>
    <definedName name="PRINT_AREA_M" localSheetId="26">#REF!</definedName>
    <definedName name="PRINT_AREA_M">#REF!</definedName>
    <definedName name="PRINT_AREA_MI" localSheetId="39">#REF!</definedName>
    <definedName name="PRINT_AREA_MI" localSheetId="40">#REF!</definedName>
    <definedName name="PRINT_AREA_MI" localSheetId="28">#REF!</definedName>
    <definedName name="PRINT_AREA_MI" localSheetId="34">#REF!</definedName>
    <definedName name="Print_Area_MI" localSheetId="1">Data!$F$1:$K$213</definedName>
    <definedName name="PRINT_AREA_MI" localSheetId="41">#REF!</definedName>
    <definedName name="PRINT_AREA_MI" localSheetId="43">#REF!</definedName>
    <definedName name="Print_Area_MI" localSheetId="3">Elec.abs!$F$1:$K$213</definedName>
    <definedName name="Print_Area_MI" localSheetId="2">Elec.Data!$F$1:$K$213</definedName>
    <definedName name="PRINT_AREA_MI" localSheetId="44">#REF!</definedName>
    <definedName name="PRINT_AREA_MI" localSheetId="49">#REF!</definedName>
    <definedName name="PRINT_AREA_MI" localSheetId="30">#REF!</definedName>
    <definedName name="PRINT_AREA_MI" localSheetId="36">#REF!</definedName>
    <definedName name="PRINT_AREA_MI" localSheetId="32">#REF!</definedName>
    <definedName name="PRINT_AREA_MI" localSheetId="42">#REF!</definedName>
    <definedName name="PRINT_AREA_MI" localSheetId="26">#REF!</definedName>
    <definedName name="PRINT_AREA_MI" localSheetId="47">#REF!</definedName>
    <definedName name="PRINT_AREA_MI" localSheetId="46">#REF!</definedName>
    <definedName name="PRINT_AREA_MI">#REF!</definedName>
    <definedName name="Print_T" localSheetId="21">#REF!</definedName>
    <definedName name="Print_T" localSheetId="22">#REF!</definedName>
    <definedName name="Print_T" localSheetId="33">#REF!</definedName>
    <definedName name="Print_T" localSheetId="34">#REF!</definedName>
    <definedName name="Print_T" localSheetId="29">#REF!</definedName>
    <definedName name="Print_T" localSheetId="30">#REF!</definedName>
    <definedName name="Print_T" localSheetId="35">#REF!</definedName>
    <definedName name="Print_T" localSheetId="36">#REF!</definedName>
    <definedName name="Print_T" localSheetId="31">#REF!</definedName>
    <definedName name="Print_T" localSheetId="32">#REF!</definedName>
    <definedName name="Print_T" localSheetId="25">#REF!</definedName>
    <definedName name="Print_T" localSheetId="26">#REF!</definedName>
    <definedName name="Print_T">#REF!</definedName>
    <definedName name="Print_Tit" localSheetId="21">#REF!</definedName>
    <definedName name="Print_Tit" localSheetId="22">#REF!</definedName>
    <definedName name="Print_Tit" localSheetId="33">#REF!</definedName>
    <definedName name="Print_Tit" localSheetId="34">#REF!</definedName>
    <definedName name="Print_Tit" localSheetId="29">#REF!</definedName>
    <definedName name="Print_Tit" localSheetId="30">#REF!</definedName>
    <definedName name="Print_Tit" localSheetId="35">#REF!</definedName>
    <definedName name="Print_Tit" localSheetId="36">#REF!</definedName>
    <definedName name="Print_Tit" localSheetId="31">#REF!</definedName>
    <definedName name="Print_Tit" localSheetId="32">#REF!</definedName>
    <definedName name="Print_Tit" localSheetId="25">#REF!</definedName>
    <definedName name="Print_Tit" localSheetId="26">#REF!</definedName>
    <definedName name="Print_Tit">#REF!</definedName>
    <definedName name="Print_Titl" localSheetId="21">#REF!</definedName>
    <definedName name="Print_Titl" localSheetId="22">#REF!</definedName>
    <definedName name="Print_Titl" localSheetId="33">#REF!</definedName>
    <definedName name="Print_Titl" localSheetId="34">#REF!</definedName>
    <definedName name="Print_Titl" localSheetId="29">#REF!</definedName>
    <definedName name="Print_Titl" localSheetId="30">#REF!</definedName>
    <definedName name="Print_Titl" localSheetId="35">#REF!</definedName>
    <definedName name="Print_Titl" localSheetId="36">#REF!</definedName>
    <definedName name="Print_Titl" localSheetId="31">#REF!</definedName>
    <definedName name="Print_Titl" localSheetId="32">#REF!</definedName>
    <definedName name="Print_Titl" localSheetId="25">#REF!</definedName>
    <definedName name="Print_Titl" localSheetId="26">#REF!</definedName>
    <definedName name="Print_Titl">#REF!</definedName>
    <definedName name="Print_Title" localSheetId="21">#REF!</definedName>
    <definedName name="Print_Title" localSheetId="22">#REF!</definedName>
    <definedName name="Print_Title" localSheetId="33">#REF!</definedName>
    <definedName name="Print_Title" localSheetId="34">#REF!</definedName>
    <definedName name="Print_Title" localSheetId="29">#REF!</definedName>
    <definedName name="Print_Title" localSheetId="30">#REF!</definedName>
    <definedName name="Print_Title" localSheetId="35">#REF!</definedName>
    <definedName name="Print_Title" localSheetId="36">#REF!</definedName>
    <definedName name="Print_Title" localSheetId="31">#REF!</definedName>
    <definedName name="Print_Title" localSheetId="32">#REF!</definedName>
    <definedName name="Print_Title" localSheetId="25">#REF!</definedName>
    <definedName name="Print_Title" localSheetId="26">#REF!</definedName>
    <definedName name="Print_Title">#REF!</definedName>
    <definedName name="_xlnm.Print_Titles" localSheetId="5">Abstract!$5:$6</definedName>
    <definedName name="_xlnm.Print_Titles" localSheetId="17">'Bldg+Dev'!$2:$3</definedName>
    <definedName name="_xlnm.Print_Titles" localSheetId="43">#REF!</definedName>
    <definedName name="_xlnm.Print_Titles" localSheetId="3">#REF!</definedName>
    <definedName name="_xlnm.Print_Titles" localSheetId="2">#REF!</definedName>
    <definedName name="_xlnm.Print_Titles" localSheetId="42">#REF!</definedName>
    <definedName name="_xlnm.Print_Titles" localSheetId="46">#REF!</definedName>
    <definedName name="_xlnm.Print_Titles">#REF!</definedName>
    <definedName name="PRINT_TITLES_MI" localSheetId="39">#REF!</definedName>
    <definedName name="PRINT_TITLES_MI" localSheetId="40">#REF!</definedName>
    <definedName name="PRINT_TITLES_MI" localSheetId="28">#REF!</definedName>
    <definedName name="PRINT_TITLES_MI" localSheetId="34">#REF!</definedName>
    <definedName name="PRINT_TITLES_MI" localSheetId="1">Data!$GH$7:$IE$7539</definedName>
    <definedName name="PRINT_TITLES_MI" localSheetId="41">#REF!</definedName>
    <definedName name="PRINT_TITLES_MI" localSheetId="43">#REF!</definedName>
    <definedName name="PRINT_TITLES_MI" localSheetId="3">Elec.abs!$GJ$7:$IG$7603</definedName>
    <definedName name="PRINT_TITLES_MI" localSheetId="2">Elec.Data!$GJ$7:$IG$7604</definedName>
    <definedName name="PRINT_TITLES_MI" localSheetId="44">#REF!</definedName>
    <definedName name="PRINT_TITLES_MI" localSheetId="49">#REF!</definedName>
    <definedName name="PRINT_TITLES_MI" localSheetId="30">#REF!</definedName>
    <definedName name="PRINT_TITLES_MI" localSheetId="36">#REF!</definedName>
    <definedName name="PRINT_TITLES_MI" localSheetId="32">#REF!</definedName>
    <definedName name="PRINT_TITLES_MI" localSheetId="42">#REF!</definedName>
    <definedName name="PRINT_TITLES_MI" localSheetId="26">#REF!</definedName>
    <definedName name="PRINT_TITLES_MI" localSheetId="47">#REF!</definedName>
    <definedName name="PRINT_TITLES_MI" localSheetId="46">#REF!</definedName>
    <definedName name="PRINT_TITLES_MI">#REF!</definedName>
    <definedName name="Print_titlesnew" localSheetId="21">#REF!</definedName>
    <definedName name="Print_titlesnew" localSheetId="22">#REF!</definedName>
    <definedName name="Print_titlesnew" localSheetId="33">#REF!</definedName>
    <definedName name="Print_titlesnew" localSheetId="34">#REF!</definedName>
    <definedName name="Print_titlesnew" localSheetId="29">#REF!</definedName>
    <definedName name="Print_titlesnew" localSheetId="30">#REF!</definedName>
    <definedName name="Print_titlesnew" localSheetId="35">#REF!</definedName>
    <definedName name="Print_titlesnew" localSheetId="36">#REF!</definedName>
    <definedName name="Print_titlesnew" localSheetId="31">#REF!</definedName>
    <definedName name="Print_titlesnew" localSheetId="32">#REF!</definedName>
    <definedName name="Print_titlesnew" localSheetId="25">#REF!</definedName>
    <definedName name="Print_titlesnew" localSheetId="26">#REF!</definedName>
    <definedName name="Print_titlesnew">#REF!</definedName>
    <definedName name="printarea1" localSheetId="21">#REF!</definedName>
    <definedName name="printarea1" localSheetId="22">#REF!</definedName>
    <definedName name="printarea1" localSheetId="33">#REF!</definedName>
    <definedName name="printarea1" localSheetId="34">#REF!</definedName>
    <definedName name="printarea1" localSheetId="29">#REF!</definedName>
    <definedName name="printarea1" localSheetId="30">#REF!</definedName>
    <definedName name="printarea1" localSheetId="35">#REF!</definedName>
    <definedName name="printarea1" localSheetId="36">#REF!</definedName>
    <definedName name="printarea1" localSheetId="31">#REF!</definedName>
    <definedName name="printarea1" localSheetId="32">#REF!</definedName>
    <definedName name="printarea1" localSheetId="25">#REF!</definedName>
    <definedName name="printarea1" localSheetId="26">#REF!</definedName>
    <definedName name="printarea1">#REF!</definedName>
    <definedName name="QQE">#REF!</definedName>
    <definedName name="QWE">#REF!</definedName>
    <definedName name="S" localSheetId="21">#REF!</definedName>
    <definedName name="S" localSheetId="22">#REF!</definedName>
    <definedName name="S" localSheetId="33">#REF!</definedName>
    <definedName name="S" localSheetId="34">#REF!</definedName>
    <definedName name="S" localSheetId="29">#REF!</definedName>
    <definedName name="S" localSheetId="30">#REF!</definedName>
    <definedName name="S" localSheetId="35">#REF!</definedName>
    <definedName name="S" localSheetId="36">#REF!</definedName>
    <definedName name="S" localSheetId="31">#REF!</definedName>
    <definedName name="S" localSheetId="32">#REF!</definedName>
    <definedName name="S" localSheetId="25">#REF!</definedName>
    <definedName name="S" localSheetId="26">#REF!</definedName>
    <definedName name="S">#REF!</definedName>
  </definedNames>
  <calcPr calcId="152511" fullPrecision="0"/>
  <fileRecoveryPr autoRecover="0"/>
</workbook>
</file>

<file path=xl/calcChain.xml><?xml version="1.0" encoding="utf-8"?>
<calcChain xmlns="http://schemas.openxmlformats.org/spreadsheetml/2006/main">
  <c r="H36" i="62"/>
  <c r="H32"/>
  <c r="H31"/>
  <c r="H30"/>
  <c r="F296" i="59"/>
  <c r="F294"/>
  <c r="F290"/>
  <c r="B7" i="49"/>
  <c r="F7" s="1"/>
  <c r="H15" i="50"/>
  <c r="H33" i="62" l="1"/>
  <c r="H78"/>
  <c r="B25" i="61" s="1"/>
  <c r="F25" s="1"/>
  <c r="H75" i="62"/>
  <c r="B24" i="61" s="1"/>
  <c r="F24" s="1"/>
  <c r="H72" i="62"/>
  <c r="B23" i="61" s="1"/>
  <c r="F23" s="1"/>
  <c r="H69" i="62"/>
  <c r="B22" i="61" s="1"/>
  <c r="F22" s="1"/>
  <c r="H66" i="62"/>
  <c r="B21" i="61" s="1"/>
  <c r="F21" s="1"/>
  <c r="H63" i="62"/>
  <c r="B20" i="61" s="1"/>
  <c r="F20" s="1"/>
  <c r="H60" i="62"/>
  <c r="B19" i="61" s="1"/>
  <c r="F19" s="1"/>
  <c r="H33" i="43" l="1"/>
  <c r="H32"/>
  <c r="F15" i="34"/>
  <c r="D12" i="53"/>
  <c r="F12" s="1"/>
  <c r="H295" i="63"/>
  <c r="F83" i="59"/>
  <c r="F81"/>
  <c r="F75"/>
  <c r="F76"/>
  <c r="F77"/>
  <c r="F78"/>
  <c r="F74"/>
  <c r="D32" i="64"/>
  <c r="D31"/>
  <c r="H333" i="63"/>
  <c r="H334" s="1"/>
  <c r="H336" s="1"/>
  <c r="B33" i="64" s="1"/>
  <c r="F33" s="1"/>
  <c r="H327" i="63"/>
  <c r="H328" s="1"/>
  <c r="H330" s="1"/>
  <c r="B32" i="64" s="1"/>
  <c r="F32" s="1"/>
  <c r="H320" i="63"/>
  <c r="H321"/>
  <c r="H322" s="1"/>
  <c r="H324" s="1"/>
  <c r="B31" i="64" s="1"/>
  <c r="F31" s="1"/>
  <c r="H314" i="63"/>
  <c r="H34" i="43" l="1"/>
  <c r="D30" i="64"/>
  <c r="H315" i="63"/>
  <c r="H317" s="1"/>
  <c r="B30" i="64" s="1"/>
  <c r="D17" i="45"/>
  <c r="D16"/>
  <c r="H47" i="43"/>
  <c r="B17" i="45" s="1"/>
  <c r="H44" i="43"/>
  <c r="B16" i="45" s="1"/>
  <c r="F16" s="1"/>
  <c r="F17" l="1"/>
  <c r="F30" i="64"/>
  <c r="D29"/>
  <c r="D28"/>
  <c r="H78" i="63"/>
  <c r="D5" i="64"/>
  <c r="D4"/>
  <c r="D27"/>
  <c r="D25"/>
  <c r="D24"/>
  <c r="D23"/>
  <c r="D21"/>
  <c r="D20"/>
  <c r="D18"/>
  <c r="D17"/>
  <c r="D16"/>
  <c r="D15"/>
  <c r="D26" s="1"/>
  <c r="D14"/>
  <c r="F19" l="1"/>
  <c r="F22"/>
  <c r="H138" i="63"/>
  <c r="H121"/>
  <c r="H120"/>
  <c r="H100"/>
  <c r="H77"/>
  <c r="B12" i="53"/>
  <c r="H32" i="54"/>
  <c r="H13"/>
  <c r="H12"/>
  <c r="H14" s="1"/>
  <c r="H303" i="63"/>
  <c r="H302"/>
  <c r="H155"/>
  <c r="H154"/>
  <c r="H153"/>
  <c r="H212"/>
  <c r="H213"/>
  <c r="H214"/>
  <c r="H296"/>
  <c r="H293"/>
  <c r="H292"/>
  <c r="H291"/>
  <c r="H294"/>
  <c r="H290"/>
  <c r="H289"/>
  <c r="H288"/>
  <c r="H287"/>
  <c r="H286"/>
  <c r="H285"/>
  <c r="H279"/>
  <c r="H278"/>
  <c r="H272"/>
  <c r="H271"/>
  <c r="H265"/>
  <c r="H263"/>
  <c r="H264"/>
  <c r="H262"/>
  <c r="H261"/>
  <c r="H260"/>
  <c r="H259"/>
  <c r="H258"/>
  <c r="H257"/>
  <c r="H251"/>
  <c r="H250"/>
  <c r="H242"/>
  <c r="H243"/>
  <c r="H241"/>
  <c r="H240"/>
  <c r="H234"/>
  <c r="H233"/>
  <c r="H232"/>
  <c r="H231"/>
  <c r="H224"/>
  <c r="H223"/>
  <c r="H222"/>
  <c r="H221"/>
  <c r="H215"/>
  <c r="H211"/>
  <c r="H204"/>
  <c r="H205"/>
  <c r="H198"/>
  <c r="H197"/>
  <c r="H190"/>
  <c r="H189"/>
  <c r="H196"/>
  <c r="H188"/>
  <c r="H235" l="1"/>
  <c r="H237" s="1"/>
  <c r="H304"/>
  <c r="H306" s="1"/>
  <c r="B28" i="64" s="1"/>
  <c r="F28" s="1"/>
  <c r="H266" i="63"/>
  <c r="H268" s="1"/>
  <c r="B24" i="64" s="1"/>
  <c r="F24" s="1"/>
  <c r="H244" i="63"/>
  <c r="H252"/>
  <c r="H254" s="1"/>
  <c r="B23" i="64" s="1"/>
  <c r="F23" s="1"/>
  <c r="H273" i="63"/>
  <c r="H275" s="1"/>
  <c r="B25" i="64" s="1"/>
  <c r="F25" s="1"/>
  <c r="H297" i="63"/>
  <c r="H299" s="1"/>
  <c r="B27" i="64" s="1"/>
  <c r="F27" s="1"/>
  <c r="H280" i="63"/>
  <c r="H282" s="1"/>
  <c r="B26" i="64" s="1"/>
  <c r="F26" s="1"/>
  <c r="H199" i="63"/>
  <c r="H201" s="1"/>
  <c r="B15" i="64" s="1"/>
  <c r="F15" s="1"/>
  <c r="H216" i="63"/>
  <c r="H218" s="1"/>
  <c r="B17" i="64" s="1"/>
  <c r="F17" s="1"/>
  <c r="H191" i="63"/>
  <c r="H193" s="1"/>
  <c r="B14" i="64" s="1"/>
  <c r="F14" s="1"/>
  <c r="H206" i="63"/>
  <c r="H208" s="1"/>
  <c r="B16" i="64" s="1"/>
  <c r="F16" s="1"/>
  <c r="H225" i="63"/>
  <c r="H227" s="1"/>
  <c r="B18" i="64" s="1"/>
  <c r="F18" s="1"/>
  <c r="H246" i="63"/>
  <c r="B21" i="64" s="1"/>
  <c r="F21" s="1"/>
  <c r="H40" i="43"/>
  <c r="B15" i="45" s="1"/>
  <c r="F15" s="1"/>
  <c r="D12"/>
  <c r="D11"/>
  <c r="H37" i="43"/>
  <c r="B14" i="45" s="1"/>
  <c r="H28" i="43"/>
  <c r="B13" i="45"/>
  <c r="F13" s="1"/>
  <c r="H27" i="43"/>
  <c r="H24"/>
  <c r="B11" i="45" s="1"/>
  <c r="D13" i="34"/>
  <c r="H56" i="33"/>
  <c r="B13" i="34" s="1"/>
  <c r="B11" i="53"/>
  <c r="F11" s="1"/>
  <c r="H29" i="54"/>
  <c r="H26"/>
  <c r="B10" i="53" s="1"/>
  <c r="F10" s="1"/>
  <c r="B20" i="64" l="1"/>
  <c r="F20" s="1"/>
  <c r="H309" i="63"/>
  <c r="H310" s="1"/>
  <c r="H311" s="1"/>
  <c r="B29" i="64" s="1"/>
  <c r="F29" s="1"/>
  <c r="F11" i="45"/>
  <c r="F14"/>
  <c r="H29" i="43"/>
  <c r="F13" i="34"/>
  <c r="D13" i="64"/>
  <c r="F377" i="59"/>
  <c r="F378"/>
  <c r="F379"/>
  <c r="F380"/>
  <c r="F381"/>
  <c r="F382"/>
  <c r="F383"/>
  <c r="F384"/>
  <c r="F385"/>
  <c r="F376"/>
  <c r="F387" s="1"/>
  <c r="F389" s="1"/>
  <c r="D12" i="64" s="1"/>
  <c r="B12" i="45" l="1"/>
  <c r="F12" s="1"/>
  <c r="H182" i="63"/>
  <c r="H183" s="1"/>
  <c r="H54" i="62"/>
  <c r="H55" s="1"/>
  <c r="H57" s="1"/>
  <c r="B18" i="61" s="1"/>
  <c r="F18" s="1"/>
  <c r="H48" i="62"/>
  <c r="H49" s="1"/>
  <c r="H51" s="1"/>
  <c r="B17" i="61" s="1"/>
  <c r="F17" s="1"/>
  <c r="H45" i="62"/>
  <c r="B16" i="61" s="1"/>
  <c r="F16" s="1"/>
  <c r="H42" i="62"/>
  <c r="B15" i="61" s="1"/>
  <c r="F15" s="1"/>
  <c r="H176" i="63"/>
  <c r="H177" s="1"/>
  <c r="H179" s="1"/>
  <c r="B12" i="64" s="1"/>
  <c r="F12" s="1"/>
  <c r="H185" i="63" l="1"/>
  <c r="B13" i="64" s="1"/>
  <c r="F13" s="1"/>
  <c r="H22" i="10"/>
  <c r="D309" i="59" l="1"/>
  <c r="F309" s="1"/>
  <c r="D308"/>
  <c r="F308" s="1"/>
  <c r="D307"/>
  <c r="F307" s="1"/>
  <c r="D306"/>
  <c r="F306" s="1"/>
  <c r="F305"/>
  <c r="D14" i="34"/>
  <c r="F299" i="59"/>
  <c r="D300"/>
  <c r="F300" s="1"/>
  <c r="D9" i="45"/>
  <c r="D8"/>
  <c r="D7" i="64"/>
  <c r="F231" i="59"/>
  <c r="F232"/>
  <c r="F230"/>
  <c r="G310" l="1"/>
  <c r="F310" s="1"/>
  <c r="F311" s="1"/>
  <c r="F312" s="1"/>
  <c r="D315" s="1"/>
  <c r="F315" s="1"/>
  <c r="F317" s="1"/>
  <c r="F301"/>
  <c r="D7" i="53" s="1"/>
  <c r="F235" i="59"/>
  <c r="F237" s="1"/>
  <c r="D8" i="58" l="1"/>
  <c r="D7"/>
  <c r="D6"/>
  <c r="D5"/>
  <c r="D12" i="34"/>
  <c r="D11"/>
  <c r="D10"/>
  <c r="D9"/>
  <c r="D8"/>
  <c r="D7"/>
  <c r="D6"/>
  <c r="D5"/>
  <c r="D8" i="53"/>
  <c r="D4"/>
  <c r="D8" i="64" l="1"/>
  <c r="D6"/>
  <c r="A1" i="28" l="1"/>
  <c r="F34" i="64"/>
  <c r="A1" l="1"/>
  <c r="H166" i="63"/>
  <c r="H167"/>
  <c r="H165"/>
  <c r="H162"/>
  <c r="B9" i="64" s="1"/>
  <c r="F9" s="1"/>
  <c r="H156" i="63"/>
  <c r="H152"/>
  <c r="H146"/>
  <c r="H145"/>
  <c r="H139"/>
  <c r="H137"/>
  <c r="H136"/>
  <c r="H127"/>
  <c r="H126"/>
  <c r="H125"/>
  <c r="H124"/>
  <c r="H123"/>
  <c r="H135"/>
  <c r="H134"/>
  <c r="H133"/>
  <c r="H118"/>
  <c r="H117"/>
  <c r="H116"/>
  <c r="H114"/>
  <c r="H113"/>
  <c r="H112"/>
  <c r="H87"/>
  <c r="H86"/>
  <c r="H70"/>
  <c r="H69"/>
  <c r="H68"/>
  <c r="H67"/>
  <c r="H66"/>
  <c r="H63"/>
  <c r="H52"/>
  <c r="H53"/>
  <c r="H54"/>
  <c r="H55"/>
  <c r="H56"/>
  <c r="H57"/>
  <c r="H58"/>
  <c r="H59"/>
  <c r="H60"/>
  <c r="H61"/>
  <c r="H62"/>
  <c r="H64"/>
  <c r="H65"/>
  <c r="H71"/>
  <c r="H72"/>
  <c r="H73"/>
  <c r="H74"/>
  <c r="H75"/>
  <c r="H76"/>
  <c r="H84"/>
  <c r="H85"/>
  <c r="H88"/>
  <c r="H89"/>
  <c r="H90"/>
  <c r="H91"/>
  <c r="H92"/>
  <c r="H93"/>
  <c r="H94"/>
  <c r="H95"/>
  <c r="H96"/>
  <c r="H97"/>
  <c r="H98"/>
  <c r="H99"/>
  <c r="H101"/>
  <c r="H102"/>
  <c r="H103"/>
  <c r="H104"/>
  <c r="H105"/>
  <c r="H106"/>
  <c r="H107"/>
  <c r="H108"/>
  <c r="H109"/>
  <c r="H110"/>
  <c r="H111"/>
  <c r="H115"/>
  <c r="H119"/>
  <c r="H122"/>
  <c r="H11"/>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0"/>
  <c r="H9"/>
  <c r="H8"/>
  <c r="H7"/>
  <c r="H6"/>
  <c r="H173"/>
  <c r="B11" i="64" s="1"/>
  <c r="F11" s="1"/>
  <c r="A1" i="58"/>
  <c r="A1" i="57" s="1"/>
  <c r="A1" i="34"/>
  <c r="A1" i="61"/>
  <c r="A1" i="51"/>
  <c r="A1" i="49"/>
  <c r="A1" i="55"/>
  <c r="A1" i="53"/>
  <c r="A1" i="45"/>
  <c r="H12" i="56"/>
  <c r="B6" i="55" s="1"/>
  <c r="F6" s="1"/>
  <c r="H39" i="62"/>
  <c r="B14" i="61" s="1"/>
  <c r="F14" s="1"/>
  <c r="B13"/>
  <c r="F13" s="1"/>
  <c r="B12"/>
  <c r="F12" s="1"/>
  <c r="H27" i="62"/>
  <c r="B11" i="61" s="1"/>
  <c r="F11" s="1"/>
  <c r="H24" i="62"/>
  <c r="B10" i="61" s="1"/>
  <c r="F10" s="1"/>
  <c r="H21" i="62"/>
  <c r="B9" i="61" s="1"/>
  <c r="F9" s="1"/>
  <c r="H18" i="62"/>
  <c r="B8" i="61" s="1"/>
  <c r="F8" s="1"/>
  <c r="H15" i="62"/>
  <c r="B7" i="61" s="1"/>
  <c r="F7" s="1"/>
  <c r="H12" i="62"/>
  <c r="B6" i="61" s="1"/>
  <c r="F6" s="1"/>
  <c r="H9" i="62"/>
  <c r="B5" i="61" s="1"/>
  <c r="F5" s="1"/>
  <c r="H6" i="62"/>
  <c r="B4" i="61" s="1"/>
  <c r="F4" s="1"/>
  <c r="F26"/>
  <c r="H31" i="57"/>
  <c r="H29"/>
  <c r="H27"/>
  <c r="D37" i="60"/>
  <c r="D36"/>
  <c r="D35"/>
  <c r="D34"/>
  <c r="D29"/>
  <c r="D20"/>
  <c r="D19"/>
  <c r="F10" i="58"/>
  <c r="H39" i="57"/>
  <c r="H40" s="1"/>
  <c r="H42" s="1"/>
  <c r="B9" i="58" s="1"/>
  <c r="F9" s="1"/>
  <c r="H33" i="57"/>
  <c r="H20"/>
  <c r="H14"/>
  <c r="H13"/>
  <c r="H7"/>
  <c r="H6"/>
  <c r="F18" i="45"/>
  <c r="H21" i="43"/>
  <c r="B10" i="45" s="1"/>
  <c r="F10" s="1"/>
  <c r="F27" i="61" l="1"/>
  <c r="D13" i="10" s="1"/>
  <c r="F13" s="1"/>
  <c r="H13" s="1"/>
  <c r="H128" i="63"/>
  <c r="H79"/>
  <c r="H81" s="1"/>
  <c r="B4" i="64" s="1"/>
  <c r="F4" s="1"/>
  <c r="H130" i="63"/>
  <c r="B5" i="64" s="1"/>
  <c r="H140" i="63"/>
  <c r="H142" s="1"/>
  <c r="B6" i="64" s="1"/>
  <c r="F6" s="1"/>
  <c r="F35" s="1"/>
  <c r="H168" i="63"/>
  <c r="H170" s="1"/>
  <c r="B10" i="64" s="1"/>
  <c r="F10" s="1"/>
  <c r="H15" i="57"/>
  <c r="H8"/>
  <c r="H10" s="1"/>
  <c r="B5" i="58" s="1"/>
  <c r="H34" i="57"/>
  <c r="H36" s="1"/>
  <c r="B8" i="58" s="1"/>
  <c r="F8" s="1"/>
  <c r="H147" i="63"/>
  <c r="H157"/>
  <c r="H159" s="1"/>
  <c r="B8" i="64" s="1"/>
  <c r="F8" s="1"/>
  <c r="H21" i="57"/>
  <c r="H23" s="1"/>
  <c r="B7" i="58" s="1"/>
  <c r="F7" s="1"/>
  <c r="H17" i="57"/>
  <c r="B6" i="58" s="1"/>
  <c r="F6" s="1"/>
  <c r="F5"/>
  <c r="H9" i="56"/>
  <c r="B5" i="55" s="1"/>
  <c r="F5" s="1"/>
  <c r="H6" i="56"/>
  <c r="B4" i="55" s="1"/>
  <c r="F4" s="1"/>
  <c r="F7"/>
  <c r="B6" i="53"/>
  <c r="F6" s="1"/>
  <c r="H23" i="54"/>
  <c r="B9" i="53" s="1"/>
  <c r="F9" s="1"/>
  <c r="H20" i="54"/>
  <c r="B8" i="53" s="1"/>
  <c r="F8" s="1"/>
  <c r="H17" i="54"/>
  <c r="B7" i="53" s="1"/>
  <c r="F7" s="1"/>
  <c r="H9" i="54"/>
  <c r="B5" i="53" s="1"/>
  <c r="F5" s="1"/>
  <c r="H6" i="54"/>
  <c r="B4" i="53" s="1"/>
  <c r="F4" s="1"/>
  <c r="F13"/>
  <c r="H34" i="52"/>
  <c r="B14" i="51" s="1"/>
  <c r="F14" s="1"/>
  <c r="H31" i="52"/>
  <c r="B13" i="51" s="1"/>
  <c r="F13" s="1"/>
  <c r="H28" i="52"/>
  <c r="B12" i="51" s="1"/>
  <c r="F12" s="1"/>
  <c r="H25" i="52"/>
  <c r="B11" i="51" s="1"/>
  <c r="F11" s="1"/>
  <c r="H22" i="52"/>
  <c r="B10" i="51" s="1"/>
  <c r="F10" s="1"/>
  <c r="H19" i="52"/>
  <c r="B9" i="51" s="1"/>
  <c r="F9" s="1"/>
  <c r="H16" i="52"/>
  <c r="B8" i="51" s="1"/>
  <c r="F8" s="1"/>
  <c r="H13" i="52"/>
  <c r="B7" i="51" s="1"/>
  <c r="F7" s="1"/>
  <c r="H10" i="52"/>
  <c r="B6" i="51" s="1"/>
  <c r="F6" s="1"/>
  <c r="H6" i="52"/>
  <c r="B4" i="51" s="1"/>
  <c r="F4" s="1"/>
  <c r="F15"/>
  <c r="F5"/>
  <c r="H12" i="50"/>
  <c r="B6" i="49" s="1"/>
  <c r="F6" s="1"/>
  <c r="H9" i="50"/>
  <c r="B5" i="49" s="1"/>
  <c r="F5" s="1"/>
  <c r="H6" i="50"/>
  <c r="B4" i="49" s="1"/>
  <c r="F4" s="1"/>
  <c r="F8"/>
  <c r="H36" i="39"/>
  <c r="H33"/>
  <c r="B13" i="28" s="1"/>
  <c r="F13" s="1"/>
  <c r="H30" i="39"/>
  <c r="B12" i="28" s="1"/>
  <c r="F12" s="1"/>
  <c r="H27" i="39"/>
  <c r="B11" i="28" s="1"/>
  <c r="H24" i="39"/>
  <c r="B10" i="28" s="1"/>
  <c r="F10" s="1"/>
  <c r="H21" i="39"/>
  <c r="B9" i="28" s="1"/>
  <c r="F9" s="1"/>
  <c r="H18" i="39"/>
  <c r="H15"/>
  <c r="B7" i="28" s="1"/>
  <c r="H12" i="39"/>
  <c r="B6" i="28" s="1"/>
  <c r="F6" s="1"/>
  <c r="H9" i="39"/>
  <c r="B5" i="28" s="1"/>
  <c r="F5" s="1"/>
  <c r="H6" i="39"/>
  <c r="B4" i="28" s="1"/>
  <c r="F4" s="1"/>
  <c r="A1" i="38"/>
  <c r="A3" i="47" s="1"/>
  <c r="F364" i="44"/>
  <c r="F362"/>
  <c r="F356"/>
  <c r="F354"/>
  <c r="F350"/>
  <c r="D350"/>
  <c r="D357" s="1"/>
  <c r="C349"/>
  <c r="D349"/>
  <c r="D348"/>
  <c r="D355" s="1"/>
  <c r="F349"/>
  <c r="F347"/>
  <c r="D341"/>
  <c r="F343"/>
  <c r="F342"/>
  <c r="F341"/>
  <c r="F344" s="1"/>
  <c r="D14" i="47" s="1"/>
  <c r="F340" i="44"/>
  <c r="F328"/>
  <c r="F324"/>
  <c r="D22" i="38"/>
  <c r="D21"/>
  <c r="D20"/>
  <c r="D18"/>
  <c r="D17"/>
  <c r="D16"/>
  <c r="D14"/>
  <c r="D15"/>
  <c r="D13"/>
  <c r="D12"/>
  <c r="D11"/>
  <c r="D10"/>
  <c r="D9"/>
  <c r="D8"/>
  <c r="D7"/>
  <c r="D6"/>
  <c r="D5"/>
  <c r="D4"/>
  <c r="B39" i="47"/>
  <c r="B31"/>
  <c r="F31" s="1"/>
  <c r="B32"/>
  <c r="F32"/>
  <c r="B33"/>
  <c r="F33"/>
  <c r="B34"/>
  <c r="F34"/>
  <c r="B35"/>
  <c r="B36"/>
  <c r="F36" s="1"/>
  <c r="F40"/>
  <c r="F37"/>
  <c r="F35"/>
  <c r="F19"/>
  <c r="F15"/>
  <c r="F9"/>
  <c r="H91" i="48"/>
  <c r="B44" i="47"/>
  <c r="F44" s="1"/>
  <c r="H87" i="48"/>
  <c r="H88" s="1"/>
  <c r="B43" i="47" s="1"/>
  <c r="F43" s="1"/>
  <c r="H30" i="48"/>
  <c r="H29"/>
  <c r="H34"/>
  <c r="H44"/>
  <c r="B17" i="47"/>
  <c r="F17" s="1"/>
  <c r="H62" i="48"/>
  <c r="B30" i="47" s="1"/>
  <c r="F30" s="1"/>
  <c r="F5" i="45"/>
  <c r="H83" i="48"/>
  <c r="H84" s="1"/>
  <c r="B42" i="47" s="1"/>
  <c r="F42" s="1"/>
  <c r="H80" i="48"/>
  <c r="H81" s="1"/>
  <c r="B41" i="47" s="1"/>
  <c r="F41" s="1"/>
  <c r="H73" i="48"/>
  <c r="H72"/>
  <c r="H61"/>
  <c r="B29" i="47" s="1"/>
  <c r="F29" s="1"/>
  <c r="H60" i="48"/>
  <c r="B28" i="47"/>
  <c r="F28" s="1"/>
  <c r="H59" i="48"/>
  <c r="B27" i="47" s="1"/>
  <c r="F27" s="1"/>
  <c r="H58" i="48"/>
  <c r="B26" i="47"/>
  <c r="F26" s="1"/>
  <c r="H57" i="48"/>
  <c r="B25" i="47" s="1"/>
  <c r="F25" s="1"/>
  <c r="H56" i="48"/>
  <c r="B24" i="47"/>
  <c r="F24" s="1"/>
  <c r="H55" i="48"/>
  <c r="B23" i="47" s="1"/>
  <c r="F23" s="1"/>
  <c r="H54" i="48"/>
  <c r="B22" i="47"/>
  <c r="F22" s="1"/>
  <c r="H53" i="48"/>
  <c r="B21" i="47" s="1"/>
  <c r="F21" s="1"/>
  <c r="H51" i="48"/>
  <c r="B20" i="47"/>
  <c r="F20" s="1"/>
  <c r="H40" i="48"/>
  <c r="H41" s="1"/>
  <c r="B16" i="47" s="1"/>
  <c r="F16" s="1"/>
  <c r="H35" i="48"/>
  <c r="H28"/>
  <c r="H31"/>
  <c r="B13" i="47" s="1"/>
  <c r="F13" s="1"/>
  <c r="H24" i="48"/>
  <c r="H25"/>
  <c r="B12" i="47" s="1"/>
  <c r="F12" s="1"/>
  <c r="H21" i="48"/>
  <c r="B11" i="47"/>
  <c r="F11" s="1"/>
  <c r="H20" i="48"/>
  <c r="B10" i="47" s="1"/>
  <c r="F10" s="1"/>
  <c r="H16" i="48"/>
  <c r="H15"/>
  <c r="H11"/>
  <c r="H12"/>
  <c r="B7" i="47" s="1"/>
  <c r="F7" s="1"/>
  <c r="H8" i="48"/>
  <c r="H9"/>
  <c r="B6" i="47" s="1"/>
  <c r="F6" s="1"/>
  <c r="H18" i="43"/>
  <c r="B9" i="45" s="1"/>
  <c r="F9" s="1"/>
  <c r="H15" i="43"/>
  <c r="B8" i="45" s="1"/>
  <c r="F8" s="1"/>
  <c r="H12" i="43"/>
  <c r="B7" i="45" s="1"/>
  <c r="F7" s="1"/>
  <c r="H5" i="43"/>
  <c r="B4" i="45" s="1"/>
  <c r="F4" s="1"/>
  <c r="F19" i="38"/>
  <c r="H85" i="41"/>
  <c r="H86"/>
  <c r="B22" i="38" s="1"/>
  <c r="B16"/>
  <c r="F16" s="1"/>
  <c r="H81" i="41"/>
  <c r="H80"/>
  <c r="H82"/>
  <c r="H83" s="1"/>
  <c r="B21" i="38" s="1"/>
  <c r="F21" s="1"/>
  <c r="H76" i="41"/>
  <c r="H75"/>
  <c r="H77"/>
  <c r="H78" s="1"/>
  <c r="B20" i="38" s="1"/>
  <c r="F20" s="1"/>
  <c r="H72" i="41"/>
  <c r="B18" i="38" s="1"/>
  <c r="F18" s="1"/>
  <c r="H69" i="41"/>
  <c r="B17" i="38"/>
  <c r="H63" i="41"/>
  <c r="H62"/>
  <c r="H61"/>
  <c r="H60"/>
  <c r="H64" s="1"/>
  <c r="H65" s="1"/>
  <c r="B15" i="38" s="1"/>
  <c r="H56" i="41"/>
  <c r="H55"/>
  <c r="H54"/>
  <c r="H53"/>
  <c r="H52"/>
  <c r="H51"/>
  <c r="H57"/>
  <c r="H58" s="1"/>
  <c r="B14" i="38" s="1"/>
  <c r="F14" s="1"/>
  <c r="H47" i="41"/>
  <c r="H46"/>
  <c r="H48"/>
  <c r="H49" s="1"/>
  <c r="B13" i="38" s="1"/>
  <c r="F13" s="1"/>
  <c r="H42" i="41"/>
  <c r="H41"/>
  <c r="H43"/>
  <c r="H44" s="1"/>
  <c r="B12" i="38" s="1"/>
  <c r="F12" s="1"/>
  <c r="G37" i="41"/>
  <c r="H37" s="1"/>
  <c r="H36"/>
  <c r="H35"/>
  <c r="H34"/>
  <c r="H33"/>
  <c r="H29"/>
  <c r="H28"/>
  <c r="H27"/>
  <c r="H24"/>
  <c r="H25"/>
  <c r="B9" i="38" s="1"/>
  <c r="F9"/>
  <c r="H21" i="41"/>
  <c r="H22"/>
  <c r="B8" i="38" s="1"/>
  <c r="F8" s="1"/>
  <c r="H18" i="41"/>
  <c r="H19"/>
  <c r="B7" i="38" s="1"/>
  <c r="F7"/>
  <c r="H16" i="41"/>
  <c r="B6" i="38"/>
  <c r="F6" s="1"/>
  <c r="H14" i="41"/>
  <c r="B5" i="38" s="1"/>
  <c r="F5"/>
  <c r="H11" i="41"/>
  <c r="H10"/>
  <c r="H9"/>
  <c r="H12"/>
  <c r="B4" i="38" s="1"/>
  <c r="H30" i="41"/>
  <c r="H31" s="1"/>
  <c r="B10" i="38"/>
  <c r="F10" s="1"/>
  <c r="F15" i="28"/>
  <c r="V107" i="40"/>
  <c r="P106"/>
  <c r="P104"/>
  <c r="O104"/>
  <c r="O106" s="1"/>
  <c r="M103"/>
  <c r="M102"/>
  <c r="N101"/>
  <c r="L100"/>
  <c r="N99"/>
  <c r="N104" s="1"/>
  <c r="N106" s="1"/>
  <c r="M98"/>
  <c r="M97"/>
  <c r="M96"/>
  <c r="M95"/>
  <c r="M94"/>
  <c r="M93"/>
  <c r="M92"/>
  <c r="M91"/>
  <c r="M90"/>
  <c r="M89"/>
  <c r="M88"/>
  <c r="M87"/>
  <c r="M86"/>
  <c r="M85"/>
  <c r="M84"/>
  <c r="M83"/>
  <c r="M82"/>
  <c r="M81"/>
  <c r="M80"/>
  <c r="M79"/>
  <c r="M78"/>
  <c r="M77"/>
  <c r="M76"/>
  <c r="M75"/>
  <c r="M72"/>
  <c r="L71"/>
  <c r="L104" s="1"/>
  <c r="L106"/>
  <c r="M70"/>
  <c r="M69"/>
  <c r="M68"/>
  <c r="M67"/>
  <c r="M66"/>
  <c r="M65"/>
  <c r="M64"/>
  <c r="M63"/>
  <c r="M62"/>
  <c r="M61"/>
  <c r="M60"/>
  <c r="M59"/>
  <c r="M58"/>
  <c r="M57"/>
  <c r="M56"/>
  <c r="M55"/>
  <c r="M54"/>
  <c r="M53"/>
  <c r="M52"/>
  <c r="M51"/>
  <c r="M50"/>
  <c r="M49"/>
  <c r="M48"/>
  <c r="M47"/>
  <c r="M46"/>
  <c r="M45"/>
  <c r="M44"/>
  <c r="M43"/>
  <c r="M42"/>
  <c r="M41"/>
  <c r="M40"/>
  <c r="M39"/>
  <c r="M38"/>
  <c r="M37"/>
  <c r="M36"/>
  <c r="M35"/>
  <c r="M34"/>
  <c r="M33"/>
  <c r="M32"/>
  <c r="M31"/>
  <c r="M30"/>
  <c r="M29"/>
  <c r="M28"/>
  <c r="M27"/>
  <c r="M26"/>
  <c r="M25"/>
  <c r="M24"/>
  <c r="M23"/>
  <c r="M22"/>
  <c r="M21"/>
  <c r="M20"/>
  <c r="M19"/>
  <c r="M18"/>
  <c r="M17"/>
  <c r="M16"/>
  <c r="M15"/>
  <c r="M14"/>
  <c r="M13"/>
  <c r="M12"/>
  <c r="M11"/>
  <c r="M10"/>
  <c r="M9"/>
  <c r="M8"/>
  <c r="M7"/>
  <c r="M104" s="1"/>
  <c r="M106" s="1"/>
  <c r="D20" i="29"/>
  <c r="D18"/>
  <c r="D16"/>
  <c r="D14"/>
  <c r="F14" s="1"/>
  <c r="D7"/>
  <c r="D5"/>
  <c r="H94" i="32"/>
  <c r="H95"/>
  <c r="H97" s="1"/>
  <c r="H88"/>
  <c r="H89" s="1"/>
  <c r="H91" s="1"/>
  <c r="D15" i="27"/>
  <c r="D13"/>
  <c r="D11"/>
  <c r="D9"/>
  <c r="D7"/>
  <c r="D5"/>
  <c r="H24" i="37"/>
  <c r="H25"/>
  <c r="H27" s="1"/>
  <c r="H18"/>
  <c r="H19" s="1"/>
  <c r="H21" s="1"/>
  <c r="H12"/>
  <c r="H13"/>
  <c r="H15" s="1"/>
  <c r="H36"/>
  <c r="H30"/>
  <c r="H6"/>
  <c r="H7" s="1"/>
  <c r="H9" s="1"/>
  <c r="H31"/>
  <c r="H33"/>
  <c r="H50" i="33"/>
  <c r="H51" s="1"/>
  <c r="H53" s="1"/>
  <c r="H44"/>
  <c r="H43"/>
  <c r="H45" s="1"/>
  <c r="H47" s="1"/>
  <c r="B11" i="34" s="1"/>
  <c r="F11" s="1"/>
  <c r="H37" i="33"/>
  <c r="H38" s="1"/>
  <c r="H40" s="1"/>
  <c r="B10" i="34" s="1"/>
  <c r="F10" s="1"/>
  <c r="H31" i="33"/>
  <c r="H32" s="1"/>
  <c r="H34" s="1"/>
  <c r="B9" i="34" s="1"/>
  <c r="F9" s="1"/>
  <c r="H25" i="33"/>
  <c r="H26" s="1"/>
  <c r="H28" s="1"/>
  <c r="B8" i="34" s="1"/>
  <c r="F8" s="1"/>
  <c r="H19" i="33"/>
  <c r="H20" s="1"/>
  <c r="H22" s="1"/>
  <c r="B7" i="34" s="1"/>
  <c r="F7" s="1"/>
  <c r="H13" i="33"/>
  <c r="H14" s="1"/>
  <c r="H16" s="1"/>
  <c r="B6" i="34" s="1"/>
  <c r="F6" s="1"/>
  <c r="H7" i="33"/>
  <c r="H6"/>
  <c r="H105" i="32"/>
  <c r="H104"/>
  <c r="H106"/>
  <c r="H101"/>
  <c r="H82"/>
  <c r="H83" s="1"/>
  <c r="H85"/>
  <c r="H52" i="23"/>
  <c r="H51"/>
  <c r="H50"/>
  <c r="H53"/>
  <c r="H55" s="1"/>
  <c r="B20" i="29" s="1"/>
  <c r="F20" s="1"/>
  <c r="H26" i="23"/>
  <c r="H18"/>
  <c r="H57" i="32"/>
  <c r="H60"/>
  <c r="H49"/>
  <c r="H42"/>
  <c r="H41"/>
  <c r="H40"/>
  <c r="H43" s="1"/>
  <c r="H45" s="1"/>
  <c r="H33"/>
  <c r="H13"/>
  <c r="H14" s="1"/>
  <c r="H16"/>
  <c r="H7" i="31"/>
  <c r="H79" i="32"/>
  <c r="H76"/>
  <c r="H63"/>
  <c r="H56"/>
  <c r="H58" s="1"/>
  <c r="H48"/>
  <c r="H50" s="1"/>
  <c r="H52" s="1"/>
  <c r="H32"/>
  <c r="H34"/>
  <c r="H36" s="1"/>
  <c r="H26"/>
  <c r="H27" s="1"/>
  <c r="H25"/>
  <c r="H19"/>
  <c r="H20" s="1"/>
  <c r="H22" s="1"/>
  <c r="H6"/>
  <c r="H7"/>
  <c r="H9" s="1"/>
  <c r="H34" i="31"/>
  <c r="H30"/>
  <c r="H26"/>
  <c r="H27" s="1"/>
  <c r="B11" i="27" s="1"/>
  <c r="H19" i="31"/>
  <c r="H20" s="1"/>
  <c r="H22" s="1"/>
  <c r="B9" i="27" s="1"/>
  <c r="F9" s="1"/>
  <c r="H13" i="31"/>
  <c r="H14"/>
  <c r="H16" s="1"/>
  <c r="B7" i="27" s="1"/>
  <c r="F7" s="1"/>
  <c r="H6" i="31"/>
  <c r="D24" i="22"/>
  <c r="F17"/>
  <c r="F18"/>
  <c r="F19"/>
  <c r="F20"/>
  <c r="F21"/>
  <c r="F22"/>
  <c r="F23"/>
  <c r="F24"/>
  <c r="F25"/>
  <c r="F26"/>
  <c r="F27"/>
  <c r="F5"/>
  <c r="F6"/>
  <c r="J3" i="1"/>
  <c r="V3"/>
  <c r="K3462"/>
  <c r="I3164"/>
  <c r="H6" i="23"/>
  <c r="H7"/>
  <c r="H9" s="1"/>
  <c r="B5" i="29" s="1"/>
  <c r="H44" i="23"/>
  <c r="H38"/>
  <c r="H32"/>
  <c r="H33" s="1"/>
  <c r="H35" s="1"/>
  <c r="B14" i="29" s="1"/>
  <c r="H25" i="23"/>
  <c r="H12"/>
  <c r="H13" s="1"/>
  <c r="H15" s="1"/>
  <c r="B7" i="29" s="1"/>
  <c r="K3618" i="1"/>
  <c r="K3619"/>
  <c r="K3620"/>
  <c r="K3621"/>
  <c r="K3622"/>
  <c r="K3623"/>
  <c r="K3624"/>
  <c r="K3625"/>
  <c r="K3626"/>
  <c r="K3617"/>
  <c r="K3556"/>
  <c r="K3555"/>
  <c r="K3557"/>
  <c r="K3549"/>
  <c r="K3548"/>
  <c r="AA19"/>
  <c r="Z12"/>
  <c r="Z13" s="1"/>
  <c r="Z10"/>
  <c r="X15"/>
  <c r="X14"/>
  <c r="X13"/>
  <c r="X12"/>
  <c r="K3582"/>
  <c r="K3601"/>
  <c r="K3600"/>
  <c r="K3599"/>
  <c r="K3602" s="1"/>
  <c r="K3595"/>
  <c r="K3594"/>
  <c r="K3596"/>
  <c r="K3593"/>
  <c r="K3589"/>
  <c r="K3588"/>
  <c r="K3587"/>
  <c r="K3586"/>
  <c r="K3590"/>
  <c r="K3580"/>
  <c r="K3579"/>
  <c r="I3575"/>
  <c r="K3575"/>
  <c r="I3574"/>
  <c r="K3574"/>
  <c r="K3573"/>
  <c r="K3572"/>
  <c r="K3567"/>
  <c r="K3566"/>
  <c r="I3562"/>
  <c r="I3568"/>
  <c r="K3568" s="1"/>
  <c r="K3561"/>
  <c r="K3560"/>
  <c r="H45"/>
  <c r="AH36"/>
  <c r="AH37"/>
  <c r="AC37" s="1"/>
  <c r="AH38"/>
  <c r="AC38" s="1"/>
  <c r="AH24"/>
  <c r="AC24" s="1"/>
  <c r="C18"/>
  <c r="AH25"/>
  <c r="AC25"/>
  <c r="AH26"/>
  <c r="AC26"/>
  <c r="AH27"/>
  <c r="AC27"/>
  <c r="AH28"/>
  <c r="AH29"/>
  <c r="AC29" s="1"/>
  <c r="C61" s="1"/>
  <c r="AH30"/>
  <c r="AC30"/>
  <c r="I2557" s="1"/>
  <c r="AH31"/>
  <c r="AH32"/>
  <c r="AC32"/>
  <c r="D31" s="1"/>
  <c r="I1026"/>
  <c r="K1026" s="1"/>
  <c r="AH33"/>
  <c r="AC33" s="1"/>
  <c r="AH34"/>
  <c r="AC34" s="1"/>
  <c r="D32" s="1"/>
  <c r="I1057" s="1"/>
  <c r="K1057"/>
  <c r="AH35"/>
  <c r="AC35"/>
  <c r="D33" s="1"/>
  <c r="I2170" s="1"/>
  <c r="K2170" s="1"/>
  <c r="AC28"/>
  <c r="AC36"/>
  <c r="P14" i="9"/>
  <c r="P31"/>
  <c r="P37"/>
  <c r="P43"/>
  <c r="P44"/>
  <c r="P52"/>
  <c r="P53"/>
  <c r="P61"/>
  <c r="P67"/>
  <c r="P81"/>
  <c r="P96"/>
  <c r="P99"/>
  <c r="P103"/>
  <c r="P109"/>
  <c r="P129"/>
  <c r="P132"/>
  <c r="P136"/>
  <c r="P146"/>
  <c r="P153"/>
  <c r="P154"/>
  <c r="P155"/>
  <c r="P159"/>
  <c r="P164"/>
  <c r="P173"/>
  <c r="P174"/>
  <c r="P180"/>
  <c r="P181"/>
  <c r="P183"/>
  <c r="P190"/>
  <c r="P194"/>
  <c r="P199"/>
  <c r="P207"/>
  <c r="P208"/>
  <c r="P209"/>
  <c r="P210"/>
  <c r="P211"/>
  <c r="P212"/>
  <c r="L14"/>
  <c r="L31"/>
  <c r="L37"/>
  <c r="L43"/>
  <c r="L44"/>
  <c r="L52"/>
  <c r="L53"/>
  <c r="L61"/>
  <c r="L67"/>
  <c r="L81"/>
  <c r="L96"/>
  <c r="L99"/>
  <c r="L103"/>
  <c r="L109"/>
  <c r="L129"/>
  <c r="L132"/>
  <c r="L136"/>
  <c r="L146"/>
  <c r="L153"/>
  <c r="L154"/>
  <c r="L155"/>
  <c r="L159"/>
  <c r="L164"/>
  <c r="L173"/>
  <c r="L174"/>
  <c r="L180"/>
  <c r="L181"/>
  <c r="L183"/>
  <c r="L190"/>
  <c r="L194"/>
  <c r="L199"/>
  <c r="L207"/>
  <c r="L208"/>
  <c r="L209"/>
  <c r="L210"/>
  <c r="L211"/>
  <c r="L212"/>
  <c r="J31"/>
  <c r="J37"/>
  <c r="J43"/>
  <c r="J44"/>
  <c r="J52"/>
  <c r="J53"/>
  <c r="J61"/>
  <c r="J67"/>
  <c r="J81"/>
  <c r="J96"/>
  <c r="J99"/>
  <c r="J103"/>
  <c r="J109"/>
  <c r="J129"/>
  <c r="J132"/>
  <c r="J136"/>
  <c r="J146"/>
  <c r="J153"/>
  <c r="J154"/>
  <c r="J155"/>
  <c r="J159"/>
  <c r="J164"/>
  <c r="J173"/>
  <c r="J174"/>
  <c r="J180"/>
  <c r="J181"/>
  <c r="J183"/>
  <c r="J190"/>
  <c r="J194"/>
  <c r="J199"/>
  <c r="J207"/>
  <c r="J208"/>
  <c r="J209"/>
  <c r="J210"/>
  <c r="J211"/>
  <c r="J212"/>
  <c r="H11"/>
  <c r="T11"/>
  <c r="V11" s="1"/>
  <c r="H14"/>
  <c r="H31"/>
  <c r="H37"/>
  <c r="H43"/>
  <c r="H44"/>
  <c r="H52"/>
  <c r="H53"/>
  <c r="H61"/>
  <c r="H67"/>
  <c r="H81"/>
  <c r="H96"/>
  <c r="H99"/>
  <c r="H103"/>
  <c r="H109"/>
  <c r="H129"/>
  <c r="H132"/>
  <c r="H136"/>
  <c r="H146"/>
  <c r="H153"/>
  <c r="H154"/>
  <c r="H155"/>
  <c r="H159"/>
  <c r="H164"/>
  <c r="H173"/>
  <c r="H174"/>
  <c r="H180"/>
  <c r="H181"/>
  <c r="H183"/>
  <c r="H190"/>
  <c r="H194"/>
  <c r="H199"/>
  <c r="H207"/>
  <c r="H208"/>
  <c r="H209"/>
  <c r="H210"/>
  <c r="H211"/>
  <c r="H212"/>
  <c r="F8"/>
  <c r="F11"/>
  <c r="F14"/>
  <c r="F31"/>
  <c r="F37"/>
  <c r="F43"/>
  <c r="F44"/>
  <c r="F52"/>
  <c r="F53"/>
  <c r="F61"/>
  <c r="F67"/>
  <c r="F81"/>
  <c r="F96"/>
  <c r="F99"/>
  <c r="F103"/>
  <c r="F109"/>
  <c r="F129"/>
  <c r="F132"/>
  <c r="F136"/>
  <c r="F146"/>
  <c r="F153"/>
  <c r="F154"/>
  <c r="F155"/>
  <c r="F164"/>
  <c r="F173"/>
  <c r="F174"/>
  <c r="F181"/>
  <c r="F183"/>
  <c r="F190"/>
  <c r="F194"/>
  <c r="F199"/>
  <c r="T7"/>
  <c r="T8"/>
  <c r="T6"/>
  <c r="S7"/>
  <c r="U7"/>
  <c r="S8"/>
  <c r="U8"/>
  <c r="S9"/>
  <c r="U9"/>
  <c r="S10"/>
  <c r="U10"/>
  <c r="B12" i="5" s="1"/>
  <c r="S11" i="9"/>
  <c r="U11" s="1"/>
  <c r="S13"/>
  <c r="U13" s="1"/>
  <c r="B18" i="5"/>
  <c r="S14" i="9"/>
  <c r="U14"/>
  <c r="S16"/>
  <c r="U16"/>
  <c r="S17"/>
  <c r="U17"/>
  <c r="S19"/>
  <c r="U19"/>
  <c r="B39" i="5" s="1"/>
  <c r="S26" i="9"/>
  <c r="U26" s="1"/>
  <c r="B53" i="5"/>
  <c r="S27" i="9"/>
  <c r="U27"/>
  <c r="S30"/>
  <c r="U30"/>
  <c r="B63" i="5" s="1"/>
  <c r="S31" i="9"/>
  <c r="U31"/>
  <c r="B64" i="5" s="1"/>
  <c r="S32" i="9"/>
  <c r="S33"/>
  <c r="U33" s="1"/>
  <c r="B66" i="5" s="1"/>
  <c r="S34" i="9"/>
  <c r="U34"/>
  <c r="S35"/>
  <c r="U35"/>
  <c r="B68" i="5" s="1"/>
  <c r="S36" i="9"/>
  <c r="U36" s="1"/>
  <c r="B69" i="5" s="1"/>
  <c r="S37" i="9"/>
  <c r="U37" s="1"/>
  <c r="B82" i="5"/>
  <c r="S38" i="9"/>
  <c r="S39"/>
  <c r="U39" s="1"/>
  <c r="B84" i="5" s="1"/>
  <c r="S40" i="9"/>
  <c r="U40"/>
  <c r="S41"/>
  <c r="U41"/>
  <c r="B86" i="5" s="1"/>
  <c r="S42" i="9"/>
  <c r="U42" s="1"/>
  <c r="B87" i="5" s="1"/>
  <c r="S43" i="9"/>
  <c r="U43" s="1"/>
  <c r="S44"/>
  <c r="U44" s="1"/>
  <c r="S46"/>
  <c r="S47"/>
  <c r="U47"/>
  <c r="B122" i="5" s="1"/>
  <c r="S48" i="9"/>
  <c r="U48" s="1"/>
  <c r="S49"/>
  <c r="U49" s="1"/>
  <c r="B124" i="5"/>
  <c r="S50" i="9"/>
  <c r="U50"/>
  <c r="B125" i="5" s="1"/>
  <c r="S51" i="9"/>
  <c r="S52"/>
  <c r="U52" s="1"/>
  <c r="S53"/>
  <c r="U53" s="1"/>
  <c r="S55"/>
  <c r="U55" s="1"/>
  <c r="S56"/>
  <c r="U56" s="1"/>
  <c r="S57"/>
  <c r="U57" s="1"/>
  <c r="S58"/>
  <c r="U58" s="1"/>
  <c r="S59"/>
  <c r="U59" s="1"/>
  <c r="S60"/>
  <c r="U60" s="1"/>
  <c r="S61"/>
  <c r="U61" s="1"/>
  <c r="S62"/>
  <c r="U62" s="1"/>
  <c r="S63"/>
  <c r="S64"/>
  <c r="U64"/>
  <c r="B289" i="5" s="1"/>
  <c r="S67" i="9"/>
  <c r="U67"/>
  <c r="S68"/>
  <c r="U68"/>
  <c r="B297" i="5" s="1"/>
  <c r="S69" i="9"/>
  <c r="S70"/>
  <c r="S71"/>
  <c r="S72"/>
  <c r="S73"/>
  <c r="U73"/>
  <c r="B301" i="5" s="1"/>
  <c r="S74" i="9"/>
  <c r="S75"/>
  <c r="S77"/>
  <c r="S79"/>
  <c r="S80"/>
  <c r="S81"/>
  <c r="U81"/>
  <c r="S82"/>
  <c r="S83"/>
  <c r="S84"/>
  <c r="S85"/>
  <c r="S86"/>
  <c r="S87"/>
  <c r="U87" s="1"/>
  <c r="S88"/>
  <c r="S89"/>
  <c r="S90"/>
  <c r="S91"/>
  <c r="U91"/>
  <c r="S92"/>
  <c r="S93"/>
  <c r="S95"/>
  <c r="S96"/>
  <c r="U96" s="1"/>
  <c r="S98"/>
  <c r="U98" s="1"/>
  <c r="B322" i="5"/>
  <c r="S99" i="9"/>
  <c r="U99"/>
  <c r="S100"/>
  <c r="U100"/>
  <c r="B324" i="5" s="1"/>
  <c r="S101" i="9"/>
  <c r="U101"/>
  <c r="B325" i="5" s="1"/>
  <c r="S102" i="9"/>
  <c r="S103"/>
  <c r="U103"/>
  <c r="S105"/>
  <c r="S106"/>
  <c r="S107"/>
  <c r="U107"/>
  <c r="S108"/>
  <c r="S109"/>
  <c r="U109" s="1"/>
  <c r="B339" i="5"/>
  <c r="S110" i="9"/>
  <c r="S111"/>
  <c r="S112"/>
  <c r="S113"/>
  <c r="U113" s="1"/>
  <c r="B343" i="5" s="1"/>
  <c r="S114" i="9"/>
  <c r="S115"/>
  <c r="U115" s="1"/>
  <c r="S116"/>
  <c r="U116" s="1"/>
  <c r="B346" i="5" s="1"/>
  <c r="S117" i="9"/>
  <c r="U117" s="1"/>
  <c r="S118"/>
  <c r="S119"/>
  <c r="U119"/>
  <c r="B349" i="5" s="1"/>
  <c r="S120" i="9"/>
  <c r="U120"/>
  <c r="B350" i="5" s="1"/>
  <c r="S121" i="9"/>
  <c r="U121"/>
  <c r="B351" i="5" s="1"/>
  <c r="S122" i="9"/>
  <c r="S123"/>
  <c r="U123" s="1"/>
  <c r="B353" i="5" s="1"/>
  <c r="S124" i="9"/>
  <c r="S125"/>
  <c r="U125"/>
  <c r="B355" i="5" s="1"/>
  <c r="S126" i="9"/>
  <c r="U126" s="1"/>
  <c r="B359" i="5" s="1"/>
  <c r="S127" i="9"/>
  <c r="S128"/>
  <c r="S129"/>
  <c r="U129" s="1"/>
  <c r="S130"/>
  <c r="U130" s="1"/>
  <c r="B368" i="5" s="1"/>
  <c r="S131" i="9"/>
  <c r="U131"/>
  <c r="B369" i="5" s="1"/>
  <c r="S132" i="9"/>
  <c r="U132"/>
  <c r="B370" i="5" s="1"/>
  <c r="S133" i="9"/>
  <c r="S134"/>
  <c r="U134" s="1"/>
  <c r="B372" i="5" s="1"/>
  <c r="S135" i="9"/>
  <c r="U135" s="1"/>
  <c r="B379" i="5"/>
  <c r="S136" i="9"/>
  <c r="U136"/>
  <c r="B380" i="5" s="1"/>
  <c r="S137" i="9"/>
  <c r="S138"/>
  <c r="U138" s="1"/>
  <c r="B382" i="5" s="1"/>
  <c r="S139" i="9"/>
  <c r="U139"/>
  <c r="B383" i="5" s="1"/>
  <c r="S140" i="9"/>
  <c r="S141"/>
  <c r="U141"/>
  <c r="B385" i="5" s="1"/>
  <c r="S142" i="9"/>
  <c r="S143"/>
  <c r="S144"/>
  <c r="S145"/>
  <c r="S146"/>
  <c r="U146"/>
  <c r="B390" i="5" s="1"/>
  <c r="S147" i="9"/>
  <c r="U147"/>
  <c r="S148"/>
  <c r="U148"/>
  <c r="S149"/>
  <c r="S150"/>
  <c r="U150" s="1"/>
  <c r="B393" i="5" s="1"/>
  <c r="S151" i="9"/>
  <c r="S152"/>
  <c r="S153"/>
  <c r="U153" s="1"/>
  <c r="B398" i="5" s="1"/>
  <c r="F398" s="1"/>
  <c r="S154" i="9"/>
  <c r="U154" s="1"/>
  <c r="S155"/>
  <c r="U155" s="1"/>
  <c r="B400" i="5" s="1"/>
  <c r="S156" i="9"/>
  <c r="S157"/>
  <c r="U157" s="1"/>
  <c r="S158"/>
  <c r="U158" s="1"/>
  <c r="S159"/>
  <c r="S160"/>
  <c r="U160"/>
  <c r="S161"/>
  <c r="S162"/>
  <c r="S163"/>
  <c r="S164"/>
  <c r="U164" s="1"/>
  <c r="B408" i="5"/>
  <c r="S165" i="9"/>
  <c r="S166"/>
  <c r="S167"/>
  <c r="U167"/>
  <c r="B411" i="5" s="1"/>
  <c r="S168" i="9"/>
  <c r="S169"/>
  <c r="S170"/>
  <c r="S171"/>
  <c r="S172"/>
  <c r="S173"/>
  <c r="U173"/>
  <c r="B415" i="5" s="1"/>
  <c r="S174" i="9"/>
  <c r="U174" s="1"/>
  <c r="B416" i="5" s="1"/>
  <c r="S175" i="9"/>
  <c r="S176"/>
  <c r="U176" s="1"/>
  <c r="B418" i="5"/>
  <c r="S177" i="9"/>
  <c r="S178"/>
  <c r="U178" s="1"/>
  <c r="B419" i="5" s="1"/>
  <c r="S179" i="9"/>
  <c r="U179"/>
  <c r="B420" i="5" s="1"/>
  <c r="S180" i="9"/>
  <c r="S181"/>
  <c r="U181"/>
  <c r="S182"/>
  <c r="U182"/>
  <c r="B425" i="5" s="1"/>
  <c r="S183" i="9"/>
  <c r="U183" s="1"/>
  <c r="B435" i="5"/>
  <c r="S184" i="9"/>
  <c r="S186"/>
  <c r="S187"/>
  <c r="U187"/>
  <c r="B439" i="5" s="1"/>
  <c r="S188" i="9"/>
  <c r="U188" s="1"/>
  <c r="S189"/>
  <c r="S190"/>
  <c r="U190"/>
  <c r="B489" i="5" s="1"/>
  <c r="S191" i="9"/>
  <c r="S192"/>
  <c r="S193"/>
  <c r="S194"/>
  <c r="U194"/>
  <c r="B503" i="5" s="1"/>
  <c r="S195" i="9"/>
  <c r="S196"/>
  <c r="U196"/>
  <c r="B505" i="5" s="1"/>
  <c r="S197" i="9"/>
  <c r="S198"/>
  <c r="U198"/>
  <c r="B507" i="5" s="1"/>
  <c r="S199" i="9"/>
  <c r="U199" s="1"/>
  <c r="B508" i="5" s="1"/>
  <c r="S200" i="9"/>
  <c r="S201"/>
  <c r="S202"/>
  <c r="U202"/>
  <c r="B511" i="5" s="1"/>
  <c r="S203" i="9"/>
  <c r="U203" s="1"/>
  <c r="S204"/>
  <c r="S205"/>
  <c r="U205" s="1"/>
  <c r="B523" i="5" s="1"/>
  <c r="S207" i="9"/>
  <c r="S208"/>
  <c r="S209"/>
  <c r="S210"/>
  <c r="S211"/>
  <c r="S212"/>
  <c r="S6"/>
  <c r="C115"/>
  <c r="P115"/>
  <c r="H214"/>
  <c r="O65"/>
  <c r="S104"/>
  <c r="U104" s="1"/>
  <c r="B334" i="5" s="1"/>
  <c r="I97" i="9"/>
  <c r="S97"/>
  <c r="U97" s="1"/>
  <c r="B321" i="5" s="1"/>
  <c r="S54" i="9"/>
  <c r="U54" s="1"/>
  <c r="J214"/>
  <c r="T219"/>
  <c r="V219" s="1"/>
  <c r="J239"/>
  <c r="J312"/>
  <c r="K3516" i="1"/>
  <c r="K3506"/>
  <c r="K3505"/>
  <c r="K3472"/>
  <c r="K3479"/>
  <c r="K3470"/>
  <c r="C108" i="9"/>
  <c r="E97"/>
  <c r="H40" i="26"/>
  <c r="H38"/>
  <c r="H39"/>
  <c r="H37"/>
  <c r="H41"/>
  <c r="H42" s="1"/>
  <c r="O76" i="9"/>
  <c r="H30" i="26"/>
  <c r="H27"/>
  <c r="O24" i="9" s="1"/>
  <c r="S24" s="1"/>
  <c r="U24" s="1"/>
  <c r="B47" i="5"/>
  <c r="H17" i="26"/>
  <c r="H23"/>
  <c r="H22"/>
  <c r="H24"/>
  <c r="O45" i="9" s="1"/>
  <c r="S45" s="1"/>
  <c r="U45" s="1"/>
  <c r="B120" i="5" s="1"/>
  <c r="H18" i="26"/>
  <c r="O28" i="9"/>
  <c r="H33" i="26"/>
  <c r="H34"/>
  <c r="O78" i="9" s="1"/>
  <c r="S78"/>
  <c r="U78" s="1"/>
  <c r="B307" i="5" s="1"/>
  <c r="H11" i="26"/>
  <c r="H12"/>
  <c r="H13" s="1"/>
  <c r="O22" i="9"/>
  <c r="S22" s="1"/>
  <c r="H6" i="26"/>
  <c r="H7"/>
  <c r="H8" s="1"/>
  <c r="O12" i="9" s="1"/>
  <c r="S12" s="1"/>
  <c r="U12" s="1"/>
  <c r="B17" i="5" s="1"/>
  <c r="H28" i="25"/>
  <c r="H29"/>
  <c r="K94" i="9" s="1"/>
  <c r="S94"/>
  <c r="H25" i="25"/>
  <c r="K104" i="9" s="1"/>
  <c r="H22" i="25"/>
  <c r="K29" i="9" s="1"/>
  <c r="S29" s="1"/>
  <c r="U29" s="1"/>
  <c r="H19" i="25"/>
  <c r="K23" i="9" s="1"/>
  <c r="S23" s="1"/>
  <c r="U23" s="1"/>
  <c r="B46" i="5" s="1"/>
  <c r="H15" i="25"/>
  <c r="H16" s="1"/>
  <c r="K22" i="9" s="1"/>
  <c r="H11" i="25"/>
  <c r="H12" s="1"/>
  <c r="K18" i="9" s="1"/>
  <c r="S18" s="1"/>
  <c r="H7" i="25"/>
  <c r="H6"/>
  <c r="H8" s="1"/>
  <c r="K12" i="9"/>
  <c r="E95"/>
  <c r="H89" i="24"/>
  <c r="H88"/>
  <c r="H90"/>
  <c r="H91" s="1"/>
  <c r="I66" i="9" s="1"/>
  <c r="S66" s="1"/>
  <c r="M80" i="24"/>
  <c r="H76"/>
  <c r="H75"/>
  <c r="H74"/>
  <c r="H77" s="1"/>
  <c r="H78"/>
  <c r="I76" i="9" s="1"/>
  <c r="S76" s="1"/>
  <c r="H69" i="24"/>
  <c r="H68"/>
  <c r="H70"/>
  <c r="H71" s="1"/>
  <c r="I54" i="9" s="1"/>
  <c r="H64" i="24"/>
  <c r="H63"/>
  <c r="H62"/>
  <c r="H61"/>
  <c r="H65"/>
  <c r="I185" i="9" s="1"/>
  <c r="S185" s="1"/>
  <c r="U185" s="1"/>
  <c r="H55" i="24"/>
  <c r="H56"/>
  <c r="H57" s="1"/>
  <c r="H44"/>
  <c r="H43"/>
  <c r="H45" s="1"/>
  <c r="I65" i="9" s="1"/>
  <c r="H49" i="24"/>
  <c r="H48"/>
  <c r="H50"/>
  <c r="H51" s="1"/>
  <c r="H35"/>
  <c r="H36"/>
  <c r="H37"/>
  <c r="H38"/>
  <c r="H34"/>
  <c r="H39" s="1"/>
  <c r="H40" s="1"/>
  <c r="I28" i="9" s="1"/>
  <c r="H30" i="24"/>
  <c r="I18" i="9" s="1"/>
  <c r="H27" i="24"/>
  <c r="I21" i="9" s="1"/>
  <c r="S21" s="1"/>
  <c r="U21" s="1"/>
  <c r="B44" i="5" s="1"/>
  <c r="H24" i="24"/>
  <c r="I20" i="9"/>
  <c r="S20" s="1"/>
  <c r="U20"/>
  <c r="B43" i="5" s="1"/>
  <c r="H19" i="24"/>
  <c r="H20" s="1"/>
  <c r="H21"/>
  <c r="I23" i="9" s="1"/>
  <c r="H14" i="24"/>
  <c r="H13"/>
  <c r="H15"/>
  <c r="H16" s="1"/>
  <c r="I22" i="9"/>
  <c r="H7" i="24"/>
  <c r="H8"/>
  <c r="H6"/>
  <c r="H9"/>
  <c r="H10" s="1"/>
  <c r="I15" i="9" s="1"/>
  <c r="S15" s="1"/>
  <c r="U15"/>
  <c r="B20" i="5" s="1"/>
  <c r="E192" i="9"/>
  <c r="U192"/>
  <c r="B491" i="5" s="1"/>
  <c r="E108" i="9"/>
  <c r="U108" s="1"/>
  <c r="E110"/>
  <c r="U110" s="1"/>
  <c r="B340" i="5" s="1"/>
  <c r="E139" i="9"/>
  <c r="K3451" i="1"/>
  <c r="K3449"/>
  <c r="K3443"/>
  <c r="K3442"/>
  <c r="H77" i="19"/>
  <c r="B21" i="20" s="1"/>
  <c r="F21"/>
  <c r="B19"/>
  <c r="F19"/>
  <c r="B13"/>
  <c r="B18"/>
  <c r="B12"/>
  <c r="B11"/>
  <c r="B10"/>
  <c r="B9"/>
  <c r="F12" i="17"/>
  <c r="F14"/>
  <c r="B21"/>
  <c r="F21"/>
  <c r="H37" i="18"/>
  <c r="B31" i="17"/>
  <c r="F31" s="1"/>
  <c r="B50" i="16"/>
  <c r="B47"/>
  <c r="B45"/>
  <c r="B43"/>
  <c r="B41"/>
  <c r="B35"/>
  <c r="B28"/>
  <c r="B24"/>
  <c r="B22"/>
  <c r="B19"/>
  <c r="B16"/>
  <c r="B14"/>
  <c r="B13"/>
  <c r="H103" i="15"/>
  <c r="H99"/>
  <c r="H90"/>
  <c r="H91"/>
  <c r="B26" i="16" s="1"/>
  <c r="H96" i="15"/>
  <c r="B30" i="16" s="1"/>
  <c r="H86" i="15"/>
  <c r="H33"/>
  <c r="H82"/>
  <c r="H81"/>
  <c r="H80"/>
  <c r="H75"/>
  <c r="H76"/>
  <c r="H74"/>
  <c r="H73"/>
  <c r="H69"/>
  <c r="B37" i="16"/>
  <c r="H64" i="15"/>
  <c r="H61"/>
  <c r="H60"/>
  <c r="H62"/>
  <c r="B33" i="16" s="1"/>
  <c r="H54" i="15"/>
  <c r="H53"/>
  <c r="H52"/>
  <c r="H51"/>
  <c r="H50"/>
  <c r="H49"/>
  <c r="H38"/>
  <c r="H29"/>
  <c r="H28"/>
  <c r="H27"/>
  <c r="H26"/>
  <c r="H25"/>
  <c r="H24"/>
  <c r="H20"/>
  <c r="H21"/>
  <c r="H18"/>
  <c r="H19"/>
  <c r="H17"/>
  <c r="H10"/>
  <c r="H11"/>
  <c r="H12"/>
  <c r="H13"/>
  <c r="H9"/>
  <c r="H36" i="18"/>
  <c r="B30" i="17"/>
  <c r="F30" s="1"/>
  <c r="H33" i="18"/>
  <c r="B27" i="17" s="1"/>
  <c r="F27"/>
  <c r="H32" i="18"/>
  <c r="B26" i="17"/>
  <c r="F26" s="1"/>
  <c r="H31" i="18"/>
  <c r="B25" i="17" s="1"/>
  <c r="F25"/>
  <c r="H30" i="18"/>
  <c r="B24" i="17"/>
  <c r="F24" s="1"/>
  <c r="H28" i="18"/>
  <c r="B22" i="17" s="1"/>
  <c r="F22"/>
  <c r="H29" i="18"/>
  <c r="B23" i="17"/>
  <c r="F23" s="1"/>
  <c r="H34" i="18"/>
  <c r="B28" i="17" s="1"/>
  <c r="F28"/>
  <c r="H35" i="18"/>
  <c r="B29" i="17"/>
  <c r="F29" s="1"/>
  <c r="H24" i="18"/>
  <c r="B17" i="17" s="1"/>
  <c r="F17"/>
  <c r="H12" i="18"/>
  <c r="B10" i="17"/>
  <c r="F10" s="1"/>
  <c r="H9" i="18"/>
  <c r="B7" i="17" s="1"/>
  <c r="F7"/>
  <c r="H8" i="18"/>
  <c r="B6" i="17" s="1"/>
  <c r="F6" s="1"/>
  <c r="F32" s="1"/>
  <c r="D7" i="21" s="1"/>
  <c r="F7" s="1"/>
  <c r="H59" i="19"/>
  <c r="H60"/>
  <c r="H58"/>
  <c r="H53"/>
  <c r="H42"/>
  <c r="H41"/>
  <c r="H17"/>
  <c r="H18"/>
  <c r="H11"/>
  <c r="AA22" i="1"/>
  <c r="AA30"/>
  <c r="C136"/>
  <c r="I1165" s="1"/>
  <c r="K1165"/>
  <c r="H73" i="19"/>
  <c r="H74"/>
  <c r="B20" i="20" s="1"/>
  <c r="H68" i="19"/>
  <c r="B17" i="20" s="1"/>
  <c r="H65" i="19"/>
  <c r="H66" s="1"/>
  <c r="B16" i="20" s="1"/>
  <c r="H57" i="19"/>
  <c r="H52"/>
  <c r="H47"/>
  <c r="H46"/>
  <c r="H37"/>
  <c r="H36"/>
  <c r="H32"/>
  <c r="H31"/>
  <c r="H30"/>
  <c r="H29"/>
  <c r="H25"/>
  <c r="H24"/>
  <c r="H23"/>
  <c r="H16"/>
  <c r="H10"/>
  <c r="H9"/>
  <c r="H8"/>
  <c r="M51" i="15"/>
  <c r="H45"/>
  <c r="H44"/>
  <c r="H43"/>
  <c r="AC48" i="1"/>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I2957" i="11"/>
  <c r="I3112"/>
  <c r="K3112"/>
  <c r="P1307" i="1"/>
  <c r="P1306"/>
  <c r="P1305"/>
  <c r="R1305"/>
  <c r="P1285"/>
  <c r="R1285"/>
  <c r="P1176"/>
  <c r="R1176"/>
  <c r="T1175" s="1"/>
  <c r="K3177"/>
  <c r="K2531"/>
  <c r="K2017"/>
  <c r="K1845"/>
  <c r="I3889" i="11"/>
  <c r="K3889" s="1"/>
  <c r="K3872"/>
  <c r="K3871"/>
  <c r="K3850"/>
  <c r="K3849"/>
  <c r="L3849"/>
  <c r="K3848"/>
  <c r="K3834"/>
  <c r="I3802"/>
  <c r="K3802" s="1"/>
  <c r="I3774"/>
  <c r="I3497"/>
  <c r="I3415"/>
  <c r="M3222"/>
  <c r="L3122"/>
  <c r="K3020"/>
  <c r="L2943"/>
  <c r="M2935"/>
  <c r="I2935"/>
  <c r="K2896"/>
  <c r="K2894"/>
  <c r="I2852"/>
  <c r="I2850"/>
  <c r="I2846"/>
  <c r="E585" i="1"/>
  <c r="E586"/>
  <c r="E28"/>
  <c r="E29"/>
  <c r="E32" i="12"/>
  <c r="F32"/>
  <c r="C2"/>
  <c r="C3"/>
  <c r="C4"/>
  <c r="C5"/>
  <c r="C6"/>
  <c r="C7"/>
  <c r="C8"/>
  <c r="C9"/>
  <c r="C10"/>
  <c r="C11"/>
  <c r="C12"/>
  <c r="C13"/>
  <c r="C14"/>
  <c r="C15"/>
  <c r="C16"/>
  <c r="C17"/>
  <c r="C18"/>
  <c r="D18"/>
  <c r="D19" s="1"/>
  <c r="C19"/>
  <c r="C20"/>
  <c r="C21"/>
  <c r="C22"/>
  <c r="C23"/>
  <c r="C24"/>
  <c r="C25"/>
  <c r="C26"/>
  <c r="C27"/>
  <c r="C28"/>
  <c r="C29"/>
  <c r="C30"/>
  <c r="C31"/>
  <c r="C32"/>
  <c r="C33"/>
  <c r="C34"/>
  <c r="C35"/>
  <c r="C36"/>
  <c r="C37"/>
  <c r="C38"/>
  <c r="C39"/>
  <c r="C40"/>
  <c r="C41"/>
  <c r="AB1220" i="1"/>
  <c r="AA1216"/>
  <c r="AA1217"/>
  <c r="AA1218"/>
  <c r="AA1219"/>
  <c r="AA1215"/>
  <c r="AB1215"/>
  <c r="AB1222"/>
  <c r="AB1224" s="1"/>
  <c r="AB1216"/>
  <c r="K3431"/>
  <c r="I3429"/>
  <c r="K3429" s="1"/>
  <c r="M3421"/>
  <c r="V791"/>
  <c r="V792"/>
  <c r="V793"/>
  <c r="W787"/>
  <c r="W772"/>
  <c r="T1168"/>
  <c r="D6" i="14"/>
  <c r="D9"/>
  <c r="D18"/>
  <c r="B9" i="5"/>
  <c r="B11"/>
  <c r="B14"/>
  <c r="B15"/>
  <c r="B21"/>
  <c r="B23"/>
  <c r="B24"/>
  <c r="B26"/>
  <c r="B27"/>
  <c r="B29"/>
  <c r="B30"/>
  <c r="B40"/>
  <c r="B41"/>
  <c r="B42"/>
  <c r="B48"/>
  <c r="B50"/>
  <c r="B51"/>
  <c r="B55"/>
  <c r="B57"/>
  <c r="B59"/>
  <c r="C29" i="9"/>
  <c r="D62" i="5"/>
  <c r="B67"/>
  <c r="B71"/>
  <c r="B72"/>
  <c r="B73"/>
  <c r="B74"/>
  <c r="B75"/>
  <c r="B78"/>
  <c r="B79"/>
  <c r="B80"/>
  <c r="B85"/>
  <c r="B100"/>
  <c r="F100" s="1"/>
  <c r="B103"/>
  <c r="B104"/>
  <c r="B105"/>
  <c r="B107"/>
  <c r="B113"/>
  <c r="B115"/>
  <c r="B116"/>
  <c r="B117"/>
  <c r="B118"/>
  <c r="B123"/>
  <c r="B141"/>
  <c r="B143"/>
  <c r="B144"/>
  <c r="B146"/>
  <c r="B156"/>
  <c r="B157"/>
  <c r="B159"/>
  <c r="B161"/>
  <c r="B162"/>
  <c r="B163"/>
  <c r="B164"/>
  <c r="B165"/>
  <c r="B171"/>
  <c r="B179"/>
  <c r="B181"/>
  <c r="B182"/>
  <c r="B183"/>
  <c r="B191"/>
  <c r="B193"/>
  <c r="B195"/>
  <c r="B206"/>
  <c r="B207"/>
  <c r="B208"/>
  <c r="B209"/>
  <c r="B211"/>
  <c r="B212"/>
  <c r="B214"/>
  <c r="B215"/>
  <c r="B216"/>
  <c r="B220"/>
  <c r="B221"/>
  <c r="B222"/>
  <c r="B224"/>
  <c r="B225"/>
  <c r="B228"/>
  <c r="B230"/>
  <c r="B232"/>
  <c r="B234"/>
  <c r="B244"/>
  <c r="B246"/>
  <c r="B254"/>
  <c r="B256"/>
  <c r="B257"/>
  <c r="B258"/>
  <c r="B260"/>
  <c r="B262"/>
  <c r="B264"/>
  <c r="B266"/>
  <c r="B271"/>
  <c r="B278"/>
  <c r="B280"/>
  <c r="B281"/>
  <c r="B282"/>
  <c r="B284"/>
  <c r="C62" i="9"/>
  <c r="B290" i="5"/>
  <c r="B293"/>
  <c r="B315"/>
  <c r="B326"/>
  <c r="B328"/>
  <c r="B337"/>
  <c r="C116" i="9"/>
  <c r="B347" i="5"/>
  <c r="C118" i="9"/>
  <c r="C119"/>
  <c r="B357" i="5"/>
  <c r="B358"/>
  <c r="C147" i="9"/>
  <c r="D391" i="5"/>
  <c r="C148" i="9"/>
  <c r="C151"/>
  <c r="J151" s="1"/>
  <c r="B402" i="5"/>
  <c r="C160" i="9"/>
  <c r="B427" i="5"/>
  <c r="B429"/>
  <c r="B430"/>
  <c r="B432"/>
  <c r="B433"/>
  <c r="B434"/>
  <c r="B442"/>
  <c r="B450"/>
  <c r="B451"/>
  <c r="B457"/>
  <c r="B458"/>
  <c r="D459"/>
  <c r="B459"/>
  <c r="F459" s="1"/>
  <c r="B460"/>
  <c r="B462"/>
  <c r="B464"/>
  <c r="B465"/>
  <c r="B469"/>
  <c r="B470"/>
  <c r="B471"/>
  <c r="B472"/>
  <c r="B473"/>
  <c r="B474"/>
  <c r="B475"/>
  <c r="B476"/>
  <c r="B479"/>
  <c r="B480"/>
  <c r="B483"/>
  <c r="B485"/>
  <c r="C200" i="9"/>
  <c r="C201"/>
  <c r="C202"/>
  <c r="B513" i="5"/>
  <c r="B514"/>
  <c r="B520"/>
  <c r="B521"/>
  <c r="B522"/>
  <c r="R219" i="9"/>
  <c r="C224"/>
  <c r="J224"/>
  <c r="C231"/>
  <c r="D534" i="5"/>
  <c r="B232" i="9"/>
  <c r="C535" i="5"/>
  <c r="F257" i="9"/>
  <c r="C302"/>
  <c r="J302" s="1"/>
  <c r="C303"/>
  <c r="J303" s="1"/>
  <c r="C304"/>
  <c r="J304" s="1"/>
  <c r="H317"/>
  <c r="L317"/>
  <c r="O317"/>
  <c r="R317"/>
  <c r="H318"/>
  <c r="L318"/>
  <c r="O318"/>
  <c r="R318"/>
  <c r="H319"/>
  <c r="L319"/>
  <c r="O319"/>
  <c r="R319"/>
  <c r="H320"/>
  <c r="L320"/>
  <c r="O320"/>
  <c r="R320"/>
  <c r="H321"/>
  <c r="L321"/>
  <c r="O321"/>
  <c r="R321"/>
  <c r="H322"/>
  <c r="L322"/>
  <c r="O322"/>
  <c r="R322"/>
  <c r="H323"/>
  <c r="L323"/>
  <c r="O323"/>
  <c r="R323"/>
  <c r="H324"/>
  <c r="L324"/>
  <c r="O324"/>
  <c r="R324"/>
  <c r="L325"/>
  <c r="O325"/>
  <c r="R325"/>
  <c r="L326"/>
  <c r="O326"/>
  <c r="R326"/>
  <c r="L327"/>
  <c r="O327"/>
  <c r="L328"/>
  <c r="O328"/>
  <c r="L329"/>
  <c r="O329"/>
  <c r="L330"/>
  <c r="L331"/>
  <c r="L332"/>
  <c r="L333"/>
  <c r="L334"/>
  <c r="L335"/>
  <c r="L336"/>
  <c r="L337"/>
  <c r="L338"/>
  <c r="C1" i="12"/>
  <c r="F1"/>
  <c r="F2"/>
  <c r="F3"/>
  <c r="F4"/>
  <c r="F5"/>
  <c r="F6"/>
  <c r="F7"/>
  <c r="F8"/>
  <c r="F9"/>
  <c r="C42"/>
  <c r="C43"/>
  <c r="C44"/>
  <c r="C47"/>
  <c r="C48"/>
  <c r="C49"/>
  <c r="C50"/>
  <c r="C51"/>
  <c r="C52"/>
  <c r="C53"/>
  <c r="C54"/>
  <c r="C55"/>
  <c r="C56"/>
  <c r="C57"/>
  <c r="C58"/>
  <c r="C59"/>
  <c r="C60"/>
  <c r="C61"/>
  <c r="C62"/>
  <c r="C63"/>
  <c r="C64"/>
  <c r="C65"/>
  <c r="A2" i="5"/>
  <c r="A7"/>
  <c r="B7"/>
  <c r="C7"/>
  <c r="D7"/>
  <c r="E7"/>
  <c r="A8"/>
  <c r="C8"/>
  <c r="E8"/>
  <c r="A9"/>
  <c r="C9"/>
  <c r="E9"/>
  <c r="A10"/>
  <c r="C10"/>
  <c r="D10"/>
  <c r="E10"/>
  <c r="A11"/>
  <c r="C11"/>
  <c r="E11"/>
  <c r="A12"/>
  <c r="C12"/>
  <c r="E12"/>
  <c r="A13"/>
  <c r="C13"/>
  <c r="D13"/>
  <c r="E13"/>
  <c r="A14"/>
  <c r="C14"/>
  <c r="E14"/>
  <c r="A15"/>
  <c r="C15"/>
  <c r="E15"/>
  <c r="A16"/>
  <c r="C16"/>
  <c r="D16"/>
  <c r="E16"/>
  <c r="A17"/>
  <c r="C17"/>
  <c r="E17"/>
  <c r="A18"/>
  <c r="C18"/>
  <c r="E18"/>
  <c r="A19"/>
  <c r="B19"/>
  <c r="C19"/>
  <c r="D19"/>
  <c r="E19"/>
  <c r="A20"/>
  <c r="C20"/>
  <c r="E20"/>
  <c r="A21"/>
  <c r="C21"/>
  <c r="E21"/>
  <c r="A22"/>
  <c r="B22"/>
  <c r="C22"/>
  <c r="D22"/>
  <c r="E22"/>
  <c r="A23"/>
  <c r="C23"/>
  <c r="E23"/>
  <c r="A24"/>
  <c r="C24"/>
  <c r="E24"/>
  <c r="A25"/>
  <c r="C25"/>
  <c r="D25"/>
  <c r="E25"/>
  <c r="A26"/>
  <c r="C26"/>
  <c r="E26"/>
  <c r="A27"/>
  <c r="C27"/>
  <c r="E27"/>
  <c r="A28"/>
  <c r="C28"/>
  <c r="D28"/>
  <c r="E28"/>
  <c r="A29"/>
  <c r="C29"/>
  <c r="E29"/>
  <c r="A30"/>
  <c r="C30"/>
  <c r="E30"/>
  <c r="A31"/>
  <c r="C31"/>
  <c r="D31"/>
  <c r="E31"/>
  <c r="A32"/>
  <c r="C32"/>
  <c r="D32"/>
  <c r="E32"/>
  <c r="A33"/>
  <c r="C33"/>
  <c r="D33"/>
  <c r="E33"/>
  <c r="A34"/>
  <c r="C34"/>
  <c r="D34"/>
  <c r="E34"/>
  <c r="A35"/>
  <c r="C35"/>
  <c r="D35"/>
  <c r="E35"/>
  <c r="A36"/>
  <c r="C36"/>
  <c r="D36"/>
  <c r="E36"/>
  <c r="A37"/>
  <c r="C37"/>
  <c r="D37"/>
  <c r="E37"/>
  <c r="A38"/>
  <c r="C38"/>
  <c r="E38"/>
  <c r="A39"/>
  <c r="C39"/>
  <c r="E39"/>
  <c r="A40"/>
  <c r="C40"/>
  <c r="E40"/>
  <c r="A41"/>
  <c r="C41"/>
  <c r="E41"/>
  <c r="A42"/>
  <c r="C42"/>
  <c r="E42"/>
  <c r="A43"/>
  <c r="C43"/>
  <c r="E43"/>
  <c r="A44"/>
  <c r="C44"/>
  <c r="E44"/>
  <c r="A45"/>
  <c r="C45"/>
  <c r="E45"/>
  <c r="A46"/>
  <c r="C46"/>
  <c r="E46"/>
  <c r="A47"/>
  <c r="C47"/>
  <c r="E47"/>
  <c r="A48"/>
  <c r="C48"/>
  <c r="D48"/>
  <c r="E48"/>
  <c r="A49"/>
  <c r="C49"/>
  <c r="D49"/>
  <c r="E49"/>
  <c r="A50"/>
  <c r="C50"/>
  <c r="E50"/>
  <c r="A51"/>
  <c r="C51"/>
  <c r="E51"/>
  <c r="A52"/>
  <c r="C52"/>
  <c r="E52"/>
  <c r="A53"/>
  <c r="C53"/>
  <c r="E53"/>
  <c r="A54"/>
  <c r="B54"/>
  <c r="C54"/>
  <c r="E54"/>
  <c r="A55"/>
  <c r="C55"/>
  <c r="E55"/>
  <c r="A56"/>
  <c r="C56"/>
  <c r="E56"/>
  <c r="A57"/>
  <c r="C57"/>
  <c r="D57"/>
  <c r="E57"/>
  <c r="A58"/>
  <c r="C58"/>
  <c r="D58"/>
  <c r="E58"/>
  <c r="A59"/>
  <c r="C59"/>
  <c r="E59"/>
  <c r="A60"/>
  <c r="C60"/>
  <c r="D60"/>
  <c r="E60"/>
  <c r="A61"/>
  <c r="C61"/>
  <c r="D61"/>
  <c r="E61"/>
  <c r="A62"/>
  <c r="C62"/>
  <c r="E62"/>
  <c r="A63"/>
  <c r="C63"/>
  <c r="E63"/>
  <c r="A64"/>
  <c r="C64"/>
  <c r="D64"/>
  <c r="E64"/>
  <c r="A65"/>
  <c r="C65"/>
  <c r="E65"/>
  <c r="A66"/>
  <c r="C66"/>
  <c r="E66"/>
  <c r="A67"/>
  <c r="C67"/>
  <c r="E67"/>
  <c r="A68"/>
  <c r="C68"/>
  <c r="E68"/>
  <c r="A69"/>
  <c r="C69"/>
  <c r="E69"/>
  <c r="A70"/>
  <c r="C70"/>
  <c r="D70"/>
  <c r="E70"/>
  <c r="A71"/>
  <c r="C71"/>
  <c r="E71"/>
  <c r="A72"/>
  <c r="C72"/>
  <c r="E72"/>
  <c r="A73"/>
  <c r="C73"/>
  <c r="E73"/>
  <c r="A74"/>
  <c r="C74"/>
  <c r="E74"/>
  <c r="A75"/>
  <c r="C75"/>
  <c r="E75"/>
  <c r="A76"/>
  <c r="C76"/>
  <c r="D76"/>
  <c r="E76"/>
  <c r="A77"/>
  <c r="B77"/>
  <c r="C77"/>
  <c r="E77"/>
  <c r="A78"/>
  <c r="C78"/>
  <c r="E78"/>
  <c r="A79"/>
  <c r="C79"/>
  <c r="E79"/>
  <c r="A80"/>
  <c r="C80"/>
  <c r="E80"/>
  <c r="A81"/>
  <c r="B81"/>
  <c r="C81"/>
  <c r="E81"/>
  <c r="A82"/>
  <c r="C82"/>
  <c r="D82"/>
  <c r="E82"/>
  <c r="A83"/>
  <c r="C83"/>
  <c r="E83"/>
  <c r="A84"/>
  <c r="C84"/>
  <c r="E84"/>
  <c r="A85"/>
  <c r="C85"/>
  <c r="E85"/>
  <c r="A86"/>
  <c r="C86"/>
  <c r="E86"/>
  <c r="A87"/>
  <c r="C87"/>
  <c r="E87"/>
  <c r="A88"/>
  <c r="C88"/>
  <c r="D88"/>
  <c r="E88"/>
  <c r="A89"/>
  <c r="C89"/>
  <c r="D89"/>
  <c r="E89"/>
  <c r="A90"/>
  <c r="C90"/>
  <c r="D90"/>
  <c r="E90"/>
  <c r="A91"/>
  <c r="C91"/>
  <c r="D91"/>
  <c r="E91"/>
  <c r="A92"/>
  <c r="C92"/>
  <c r="D92"/>
  <c r="E92"/>
  <c r="A93"/>
  <c r="C93"/>
  <c r="D93"/>
  <c r="E93"/>
  <c r="A94"/>
  <c r="C94"/>
  <c r="D94"/>
  <c r="E94"/>
  <c r="A95"/>
  <c r="C95"/>
  <c r="D95"/>
  <c r="E95"/>
  <c r="A96"/>
  <c r="C96"/>
  <c r="D96"/>
  <c r="E96"/>
  <c r="A97"/>
  <c r="C97"/>
  <c r="D97"/>
  <c r="E97"/>
  <c r="A98"/>
  <c r="C98"/>
  <c r="D98"/>
  <c r="E98"/>
  <c r="A99"/>
  <c r="C99"/>
  <c r="D99"/>
  <c r="E99"/>
  <c r="A100"/>
  <c r="C100"/>
  <c r="D100"/>
  <c r="E100"/>
  <c r="A101"/>
  <c r="B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E113"/>
  <c r="A114"/>
  <c r="B114"/>
  <c r="C114"/>
  <c r="E114"/>
  <c r="A115"/>
  <c r="C115"/>
  <c r="E115"/>
  <c r="A116"/>
  <c r="C116"/>
  <c r="E116"/>
  <c r="A117"/>
  <c r="C117"/>
  <c r="E117"/>
  <c r="A118"/>
  <c r="C118"/>
  <c r="E118"/>
  <c r="A119"/>
  <c r="B119"/>
  <c r="C119"/>
  <c r="D119"/>
  <c r="E119"/>
  <c r="A120"/>
  <c r="C120"/>
  <c r="E120"/>
  <c r="A121"/>
  <c r="C121"/>
  <c r="E121"/>
  <c r="A122"/>
  <c r="C122"/>
  <c r="E122"/>
  <c r="A123"/>
  <c r="C123"/>
  <c r="E123"/>
  <c r="A124"/>
  <c r="C124"/>
  <c r="E124"/>
  <c r="A125"/>
  <c r="C125"/>
  <c r="E125"/>
  <c r="A126"/>
  <c r="C126"/>
  <c r="D126"/>
  <c r="E126"/>
  <c r="A127"/>
  <c r="C127"/>
  <c r="D127"/>
  <c r="E127"/>
  <c r="A128"/>
  <c r="C128"/>
  <c r="D128"/>
  <c r="E128"/>
  <c r="A129"/>
  <c r="C129"/>
  <c r="D129"/>
  <c r="E129"/>
  <c r="A130"/>
  <c r="C130"/>
  <c r="D130"/>
  <c r="E130"/>
  <c r="A131"/>
  <c r="B131"/>
  <c r="C131"/>
  <c r="D131"/>
  <c r="F131"/>
  <c r="E131"/>
  <c r="A132"/>
  <c r="C132"/>
  <c r="D132"/>
  <c r="E132"/>
  <c r="A133"/>
  <c r="C133"/>
  <c r="D133"/>
  <c r="E133"/>
  <c r="A134"/>
  <c r="C134"/>
  <c r="D134"/>
  <c r="E134"/>
  <c r="A135"/>
  <c r="C135"/>
  <c r="D135"/>
  <c r="E135"/>
  <c r="A136"/>
  <c r="B136"/>
  <c r="C136"/>
  <c r="D136"/>
  <c r="E136"/>
  <c r="A137"/>
  <c r="C137"/>
  <c r="D137"/>
  <c r="E137"/>
  <c r="A138"/>
  <c r="C138"/>
  <c r="D138"/>
  <c r="E138"/>
  <c r="A139"/>
  <c r="B139"/>
  <c r="C139"/>
  <c r="D139"/>
  <c r="F139" s="1"/>
  <c r="E139"/>
  <c r="A140"/>
  <c r="C140"/>
  <c r="D140"/>
  <c r="E140"/>
  <c r="A141"/>
  <c r="C141"/>
  <c r="E141"/>
  <c r="A142"/>
  <c r="B142"/>
  <c r="C142"/>
  <c r="E142"/>
  <c r="A143"/>
  <c r="C143"/>
  <c r="E143"/>
  <c r="A144"/>
  <c r="C144"/>
  <c r="E144"/>
  <c r="A145"/>
  <c r="B145"/>
  <c r="C145"/>
  <c r="E145"/>
  <c r="A146"/>
  <c r="C146"/>
  <c r="E146"/>
  <c r="A147"/>
  <c r="C147"/>
  <c r="D147"/>
  <c r="E147"/>
  <c r="A148"/>
  <c r="C148"/>
  <c r="D148"/>
  <c r="E148"/>
  <c r="A149"/>
  <c r="C149"/>
  <c r="D149"/>
  <c r="E149"/>
  <c r="A150"/>
  <c r="C150"/>
  <c r="D150"/>
  <c r="E150"/>
  <c r="A151"/>
  <c r="C151"/>
  <c r="D151"/>
  <c r="E151"/>
  <c r="A152"/>
  <c r="C152"/>
  <c r="D152"/>
  <c r="E152"/>
  <c r="A153"/>
  <c r="B153"/>
  <c r="C153"/>
  <c r="D153"/>
  <c r="E153"/>
  <c r="A154"/>
  <c r="C154"/>
  <c r="D154"/>
  <c r="E154"/>
  <c r="A155"/>
  <c r="B155"/>
  <c r="C155"/>
  <c r="E155"/>
  <c r="A156"/>
  <c r="C156"/>
  <c r="E156"/>
  <c r="A157"/>
  <c r="C157"/>
  <c r="E157"/>
  <c r="A158"/>
  <c r="B158"/>
  <c r="C158"/>
  <c r="E158"/>
  <c r="A159"/>
  <c r="C159"/>
  <c r="E159"/>
  <c r="A160"/>
  <c r="B160"/>
  <c r="C160"/>
  <c r="D160"/>
  <c r="E160"/>
  <c r="A161"/>
  <c r="C161"/>
  <c r="E161"/>
  <c r="A162"/>
  <c r="C162"/>
  <c r="E162"/>
  <c r="A163"/>
  <c r="C163"/>
  <c r="E163"/>
  <c r="A164"/>
  <c r="C164"/>
  <c r="E164"/>
  <c r="A165"/>
  <c r="C165"/>
  <c r="E165"/>
  <c r="A166"/>
  <c r="C166"/>
  <c r="D166"/>
  <c r="E166"/>
  <c r="A167"/>
  <c r="C167"/>
  <c r="D167"/>
  <c r="E167"/>
  <c r="A168"/>
  <c r="C168"/>
  <c r="D168"/>
  <c r="E168"/>
  <c r="A169"/>
  <c r="C169"/>
  <c r="D169"/>
  <c r="E169"/>
  <c r="A170"/>
  <c r="C170"/>
  <c r="D170"/>
  <c r="E170"/>
  <c r="A171"/>
  <c r="C171"/>
  <c r="D171"/>
  <c r="E171"/>
  <c r="A172"/>
  <c r="C172"/>
  <c r="D172"/>
  <c r="E172"/>
  <c r="A173"/>
  <c r="C173"/>
  <c r="D173"/>
  <c r="E173"/>
  <c r="A174"/>
  <c r="C174"/>
  <c r="D174"/>
  <c r="E174"/>
  <c r="A175"/>
  <c r="C175"/>
  <c r="D175"/>
  <c r="E175"/>
  <c r="A176"/>
  <c r="C176"/>
  <c r="D176"/>
  <c r="E176"/>
  <c r="A177"/>
  <c r="B177"/>
  <c r="C177"/>
  <c r="D177"/>
  <c r="F177" s="1"/>
  <c r="E177"/>
  <c r="A178"/>
  <c r="C178"/>
  <c r="D178"/>
  <c r="E178"/>
  <c r="A179"/>
  <c r="C179"/>
  <c r="E179"/>
  <c r="A180"/>
  <c r="B180"/>
  <c r="C180"/>
  <c r="E180"/>
  <c r="A181"/>
  <c r="C181"/>
  <c r="E181"/>
  <c r="A182"/>
  <c r="C182"/>
  <c r="E182"/>
  <c r="A183"/>
  <c r="C183"/>
  <c r="E183"/>
  <c r="A184"/>
  <c r="C184"/>
  <c r="D184"/>
  <c r="E184"/>
  <c r="A185"/>
  <c r="C185"/>
  <c r="D185"/>
  <c r="E185"/>
  <c r="A186"/>
  <c r="C186"/>
  <c r="D186"/>
  <c r="E186"/>
  <c r="A187"/>
  <c r="C187"/>
  <c r="D187"/>
  <c r="E187"/>
  <c r="A188"/>
  <c r="C188"/>
  <c r="D188"/>
  <c r="E188"/>
  <c r="A189"/>
  <c r="C189"/>
  <c r="D189"/>
  <c r="E189"/>
  <c r="A190"/>
  <c r="B190"/>
  <c r="C190"/>
  <c r="D190"/>
  <c r="E190"/>
  <c r="A191"/>
  <c r="C191"/>
  <c r="E191"/>
  <c r="A192"/>
  <c r="B192"/>
  <c r="C192"/>
  <c r="E192"/>
  <c r="A193"/>
  <c r="C193"/>
  <c r="E193"/>
  <c r="A194"/>
  <c r="B194"/>
  <c r="C194"/>
  <c r="E194"/>
  <c r="A195"/>
  <c r="C195"/>
  <c r="E195"/>
  <c r="A196"/>
  <c r="C196"/>
  <c r="D196"/>
  <c r="E196"/>
  <c r="A197"/>
  <c r="B197"/>
  <c r="C197"/>
  <c r="D197"/>
  <c r="E197"/>
  <c r="A198"/>
  <c r="C198"/>
  <c r="D198"/>
  <c r="E198"/>
  <c r="A199"/>
  <c r="C199"/>
  <c r="D199"/>
  <c r="E199"/>
  <c r="A200"/>
  <c r="C200"/>
  <c r="D200"/>
  <c r="E200"/>
  <c r="A201"/>
  <c r="C201"/>
  <c r="D201"/>
  <c r="E201"/>
  <c r="A202"/>
  <c r="C202"/>
  <c r="E202"/>
  <c r="A203"/>
  <c r="C203"/>
  <c r="D203"/>
  <c r="E203"/>
  <c r="A204"/>
  <c r="B204"/>
  <c r="C204"/>
  <c r="D204"/>
  <c r="E204"/>
  <c r="A205"/>
  <c r="B205"/>
  <c r="C205"/>
  <c r="E205"/>
  <c r="A206"/>
  <c r="C206"/>
  <c r="E206"/>
  <c r="A207"/>
  <c r="C207"/>
  <c r="E207"/>
  <c r="A208"/>
  <c r="C208"/>
  <c r="E208"/>
  <c r="A209"/>
  <c r="C209"/>
  <c r="E209"/>
  <c r="A210"/>
  <c r="B210"/>
  <c r="C210"/>
  <c r="D210"/>
  <c r="E210"/>
  <c r="A211"/>
  <c r="C211"/>
  <c r="E211"/>
  <c r="A212"/>
  <c r="C212"/>
  <c r="E212"/>
  <c r="A213"/>
  <c r="B213"/>
  <c r="C213"/>
  <c r="E213"/>
  <c r="A214"/>
  <c r="C214"/>
  <c r="E214"/>
  <c r="A215"/>
  <c r="C215"/>
  <c r="E215"/>
  <c r="A216"/>
  <c r="C216"/>
  <c r="E216"/>
  <c r="A217"/>
  <c r="C217"/>
  <c r="D217"/>
  <c r="E217"/>
  <c r="A218"/>
  <c r="C218"/>
  <c r="E218"/>
  <c r="A219"/>
  <c r="B219"/>
  <c r="C219"/>
  <c r="E219"/>
  <c r="A220"/>
  <c r="C220"/>
  <c r="E220"/>
  <c r="A221"/>
  <c r="C221"/>
  <c r="E221"/>
  <c r="A222"/>
  <c r="C222"/>
  <c r="E222"/>
  <c r="A223"/>
  <c r="C223"/>
  <c r="D223"/>
  <c r="E223"/>
  <c r="A224"/>
  <c r="C224"/>
  <c r="E224"/>
  <c r="A225"/>
  <c r="C225"/>
  <c r="E225"/>
  <c r="A226"/>
  <c r="B226"/>
  <c r="C226"/>
  <c r="E226"/>
  <c r="A227"/>
  <c r="B227"/>
  <c r="C227"/>
  <c r="E227"/>
  <c r="A228"/>
  <c r="C228"/>
  <c r="E228"/>
  <c r="A229"/>
  <c r="B229"/>
  <c r="C229"/>
  <c r="D229"/>
  <c r="E229"/>
  <c r="A230"/>
  <c r="C230"/>
  <c r="E230"/>
  <c r="A231"/>
  <c r="B231"/>
  <c r="C231"/>
  <c r="E231"/>
  <c r="A232"/>
  <c r="C232"/>
  <c r="E232"/>
  <c r="A233"/>
  <c r="B233"/>
  <c r="C233"/>
  <c r="E233"/>
  <c r="A234"/>
  <c r="C234"/>
  <c r="E234"/>
  <c r="A235"/>
  <c r="C235"/>
  <c r="D235"/>
  <c r="E235"/>
  <c r="A236"/>
  <c r="C236"/>
  <c r="E236"/>
  <c r="A237"/>
  <c r="C237"/>
  <c r="E237"/>
  <c r="A238"/>
  <c r="C238"/>
  <c r="E238"/>
  <c r="A239"/>
  <c r="C239"/>
  <c r="E239"/>
  <c r="A240"/>
  <c r="C240"/>
  <c r="E240"/>
  <c r="A241"/>
  <c r="C241"/>
  <c r="D241"/>
  <c r="E241"/>
  <c r="A242"/>
  <c r="B242"/>
  <c r="C242"/>
  <c r="E242"/>
  <c r="A243"/>
  <c r="C243"/>
  <c r="E243"/>
  <c r="A244"/>
  <c r="C244"/>
  <c r="E244"/>
  <c r="A245"/>
  <c r="C245"/>
  <c r="E245"/>
  <c r="A246"/>
  <c r="C246"/>
  <c r="E246"/>
  <c r="A247"/>
  <c r="C247"/>
  <c r="D247"/>
  <c r="E247"/>
  <c r="A248"/>
  <c r="C248"/>
  <c r="D248"/>
  <c r="E248"/>
  <c r="A249"/>
  <c r="C249"/>
  <c r="D249"/>
  <c r="E249"/>
  <c r="A250"/>
  <c r="C250"/>
  <c r="D250"/>
  <c r="E250"/>
  <c r="A251"/>
  <c r="C251"/>
  <c r="D251"/>
  <c r="E251"/>
  <c r="A252"/>
  <c r="B252"/>
  <c r="C252"/>
  <c r="E252"/>
  <c r="A253"/>
  <c r="B253"/>
  <c r="C253"/>
  <c r="E253"/>
  <c r="A254"/>
  <c r="C254"/>
  <c r="E254"/>
  <c r="A255"/>
  <c r="C255"/>
  <c r="D255"/>
  <c r="E255"/>
  <c r="A256"/>
  <c r="C256"/>
  <c r="E256"/>
  <c r="A257"/>
  <c r="C257"/>
  <c r="E257"/>
  <c r="A258"/>
  <c r="C258"/>
  <c r="E258"/>
  <c r="A259"/>
  <c r="C259"/>
  <c r="D259"/>
  <c r="E259"/>
  <c r="A260"/>
  <c r="C260"/>
  <c r="E260"/>
  <c r="A261"/>
  <c r="B261"/>
  <c r="C261"/>
  <c r="E261"/>
  <c r="A262"/>
  <c r="C262"/>
  <c r="E262"/>
  <c r="A263"/>
  <c r="B263"/>
  <c r="C263"/>
  <c r="D263"/>
  <c r="F263"/>
  <c r="E263"/>
  <c r="A264"/>
  <c r="C264"/>
  <c r="E264"/>
  <c r="A265"/>
  <c r="C265"/>
  <c r="D265"/>
  <c r="E265"/>
  <c r="A266"/>
  <c r="C266"/>
  <c r="E266"/>
  <c r="A267"/>
  <c r="B267"/>
  <c r="C267"/>
  <c r="E267"/>
  <c r="A268"/>
  <c r="C268"/>
  <c r="D268"/>
  <c r="E268"/>
  <c r="A269"/>
  <c r="C269"/>
  <c r="D269"/>
  <c r="E269"/>
  <c r="A270"/>
  <c r="C270"/>
  <c r="E270"/>
  <c r="A271"/>
  <c r="C271"/>
  <c r="E271"/>
  <c r="A272"/>
  <c r="C272"/>
  <c r="D272"/>
  <c r="E272"/>
  <c r="A273"/>
  <c r="C273"/>
  <c r="D273"/>
  <c r="E273"/>
  <c r="A274"/>
  <c r="B274"/>
  <c r="C274"/>
  <c r="E274"/>
  <c r="A275"/>
  <c r="B275"/>
  <c r="C275"/>
  <c r="E275"/>
  <c r="A276"/>
  <c r="C276"/>
  <c r="E276"/>
  <c r="A277"/>
  <c r="C277"/>
  <c r="E277"/>
  <c r="A278"/>
  <c r="C278"/>
  <c r="E278"/>
  <c r="A279"/>
  <c r="B279"/>
  <c r="C279"/>
  <c r="E279"/>
  <c r="A280"/>
  <c r="C280"/>
  <c r="E280"/>
  <c r="A281"/>
  <c r="C281"/>
  <c r="E281"/>
  <c r="A282"/>
  <c r="C282"/>
  <c r="E282"/>
  <c r="A283"/>
  <c r="B283"/>
  <c r="C283"/>
  <c r="E283"/>
  <c r="A284"/>
  <c r="C284"/>
  <c r="E284"/>
  <c r="A285"/>
  <c r="B285"/>
  <c r="C285"/>
  <c r="E285"/>
  <c r="A286"/>
  <c r="C286"/>
  <c r="E286"/>
  <c r="A287"/>
  <c r="C287"/>
  <c r="E287"/>
  <c r="A288"/>
  <c r="C288"/>
  <c r="E288"/>
  <c r="A289"/>
  <c r="C289"/>
  <c r="E289"/>
  <c r="A290"/>
  <c r="C290"/>
  <c r="E290"/>
  <c r="A291"/>
  <c r="C291"/>
  <c r="D291"/>
  <c r="E291"/>
  <c r="A292"/>
  <c r="B292"/>
  <c r="C292"/>
  <c r="D292"/>
  <c r="F292" s="1"/>
  <c r="E292"/>
  <c r="A293"/>
  <c r="C293"/>
  <c r="E293"/>
  <c r="A294"/>
  <c r="C294"/>
  <c r="D294"/>
  <c r="E294"/>
  <c r="A295"/>
  <c r="C295"/>
  <c r="E295"/>
  <c r="A296"/>
  <c r="C296"/>
  <c r="D296"/>
  <c r="E296"/>
  <c r="A297"/>
  <c r="C297"/>
  <c r="E297"/>
  <c r="A298"/>
  <c r="C298"/>
  <c r="E298"/>
  <c r="A299"/>
  <c r="C299"/>
  <c r="E299"/>
  <c r="A300"/>
  <c r="C300"/>
  <c r="E300"/>
  <c r="A301"/>
  <c r="C301"/>
  <c r="E301"/>
  <c r="A302"/>
  <c r="C302"/>
  <c r="E302"/>
  <c r="A303"/>
  <c r="C303"/>
  <c r="D303"/>
  <c r="E303"/>
  <c r="A304"/>
  <c r="C304"/>
  <c r="E304"/>
  <c r="A305"/>
  <c r="C305"/>
  <c r="D305"/>
  <c r="E305"/>
  <c r="A306"/>
  <c r="C306"/>
  <c r="E306"/>
  <c r="A307"/>
  <c r="C307"/>
  <c r="E307"/>
  <c r="A308"/>
  <c r="C308"/>
  <c r="E308"/>
  <c r="A309"/>
  <c r="B309"/>
  <c r="C309"/>
  <c r="D309"/>
  <c r="E309"/>
  <c r="A310"/>
  <c r="C310"/>
  <c r="E310"/>
  <c r="A311"/>
  <c r="C311"/>
  <c r="E311"/>
  <c r="A312"/>
  <c r="C312"/>
  <c r="E312"/>
  <c r="A313"/>
  <c r="C313"/>
  <c r="E313"/>
  <c r="A314"/>
  <c r="C314"/>
  <c r="E314"/>
  <c r="A315"/>
  <c r="C315"/>
  <c r="E315"/>
  <c r="A316"/>
  <c r="C316"/>
  <c r="E316"/>
  <c r="A317"/>
  <c r="B317"/>
  <c r="C317"/>
  <c r="E317"/>
  <c r="A318"/>
  <c r="C318"/>
  <c r="E318"/>
  <c r="A319"/>
  <c r="C319"/>
  <c r="E319"/>
  <c r="A320"/>
  <c r="C320"/>
  <c r="D320"/>
  <c r="E320"/>
  <c r="A321"/>
  <c r="C321"/>
  <c r="E321"/>
  <c r="A322"/>
  <c r="C322"/>
  <c r="E322"/>
  <c r="A323"/>
  <c r="B323"/>
  <c r="C323"/>
  <c r="D323"/>
  <c r="F323" s="1"/>
  <c r="E323"/>
  <c r="A324"/>
  <c r="C324"/>
  <c r="E324"/>
  <c r="A325"/>
  <c r="C325"/>
  <c r="E325"/>
  <c r="A326"/>
  <c r="C326"/>
  <c r="E326"/>
  <c r="A327"/>
  <c r="C327"/>
  <c r="D327"/>
  <c r="E327"/>
  <c r="A328"/>
  <c r="C328"/>
  <c r="E328"/>
  <c r="A329"/>
  <c r="C329"/>
  <c r="E329"/>
  <c r="A330"/>
  <c r="B330"/>
  <c r="C330"/>
  <c r="E330"/>
  <c r="A331"/>
  <c r="C331"/>
  <c r="E331"/>
  <c r="A332"/>
  <c r="C332"/>
  <c r="E332"/>
  <c r="A333"/>
  <c r="C333"/>
  <c r="D333"/>
  <c r="E333"/>
  <c r="A334"/>
  <c r="C334"/>
  <c r="E334"/>
  <c r="A335"/>
  <c r="C335"/>
  <c r="E335"/>
  <c r="A336"/>
  <c r="C336"/>
  <c r="E336"/>
  <c r="A337"/>
  <c r="C337"/>
  <c r="E337"/>
  <c r="A338"/>
  <c r="B338"/>
  <c r="C338"/>
  <c r="E338"/>
  <c r="A339"/>
  <c r="C339"/>
  <c r="D339"/>
  <c r="E339"/>
  <c r="A340"/>
  <c r="C340"/>
  <c r="E340"/>
  <c r="A341"/>
  <c r="C341"/>
  <c r="E341"/>
  <c r="A342"/>
  <c r="C342"/>
  <c r="E342"/>
  <c r="A343"/>
  <c r="C343"/>
  <c r="E343"/>
  <c r="A344"/>
  <c r="C344"/>
  <c r="E344"/>
  <c r="A345"/>
  <c r="C345"/>
  <c r="D345"/>
  <c r="E345"/>
  <c r="A346"/>
  <c r="C346"/>
  <c r="E346"/>
  <c r="A347"/>
  <c r="C347"/>
  <c r="E347"/>
  <c r="A348"/>
  <c r="C348"/>
  <c r="E348"/>
  <c r="A349"/>
  <c r="C349"/>
  <c r="E349"/>
  <c r="A350"/>
  <c r="C350"/>
  <c r="E350"/>
  <c r="A351"/>
  <c r="C351"/>
  <c r="E351"/>
  <c r="A352"/>
  <c r="C352"/>
  <c r="E352"/>
  <c r="A353"/>
  <c r="C353"/>
  <c r="E353"/>
  <c r="A354"/>
  <c r="C354"/>
  <c r="E354"/>
  <c r="A355"/>
  <c r="C355"/>
  <c r="E355"/>
  <c r="A356"/>
  <c r="C356"/>
  <c r="D356"/>
  <c r="E356"/>
  <c r="A357"/>
  <c r="C357"/>
  <c r="E357"/>
  <c r="A358"/>
  <c r="C358"/>
  <c r="E358"/>
  <c r="A359"/>
  <c r="C359"/>
  <c r="E359"/>
  <c r="A360"/>
  <c r="C360"/>
  <c r="D360"/>
  <c r="E360"/>
  <c r="A361"/>
  <c r="C361"/>
  <c r="E361"/>
  <c r="A362"/>
  <c r="C362"/>
  <c r="D362"/>
  <c r="E362"/>
  <c r="A363"/>
  <c r="C363"/>
  <c r="D363"/>
  <c r="E363"/>
  <c r="A364"/>
  <c r="C364"/>
  <c r="D364"/>
  <c r="E364"/>
  <c r="A365"/>
  <c r="B365"/>
  <c r="C365"/>
  <c r="D365"/>
  <c r="F365"/>
  <c r="E365"/>
  <c r="A366"/>
  <c r="C366"/>
  <c r="E366"/>
  <c r="A367"/>
  <c r="B367"/>
  <c r="C367"/>
  <c r="D367"/>
  <c r="E367"/>
  <c r="A368"/>
  <c r="C368"/>
  <c r="E368"/>
  <c r="A369"/>
  <c r="C369"/>
  <c r="E369"/>
  <c r="A370"/>
  <c r="C370"/>
  <c r="D370"/>
  <c r="E370"/>
  <c r="A371"/>
  <c r="C371"/>
  <c r="E371"/>
  <c r="A372"/>
  <c r="C372"/>
  <c r="E372"/>
  <c r="A373"/>
  <c r="B373"/>
  <c r="C373"/>
  <c r="D373"/>
  <c r="E373"/>
  <c r="A374"/>
  <c r="C374"/>
  <c r="E374"/>
  <c r="A375"/>
  <c r="C375"/>
  <c r="E375"/>
  <c r="A376"/>
  <c r="B376"/>
  <c r="C376"/>
  <c r="D376"/>
  <c r="E376"/>
  <c r="A377"/>
  <c r="B377"/>
  <c r="C377"/>
  <c r="E377"/>
  <c r="A378"/>
  <c r="C378"/>
  <c r="E378"/>
  <c r="A379"/>
  <c r="C379"/>
  <c r="E379"/>
  <c r="A380"/>
  <c r="C380"/>
  <c r="D380"/>
  <c r="E380"/>
  <c r="A381"/>
  <c r="C381"/>
  <c r="E381"/>
  <c r="A382"/>
  <c r="C382"/>
  <c r="E382"/>
  <c r="A383"/>
  <c r="C383"/>
  <c r="E383"/>
  <c r="A384"/>
  <c r="C384"/>
  <c r="E384"/>
  <c r="A385"/>
  <c r="C385"/>
  <c r="E385"/>
  <c r="A386"/>
  <c r="C386"/>
  <c r="E386"/>
  <c r="A387"/>
  <c r="C387"/>
  <c r="E387"/>
  <c r="A388"/>
  <c r="C388"/>
  <c r="E388"/>
  <c r="A389"/>
  <c r="C389"/>
  <c r="E389"/>
  <c r="A390"/>
  <c r="C390"/>
  <c r="D390"/>
  <c r="F390"/>
  <c r="E390"/>
  <c r="A391"/>
  <c r="C391"/>
  <c r="E391"/>
  <c r="A392"/>
  <c r="C392"/>
  <c r="E392"/>
  <c r="A393"/>
  <c r="C393"/>
  <c r="E393"/>
  <c r="A394"/>
  <c r="C394"/>
  <c r="E394"/>
  <c r="A395"/>
  <c r="B395"/>
  <c r="C395"/>
  <c r="E395"/>
  <c r="A396"/>
  <c r="C396"/>
  <c r="E396"/>
  <c r="A397"/>
  <c r="C397"/>
  <c r="E397"/>
  <c r="A398"/>
  <c r="C398"/>
  <c r="D398"/>
  <c r="E398"/>
  <c r="A399"/>
  <c r="C399"/>
  <c r="D399"/>
  <c r="E399"/>
  <c r="A400"/>
  <c r="C400"/>
  <c r="D400"/>
  <c r="F400"/>
  <c r="E400"/>
  <c r="A401"/>
  <c r="C401"/>
  <c r="E401"/>
  <c r="A402"/>
  <c r="C402"/>
  <c r="E402"/>
  <c r="A403"/>
  <c r="C403"/>
  <c r="E403"/>
  <c r="A404"/>
  <c r="C404"/>
  <c r="E404"/>
  <c r="A405"/>
  <c r="C405"/>
  <c r="E405"/>
  <c r="A406"/>
  <c r="C406"/>
  <c r="E406"/>
  <c r="A407"/>
  <c r="C407"/>
  <c r="E407"/>
  <c r="A408"/>
  <c r="C408"/>
  <c r="D408"/>
  <c r="E408"/>
  <c r="A409"/>
  <c r="C409"/>
  <c r="E409"/>
  <c r="A410"/>
  <c r="C410"/>
  <c r="E410"/>
  <c r="A411"/>
  <c r="C411"/>
  <c r="E411"/>
  <c r="A412"/>
  <c r="C412"/>
  <c r="E412"/>
  <c r="A413"/>
  <c r="C413"/>
  <c r="E413"/>
  <c r="A414"/>
  <c r="C414"/>
  <c r="E414"/>
  <c r="A415"/>
  <c r="C415"/>
  <c r="D415"/>
  <c r="E415"/>
  <c r="A416"/>
  <c r="C416"/>
  <c r="D416"/>
  <c r="E416"/>
  <c r="A417"/>
  <c r="C417"/>
  <c r="E417"/>
  <c r="A418"/>
  <c r="C418"/>
  <c r="E418"/>
  <c r="A419"/>
  <c r="C419"/>
  <c r="E419"/>
  <c r="A420"/>
  <c r="C420"/>
  <c r="E420"/>
  <c r="A421"/>
  <c r="B421"/>
  <c r="C421"/>
  <c r="E421"/>
  <c r="A422"/>
  <c r="C422"/>
  <c r="D422"/>
  <c r="E422"/>
  <c r="A423"/>
  <c r="C423"/>
  <c r="D423"/>
  <c r="E423"/>
  <c r="A424"/>
  <c r="C424"/>
  <c r="D424"/>
  <c r="E424"/>
  <c r="A425"/>
  <c r="C425"/>
  <c r="E425"/>
  <c r="A426"/>
  <c r="C426"/>
  <c r="D426"/>
  <c r="F426" s="1"/>
  <c r="E426"/>
  <c r="A427"/>
  <c r="C427"/>
  <c r="E427"/>
  <c r="A428"/>
  <c r="B428"/>
  <c r="F428" s="1"/>
  <c r="C428"/>
  <c r="E428"/>
  <c r="A429"/>
  <c r="C429"/>
  <c r="E429"/>
  <c r="A430"/>
  <c r="C430"/>
  <c r="E430"/>
  <c r="A431"/>
  <c r="C431"/>
  <c r="D431"/>
  <c r="E431"/>
  <c r="A432"/>
  <c r="C432"/>
  <c r="E432"/>
  <c r="A433"/>
  <c r="C433"/>
  <c r="E433"/>
  <c r="A434"/>
  <c r="C434"/>
  <c r="E434"/>
  <c r="A435"/>
  <c r="C435"/>
  <c r="D435"/>
  <c r="E435"/>
  <c r="A436"/>
  <c r="C436"/>
  <c r="E436"/>
  <c r="A437"/>
  <c r="C437"/>
  <c r="E437"/>
  <c r="A438"/>
  <c r="C438"/>
  <c r="E438"/>
  <c r="A439"/>
  <c r="C439"/>
  <c r="E439"/>
  <c r="A440"/>
  <c r="C440"/>
  <c r="E440"/>
  <c r="A441"/>
  <c r="B441"/>
  <c r="C441"/>
  <c r="D441"/>
  <c r="E441"/>
  <c r="A442"/>
  <c r="C442"/>
  <c r="E442"/>
  <c r="A443"/>
  <c r="B443"/>
  <c r="F443" s="1"/>
  <c r="C443"/>
  <c r="E443"/>
  <c r="A444"/>
  <c r="C444"/>
  <c r="D444"/>
  <c r="E444"/>
  <c r="A445"/>
  <c r="C445"/>
  <c r="D445"/>
  <c r="E445"/>
  <c r="A446"/>
  <c r="C446"/>
  <c r="D446"/>
  <c r="E446"/>
  <c r="A447"/>
  <c r="C447"/>
  <c r="D447"/>
  <c r="E447"/>
  <c r="A448"/>
  <c r="C448"/>
  <c r="D448"/>
  <c r="E448"/>
  <c r="A449"/>
  <c r="B449"/>
  <c r="C449"/>
  <c r="D449"/>
  <c r="F449" s="1"/>
  <c r="E449"/>
  <c r="A450"/>
  <c r="C450"/>
  <c r="E450"/>
  <c r="A451"/>
  <c r="C451"/>
  <c r="E451"/>
  <c r="A452"/>
  <c r="C452"/>
  <c r="D452"/>
  <c r="F452" s="1"/>
  <c r="E452"/>
  <c r="A453"/>
  <c r="C453"/>
  <c r="E453"/>
  <c r="A454"/>
  <c r="C454"/>
  <c r="E454"/>
  <c r="A455"/>
  <c r="C455"/>
  <c r="D455"/>
  <c r="F455" s="1"/>
  <c r="E455"/>
  <c r="A456"/>
  <c r="B456"/>
  <c r="C456"/>
  <c r="D456"/>
  <c r="E456"/>
  <c r="A457"/>
  <c r="C457"/>
  <c r="E457"/>
  <c r="A458"/>
  <c r="C458"/>
  <c r="E458"/>
  <c r="A459"/>
  <c r="C459"/>
  <c r="E459"/>
  <c r="A460"/>
  <c r="C460"/>
  <c r="E460"/>
  <c r="A461"/>
  <c r="C461"/>
  <c r="D461"/>
  <c r="E461"/>
  <c r="A462"/>
  <c r="C462"/>
  <c r="E462"/>
  <c r="A463"/>
  <c r="C463"/>
  <c r="E463"/>
  <c r="A464"/>
  <c r="C464"/>
  <c r="E464"/>
  <c r="A465"/>
  <c r="C465"/>
  <c r="E465"/>
  <c r="A466"/>
  <c r="B466"/>
  <c r="F466" s="1"/>
  <c r="C466"/>
  <c r="E466"/>
  <c r="A467"/>
  <c r="B467"/>
  <c r="C467"/>
  <c r="D467"/>
  <c r="E467"/>
  <c r="A468"/>
  <c r="C468"/>
  <c r="E468"/>
  <c r="A469"/>
  <c r="C469"/>
  <c r="E469"/>
  <c r="A470"/>
  <c r="C470"/>
  <c r="E470"/>
  <c r="A471"/>
  <c r="C471"/>
  <c r="E471"/>
  <c r="A472"/>
  <c r="C472"/>
  <c r="E472"/>
  <c r="A473"/>
  <c r="C473"/>
  <c r="E473"/>
  <c r="A474"/>
  <c r="C474"/>
  <c r="E474"/>
  <c r="A475"/>
  <c r="C475"/>
  <c r="E475"/>
  <c r="A476"/>
  <c r="C476"/>
  <c r="E476"/>
  <c r="A477"/>
  <c r="C477"/>
  <c r="E477"/>
  <c r="A478"/>
  <c r="B478"/>
  <c r="C478"/>
  <c r="E478"/>
  <c r="A479"/>
  <c r="C479"/>
  <c r="E479"/>
  <c r="A480"/>
  <c r="C480"/>
  <c r="E480"/>
  <c r="A481"/>
  <c r="C481"/>
  <c r="E481"/>
  <c r="A482"/>
  <c r="C482"/>
  <c r="E482"/>
  <c r="A483"/>
  <c r="C483"/>
  <c r="E483"/>
  <c r="A484"/>
  <c r="B484"/>
  <c r="C484"/>
  <c r="E484"/>
  <c r="A485"/>
  <c r="C485"/>
  <c r="E485"/>
  <c r="A486"/>
  <c r="C486"/>
  <c r="E486"/>
  <c r="A487"/>
  <c r="B487"/>
  <c r="F487" s="1"/>
  <c r="C487"/>
  <c r="E487"/>
  <c r="A488"/>
  <c r="B488"/>
  <c r="F488" s="1"/>
  <c r="C488"/>
  <c r="E488"/>
  <c r="A489"/>
  <c r="C489"/>
  <c r="D489"/>
  <c r="E489"/>
  <c r="A490"/>
  <c r="C490"/>
  <c r="E490"/>
  <c r="A491"/>
  <c r="C491"/>
  <c r="E491"/>
  <c r="A492"/>
  <c r="B492"/>
  <c r="F492" s="1"/>
  <c r="C492"/>
  <c r="E492"/>
  <c r="A493"/>
  <c r="C493"/>
  <c r="E493"/>
  <c r="A494"/>
  <c r="B494"/>
  <c r="C494"/>
  <c r="D494"/>
  <c r="E494"/>
  <c r="A495"/>
  <c r="C495"/>
  <c r="E495"/>
  <c r="A496"/>
  <c r="C496"/>
  <c r="E496"/>
  <c r="A497"/>
  <c r="C497"/>
  <c r="E497"/>
  <c r="A498"/>
  <c r="C498"/>
  <c r="E498"/>
  <c r="A499"/>
  <c r="C499"/>
  <c r="E499"/>
  <c r="A500"/>
  <c r="C500"/>
  <c r="E500"/>
  <c r="A501"/>
  <c r="C501"/>
  <c r="E501"/>
  <c r="A502"/>
  <c r="C502"/>
  <c r="E502"/>
  <c r="A503"/>
  <c r="C503"/>
  <c r="D503"/>
  <c r="E503"/>
  <c r="A504"/>
  <c r="C504"/>
  <c r="E504"/>
  <c r="A505"/>
  <c r="C505"/>
  <c r="E505"/>
  <c r="A506"/>
  <c r="C506"/>
  <c r="E506"/>
  <c r="A507"/>
  <c r="C507"/>
  <c r="E507"/>
  <c r="A508"/>
  <c r="C508"/>
  <c r="D508"/>
  <c r="E508"/>
  <c r="A509"/>
  <c r="C509"/>
  <c r="E509"/>
  <c r="A510"/>
  <c r="C510"/>
  <c r="E510"/>
  <c r="A511"/>
  <c r="C511"/>
  <c r="E511"/>
  <c r="A512"/>
  <c r="B512"/>
  <c r="C512"/>
  <c r="D512"/>
  <c r="E512"/>
  <c r="A513"/>
  <c r="C513"/>
  <c r="E513"/>
  <c r="A514"/>
  <c r="C514"/>
  <c r="E514"/>
  <c r="A515"/>
  <c r="B515"/>
  <c r="C515"/>
  <c r="E515"/>
  <c r="A516"/>
  <c r="C516"/>
  <c r="E516"/>
  <c r="A517"/>
  <c r="C517"/>
  <c r="E517"/>
  <c r="A518"/>
  <c r="C518"/>
  <c r="D518"/>
  <c r="E518"/>
  <c r="A519"/>
  <c r="B519"/>
  <c r="F519" s="1"/>
  <c r="C519"/>
  <c r="E519"/>
  <c r="A520"/>
  <c r="C520"/>
  <c r="E520"/>
  <c r="A521"/>
  <c r="C521"/>
  <c r="E521"/>
  <c r="A522"/>
  <c r="C522"/>
  <c r="E522"/>
  <c r="A523"/>
  <c r="C523"/>
  <c r="E523"/>
  <c r="A524"/>
  <c r="B524"/>
  <c r="C524"/>
  <c r="D524"/>
  <c r="E524"/>
  <c r="A525"/>
  <c r="B525"/>
  <c r="C525"/>
  <c r="D525"/>
  <c r="E525"/>
  <c r="A526"/>
  <c r="B526"/>
  <c r="C526"/>
  <c r="E526"/>
  <c r="A527"/>
  <c r="C527"/>
  <c r="E527"/>
  <c r="A528"/>
  <c r="B528"/>
  <c r="C528"/>
  <c r="E528"/>
  <c r="A529"/>
  <c r="B529"/>
  <c r="C529"/>
  <c r="E529"/>
  <c r="A530"/>
  <c r="B530"/>
  <c r="C530"/>
  <c r="E530"/>
  <c r="A531"/>
  <c r="B531"/>
  <c r="C531"/>
  <c r="E531"/>
  <c r="A532"/>
  <c r="B532"/>
  <c r="C532"/>
  <c r="E532"/>
  <c r="A533"/>
  <c r="B533"/>
  <c r="C533"/>
  <c r="E533"/>
  <c r="A534"/>
  <c r="B534"/>
  <c r="C534"/>
  <c r="E534"/>
  <c r="A535"/>
  <c r="B535"/>
  <c r="E535"/>
  <c r="A536"/>
  <c r="B536"/>
  <c r="C536"/>
  <c r="E536"/>
  <c r="A537"/>
  <c r="B537"/>
  <c r="C537"/>
  <c r="E537"/>
  <c r="A538"/>
  <c r="B538"/>
  <c r="C538"/>
  <c r="E538"/>
  <c r="A539"/>
  <c r="B539"/>
  <c r="C539"/>
  <c r="E539"/>
  <c r="A540"/>
  <c r="B540"/>
  <c r="C540"/>
  <c r="E540"/>
  <c r="A541"/>
  <c r="B541"/>
  <c r="C541"/>
  <c r="E541"/>
  <c r="A542"/>
  <c r="B542"/>
  <c r="C542"/>
  <c r="E542"/>
  <c r="A543"/>
  <c r="B543"/>
  <c r="A544"/>
  <c r="B544"/>
  <c r="A545"/>
  <c r="B545"/>
  <c r="A546"/>
  <c r="B546"/>
  <c r="A547"/>
  <c r="B547"/>
  <c r="A548"/>
  <c r="B548"/>
  <c r="A549"/>
  <c r="B549"/>
  <c r="A550"/>
  <c r="B550"/>
  <c r="A551"/>
  <c r="B551"/>
  <c r="A552"/>
  <c r="B552"/>
  <c r="A553"/>
  <c r="B553"/>
  <c r="A554"/>
  <c r="B554"/>
  <c r="A555"/>
  <c r="B555"/>
  <c r="A556"/>
  <c r="B556"/>
  <c r="A557"/>
  <c r="B557"/>
  <c r="A558"/>
  <c r="B558"/>
  <c r="A559"/>
  <c r="B559"/>
  <c r="A560"/>
  <c r="B560"/>
  <c r="A561"/>
  <c r="B561"/>
  <c r="A562"/>
  <c r="B562"/>
  <c r="A563"/>
  <c r="B563"/>
  <c r="A564"/>
  <c r="B564"/>
  <c r="A565"/>
  <c r="B565"/>
  <c r="A566"/>
  <c r="B566"/>
  <c r="A567"/>
  <c r="B567"/>
  <c r="A568"/>
  <c r="B568"/>
  <c r="A569"/>
  <c r="B569"/>
  <c r="A570"/>
  <c r="B570"/>
  <c r="A571"/>
  <c r="B571"/>
  <c r="A572"/>
  <c r="B572"/>
  <c r="A573"/>
  <c r="B573"/>
  <c r="A574"/>
  <c r="B574"/>
  <c r="A575"/>
  <c r="B575"/>
  <c r="A576"/>
  <c r="B576"/>
  <c r="A577"/>
  <c r="B577"/>
  <c r="A578"/>
  <c r="B578"/>
  <c r="A579"/>
  <c r="B579"/>
  <c r="A580"/>
  <c r="B580"/>
  <c r="A581"/>
  <c r="B581"/>
  <c r="A582"/>
  <c r="B582"/>
  <c r="A583"/>
  <c r="B583"/>
  <c r="A584"/>
  <c r="B584"/>
  <c r="A585"/>
  <c r="B585"/>
  <c r="A586"/>
  <c r="B586"/>
  <c r="A587"/>
  <c r="B587"/>
  <c r="A588"/>
  <c r="B588"/>
  <c r="A589"/>
  <c r="B589"/>
  <c r="A590"/>
  <c r="B590"/>
  <c r="A591"/>
  <c r="B591"/>
  <c r="A592"/>
  <c r="B592"/>
  <c r="A593"/>
  <c r="B593"/>
  <c r="A594"/>
  <c r="B594"/>
  <c r="A595"/>
  <c r="B595"/>
  <c r="A596"/>
  <c r="B596"/>
  <c r="A597"/>
  <c r="B597"/>
  <c r="A598"/>
  <c r="B598"/>
  <c r="A599"/>
  <c r="B599"/>
  <c r="A600"/>
  <c r="B600"/>
  <c r="A601"/>
  <c r="B601"/>
  <c r="A602"/>
  <c r="B602"/>
  <c r="A603"/>
  <c r="B603"/>
  <c r="A604"/>
  <c r="B604"/>
  <c r="A605"/>
  <c r="B605"/>
  <c r="A606"/>
  <c r="B606"/>
  <c r="A607"/>
  <c r="B607"/>
  <c r="A608"/>
  <c r="B608"/>
  <c r="A609"/>
  <c r="B609"/>
  <c r="A610"/>
  <c r="B610"/>
  <c r="A611"/>
  <c r="B611"/>
  <c r="A612"/>
  <c r="B612"/>
  <c r="A613"/>
  <c r="B613"/>
  <c r="A614"/>
  <c r="B614"/>
  <c r="A615"/>
  <c r="B615"/>
  <c r="A616"/>
  <c r="B616"/>
  <c r="A617"/>
  <c r="B617"/>
  <c r="A618"/>
  <c r="B618"/>
  <c r="A619"/>
  <c r="B619"/>
  <c r="A620"/>
  <c r="B620"/>
  <c r="A621"/>
  <c r="B621"/>
  <c r="A622"/>
  <c r="B622"/>
  <c r="A623"/>
  <c r="B623"/>
  <c r="A624"/>
  <c r="B624"/>
  <c r="A625"/>
  <c r="B625"/>
  <c r="A626"/>
  <c r="B626"/>
  <c r="A627"/>
  <c r="B627"/>
  <c r="A628"/>
  <c r="B628"/>
  <c r="A629"/>
  <c r="B629"/>
  <c r="A630"/>
  <c r="B630"/>
  <c r="A631"/>
  <c r="B631"/>
  <c r="A632"/>
  <c r="B632"/>
  <c r="A633"/>
  <c r="B633"/>
  <c r="A634"/>
  <c r="B634"/>
  <c r="A635"/>
  <c r="B635"/>
  <c r="A636"/>
  <c r="B636"/>
  <c r="A637"/>
  <c r="B637"/>
  <c r="A638"/>
  <c r="B638"/>
  <c r="A639"/>
  <c r="B639"/>
  <c r="A640"/>
  <c r="B640"/>
  <c r="A641"/>
  <c r="B641"/>
  <c r="A642"/>
  <c r="B642"/>
  <c r="A643"/>
  <c r="B643"/>
  <c r="A644"/>
  <c r="B644"/>
  <c r="A645"/>
  <c r="B645"/>
  <c r="A646"/>
  <c r="B646"/>
  <c r="A647"/>
  <c r="B647"/>
  <c r="A648"/>
  <c r="B648"/>
  <c r="A649"/>
  <c r="B649"/>
  <c r="A650"/>
  <c r="B650"/>
  <c r="A651"/>
  <c r="B651"/>
  <c r="A652"/>
  <c r="B652"/>
  <c r="A653"/>
  <c r="B653"/>
  <c r="A654"/>
  <c r="B654"/>
  <c r="A655"/>
  <c r="B655"/>
  <c r="A656"/>
  <c r="B656"/>
  <c r="A657"/>
  <c r="B657"/>
  <c r="A658"/>
  <c r="B658"/>
  <c r="A659"/>
  <c r="B659"/>
  <c r="A660"/>
  <c r="B660"/>
  <c r="A661"/>
  <c r="B661"/>
  <c r="A662"/>
  <c r="B662"/>
  <c r="A663"/>
  <c r="B663"/>
  <c r="A664"/>
  <c r="B664"/>
  <c r="A665"/>
  <c r="B665"/>
  <c r="A666"/>
  <c r="B666"/>
  <c r="A667"/>
  <c r="B667"/>
  <c r="A668"/>
  <c r="B668"/>
  <c r="A669"/>
  <c r="B669"/>
  <c r="A670"/>
  <c r="B670"/>
  <c r="A671"/>
  <c r="B671"/>
  <c r="A672"/>
  <c r="B672"/>
  <c r="A673"/>
  <c r="B673"/>
  <c r="A674"/>
  <c r="B674"/>
  <c r="A675"/>
  <c r="B675"/>
  <c r="A676"/>
  <c r="B676"/>
  <c r="A677"/>
  <c r="B677"/>
  <c r="A678"/>
  <c r="B678"/>
  <c r="A679"/>
  <c r="B679"/>
  <c r="A680"/>
  <c r="B680"/>
  <c r="A681"/>
  <c r="B681"/>
  <c r="A682"/>
  <c r="B682"/>
  <c r="A683"/>
  <c r="B683"/>
  <c r="A684"/>
  <c r="B684"/>
  <c r="A685"/>
  <c r="B685"/>
  <c r="A686"/>
  <c r="B686"/>
  <c r="A687"/>
  <c r="B687"/>
  <c r="A688"/>
  <c r="B688"/>
  <c r="A689"/>
  <c r="B689"/>
  <c r="A690"/>
  <c r="B690"/>
  <c r="A691"/>
  <c r="B691"/>
  <c r="A692"/>
  <c r="B692"/>
  <c r="A693"/>
  <c r="B693"/>
  <c r="A694"/>
  <c r="B694"/>
  <c r="A695"/>
  <c r="B695"/>
  <c r="A696"/>
  <c r="B696"/>
  <c r="A697"/>
  <c r="B697"/>
  <c r="A698"/>
  <c r="B698"/>
  <c r="A699"/>
  <c r="B699"/>
  <c r="A700"/>
  <c r="B700"/>
  <c r="A701"/>
  <c r="B701"/>
  <c r="A702"/>
  <c r="B702"/>
  <c r="A703"/>
  <c r="B703"/>
  <c r="A704"/>
  <c r="B704"/>
  <c r="A705"/>
  <c r="B705"/>
  <c r="A706"/>
  <c r="B706"/>
  <c r="A707"/>
  <c r="B707"/>
  <c r="A708"/>
  <c r="B708"/>
  <c r="A709"/>
  <c r="B709"/>
  <c r="A710"/>
  <c r="B710"/>
  <c r="A711"/>
  <c r="B711"/>
  <c r="A712"/>
  <c r="B712"/>
  <c r="A713"/>
  <c r="B713"/>
  <c r="A714"/>
  <c r="B714"/>
  <c r="A715"/>
  <c r="B715"/>
  <c r="A716"/>
  <c r="B716"/>
  <c r="A717"/>
  <c r="B717"/>
  <c r="A718"/>
  <c r="B718"/>
  <c r="A719"/>
  <c r="B719"/>
  <c r="A720"/>
  <c r="B720"/>
  <c r="A721"/>
  <c r="B721"/>
  <c r="A722"/>
  <c r="B722"/>
  <c r="A723"/>
  <c r="B723"/>
  <c r="A724"/>
  <c r="B724"/>
  <c r="A725"/>
  <c r="B725"/>
  <c r="A726"/>
  <c r="B726"/>
  <c r="A727"/>
  <c r="B727"/>
  <c r="A728"/>
  <c r="B728"/>
  <c r="A729"/>
  <c r="B729"/>
  <c r="A730"/>
  <c r="B730"/>
  <c r="A731"/>
  <c r="B731"/>
  <c r="A732"/>
  <c r="B732"/>
  <c r="A733"/>
  <c r="B733"/>
  <c r="A734"/>
  <c r="B734"/>
  <c r="A735"/>
  <c r="B735"/>
  <c r="A736"/>
  <c r="B736"/>
  <c r="A737"/>
  <c r="B737"/>
  <c r="A738"/>
  <c r="B738"/>
  <c r="A739"/>
  <c r="B739"/>
  <c r="A740"/>
  <c r="B740"/>
  <c r="A741"/>
  <c r="B741"/>
  <c r="A742"/>
  <c r="B742"/>
  <c r="A743"/>
  <c r="B743"/>
  <c r="A744"/>
  <c r="B744"/>
  <c r="A745"/>
  <c r="B745"/>
  <c r="A746"/>
  <c r="B746"/>
  <c r="A747"/>
  <c r="B747"/>
  <c r="A748"/>
  <c r="B748"/>
  <c r="A749"/>
  <c r="B749"/>
  <c r="A750"/>
  <c r="B750"/>
  <c r="A751"/>
  <c r="B751"/>
  <c r="A752"/>
  <c r="B752"/>
  <c r="A753"/>
  <c r="B753"/>
  <c r="A754"/>
  <c r="B754"/>
  <c r="A755"/>
  <c r="B755"/>
  <c r="A756"/>
  <c r="B756"/>
  <c r="A757"/>
  <c r="B757"/>
  <c r="A758"/>
  <c r="B758"/>
  <c r="A759"/>
  <c r="B759"/>
  <c r="A760"/>
  <c r="B760"/>
  <c r="A761"/>
  <c r="B761"/>
  <c r="A762"/>
  <c r="B762"/>
  <c r="A763"/>
  <c r="B763"/>
  <c r="A764"/>
  <c r="B764"/>
  <c r="A765"/>
  <c r="B765"/>
  <c r="A766"/>
  <c r="B766"/>
  <c r="A767"/>
  <c r="B767"/>
  <c r="A768"/>
  <c r="B768"/>
  <c r="A769"/>
  <c r="B769"/>
  <c r="A770"/>
  <c r="B770"/>
  <c r="A771"/>
  <c r="B771"/>
  <c r="A772"/>
  <c r="B772"/>
  <c r="A773"/>
  <c r="B773"/>
  <c r="A774"/>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1495"/>
  <c r="B1496"/>
  <c r="B1497"/>
  <c r="B1498"/>
  <c r="B1499"/>
  <c r="B1500"/>
  <c r="B1501"/>
  <c r="B1502"/>
  <c r="B1503"/>
  <c r="B1504"/>
  <c r="B1505"/>
  <c r="B1506"/>
  <c r="B1507"/>
  <c r="B1508"/>
  <c r="B1509"/>
  <c r="B1510"/>
  <c r="B1511"/>
  <c r="B1512"/>
  <c r="B1513"/>
  <c r="B1514"/>
  <c r="B1515"/>
  <c r="B1516"/>
  <c r="B1517"/>
  <c r="B1518"/>
  <c r="B1519"/>
  <c r="B1520"/>
  <c r="B1521"/>
  <c r="B1522"/>
  <c r="B1523"/>
  <c r="B1524"/>
  <c r="B1525"/>
  <c r="B1526"/>
  <c r="B1527"/>
  <c r="B1528"/>
  <c r="B1529"/>
  <c r="B1530"/>
  <c r="B1531"/>
  <c r="B1532"/>
  <c r="B1533"/>
  <c r="B1534"/>
  <c r="B1535"/>
  <c r="B1536"/>
  <c r="B1537"/>
  <c r="B1538"/>
  <c r="B1539"/>
  <c r="B1540"/>
  <c r="B1541"/>
  <c r="B1542"/>
  <c r="B1543"/>
  <c r="B1544"/>
  <c r="B1545"/>
  <c r="B1546"/>
  <c r="B1547"/>
  <c r="B1548"/>
  <c r="B1549"/>
  <c r="B1550"/>
  <c r="B1551"/>
  <c r="B1552"/>
  <c r="B1553"/>
  <c r="B1554"/>
  <c r="B1555"/>
  <c r="B1556"/>
  <c r="B1557"/>
  <c r="B1558"/>
  <c r="B1559"/>
  <c r="B1560"/>
  <c r="B1561"/>
  <c r="B1562"/>
  <c r="B1563"/>
  <c r="B1564"/>
  <c r="B1565"/>
  <c r="B1566"/>
  <c r="B1567"/>
  <c r="B1568"/>
  <c r="B1569"/>
  <c r="B1570"/>
  <c r="B1571"/>
  <c r="B1572"/>
  <c r="B1573"/>
  <c r="B1574"/>
  <c r="B1575"/>
  <c r="B1576"/>
  <c r="B1577"/>
  <c r="B1578"/>
  <c r="B1579"/>
  <c r="B1580"/>
  <c r="B1581"/>
  <c r="B1582"/>
  <c r="B1583"/>
  <c r="B1584"/>
  <c r="B1585"/>
  <c r="B1586"/>
  <c r="B1587"/>
  <c r="B1588"/>
  <c r="B1589"/>
  <c r="B1590"/>
  <c r="B1591"/>
  <c r="B1592"/>
  <c r="B1593"/>
  <c r="B1594"/>
  <c r="B1595"/>
  <c r="B1596"/>
  <c r="B1597"/>
  <c r="B1598"/>
  <c r="B1599"/>
  <c r="B1600"/>
  <c r="B1601"/>
  <c r="B1602"/>
  <c r="B1603"/>
  <c r="B1604"/>
  <c r="B1605"/>
  <c r="B1606"/>
  <c r="B1607"/>
  <c r="B1608"/>
  <c r="B1609"/>
  <c r="B1610"/>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4"/>
  <c r="B1645"/>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3"/>
  <c r="B1684"/>
  <c r="B1685"/>
  <c r="B1686"/>
  <c r="B1687"/>
  <c r="B1688"/>
  <c r="B1689"/>
  <c r="B1690"/>
  <c r="B1691"/>
  <c r="B1692"/>
  <c r="B1693"/>
  <c r="B1694"/>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6"/>
  <c r="B1847"/>
  <c r="B1848"/>
  <c r="B1849"/>
  <c r="B1850"/>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0"/>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7"/>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7"/>
  <c r="B4268"/>
  <c r="B4269"/>
  <c r="B4270"/>
  <c r="B4271"/>
  <c r="B4272"/>
  <c r="B4273"/>
  <c r="B4274"/>
  <c r="B4275"/>
  <c r="B4276"/>
  <c r="B4277"/>
  <c r="B4278"/>
  <c r="B4279"/>
  <c r="B4280"/>
  <c r="B4281"/>
  <c r="B4282"/>
  <c r="B4283"/>
  <c r="B4284"/>
  <c r="B4285"/>
  <c r="B4286"/>
  <c r="B4287"/>
  <c r="B4288"/>
  <c r="B4289"/>
  <c r="B4290"/>
  <c r="B4291"/>
  <c r="B4292"/>
  <c r="B4293"/>
  <c r="B4294"/>
  <c r="B4295"/>
  <c r="B4296"/>
  <c r="B4297"/>
  <c r="B4298"/>
  <c r="B4299"/>
  <c r="B4300"/>
  <c r="B4301"/>
  <c r="B4302"/>
  <c r="B4303"/>
  <c r="B4304"/>
  <c r="B4305"/>
  <c r="B4306"/>
  <c r="B4307"/>
  <c r="B4308"/>
  <c r="B4309"/>
  <c r="B4310"/>
  <c r="B4311"/>
  <c r="B4312"/>
  <c r="B4313"/>
  <c r="B4314"/>
  <c r="B4315"/>
  <c r="B4316"/>
  <c r="B4317"/>
  <c r="B4318"/>
  <c r="B4319"/>
  <c r="B4320"/>
  <c r="B4321"/>
  <c r="B4322"/>
  <c r="B4323"/>
  <c r="B4324"/>
  <c r="B4325"/>
  <c r="B4326"/>
  <c r="B4327"/>
  <c r="B4328"/>
  <c r="B4329"/>
  <c r="B4330"/>
  <c r="B4331"/>
  <c r="B4332"/>
  <c r="B4333"/>
  <c r="B4334"/>
  <c r="B4335"/>
  <c r="B4336"/>
  <c r="B4337"/>
  <c r="B4338"/>
  <c r="B4339"/>
  <c r="B4340"/>
  <c r="B4341"/>
  <c r="B4342"/>
  <c r="B4343"/>
  <c r="B4344"/>
  <c r="B4345"/>
  <c r="B4346"/>
  <c r="B4347"/>
  <c r="B4348"/>
  <c r="B4349"/>
  <c r="B4350"/>
  <c r="B4351"/>
  <c r="B4352"/>
  <c r="B4353"/>
  <c r="B4354"/>
  <c r="B4355"/>
  <c r="B4356"/>
  <c r="B4357"/>
  <c r="B4358"/>
  <c r="B4359"/>
  <c r="B4360"/>
  <c r="B4361"/>
  <c r="B4362"/>
  <c r="B4363"/>
  <c r="B4364"/>
  <c r="B4365"/>
  <c r="B4366"/>
  <c r="B4367"/>
  <c r="B4368"/>
  <c r="B4369"/>
  <c r="B4370"/>
  <c r="B4371"/>
  <c r="B4372"/>
  <c r="B4373"/>
  <c r="B4374"/>
  <c r="B4375"/>
  <c r="B4376"/>
  <c r="B4377"/>
  <c r="B4378"/>
  <c r="B4379"/>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H3" i="1"/>
  <c r="O3"/>
  <c r="Q3"/>
  <c r="U3"/>
  <c r="W3"/>
  <c r="AE9"/>
  <c r="AF9"/>
  <c r="AG9"/>
  <c r="AH9"/>
  <c r="AC9"/>
  <c r="AI9"/>
  <c r="X37"/>
  <c r="AE10"/>
  <c r="AF10"/>
  <c r="AG10"/>
  <c r="AH10"/>
  <c r="AC10" s="1"/>
  <c r="AI10"/>
  <c r="A11"/>
  <c r="A12" s="1"/>
  <c r="A13"/>
  <c r="A14" s="1"/>
  <c r="A15" s="1"/>
  <c r="A16" s="1"/>
  <c r="A17"/>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P11"/>
  <c r="R11" s="1"/>
  <c r="X36"/>
  <c r="AE11"/>
  <c r="AF11"/>
  <c r="AG11"/>
  <c r="AH11"/>
  <c r="AC11" s="1"/>
  <c r="AI11"/>
  <c r="AE12"/>
  <c r="AF12"/>
  <c r="AG12"/>
  <c r="AH12"/>
  <c r="AC12" s="1"/>
  <c r="AI12"/>
  <c r="AE13"/>
  <c r="AF13"/>
  <c r="AG13"/>
  <c r="AH13"/>
  <c r="AC13" s="1"/>
  <c r="AI13"/>
  <c r="AE14"/>
  <c r="AF14"/>
  <c r="AG14"/>
  <c r="AH14"/>
  <c r="AC14" s="1"/>
  <c r="P1216"/>
  <c r="R1216" s="1"/>
  <c r="AI14"/>
  <c r="AE15"/>
  <c r="AF15"/>
  <c r="AG15"/>
  <c r="AH15"/>
  <c r="AC15" s="1"/>
  <c r="C15"/>
  <c r="I1948" s="1"/>
  <c r="K1948" s="1"/>
  <c r="AI15"/>
  <c r="X16"/>
  <c r="X17" s="1"/>
  <c r="AE16"/>
  <c r="AF16"/>
  <c r="AG16"/>
  <c r="AH16"/>
  <c r="AC16"/>
  <c r="AI16"/>
  <c r="AE17"/>
  <c r="AF17"/>
  <c r="AG17"/>
  <c r="AH17"/>
  <c r="AC17"/>
  <c r="AI17"/>
  <c r="X18"/>
  <c r="X29" s="1"/>
  <c r="AE18"/>
  <c r="AF18"/>
  <c r="AG18"/>
  <c r="AH18"/>
  <c r="AC18"/>
  <c r="I2288" s="1"/>
  <c r="K2288"/>
  <c r="AI18"/>
  <c r="W19"/>
  <c r="X19"/>
  <c r="X20"/>
  <c r="AE19"/>
  <c r="AF19"/>
  <c r="AG19"/>
  <c r="AH19"/>
  <c r="AC19" s="1"/>
  <c r="C16" s="1"/>
  <c r="AI19"/>
  <c r="W20"/>
  <c r="AE20"/>
  <c r="AF20"/>
  <c r="AG20"/>
  <c r="AH20"/>
  <c r="AC20" s="1"/>
  <c r="D16"/>
  <c r="I1700" s="1"/>
  <c r="AI20"/>
  <c r="X21"/>
  <c r="AE21"/>
  <c r="AF21"/>
  <c r="AG21"/>
  <c r="AH21"/>
  <c r="AC21"/>
  <c r="AI21"/>
  <c r="C84"/>
  <c r="P389" s="1"/>
  <c r="R389"/>
  <c r="AE22"/>
  <c r="AF22"/>
  <c r="AG22"/>
  <c r="AH22"/>
  <c r="AC22" s="1"/>
  <c r="AI22"/>
  <c r="X23"/>
  <c r="AE23"/>
  <c r="AF23"/>
  <c r="AG23"/>
  <c r="AH23"/>
  <c r="AC23"/>
  <c r="C29" s="1"/>
  <c r="I1181"/>
  <c r="K1181" s="1"/>
  <c r="AI23"/>
  <c r="AE24"/>
  <c r="AF24"/>
  <c r="AG24"/>
  <c r="AE25"/>
  <c r="AF25"/>
  <c r="AG25"/>
  <c r="AE26"/>
  <c r="AF26"/>
  <c r="AG26"/>
  <c r="AE27"/>
  <c r="AF27"/>
  <c r="AG27"/>
  <c r="AI27"/>
  <c r="AE28"/>
  <c r="AF28"/>
  <c r="AG28"/>
  <c r="AI28"/>
  <c r="W29"/>
  <c r="AE29"/>
  <c r="AF29"/>
  <c r="AG29"/>
  <c r="AI29"/>
  <c r="AE30"/>
  <c r="AF30"/>
  <c r="AG30"/>
  <c r="AE31"/>
  <c r="AF31"/>
  <c r="AG31"/>
  <c r="AE32"/>
  <c r="AF32"/>
  <c r="AG32"/>
  <c r="AE33"/>
  <c r="AF33"/>
  <c r="AG33"/>
  <c r="W34"/>
  <c r="AE34"/>
  <c r="AF34"/>
  <c r="AG34"/>
  <c r="W35"/>
  <c r="AE35"/>
  <c r="AF35"/>
  <c r="AG35"/>
  <c r="AI35"/>
  <c r="W36"/>
  <c r="AE36"/>
  <c r="AF36"/>
  <c r="AG36"/>
  <c r="D61"/>
  <c r="I94"/>
  <c r="K94" s="1"/>
  <c r="AI36"/>
  <c r="W37"/>
  <c r="AE37"/>
  <c r="AF37"/>
  <c r="AG37"/>
  <c r="AI37"/>
  <c r="AE38"/>
  <c r="AF38"/>
  <c r="AG38"/>
  <c r="AI38"/>
  <c r="X80"/>
  <c r="V81"/>
  <c r="X81"/>
  <c r="V93"/>
  <c r="X93"/>
  <c r="V94"/>
  <c r="X94"/>
  <c r="M101"/>
  <c r="V109"/>
  <c r="X109" s="1"/>
  <c r="M116"/>
  <c r="M132" s="1"/>
  <c r="X131"/>
  <c r="X132" s="1"/>
  <c r="X134"/>
  <c r="I152"/>
  <c r="K152"/>
  <c r="I154"/>
  <c r="K154"/>
  <c r="I156"/>
  <c r="K156"/>
  <c r="I184"/>
  <c r="K184"/>
  <c r="I185"/>
  <c r="K185"/>
  <c r="P211"/>
  <c r="R211"/>
  <c r="P213"/>
  <c r="R213"/>
  <c r="P214"/>
  <c r="R214"/>
  <c r="P215"/>
  <c r="R215"/>
  <c r="P216"/>
  <c r="R216"/>
  <c r="P217"/>
  <c r="R217"/>
  <c r="P218"/>
  <c r="R218"/>
  <c r="I240"/>
  <c r="K240"/>
  <c r="K244"/>
  <c r="I255"/>
  <c r="K255" s="1"/>
  <c r="K256"/>
  <c r="AA272"/>
  <c r="AA278"/>
  <c r="AB272"/>
  <c r="AB278"/>
  <c r="AA273"/>
  <c r="AB273"/>
  <c r="AA274"/>
  <c r="AB274"/>
  <c r="AA275"/>
  <c r="AB275"/>
  <c r="AA276"/>
  <c r="AB276"/>
  <c r="H310"/>
  <c r="AB309"/>
  <c r="AB331"/>
  <c r="AB351"/>
  <c r="F334"/>
  <c r="H334"/>
  <c r="AB333"/>
  <c r="F335"/>
  <c r="X339"/>
  <c r="H354"/>
  <c r="AB353"/>
  <c r="P366"/>
  <c r="R366" s="1"/>
  <c r="AB375"/>
  <c r="F378"/>
  <c r="H378"/>
  <c r="AB377"/>
  <c r="W400"/>
  <c r="AD401"/>
  <c r="W401"/>
  <c r="AD402"/>
  <c r="AD403"/>
  <c r="AD404" s="1"/>
  <c r="AD405" s="1"/>
  <c r="H407"/>
  <c r="AB406"/>
  <c r="F409"/>
  <c r="H409"/>
  <c r="AB408"/>
  <c r="F410"/>
  <c r="X414"/>
  <c r="P432"/>
  <c r="R432" s="1"/>
  <c r="W432"/>
  <c r="AD433"/>
  <c r="W433"/>
  <c r="W434" s="1"/>
  <c r="W435" s="1"/>
  <c r="W436" s="1"/>
  <c r="AD434"/>
  <c r="AD435" s="1"/>
  <c r="AD436" s="1"/>
  <c r="AD437" s="1"/>
  <c r="P438"/>
  <c r="R438" s="1"/>
  <c r="AC437"/>
  <c r="P439"/>
  <c r="R439"/>
  <c r="AC438"/>
  <c r="P440"/>
  <c r="R440" s="1"/>
  <c r="AC439"/>
  <c r="AC440"/>
  <c r="AC441"/>
  <c r="AC442"/>
  <c r="AC443"/>
  <c r="AC444"/>
  <c r="AC445"/>
  <c r="AC446"/>
  <c r="AC447"/>
  <c r="AC448"/>
  <c r="AC449"/>
  <c r="P451"/>
  <c r="R451"/>
  <c r="AC450"/>
  <c r="AC451"/>
  <c r="AC452"/>
  <c r="AC453"/>
  <c r="AC454"/>
  <c r="P456"/>
  <c r="R456" s="1"/>
  <c r="AC455"/>
  <c r="P457"/>
  <c r="R457"/>
  <c r="AC456"/>
  <c r="P458"/>
  <c r="R458" s="1"/>
  <c r="AC457"/>
  <c r="AC458"/>
  <c r="AC459"/>
  <c r="AC460"/>
  <c r="AC461"/>
  <c r="AC462"/>
  <c r="AC463"/>
  <c r="AC464"/>
  <c r="AC465"/>
  <c r="AC466"/>
  <c r="AC467"/>
  <c r="P469"/>
  <c r="R469"/>
  <c r="AC468"/>
  <c r="AC469"/>
  <c r="AC470"/>
  <c r="AC471"/>
  <c r="AC472"/>
  <c r="P474"/>
  <c r="R474" s="1"/>
  <c r="AC473"/>
  <c r="P475"/>
  <c r="R475"/>
  <c r="AC474"/>
  <c r="P476"/>
  <c r="R476" s="1"/>
  <c r="AC475"/>
  <c r="AC476"/>
  <c r="AC477"/>
  <c r="AC478"/>
  <c r="AC479"/>
  <c r="AC480"/>
  <c r="AC481"/>
  <c r="AC482"/>
  <c r="I484"/>
  <c r="K484" s="1"/>
  <c r="AC483"/>
  <c r="AC484"/>
  <c r="AC485"/>
  <c r="AC486"/>
  <c r="AC487"/>
  <c r="AC488"/>
  <c r="AC489"/>
  <c r="P491"/>
  <c r="R491"/>
  <c r="AC490"/>
  <c r="AC491"/>
  <c r="P493"/>
  <c r="R493"/>
  <c r="AC492"/>
  <c r="P494"/>
  <c r="R494" s="1"/>
  <c r="AC493"/>
  <c r="AC494"/>
  <c r="AC495"/>
  <c r="AC496"/>
  <c r="AC497"/>
  <c r="R499"/>
  <c r="AC498"/>
  <c r="AC499"/>
  <c r="AC500"/>
  <c r="AC501"/>
  <c r="AC502"/>
  <c r="AC503"/>
  <c r="AC504"/>
  <c r="AC505"/>
  <c r="AC506"/>
  <c r="AC507"/>
  <c r="P509"/>
  <c r="R509" s="1"/>
  <c r="AC508"/>
  <c r="AC509"/>
  <c r="P511"/>
  <c r="R511" s="1"/>
  <c r="AC510"/>
  <c r="P512"/>
  <c r="R512"/>
  <c r="AC511"/>
  <c r="AC512"/>
  <c r="AC513"/>
  <c r="AC514"/>
  <c r="AC515"/>
  <c r="R517"/>
  <c r="AC516"/>
  <c r="AC517"/>
  <c r="AC518"/>
  <c r="AC519"/>
  <c r="AC520"/>
  <c r="AC521"/>
  <c r="AC522"/>
  <c r="AC523"/>
  <c r="AC524"/>
  <c r="AC525"/>
  <c r="J527"/>
  <c r="AC526"/>
  <c r="J528"/>
  <c r="J529"/>
  <c r="J530" s="1"/>
  <c r="J531" s="1"/>
  <c r="AC527"/>
  <c r="P529"/>
  <c r="R529" s="1"/>
  <c r="AC528"/>
  <c r="AC529"/>
  <c r="P531"/>
  <c r="R531" s="1"/>
  <c r="AC530"/>
  <c r="P532"/>
  <c r="R532"/>
  <c r="AC531"/>
  <c r="AC532"/>
  <c r="AC533"/>
  <c r="AC534"/>
  <c r="AC535"/>
  <c r="E537"/>
  <c r="R537"/>
  <c r="AC536"/>
  <c r="AC537"/>
  <c r="AC538"/>
  <c r="AC539"/>
  <c r="AC540"/>
  <c r="AC541"/>
  <c r="J543"/>
  <c r="M543"/>
  <c r="AC542"/>
  <c r="J544"/>
  <c r="J545"/>
  <c r="J546" s="1"/>
  <c r="J547"/>
  <c r="M544"/>
  <c r="AC543"/>
  <c r="M545"/>
  <c r="AC544"/>
  <c r="M546"/>
  <c r="AC545"/>
  <c r="AC546"/>
  <c r="AC547"/>
  <c r="AC548"/>
  <c r="AC549"/>
  <c r="AC550"/>
  <c r="AC551"/>
  <c r="AC552"/>
  <c r="AC553"/>
  <c r="P555"/>
  <c r="R555"/>
  <c r="AC554"/>
  <c r="AC555"/>
  <c r="AC556"/>
  <c r="AC557"/>
  <c r="I559"/>
  <c r="K559"/>
  <c r="AC558"/>
  <c r="P560"/>
  <c r="R560" s="1"/>
  <c r="AC559"/>
  <c r="P561"/>
  <c r="R561"/>
  <c r="AC560"/>
  <c r="P562"/>
  <c r="R562" s="1"/>
  <c r="V561"/>
  <c r="AC561"/>
  <c r="AC562"/>
  <c r="AC563"/>
  <c r="AC564"/>
  <c r="AC565"/>
  <c r="J567"/>
  <c r="AC566"/>
  <c r="J568"/>
  <c r="AC567"/>
  <c r="J569"/>
  <c r="AC568"/>
  <c r="J570"/>
  <c r="AC569"/>
  <c r="J571"/>
  <c r="AC570"/>
  <c r="AC571"/>
  <c r="AC572"/>
  <c r="I574"/>
  <c r="K574" s="1"/>
  <c r="AC573"/>
  <c r="AC574"/>
  <c r="AC575"/>
  <c r="AC576"/>
  <c r="AC577"/>
  <c r="AC578"/>
  <c r="AC579"/>
  <c r="AC580"/>
  <c r="J582"/>
  <c r="V566" s="1"/>
  <c r="AC581"/>
  <c r="J583"/>
  <c r="V567"/>
  <c r="AC582"/>
  <c r="J584"/>
  <c r="V568" s="1"/>
  <c r="AC583"/>
  <c r="J585"/>
  <c r="V569"/>
  <c r="AC584"/>
  <c r="J586"/>
  <c r="V570" s="1"/>
  <c r="AC585"/>
  <c r="AC586"/>
  <c r="AC587"/>
  <c r="I589"/>
  <c r="K589"/>
  <c r="AC588"/>
  <c r="AC589"/>
  <c r="AC590"/>
  <c r="C592"/>
  <c r="AC591"/>
  <c r="AC592"/>
  <c r="AC593"/>
  <c r="AC594"/>
  <c r="AC595"/>
  <c r="AC596"/>
  <c r="J598"/>
  <c r="AC597"/>
  <c r="J599"/>
  <c r="J600"/>
  <c r="J601" s="1"/>
  <c r="J602" s="1"/>
  <c r="AC598"/>
  <c r="AC599"/>
  <c r="AC600"/>
  <c r="AC601"/>
  <c r="AC602"/>
  <c r="AC603"/>
  <c r="AC604"/>
  <c r="P606"/>
  <c r="R606" s="1"/>
  <c r="AC605"/>
  <c r="AC606"/>
  <c r="AC607"/>
  <c r="AC608"/>
  <c r="AC609"/>
  <c r="AC610"/>
  <c r="AC611"/>
  <c r="AC612"/>
  <c r="AC613"/>
  <c r="AC614"/>
  <c r="AC615"/>
  <c r="AC616"/>
  <c r="AC617"/>
  <c r="P619"/>
  <c r="R619"/>
  <c r="AC618"/>
  <c r="AC619"/>
  <c r="AC620"/>
  <c r="AC621"/>
  <c r="AC622"/>
  <c r="AC623"/>
  <c r="AC624"/>
  <c r="AC625"/>
  <c r="AC626"/>
  <c r="AC627"/>
  <c r="J629"/>
  <c r="AC628"/>
  <c r="J630"/>
  <c r="J631"/>
  <c r="J632" s="1"/>
  <c r="J633" s="1"/>
  <c r="AC629"/>
  <c r="AC630"/>
  <c r="AC631"/>
  <c r="AC632"/>
  <c r="AC633"/>
  <c r="P635"/>
  <c r="R635" s="1"/>
  <c r="AC634"/>
  <c r="P636"/>
  <c r="R636"/>
  <c r="AC635"/>
  <c r="P637"/>
  <c r="R637" s="1"/>
  <c r="AC636"/>
  <c r="AC637"/>
  <c r="AC638"/>
  <c r="AC639"/>
  <c r="AC640"/>
  <c r="I642"/>
  <c r="K642"/>
  <c r="AC641"/>
  <c r="I643"/>
  <c r="K643" s="1"/>
  <c r="AC642"/>
  <c r="K644"/>
  <c r="AC643"/>
  <c r="AC644"/>
  <c r="AC645"/>
  <c r="P647"/>
  <c r="R647"/>
  <c r="R651" s="1"/>
  <c r="AC646"/>
  <c r="J648"/>
  <c r="AC647"/>
  <c r="J649"/>
  <c r="J650"/>
  <c r="J651" s="1"/>
  <c r="J652"/>
  <c r="AC648"/>
  <c r="AC649"/>
  <c r="AC650"/>
  <c r="AC651"/>
  <c r="AC652"/>
  <c r="AC653"/>
  <c r="AC654"/>
  <c r="AC655"/>
  <c r="P657"/>
  <c r="R657"/>
  <c r="R661" s="1"/>
  <c r="AC656"/>
  <c r="AC657"/>
  <c r="AC658"/>
  <c r="AC659"/>
  <c r="I661"/>
  <c r="K661" s="1"/>
  <c r="K666"/>
  <c r="I668" s="1"/>
  <c r="K668" s="1"/>
  <c r="I669" s="1"/>
  <c r="K669"/>
  <c r="I670" s="1"/>
  <c r="AC660"/>
  <c r="I662"/>
  <c r="K662"/>
  <c r="AC661"/>
  <c r="K663"/>
  <c r="AC662"/>
  <c r="AC663"/>
  <c r="AC664"/>
  <c r="AC665"/>
  <c r="P667"/>
  <c r="R667"/>
  <c r="R671" s="1"/>
  <c r="AC666"/>
  <c r="J668"/>
  <c r="AC667"/>
  <c r="J669"/>
  <c r="J670"/>
  <c r="J671" s="1"/>
  <c r="J672" s="1"/>
  <c r="AC668"/>
  <c r="AC669"/>
  <c r="AC670"/>
  <c r="AC671"/>
  <c r="AC672"/>
  <c r="AC673"/>
  <c r="AC674"/>
  <c r="AC675"/>
  <c r="AC676"/>
  <c r="P678"/>
  <c r="R678" s="1"/>
  <c r="R682"/>
  <c r="AC677"/>
  <c r="I679"/>
  <c r="K679" s="1"/>
  <c r="AC678"/>
  <c r="I680"/>
  <c r="K680" s="1"/>
  <c r="AC679"/>
  <c r="AC680"/>
  <c r="I682"/>
  <c r="K682" s="1"/>
  <c r="AC681"/>
  <c r="AC682"/>
  <c r="AC683"/>
  <c r="AC684"/>
  <c r="AC685"/>
  <c r="AC686"/>
  <c r="AC687"/>
  <c r="P689"/>
  <c r="R689"/>
  <c r="AC688"/>
  <c r="AC689"/>
  <c r="P691"/>
  <c r="R691"/>
  <c r="AC690"/>
  <c r="P692"/>
  <c r="R692" s="1"/>
  <c r="AC691"/>
  <c r="P693"/>
  <c r="R693"/>
  <c r="AC692"/>
  <c r="P694"/>
  <c r="R694" s="1"/>
  <c r="AC693"/>
  <c r="AC694"/>
  <c r="AC695"/>
  <c r="AC696"/>
  <c r="AC697"/>
  <c r="AC698"/>
  <c r="AC699"/>
  <c r="AC700"/>
  <c r="AC701"/>
  <c r="AC702"/>
  <c r="P704"/>
  <c r="R704" s="1"/>
  <c r="AC703"/>
  <c r="I705"/>
  <c r="I1713"/>
  <c r="K1713" s="1"/>
  <c r="AC704"/>
  <c r="P706"/>
  <c r="R706"/>
  <c r="AC705"/>
  <c r="I707"/>
  <c r="P707"/>
  <c r="R707"/>
  <c r="AC706"/>
  <c r="P708"/>
  <c r="R708" s="1"/>
  <c r="AC707"/>
  <c r="P709"/>
  <c r="R709"/>
  <c r="AC708"/>
  <c r="AC709"/>
  <c r="AC710"/>
  <c r="AC711"/>
  <c r="AC712"/>
  <c r="AC713"/>
  <c r="AC714"/>
  <c r="AC715"/>
  <c r="AC716"/>
  <c r="AC717"/>
  <c r="AC718"/>
  <c r="P720"/>
  <c r="R720" s="1"/>
  <c r="AC719"/>
  <c r="I721"/>
  <c r="K721"/>
  <c r="I742" s="1"/>
  <c r="K742" s="1"/>
  <c r="AC720"/>
  <c r="I722"/>
  <c r="K722" s="1"/>
  <c r="P722"/>
  <c r="R722" s="1"/>
  <c r="AC721"/>
  <c r="K723"/>
  <c r="P723"/>
  <c r="R723" s="1"/>
  <c r="AC722"/>
  <c r="P724"/>
  <c r="R724"/>
  <c r="AC723"/>
  <c r="P725"/>
  <c r="R725" s="1"/>
  <c r="AC724"/>
  <c r="AC725"/>
  <c r="K727"/>
  <c r="AC726"/>
  <c r="K728"/>
  <c r="AC727"/>
  <c r="AC728"/>
  <c r="AC729"/>
  <c r="AC730"/>
  <c r="AC731"/>
  <c r="AC732"/>
  <c r="AC733"/>
  <c r="AC734"/>
  <c r="AC735"/>
  <c r="AC736"/>
  <c r="AC737"/>
  <c r="R739"/>
  <c r="AC738"/>
  <c r="AC739"/>
  <c r="AC740"/>
  <c r="AC741"/>
  <c r="AC742"/>
  <c r="R744"/>
  <c r="AC743"/>
  <c r="I745"/>
  <c r="K745" s="1"/>
  <c r="AC744"/>
  <c r="AC745"/>
  <c r="AC746"/>
  <c r="AC747"/>
  <c r="I749"/>
  <c r="K749" s="1"/>
  <c r="AC748"/>
  <c r="K750"/>
  <c r="AC749"/>
  <c r="K751"/>
  <c r="AC750"/>
  <c r="R752"/>
  <c r="AC751"/>
  <c r="A753"/>
  <c r="AC752"/>
  <c r="AC753"/>
  <c r="AC754"/>
  <c r="AC755"/>
  <c r="AC756"/>
  <c r="AC757"/>
  <c r="AC758"/>
  <c r="AC759"/>
  <c r="P761"/>
  <c r="R761" s="1"/>
  <c r="R767"/>
  <c r="R769" s="1"/>
  <c r="AC760"/>
  <c r="AC761"/>
  <c r="AC762"/>
  <c r="AC763"/>
  <c r="AC764"/>
  <c r="AC765"/>
  <c r="AC766"/>
  <c r="AC767"/>
  <c r="AC768"/>
  <c r="AC769"/>
  <c r="AC770"/>
  <c r="AC771"/>
  <c r="AC772"/>
  <c r="AC773"/>
  <c r="AC774"/>
  <c r="AC775"/>
  <c r="R777"/>
  <c r="R789" s="1"/>
  <c r="AC776"/>
  <c r="AC777"/>
  <c r="AC778"/>
  <c r="P780"/>
  <c r="R780"/>
  <c r="AC779"/>
  <c r="R781"/>
  <c r="AC780"/>
  <c r="R782"/>
  <c r="AC781"/>
  <c r="R783"/>
  <c r="AC782"/>
  <c r="R784"/>
  <c r="AC783"/>
  <c r="R785"/>
  <c r="AC784"/>
  <c r="R786"/>
  <c r="AC785"/>
  <c r="AC786"/>
  <c r="AC787"/>
  <c r="AC788"/>
  <c r="AC789"/>
  <c r="AC790"/>
  <c r="AC791"/>
  <c r="AC792"/>
  <c r="AC793"/>
  <c r="R795"/>
  <c r="R807" s="1"/>
  <c r="AC794"/>
  <c r="AC795"/>
  <c r="AC796"/>
  <c r="P798"/>
  <c r="R798"/>
  <c r="AC797"/>
  <c r="R799"/>
  <c r="AC798"/>
  <c r="R800"/>
  <c r="AC799"/>
  <c r="R801"/>
  <c r="AC800"/>
  <c r="R802"/>
  <c r="AC801"/>
  <c r="R803"/>
  <c r="AC802"/>
  <c r="R804"/>
  <c r="AC803"/>
  <c r="AC804"/>
  <c r="AC805"/>
  <c r="AC806"/>
  <c r="AC807"/>
  <c r="AC808"/>
  <c r="AC809"/>
  <c r="AC810"/>
  <c r="AC811"/>
  <c r="AC812"/>
  <c r="K814"/>
  <c r="P814"/>
  <c r="R814" s="1"/>
  <c r="AC813"/>
  <c r="K815"/>
  <c r="P815"/>
  <c r="R815" s="1"/>
  <c r="AC814"/>
  <c r="K816"/>
  <c r="P816"/>
  <c r="R816" s="1"/>
  <c r="AC815"/>
  <c r="K817"/>
  <c r="P817"/>
  <c r="R817" s="1"/>
  <c r="AC816"/>
  <c r="AC817"/>
  <c r="AC818"/>
  <c r="K820"/>
  <c r="P820"/>
  <c r="R820"/>
  <c r="AC819"/>
  <c r="AC820"/>
  <c r="P822"/>
  <c r="AC821"/>
  <c r="AC822"/>
  <c r="AC823"/>
  <c r="AC824"/>
  <c r="AC825"/>
  <c r="AC826"/>
  <c r="AC827"/>
  <c r="AC828"/>
  <c r="AC829"/>
  <c r="R831"/>
  <c r="R843"/>
  <c r="AC830"/>
  <c r="I832"/>
  <c r="I848" s="1"/>
  <c r="K848"/>
  <c r="AC831"/>
  <c r="I833"/>
  <c r="I849" s="1"/>
  <c r="K849" s="1"/>
  <c r="AC832"/>
  <c r="I834"/>
  <c r="P834"/>
  <c r="R834"/>
  <c r="AC833"/>
  <c r="I835"/>
  <c r="K835" s="1"/>
  <c r="R835"/>
  <c r="AC834"/>
  <c r="R836"/>
  <c r="AC835"/>
  <c r="R837"/>
  <c r="AC836"/>
  <c r="K838"/>
  <c r="R838"/>
  <c r="AC837"/>
  <c r="R839"/>
  <c r="AC838"/>
  <c r="R840"/>
  <c r="AC839"/>
  <c r="AC840"/>
  <c r="AC841"/>
  <c r="AC842"/>
  <c r="AC843"/>
  <c r="AC844"/>
  <c r="AC845"/>
  <c r="AC846"/>
  <c r="AC847"/>
  <c r="AC848"/>
  <c r="H850"/>
  <c r="AC849"/>
  <c r="AC850"/>
  <c r="AC851"/>
  <c r="AC852"/>
  <c r="H854"/>
  <c r="K854"/>
  <c r="AC853"/>
  <c r="AC854"/>
  <c r="AC855"/>
  <c r="AC856"/>
  <c r="AC857"/>
  <c r="AC858"/>
  <c r="AC859"/>
  <c r="AC860"/>
  <c r="R862"/>
  <c r="AC861"/>
  <c r="R863"/>
  <c r="AC862"/>
  <c r="R864"/>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I908"/>
  <c r="K908" s="1"/>
  <c r="AC907"/>
  <c r="I909"/>
  <c r="AC908"/>
  <c r="I910"/>
  <c r="AC909"/>
  <c r="I911"/>
  <c r="K911"/>
  <c r="AC910"/>
  <c r="I912"/>
  <c r="AC911"/>
  <c r="I913"/>
  <c r="K913" s="1"/>
  <c r="AC912"/>
  <c r="K914"/>
  <c r="AC913"/>
  <c r="AC914"/>
  <c r="AC915"/>
  <c r="AC916"/>
  <c r="AC917"/>
  <c r="AC918"/>
  <c r="AC919"/>
  <c r="AC920"/>
  <c r="AC921"/>
  <c r="AC922"/>
  <c r="AC923"/>
  <c r="AC924"/>
  <c r="AC925"/>
  <c r="AC926"/>
  <c r="AC927"/>
  <c r="AC928"/>
  <c r="AC929"/>
  <c r="AC930"/>
  <c r="AC931"/>
  <c r="AC932"/>
  <c r="AC933"/>
  <c r="AC934"/>
  <c r="AC935"/>
  <c r="AC936"/>
  <c r="AC937"/>
  <c r="AC938"/>
  <c r="AC939"/>
  <c r="AC940"/>
  <c r="AC941"/>
  <c r="I943"/>
  <c r="K943"/>
  <c r="AC942"/>
  <c r="I944"/>
  <c r="K944" s="1"/>
  <c r="AC943"/>
  <c r="I945"/>
  <c r="AC944"/>
  <c r="I946"/>
  <c r="AC945"/>
  <c r="I947"/>
  <c r="I2761"/>
  <c r="AC946"/>
  <c r="I948"/>
  <c r="AC947"/>
  <c r="I949"/>
  <c r="I979" s="1"/>
  <c r="AC949"/>
  <c r="AC950"/>
  <c r="AC951"/>
  <c r="AC952"/>
  <c r="AC953"/>
  <c r="AC954"/>
  <c r="AC955"/>
  <c r="AC956"/>
  <c r="AC957"/>
  <c r="AC958"/>
  <c r="AC959"/>
  <c r="AC960"/>
  <c r="AC961"/>
  <c r="AC962"/>
  <c r="AC963"/>
  <c r="AC964"/>
  <c r="AC965"/>
  <c r="AC966"/>
  <c r="AC967"/>
  <c r="AC968"/>
  <c r="AC969"/>
  <c r="AC970"/>
  <c r="AC971"/>
  <c r="I973"/>
  <c r="AC972"/>
  <c r="I974"/>
  <c r="P1055"/>
  <c r="P1076" s="1"/>
  <c r="R1076" s="1"/>
  <c r="AC973"/>
  <c r="I975"/>
  <c r="K975" s="1"/>
  <c r="AC974"/>
  <c r="I976"/>
  <c r="K976" s="1"/>
  <c r="AC975"/>
  <c r="I977"/>
  <c r="P1058" s="1"/>
  <c r="P1079" s="1"/>
  <c r="AC976"/>
  <c r="I978"/>
  <c r="AC977"/>
  <c r="AC979"/>
  <c r="AC980"/>
  <c r="AC981"/>
  <c r="AC982"/>
  <c r="AC983"/>
  <c r="AC984"/>
  <c r="I1008"/>
  <c r="I1010"/>
  <c r="K1010" s="1"/>
  <c r="I1011"/>
  <c r="AC1010" s="1"/>
  <c r="AE1011" s="1"/>
  <c r="I1012"/>
  <c r="I1013"/>
  <c r="I1014"/>
  <c r="I1015"/>
  <c r="AC1020"/>
  <c r="AC1021"/>
  <c r="AC1022"/>
  <c r="AC1023"/>
  <c r="K1025"/>
  <c r="AC1024"/>
  <c r="AC1025"/>
  <c r="I1027"/>
  <c r="K1027" s="1"/>
  <c r="AC1026"/>
  <c r="I1028"/>
  <c r="K1028"/>
  <c r="AC1027"/>
  <c r="AC1028"/>
  <c r="I1030"/>
  <c r="K1030"/>
  <c r="AC1029"/>
  <c r="AC1030"/>
  <c r="AC1031"/>
  <c r="AC1032"/>
  <c r="AC1033"/>
  <c r="AC1034"/>
  <c r="AC1035"/>
  <c r="AC1036"/>
  <c r="AC1037"/>
  <c r="AC1038"/>
  <c r="H1040"/>
  <c r="H1056"/>
  <c r="K1040"/>
  <c r="AC1039"/>
  <c r="AC1040"/>
  <c r="I1042"/>
  <c r="K1042" s="1"/>
  <c r="AC1041"/>
  <c r="I1043"/>
  <c r="K1043"/>
  <c r="AC1042"/>
  <c r="AC1043"/>
  <c r="I1045"/>
  <c r="K1045"/>
  <c r="AC1044"/>
  <c r="AC1046"/>
  <c r="AC1047"/>
  <c r="AC1048"/>
  <c r="AC1049"/>
  <c r="AC1050"/>
  <c r="R1052"/>
  <c r="AC1051"/>
  <c r="AC1052"/>
  <c r="AC1053"/>
  <c r="AC1054"/>
  <c r="I1056"/>
  <c r="K1056" s="1"/>
  <c r="AC1055"/>
  <c r="AC1056"/>
  <c r="I1058"/>
  <c r="K1058" s="1"/>
  <c r="AC1057"/>
  <c r="I1059"/>
  <c r="K1059"/>
  <c r="AC1058"/>
  <c r="I1060"/>
  <c r="K1060" s="1"/>
  <c r="R1060"/>
  <c r="AC1059"/>
  <c r="AC1061"/>
  <c r="AC1062"/>
  <c r="AC1063"/>
  <c r="AC1064"/>
  <c r="AC1065"/>
  <c r="AC1066"/>
  <c r="AC1067"/>
  <c r="AC1068"/>
  <c r="AC1069"/>
  <c r="AC1070"/>
  <c r="AC1071"/>
  <c r="AC1072"/>
  <c r="AC1073"/>
  <c r="AC1074"/>
  <c r="AC1075"/>
  <c r="AC1076"/>
  <c r="AC1077"/>
  <c r="AC1078"/>
  <c r="AC1079"/>
  <c r="AC1080"/>
  <c r="AC1081"/>
  <c r="K1083"/>
  <c r="AC1082"/>
  <c r="AC1083"/>
  <c r="I1085"/>
  <c r="K1085" s="1"/>
  <c r="AC1084"/>
  <c r="I1086"/>
  <c r="K1086"/>
  <c r="AC1085"/>
  <c r="K1087"/>
  <c r="AC1086"/>
  <c r="K1088"/>
  <c r="AC1087"/>
  <c r="AC1088"/>
  <c r="AC1089"/>
  <c r="AC1090"/>
  <c r="AC1091"/>
  <c r="AC1092"/>
  <c r="AC1093"/>
  <c r="AC1094"/>
  <c r="AC1095"/>
  <c r="AC1096"/>
  <c r="I1098"/>
  <c r="K1098"/>
  <c r="AC1097"/>
  <c r="I1099"/>
  <c r="K1099" s="1"/>
  <c r="AC1098"/>
  <c r="AC1099"/>
  <c r="AC1100"/>
  <c r="AC1101"/>
  <c r="AC1102"/>
  <c r="AC1103"/>
  <c r="AC1104"/>
  <c r="AC1105"/>
  <c r="AC1106"/>
  <c r="AC1107"/>
  <c r="AC1108"/>
  <c r="AC1109"/>
  <c r="I1111"/>
  <c r="K1111" s="1"/>
  <c r="AC1110"/>
  <c r="I1112"/>
  <c r="K1112"/>
  <c r="AC1111"/>
  <c r="AC1112"/>
  <c r="AC1113"/>
  <c r="AC1114"/>
  <c r="AC1115"/>
  <c r="AC1116"/>
  <c r="AC1117"/>
  <c r="AC1118"/>
  <c r="AC1119"/>
  <c r="AC1120"/>
  <c r="AC1121"/>
  <c r="AC1122"/>
  <c r="AC1123"/>
  <c r="AC1124"/>
  <c r="AC1125"/>
  <c r="AC1126"/>
  <c r="K1128"/>
  <c r="AC1127"/>
  <c r="K1129"/>
  <c r="AC1128"/>
  <c r="K1130"/>
  <c r="AC1129"/>
  <c r="AC1130"/>
  <c r="AC1131"/>
  <c r="AC1132"/>
  <c r="AC1133"/>
  <c r="AC1134"/>
  <c r="AC1135"/>
  <c r="AC1136"/>
  <c r="AC1137"/>
  <c r="AC1138"/>
  <c r="AC1139"/>
  <c r="AC1140"/>
  <c r="AC1141"/>
  <c r="K1143"/>
  <c r="AC1142"/>
  <c r="AC1143"/>
  <c r="K1145"/>
  <c r="C91" i="9" s="1"/>
  <c r="AC1144" i="1"/>
  <c r="AC1145"/>
  <c r="AC1146"/>
  <c r="AC1147"/>
  <c r="AC1148"/>
  <c r="AC1149"/>
  <c r="AC1150"/>
  <c r="AC1151"/>
  <c r="AC1152"/>
  <c r="AC1153"/>
  <c r="AC1154"/>
  <c r="AC1155"/>
  <c r="AC1156"/>
  <c r="AC1157"/>
  <c r="AC1158"/>
  <c r="AC1159"/>
  <c r="AC1160"/>
  <c r="AC1161"/>
  <c r="AC1162"/>
  <c r="AC1163"/>
  <c r="AC1164"/>
  <c r="AC1165"/>
  <c r="AC1166"/>
  <c r="AC1167"/>
  <c r="R1169"/>
  <c r="AC1168"/>
  <c r="AC1169"/>
  <c r="AC1170"/>
  <c r="AC1171"/>
  <c r="AC1172"/>
  <c r="AC1173"/>
  <c r="AC1174"/>
  <c r="AC1175"/>
  <c r="AC1176"/>
  <c r="I1178"/>
  <c r="K1178" s="1"/>
  <c r="AC1177"/>
  <c r="I1179"/>
  <c r="K1179"/>
  <c r="AC1178"/>
  <c r="I1180"/>
  <c r="K1180" s="1"/>
  <c r="S1180"/>
  <c r="AC1179"/>
  <c r="AC1180"/>
  <c r="AC1181"/>
  <c r="AC1182"/>
  <c r="AC1183"/>
  <c r="AC1184"/>
  <c r="AC1185"/>
  <c r="AC1186"/>
  <c r="AC1187"/>
  <c r="AC1188"/>
  <c r="AC1189"/>
  <c r="R1191"/>
  <c r="X1190"/>
  <c r="AC1190"/>
  <c r="AC1191"/>
  <c r="AC1192"/>
  <c r="AC1193"/>
  <c r="I1195"/>
  <c r="K1195" s="1"/>
  <c r="AB1194"/>
  <c r="AC1195"/>
  <c r="AC1196"/>
  <c r="P1198"/>
  <c r="P1293"/>
  <c r="R1293" s="1"/>
  <c r="AC1197"/>
  <c r="AC1198"/>
  <c r="AC1199"/>
  <c r="AC1200"/>
  <c r="AC1201"/>
  <c r="K1203"/>
  <c r="AB1202"/>
  <c r="AC1202"/>
  <c r="AC1203"/>
  <c r="AC1204"/>
  <c r="AC1205"/>
  <c r="AC1206"/>
  <c r="AC1207"/>
  <c r="AC1208"/>
  <c r="AC1209"/>
  <c r="AC1210"/>
  <c r="AC1211"/>
  <c r="R1213"/>
  <c r="AC1212"/>
  <c r="R1214"/>
  <c r="AC1213"/>
  <c r="AC1214"/>
  <c r="I1216"/>
  <c r="K1216" s="1"/>
  <c r="AC1215"/>
  <c r="I1217"/>
  <c r="K1217"/>
  <c r="AC1216"/>
  <c r="AC1217"/>
  <c r="R1219"/>
  <c r="AC1218"/>
  <c r="AC1219"/>
  <c r="AC1220"/>
  <c r="AC1221"/>
  <c r="AC1222"/>
  <c r="AC1223"/>
  <c r="AC1224"/>
  <c r="AC1225"/>
  <c r="AC1226"/>
  <c r="AC1227"/>
  <c r="AC1228"/>
  <c r="AC1229"/>
  <c r="AC1230"/>
  <c r="R1232"/>
  <c r="AC1231"/>
  <c r="R1233"/>
  <c r="AC1232"/>
  <c r="AC1233"/>
  <c r="AC1234"/>
  <c r="AC1235"/>
  <c r="AC1236"/>
  <c r="AC1237"/>
  <c r="AC1238"/>
  <c r="AC1239"/>
  <c r="AC1240"/>
  <c r="AC1241"/>
  <c r="AC1242"/>
  <c r="AC1243"/>
  <c r="R1245"/>
  <c r="AC1244"/>
  <c r="AC1245"/>
  <c r="AC1246"/>
  <c r="AC1247"/>
  <c r="AC1248"/>
  <c r="AC1249"/>
  <c r="AC1250"/>
  <c r="AC1251"/>
  <c r="AC1252"/>
  <c r="AC1253"/>
  <c r="AC1254"/>
  <c r="AC1255"/>
  <c r="AC1256"/>
  <c r="AC1257"/>
  <c r="AC1258"/>
  <c r="AC1259"/>
  <c r="AC1260"/>
  <c r="AC1261"/>
  <c r="AC1262"/>
  <c r="AC1263"/>
  <c r="AC1264"/>
  <c r="R1266"/>
  <c r="AC1265"/>
  <c r="AC1266"/>
  <c r="R1268"/>
  <c r="AC1267"/>
  <c r="AC1268"/>
  <c r="AC1269"/>
  <c r="AC1270"/>
  <c r="AC1271"/>
  <c r="AC1272"/>
  <c r="AC1273"/>
  <c r="AC1274"/>
  <c r="AC1275"/>
  <c r="AC1276"/>
  <c r="AC1277"/>
  <c r="AC1278"/>
  <c r="AC1279"/>
  <c r="AC1280"/>
  <c r="AC1281"/>
  <c r="AC1282"/>
  <c r="AC1283"/>
  <c r="I1285"/>
  <c r="K1285"/>
  <c r="AC1284"/>
  <c r="AC1285"/>
  <c r="AC1286"/>
  <c r="AC1287"/>
  <c r="AC1288"/>
  <c r="AC1289"/>
  <c r="AC1290"/>
  <c r="AC1291"/>
  <c r="AC1292"/>
  <c r="AC1293"/>
  <c r="AC1294"/>
  <c r="AC1295"/>
  <c r="AC1296"/>
  <c r="AC1297"/>
  <c r="AC1298"/>
  <c r="AC1299"/>
  <c r="AC1300"/>
  <c r="AC1301"/>
  <c r="AC1302"/>
  <c r="I1304"/>
  <c r="K1304" s="1"/>
  <c r="R1304"/>
  <c r="V1303"/>
  <c r="X1303"/>
  <c r="AC1303"/>
  <c r="AC1304"/>
  <c r="AC1305"/>
  <c r="I1307"/>
  <c r="K1307" s="1"/>
  <c r="AC1306"/>
  <c r="R1308"/>
  <c r="V1307"/>
  <c r="X1307" s="1"/>
  <c r="AC1307"/>
  <c r="R1309"/>
  <c r="V1308"/>
  <c r="X1308" s="1"/>
  <c r="AC1308"/>
  <c r="R1310"/>
  <c r="V1309"/>
  <c r="X1309" s="1"/>
  <c r="AC1309"/>
  <c r="R1311"/>
  <c r="V1310"/>
  <c r="X1310" s="1"/>
  <c r="AC1310"/>
  <c r="R1312"/>
  <c r="V1311"/>
  <c r="X1311" s="1"/>
  <c r="AC1311"/>
  <c r="R1313"/>
  <c r="V1312"/>
  <c r="X1312" s="1"/>
  <c r="AC1312"/>
  <c r="R1314"/>
  <c r="V1313"/>
  <c r="X1313" s="1"/>
  <c r="AC1313"/>
  <c r="AC1314"/>
  <c r="AC1315"/>
  <c r="AC1316"/>
  <c r="AC1317"/>
  <c r="AC1318"/>
  <c r="AC1319"/>
  <c r="P1321"/>
  <c r="P1338"/>
  <c r="AC1320"/>
  <c r="AC1321"/>
  <c r="AC1322"/>
  <c r="AC1323"/>
  <c r="P1325"/>
  <c r="R1325"/>
  <c r="AC1324"/>
  <c r="P1326"/>
  <c r="AC1325"/>
  <c r="P1327"/>
  <c r="AC1326"/>
  <c r="P1328"/>
  <c r="AC1327"/>
  <c r="P1329"/>
  <c r="V1328" s="1"/>
  <c r="AC1328"/>
  <c r="P1330"/>
  <c r="P1347"/>
  <c r="R1347" s="1"/>
  <c r="AC1329"/>
  <c r="P1331"/>
  <c r="V1330"/>
  <c r="AC1330"/>
  <c r="AC1331"/>
  <c r="AC1332"/>
  <c r="AC1333"/>
  <c r="AC1334"/>
  <c r="AC1335"/>
  <c r="AC1336"/>
  <c r="AC1337"/>
  <c r="AC1338"/>
  <c r="AC1339"/>
  <c r="AC1340"/>
  <c r="AC1341"/>
  <c r="AC1342"/>
  <c r="X1343"/>
  <c r="AC1343"/>
  <c r="AC1344"/>
  <c r="AC1345"/>
  <c r="AC1346"/>
  <c r="AC1347"/>
  <c r="AC1348"/>
  <c r="AC1349"/>
  <c r="AC1350"/>
  <c r="AC1351"/>
  <c r="AC1352"/>
  <c r="S1354"/>
  <c r="AC1353"/>
  <c r="S1355"/>
  <c r="AC1354"/>
  <c r="S1356"/>
  <c r="AC1355"/>
  <c r="S1357"/>
  <c r="AC1356"/>
  <c r="L1358"/>
  <c r="S1358"/>
  <c r="AC1357"/>
  <c r="AC1358"/>
  <c r="V1359"/>
  <c r="X1359"/>
  <c r="AC1359"/>
  <c r="AC1360"/>
  <c r="AC1361"/>
  <c r="AC1362"/>
  <c r="AC1363"/>
  <c r="M1365"/>
  <c r="AC1364"/>
  <c r="I1366"/>
  <c r="K1366" s="1"/>
  <c r="AC1365"/>
  <c r="AC1366"/>
  <c r="AC1367"/>
  <c r="AC1368"/>
  <c r="AC1369"/>
  <c r="X1370"/>
  <c r="Y1370"/>
  <c r="AB1370" s="1"/>
  <c r="AB1383"/>
  <c r="AC1370"/>
  <c r="X1371"/>
  <c r="AC1371"/>
  <c r="L1373"/>
  <c r="X1372"/>
  <c r="Y1372"/>
  <c r="AB1372" s="1"/>
  <c r="AC1372"/>
  <c r="X1373"/>
  <c r="AC1373"/>
  <c r="X1374"/>
  <c r="AC1374"/>
  <c r="X1375"/>
  <c r="AC1375"/>
  <c r="X1376"/>
  <c r="AC1376"/>
  <c r="X1377"/>
  <c r="AC1377"/>
  <c r="X1378"/>
  <c r="AC1378"/>
  <c r="X1379"/>
  <c r="AC1379"/>
  <c r="X1380"/>
  <c r="AC1380"/>
  <c r="S1382"/>
  <c r="X1381"/>
  <c r="AC1381"/>
  <c r="AC1382"/>
  <c r="AC1383"/>
  <c r="U1384"/>
  <c r="AC1384"/>
  <c r="AC1385"/>
  <c r="AC1386"/>
  <c r="AC1387"/>
  <c r="AC1388"/>
  <c r="AC1389"/>
  <c r="AC1390"/>
  <c r="AC1391"/>
  <c r="AC1392"/>
  <c r="AC1393"/>
  <c r="AC1394"/>
  <c r="AC1395"/>
  <c r="AC1396"/>
  <c r="AC1397"/>
  <c r="AC1398"/>
  <c r="AC1399"/>
  <c r="AC1400"/>
  <c r="AC1401"/>
  <c r="AC1402"/>
  <c r="AC1403"/>
  <c r="AC1404"/>
  <c r="S1406"/>
  <c r="AC1405"/>
  <c r="AC1406"/>
  <c r="AC1407"/>
  <c r="AC1408"/>
  <c r="AC1409"/>
  <c r="AC1410"/>
  <c r="AC1411"/>
  <c r="M1413"/>
  <c r="AC1412"/>
  <c r="AC1413"/>
  <c r="AC1414"/>
  <c r="AC1415"/>
  <c r="AC1416"/>
  <c r="AC1417"/>
  <c r="AC1418"/>
  <c r="AC1419"/>
  <c r="AC1420"/>
  <c r="AC1421"/>
  <c r="AC1422"/>
  <c r="AC1423"/>
  <c r="AC1424"/>
  <c r="AC1425"/>
  <c r="AC1426"/>
  <c r="AC1427"/>
  <c r="AC1428"/>
  <c r="AC1429"/>
  <c r="AC1430"/>
  <c r="AC1431"/>
  <c r="AC1432"/>
  <c r="I1434"/>
  <c r="R1434"/>
  <c r="S1434"/>
  <c r="T1433" s="1"/>
  <c r="U1433"/>
  <c r="AC1433"/>
  <c r="AC1434"/>
  <c r="AC1435"/>
  <c r="AC1436"/>
  <c r="AC1437"/>
  <c r="AC1438"/>
  <c r="AC1439"/>
  <c r="AC1440"/>
  <c r="AC1441"/>
  <c r="AC1442"/>
  <c r="AC1443"/>
  <c r="AC1444"/>
  <c r="I1446"/>
  <c r="K1446"/>
  <c r="AC1445"/>
  <c r="AC1446"/>
  <c r="AC1447"/>
  <c r="AC1448"/>
  <c r="AC1449"/>
  <c r="AC1450"/>
  <c r="AC1451"/>
  <c r="AC1452"/>
  <c r="AC1453"/>
  <c r="AC1454"/>
  <c r="AC1455"/>
  <c r="AC1456"/>
  <c r="AC1457"/>
  <c r="AC1458"/>
  <c r="AC1459"/>
  <c r="I1461"/>
  <c r="K1461" s="1"/>
  <c r="AC1460"/>
  <c r="AC1461"/>
  <c r="I1463"/>
  <c r="K1463" s="1"/>
  <c r="AC1462"/>
  <c r="AC1463"/>
  <c r="AC1464"/>
  <c r="AC1465"/>
  <c r="AC1466"/>
  <c r="AC1467"/>
  <c r="AC1468"/>
  <c r="AC1469"/>
  <c r="AC1470"/>
  <c r="AC1471"/>
  <c r="AC1472"/>
  <c r="AC1473"/>
  <c r="AC1474"/>
  <c r="I1476"/>
  <c r="AC1475"/>
  <c r="AC1476"/>
  <c r="AC1477"/>
  <c r="AC1478"/>
  <c r="AC1479"/>
  <c r="AC1480"/>
  <c r="AC1481"/>
  <c r="AC1482"/>
  <c r="AC1483"/>
  <c r="AC1484"/>
  <c r="AC1485"/>
  <c r="AC1486"/>
  <c r="I1488"/>
  <c r="K1488" s="1"/>
  <c r="AC1487"/>
  <c r="AC1488"/>
  <c r="AC1489"/>
  <c r="K1491"/>
  <c r="AC1490"/>
  <c r="I1492"/>
  <c r="K1492"/>
  <c r="AC1491"/>
  <c r="AC1492"/>
  <c r="AC1493"/>
  <c r="AC1494"/>
  <c r="AC1495"/>
  <c r="AC1496"/>
  <c r="AC1497"/>
  <c r="AC1498"/>
  <c r="AC1499"/>
  <c r="AC1500"/>
  <c r="AC1501"/>
  <c r="I1503"/>
  <c r="K1503" s="1"/>
  <c r="AC1502"/>
  <c r="AC1503"/>
  <c r="AC1504"/>
  <c r="AC1505"/>
  <c r="K1507"/>
  <c r="AC1506"/>
  <c r="AC1507"/>
  <c r="AC1508"/>
  <c r="AC1509"/>
  <c r="AC1510"/>
  <c r="AC1511"/>
  <c r="AC1512"/>
  <c r="AC1513"/>
  <c r="AC1514"/>
  <c r="I1516"/>
  <c r="K1516" s="1"/>
  <c r="AC1515"/>
  <c r="AC1516"/>
  <c r="AC1517"/>
  <c r="AC1518"/>
  <c r="K1520"/>
  <c r="AC1519"/>
  <c r="AC1520"/>
  <c r="AC1521"/>
  <c r="AC1522"/>
  <c r="AC1523"/>
  <c r="AC1524"/>
  <c r="AC1525"/>
  <c r="AC1526"/>
  <c r="AC1527"/>
  <c r="AC1528"/>
  <c r="AC1529"/>
  <c r="I1531"/>
  <c r="K1531" s="1"/>
  <c r="AC1530"/>
  <c r="AC1531"/>
  <c r="AC1532"/>
  <c r="AC1533"/>
  <c r="AC1534"/>
  <c r="AC1535"/>
  <c r="AC1536"/>
  <c r="AC1537"/>
  <c r="AC1538"/>
  <c r="AC1539"/>
  <c r="AC1540"/>
  <c r="AC1541"/>
  <c r="I1543"/>
  <c r="K1543" s="1"/>
  <c r="AC1542"/>
  <c r="AC1543"/>
  <c r="AC1544"/>
  <c r="AC1545"/>
  <c r="AC1546"/>
  <c r="AC1547"/>
  <c r="AC1548"/>
  <c r="AC1549"/>
  <c r="AC1550"/>
  <c r="AC1551"/>
  <c r="AC1552"/>
  <c r="AC1553"/>
  <c r="I1555"/>
  <c r="K1555" s="1"/>
  <c r="AC1554"/>
  <c r="I1556"/>
  <c r="K1556"/>
  <c r="AC1555"/>
  <c r="I1557"/>
  <c r="K1557" s="1"/>
  <c r="AC1556"/>
  <c r="I1558"/>
  <c r="K1558"/>
  <c r="AC1557"/>
  <c r="I1559"/>
  <c r="K1559" s="1"/>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K1595"/>
  <c r="AC1594"/>
  <c r="K1596"/>
  <c r="AC1595"/>
  <c r="AC1596"/>
  <c r="AC1597"/>
  <c r="AC1598"/>
  <c r="AC1599"/>
  <c r="AC1600"/>
  <c r="AC1601"/>
  <c r="AC1602"/>
  <c r="AC1603"/>
  <c r="AC1604"/>
  <c r="AC1605"/>
  <c r="K1607"/>
  <c r="K1611" s="1"/>
  <c r="AC1606"/>
  <c r="AC1607"/>
  <c r="AC1608"/>
  <c r="AC1609"/>
  <c r="AC1610"/>
  <c r="AC1611"/>
  <c r="AC1612"/>
  <c r="AC1613"/>
  <c r="AC1614"/>
  <c r="K1616"/>
  <c r="K1619"/>
  <c r="AC1615"/>
  <c r="AC1616"/>
  <c r="AC1617"/>
  <c r="AC1618"/>
  <c r="AC1619"/>
  <c r="AC1620"/>
  <c r="AC1621"/>
  <c r="K1623"/>
  <c r="AC1622"/>
  <c r="AC1623"/>
  <c r="AC1624"/>
  <c r="AC1625"/>
  <c r="AC1626"/>
  <c r="AC1627"/>
  <c r="AC1628"/>
  <c r="AC1629"/>
  <c r="AC1630"/>
  <c r="AC1631"/>
  <c r="AC1632"/>
  <c r="K1650"/>
  <c r="K1651"/>
  <c r="K1652"/>
  <c r="K1680"/>
  <c r="K1683"/>
  <c r="K1684"/>
  <c r="K1685"/>
  <c r="K1697"/>
  <c r="I1698"/>
  <c r="K1698" s="1"/>
  <c r="I1699"/>
  <c r="K1699" s="1"/>
  <c r="I1714"/>
  <c r="K1714" s="1"/>
  <c r="K1715"/>
  <c r="K1722"/>
  <c r="C175" i="9"/>
  <c r="K1725" i="1"/>
  <c r="C107" i="9"/>
  <c r="D338" i="5" s="1"/>
  <c r="F338" s="1"/>
  <c r="K1726" i="1"/>
  <c r="C205" i="9"/>
  <c r="N205" s="1"/>
  <c r="I1733" i="1"/>
  <c r="K1733" s="1"/>
  <c r="I1735"/>
  <c r="I2656" s="1"/>
  <c r="K2656"/>
  <c r="I1736"/>
  <c r="K1736"/>
  <c r="I1751"/>
  <c r="K1751"/>
  <c r="I1753"/>
  <c r="K1753"/>
  <c r="I1754"/>
  <c r="K1754"/>
  <c r="I1769"/>
  <c r="P1770"/>
  <c r="I1771"/>
  <c r="K1771"/>
  <c r="R1771"/>
  <c r="I1772"/>
  <c r="K1772" s="1"/>
  <c r="R1772"/>
  <c r="P1777"/>
  <c r="P1778"/>
  <c r="P1779"/>
  <c r="R1790"/>
  <c r="P1791"/>
  <c r="R1791"/>
  <c r="I1799"/>
  <c r="I2684"/>
  <c r="I1807"/>
  <c r="I1808"/>
  <c r="K1808" s="1"/>
  <c r="K1815"/>
  <c r="I1816"/>
  <c r="K1816"/>
  <c r="I1827"/>
  <c r="K1827"/>
  <c r="I1828"/>
  <c r="K1828"/>
  <c r="I1829"/>
  <c r="K1829"/>
  <c r="I1842"/>
  <c r="K1842"/>
  <c r="I1856"/>
  <c r="K1856"/>
  <c r="N1856"/>
  <c r="K1859"/>
  <c r="K1861"/>
  <c r="K1874"/>
  <c r="C117" i="9" s="1"/>
  <c r="I1888" i="1"/>
  <c r="K1888"/>
  <c r="I1906"/>
  <c r="K1906"/>
  <c r="I1926"/>
  <c r="K1926"/>
  <c r="I1945"/>
  <c r="K1945"/>
  <c r="I1970"/>
  <c r="K1970"/>
  <c r="I1971"/>
  <c r="K1971"/>
  <c r="I1972"/>
  <c r="K1972"/>
  <c r="I1973"/>
  <c r="K1973"/>
  <c r="I1994"/>
  <c r="K1994"/>
  <c r="I1995"/>
  <c r="K1995"/>
  <c r="I1996"/>
  <c r="K1996"/>
  <c r="I1997"/>
  <c r="K1997"/>
  <c r="I2014"/>
  <c r="K2014"/>
  <c r="K2019" s="1"/>
  <c r="I2015"/>
  <c r="K2015"/>
  <c r="K2016"/>
  <c r="I2025"/>
  <c r="K2025" s="1"/>
  <c r="I2037"/>
  <c r="K2037" s="1"/>
  <c r="K2040"/>
  <c r="C128" i="9" s="1"/>
  <c r="I2045" i="1"/>
  <c r="K2045" s="1"/>
  <c r="I2050"/>
  <c r="K2050" s="1"/>
  <c r="I2065"/>
  <c r="K2065" s="1"/>
  <c r="R2065"/>
  <c r="I2070"/>
  <c r="I2084"/>
  <c r="K2084" s="1"/>
  <c r="H2095"/>
  <c r="I2097"/>
  <c r="K2097"/>
  <c r="I2110"/>
  <c r="K2110"/>
  <c r="K2114" s="1"/>
  <c r="J2118"/>
  <c r="K2118" s="1"/>
  <c r="K2121" s="1"/>
  <c r="I2123"/>
  <c r="K2123"/>
  <c r="K2127" s="1"/>
  <c r="I2133"/>
  <c r="K2133" s="1"/>
  <c r="K2137" s="1"/>
  <c r="D378" i="5"/>
  <c r="I2142" i="1"/>
  <c r="K2142" s="1"/>
  <c r="K2146"/>
  <c r="C135" i="9" s="1"/>
  <c r="I2165" i="1"/>
  <c r="K2165" s="1"/>
  <c r="I2166"/>
  <c r="K2166" s="1"/>
  <c r="I2167"/>
  <c r="K2167" s="1"/>
  <c r="I2168"/>
  <c r="K2168" s="1"/>
  <c r="K2169"/>
  <c r="L2214"/>
  <c r="L2215"/>
  <c r="K2216"/>
  <c r="I2218"/>
  <c r="I2220"/>
  <c r="I2235"/>
  <c r="K2235" s="1"/>
  <c r="L2225"/>
  <c r="I2230"/>
  <c r="K2230"/>
  <c r="K2231"/>
  <c r="K2232"/>
  <c r="K2233"/>
  <c r="K2248"/>
  <c r="R2248"/>
  <c r="I2249"/>
  <c r="K2249" s="1"/>
  <c r="P2249"/>
  <c r="R2249" s="1"/>
  <c r="L2262"/>
  <c r="L2263" s="1"/>
  <c r="K2268"/>
  <c r="K2285"/>
  <c r="P2285"/>
  <c r="R2285" s="1"/>
  <c r="K2286"/>
  <c r="P2286"/>
  <c r="R2286"/>
  <c r="K2287"/>
  <c r="K2308"/>
  <c r="K2309"/>
  <c r="K2318"/>
  <c r="I2329"/>
  <c r="K2329"/>
  <c r="K2343"/>
  <c r="R2343"/>
  <c r="I2347"/>
  <c r="P2347"/>
  <c r="R2347" s="1"/>
  <c r="R2351"/>
  <c r="I2363"/>
  <c r="K2363"/>
  <c r="I2383"/>
  <c r="I2387"/>
  <c r="I2458" s="1"/>
  <c r="I2388"/>
  <c r="I2389"/>
  <c r="I2390"/>
  <c r="K2390"/>
  <c r="H2393"/>
  <c r="I2400"/>
  <c r="I2402" s="1"/>
  <c r="H2408"/>
  <c r="P2418"/>
  <c r="P2419"/>
  <c r="P2420"/>
  <c r="P2421"/>
  <c r="I2424"/>
  <c r="R2424"/>
  <c r="I2430"/>
  <c r="P2430"/>
  <c r="R2430" s="1"/>
  <c r="K2431"/>
  <c r="P2431"/>
  <c r="R2431"/>
  <c r="K2435"/>
  <c r="N2436"/>
  <c r="I2455"/>
  <c r="K2461"/>
  <c r="I2461" s="1"/>
  <c r="P2483"/>
  <c r="I2490"/>
  <c r="P2490"/>
  <c r="R2490" s="1"/>
  <c r="O2494"/>
  <c r="H2495"/>
  <c r="K2496"/>
  <c r="I2525"/>
  <c r="I2530"/>
  <c r="K2530" s="1"/>
  <c r="V2541"/>
  <c r="S2557" s="1"/>
  <c r="X2556" s="1"/>
  <c r="AC2541"/>
  <c r="V2543"/>
  <c r="AC2543"/>
  <c r="V2544"/>
  <c r="AC2544"/>
  <c r="I2546"/>
  <c r="P2546"/>
  <c r="M2555" s="1"/>
  <c r="V2548"/>
  <c r="V2550" s="1"/>
  <c r="S2556" s="1"/>
  <c r="AC2548"/>
  <c r="I2550"/>
  <c r="I2551" s="1"/>
  <c r="K2550"/>
  <c r="V2549"/>
  <c r="AC2549"/>
  <c r="P2551"/>
  <c r="M2556"/>
  <c r="M2554"/>
  <c r="S2554"/>
  <c r="Z2555"/>
  <c r="K2586"/>
  <c r="I2588"/>
  <c r="I2589"/>
  <c r="I2590"/>
  <c r="I2591"/>
  <c r="P2591" s="1"/>
  <c r="I2601"/>
  <c r="K2601" s="1"/>
  <c r="I2602"/>
  <c r="I2603" s="1"/>
  <c r="I2605"/>
  <c r="K2605" s="1"/>
  <c r="K2606"/>
  <c r="I2632"/>
  <c r="K2632"/>
  <c r="I2638"/>
  <c r="K2638"/>
  <c r="L2643"/>
  <c r="K2654"/>
  <c r="K2694"/>
  <c r="K2695"/>
  <c r="E2710"/>
  <c r="E2711"/>
  <c r="E2712"/>
  <c r="E2714"/>
  <c r="K2713"/>
  <c r="AE2727"/>
  <c r="Y2731"/>
  <c r="L2733"/>
  <c r="F2736" s="1"/>
  <c r="S2736"/>
  <c r="X2735" s="1"/>
  <c r="S2734"/>
  <c r="X2733" s="1"/>
  <c r="F2735"/>
  <c r="M2735"/>
  <c r="V2734"/>
  <c r="AE2735"/>
  <c r="M2736"/>
  <c r="I2737"/>
  <c r="K2737" s="1"/>
  <c r="V2736"/>
  <c r="X2736" s="1"/>
  <c r="S2738"/>
  <c r="S2739"/>
  <c r="S2740"/>
  <c r="S2741"/>
  <c r="S2742"/>
  <c r="S2743"/>
  <c r="S2744"/>
  <c r="K2745"/>
  <c r="R2745"/>
  <c r="S2745"/>
  <c r="X2744"/>
  <c r="J2752"/>
  <c r="K2755"/>
  <c r="K2756"/>
  <c r="M2768"/>
  <c r="M2769"/>
  <c r="I2775"/>
  <c r="P2778"/>
  <c r="K2787"/>
  <c r="K2788"/>
  <c r="I2789"/>
  <c r="K2789" s="1"/>
  <c r="I2790"/>
  <c r="K2790" s="1"/>
  <c r="I2791"/>
  <c r="K2791" s="1"/>
  <c r="I2792"/>
  <c r="K2792" s="1"/>
  <c r="K2804"/>
  <c r="I2805"/>
  <c r="K2805"/>
  <c r="P2837"/>
  <c r="P2838"/>
  <c r="P2839"/>
  <c r="I2884"/>
  <c r="I2885"/>
  <c r="I2888"/>
  <c r="I2891"/>
  <c r="P2891"/>
  <c r="R2891" s="1"/>
  <c r="I2892"/>
  <c r="P2892" s="1"/>
  <c r="R2892" s="1"/>
  <c r="K2916"/>
  <c r="I2930"/>
  <c r="K2930" s="1"/>
  <c r="K2933"/>
  <c r="K2935"/>
  <c r="C204" i="9"/>
  <c r="D516" i="5" s="1"/>
  <c r="K2938" i="1"/>
  <c r="K2962" s="1"/>
  <c r="I2976"/>
  <c r="F2977"/>
  <c r="I2977"/>
  <c r="F2996"/>
  <c r="K3003"/>
  <c r="K3026"/>
  <c r="K3040"/>
  <c r="K3041"/>
  <c r="P3054"/>
  <c r="M3070" s="1"/>
  <c r="P3055"/>
  <c r="M3067" s="1"/>
  <c r="P3057"/>
  <c r="M3068" s="1"/>
  <c r="P3060"/>
  <c r="P3061"/>
  <c r="F3069"/>
  <c r="I3069"/>
  <c r="P3069"/>
  <c r="I3071"/>
  <c r="K3071" s="1"/>
  <c r="I3072"/>
  <c r="P3072" s="1"/>
  <c r="R3072"/>
  <c r="I3073"/>
  <c r="K3073"/>
  <c r="I3074"/>
  <c r="K3074"/>
  <c r="I3075"/>
  <c r="K3075"/>
  <c r="I3076"/>
  <c r="K3093"/>
  <c r="R3105"/>
  <c r="I3106"/>
  <c r="K3106" s="1"/>
  <c r="R3109"/>
  <c r="R3110"/>
  <c r="R3111"/>
  <c r="K3119"/>
  <c r="K3133"/>
  <c r="R3138"/>
  <c r="R3139"/>
  <c r="R3140"/>
  <c r="R3141"/>
  <c r="P3144"/>
  <c r="R3144"/>
  <c r="P3145"/>
  <c r="R3145"/>
  <c r="P3146"/>
  <c r="I3148"/>
  <c r="K3148" s="1"/>
  <c r="L3149"/>
  <c r="K3164"/>
  <c r="L3165"/>
  <c r="R3174"/>
  <c r="P3178"/>
  <c r="I3245" s="1"/>
  <c r="K3245" s="1"/>
  <c r="P3179"/>
  <c r="R3179"/>
  <c r="P3180"/>
  <c r="I3187"/>
  <c r="K3187" s="1"/>
  <c r="L3187"/>
  <c r="L3191"/>
  <c r="I3192"/>
  <c r="K3192" s="1"/>
  <c r="K3202"/>
  <c r="V3201"/>
  <c r="X3201"/>
  <c r="K3205"/>
  <c r="V3204"/>
  <c r="X3204" s="1"/>
  <c r="K3206"/>
  <c r="V3205"/>
  <c r="X3205"/>
  <c r="K3207"/>
  <c r="P3207"/>
  <c r="P3239" s="1"/>
  <c r="P3276" s="1"/>
  <c r="R3276" s="1"/>
  <c r="V3206"/>
  <c r="X3206"/>
  <c r="K3208"/>
  <c r="V3207"/>
  <c r="X3207" s="1"/>
  <c r="K3209"/>
  <c r="V3208"/>
  <c r="X3208"/>
  <c r="K3210"/>
  <c r="V3209"/>
  <c r="X3209" s="1"/>
  <c r="K3211"/>
  <c r="V3210"/>
  <c r="X3210"/>
  <c r="I3222"/>
  <c r="K3222"/>
  <c r="I3223"/>
  <c r="K3223"/>
  <c r="I3224"/>
  <c r="K3224"/>
  <c r="I3225"/>
  <c r="K3225"/>
  <c r="I3228"/>
  <c r="K3228"/>
  <c r="I3230"/>
  <c r="I3231"/>
  <c r="P3240"/>
  <c r="R3240"/>
  <c r="K3241"/>
  <c r="P3241"/>
  <c r="R3241" s="1"/>
  <c r="P3242"/>
  <c r="R3242" s="1"/>
  <c r="K3261"/>
  <c r="I3310"/>
  <c r="P3353"/>
  <c r="P3354"/>
  <c r="P3355"/>
  <c r="R3364"/>
  <c r="R3366"/>
  <c r="C238" i="9" s="1"/>
  <c r="J238" s="1"/>
  <c r="P3374" i="1"/>
  <c r="R3374"/>
  <c r="K3375"/>
  <c r="P3376"/>
  <c r="R3376" s="1"/>
  <c r="I3383"/>
  <c r="K3383" s="1"/>
  <c r="I3387"/>
  <c r="J3398"/>
  <c r="J3399"/>
  <c r="J3400"/>
  <c r="K3402"/>
  <c r="H3" i="13"/>
  <c r="J3"/>
  <c r="O3"/>
  <c r="Q3"/>
  <c r="U3"/>
  <c r="W3"/>
  <c r="AG6"/>
  <c r="AK8"/>
  <c r="X9"/>
  <c r="X10" s="1"/>
  <c r="Z9"/>
  <c r="AC9" s="1"/>
  <c r="C68" s="1"/>
  <c r="I294" s="1"/>
  <c r="K294" s="1"/>
  <c r="K303" s="1"/>
  <c r="K305" s="1"/>
  <c r="AK9"/>
  <c r="C10"/>
  <c r="W10"/>
  <c r="AK10"/>
  <c r="A11"/>
  <c r="A12"/>
  <c r="A13" s="1"/>
  <c r="A14" s="1"/>
  <c r="A15" s="1"/>
  <c r="A16"/>
  <c r="A17" s="1"/>
  <c r="A18" s="1"/>
  <c r="A19" s="1"/>
  <c r="A20" s="1"/>
  <c r="A21" s="1"/>
  <c r="A22" s="1"/>
  <c r="A23" s="1"/>
  <c r="A24"/>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P11"/>
  <c r="R11"/>
  <c r="X11"/>
  <c r="X12" s="1"/>
  <c r="X13" s="1"/>
  <c r="X14" s="1"/>
  <c r="X15" s="1"/>
  <c r="AK11"/>
  <c r="C12"/>
  <c r="P68"/>
  <c r="R68" s="1"/>
  <c r="W12"/>
  <c r="W36" s="1"/>
  <c r="AK12"/>
  <c r="C13"/>
  <c r="W13"/>
  <c r="W37" s="1"/>
  <c r="AK13"/>
  <c r="C14"/>
  <c r="D14"/>
  <c r="W14"/>
  <c r="AK14"/>
  <c r="C15"/>
  <c r="W15"/>
  <c r="AK15"/>
  <c r="C16"/>
  <c r="D16"/>
  <c r="X16"/>
  <c r="X17" s="1"/>
  <c r="Z16"/>
  <c r="Z17" s="1"/>
  <c r="AC17" s="1"/>
  <c r="AK16"/>
  <c r="C17"/>
  <c r="I1703"/>
  <c r="K1703" s="1"/>
  <c r="D17"/>
  <c r="AK17"/>
  <c r="C18"/>
  <c r="X18"/>
  <c r="X29" s="1"/>
  <c r="Z18"/>
  <c r="Z29" s="1"/>
  <c r="Z34" s="1"/>
  <c r="AC34" s="1"/>
  <c r="C77" s="1"/>
  <c r="I443" s="1"/>
  <c r="K443" s="1"/>
  <c r="K451" s="1"/>
  <c r="K453" s="1"/>
  <c r="I458" s="1"/>
  <c r="K458" s="1"/>
  <c r="K462" s="1"/>
  <c r="K464" s="1"/>
  <c r="K466" s="1"/>
  <c r="AK18"/>
  <c r="W19"/>
  <c r="X19"/>
  <c r="X20" s="1"/>
  <c r="Z19"/>
  <c r="Z20" s="1"/>
  <c r="AC20" s="1"/>
  <c r="I224" s="1"/>
  <c r="K224" s="1"/>
  <c r="K231" s="1"/>
  <c r="K233" s="1"/>
  <c r="AK19"/>
  <c r="W20"/>
  <c r="AK20"/>
  <c r="X21"/>
  <c r="AC21"/>
  <c r="C83"/>
  <c r="I1285" s="1"/>
  <c r="K1285"/>
  <c r="AK21"/>
  <c r="AC22"/>
  <c r="C84" s="1"/>
  <c r="AK22"/>
  <c r="X23"/>
  <c r="Z23"/>
  <c r="AC23" s="1"/>
  <c r="C85" s="1"/>
  <c r="AK23"/>
  <c r="P24"/>
  <c r="R24" s="1"/>
  <c r="AC24"/>
  <c r="C86" s="1"/>
  <c r="AK24"/>
  <c r="C25"/>
  <c r="K282"/>
  <c r="AC25"/>
  <c r="C87"/>
  <c r="I2166" s="1"/>
  <c r="K2166"/>
  <c r="AK25"/>
  <c r="C26"/>
  <c r="AC26"/>
  <c r="C88"/>
  <c r="AK26"/>
  <c r="C27"/>
  <c r="AC27"/>
  <c r="C89"/>
  <c r="AK27"/>
  <c r="AC28"/>
  <c r="C90" s="1"/>
  <c r="AK28"/>
  <c r="C29"/>
  <c r="W29"/>
  <c r="AK29"/>
  <c r="C30"/>
  <c r="I1085" s="1"/>
  <c r="I2262" s="1"/>
  <c r="D30"/>
  <c r="P212"/>
  <c r="R212" s="1"/>
  <c r="AC30"/>
  <c r="C136" s="1"/>
  <c r="I1168"/>
  <c r="K1168" s="1"/>
  <c r="AK30"/>
  <c r="C31"/>
  <c r="D31"/>
  <c r="AK31"/>
  <c r="D32"/>
  <c r="AC32"/>
  <c r="AK32"/>
  <c r="D33"/>
  <c r="AC33"/>
  <c r="AK33"/>
  <c r="W34"/>
  <c r="Y34"/>
  <c r="AK34"/>
  <c r="W35"/>
  <c r="AK35"/>
  <c r="AK36"/>
  <c r="AC38"/>
  <c r="C35"/>
  <c r="D40"/>
  <c r="C41"/>
  <c r="P53"/>
  <c r="R53"/>
  <c r="C61"/>
  <c r="D61"/>
  <c r="C66"/>
  <c r="C67"/>
  <c r="I9"/>
  <c r="K9" s="1"/>
  <c r="P67"/>
  <c r="R67" s="1"/>
  <c r="I74"/>
  <c r="K74" s="1"/>
  <c r="P81"/>
  <c r="R81" s="1"/>
  <c r="P83"/>
  <c r="R83" s="1"/>
  <c r="I95"/>
  <c r="K95" s="1"/>
  <c r="I110"/>
  <c r="K110" s="1"/>
  <c r="C138"/>
  <c r="C140"/>
  <c r="C141"/>
  <c r="I152"/>
  <c r="K152"/>
  <c r="I154"/>
  <c r="K154"/>
  <c r="K156"/>
  <c r="I183"/>
  <c r="K183" s="1"/>
  <c r="I184"/>
  <c r="K184" s="1"/>
  <c r="K185"/>
  <c r="P211"/>
  <c r="R211"/>
  <c r="P213"/>
  <c r="R213"/>
  <c r="P214"/>
  <c r="R214"/>
  <c r="P215"/>
  <c r="R215"/>
  <c r="P216"/>
  <c r="R216"/>
  <c r="P217"/>
  <c r="R217"/>
  <c r="P218"/>
  <c r="R218"/>
  <c r="I240"/>
  <c r="K240"/>
  <c r="I243"/>
  <c r="K243"/>
  <c r="K244"/>
  <c r="K255"/>
  <c r="K256"/>
  <c r="P267"/>
  <c r="R267" s="1"/>
  <c r="I273"/>
  <c r="K273" s="1"/>
  <c r="I274"/>
  <c r="K274" s="1"/>
  <c r="P285"/>
  <c r="R285" s="1"/>
  <c r="P286"/>
  <c r="R286" s="1"/>
  <c r="P296"/>
  <c r="R296" s="1"/>
  <c r="P297"/>
  <c r="R297" s="1"/>
  <c r="I299"/>
  <c r="K299" s="1"/>
  <c r="P307"/>
  <c r="R307" s="1"/>
  <c r="P308"/>
  <c r="R308" s="1"/>
  <c r="P309"/>
  <c r="R309" s="1"/>
  <c r="H310"/>
  <c r="H332"/>
  <c r="F334"/>
  <c r="H334"/>
  <c r="F335"/>
  <c r="H352"/>
  <c r="F354"/>
  <c r="H354"/>
  <c r="F355"/>
  <c r="P366"/>
  <c r="R366"/>
  <c r="H376"/>
  <c r="P377"/>
  <c r="R377" s="1"/>
  <c r="F378"/>
  <c r="H378"/>
  <c r="I380"/>
  <c r="K380" s="1"/>
  <c r="I382"/>
  <c r="K382" s="1"/>
  <c r="P391"/>
  <c r="R391" s="1"/>
  <c r="I394"/>
  <c r="K394" s="1"/>
  <c r="H407"/>
  <c r="F409"/>
  <c r="H409"/>
  <c r="P432"/>
  <c r="R432"/>
  <c r="P438"/>
  <c r="R438"/>
  <c r="P439"/>
  <c r="R439"/>
  <c r="P440"/>
  <c r="R440"/>
  <c r="P451"/>
  <c r="R451"/>
  <c r="P456"/>
  <c r="R456"/>
  <c r="P457"/>
  <c r="R457"/>
  <c r="P458"/>
  <c r="R458"/>
  <c r="P469"/>
  <c r="R469"/>
  <c r="P474"/>
  <c r="R474"/>
  <c r="P475"/>
  <c r="R475"/>
  <c r="P476"/>
  <c r="R476"/>
  <c r="I484"/>
  <c r="K484"/>
  <c r="P491"/>
  <c r="R491"/>
  <c r="P493"/>
  <c r="R493"/>
  <c r="P494"/>
  <c r="R494"/>
  <c r="R499"/>
  <c r="K507"/>
  <c r="P509"/>
  <c r="R509"/>
  <c r="P511"/>
  <c r="R511"/>
  <c r="P512"/>
  <c r="R512"/>
  <c r="R517"/>
  <c r="I519"/>
  <c r="K519" s="1"/>
  <c r="I520"/>
  <c r="K520" s="1"/>
  <c r="J527"/>
  <c r="J528"/>
  <c r="J529"/>
  <c r="P529"/>
  <c r="R529"/>
  <c r="J530"/>
  <c r="J531"/>
  <c r="P531"/>
  <c r="R531"/>
  <c r="P532"/>
  <c r="R532"/>
  <c r="P535"/>
  <c r="R535"/>
  <c r="I536"/>
  <c r="K536"/>
  <c r="R537"/>
  <c r="J543"/>
  <c r="J544"/>
  <c r="J545"/>
  <c r="J546"/>
  <c r="J547"/>
  <c r="P555"/>
  <c r="R555"/>
  <c r="I559"/>
  <c r="K559"/>
  <c r="P560"/>
  <c r="R560"/>
  <c r="I561"/>
  <c r="K561"/>
  <c r="P561"/>
  <c r="R561"/>
  <c r="P562"/>
  <c r="R562"/>
  <c r="J568"/>
  <c r="J569"/>
  <c r="J570"/>
  <c r="J571"/>
  <c r="J572"/>
  <c r="I575"/>
  <c r="K575" s="1"/>
  <c r="I576"/>
  <c r="K576" s="1"/>
  <c r="I577"/>
  <c r="K577" s="1"/>
  <c r="J583"/>
  <c r="J584"/>
  <c r="J585"/>
  <c r="J586"/>
  <c r="J587"/>
  <c r="I590"/>
  <c r="K590"/>
  <c r="C593"/>
  <c r="I593"/>
  <c r="K593" s="1"/>
  <c r="P600"/>
  <c r="R600" s="1"/>
  <c r="P607"/>
  <c r="R607" s="1"/>
  <c r="P618"/>
  <c r="R618" s="1"/>
  <c r="P620"/>
  <c r="R620" s="1"/>
  <c r="I622"/>
  <c r="K622" s="1"/>
  <c r="I623"/>
  <c r="K623" s="1"/>
  <c r="P630"/>
  <c r="R630" s="1"/>
  <c r="P636"/>
  <c r="R636" s="1"/>
  <c r="P637"/>
  <c r="R637" s="1"/>
  <c r="P638"/>
  <c r="R638" s="1"/>
  <c r="I643"/>
  <c r="K643" s="1"/>
  <c r="I644"/>
  <c r="K644" s="1"/>
  <c r="K645"/>
  <c r="P648"/>
  <c r="R648"/>
  <c r="R652" s="1"/>
  <c r="P658"/>
  <c r="R658" s="1"/>
  <c r="R662" s="1"/>
  <c r="I662"/>
  <c r="K662"/>
  <c r="I663"/>
  <c r="K663"/>
  <c r="K664"/>
  <c r="P668"/>
  <c r="R668" s="1"/>
  <c r="R672" s="1"/>
  <c r="P679"/>
  <c r="R679"/>
  <c r="R683" s="1"/>
  <c r="I680"/>
  <c r="K680" s="1"/>
  <c r="K686" s="1"/>
  <c r="I688" s="1"/>
  <c r="K688" s="1"/>
  <c r="K693" s="1"/>
  <c r="K695" s="1"/>
  <c r="K764" s="1"/>
  <c r="I681"/>
  <c r="K681" s="1"/>
  <c r="I683"/>
  <c r="K683" s="1"/>
  <c r="I690"/>
  <c r="K690" s="1"/>
  <c r="P690"/>
  <c r="R690" s="1"/>
  <c r="P691"/>
  <c r="R691" s="1"/>
  <c r="P692"/>
  <c r="R692" s="1"/>
  <c r="P693"/>
  <c r="R693" s="1"/>
  <c r="P694"/>
  <c r="R694" s="1"/>
  <c r="P695"/>
  <c r="R695" s="1"/>
  <c r="P705"/>
  <c r="R705" s="1"/>
  <c r="I706"/>
  <c r="K706" s="1"/>
  <c r="P707"/>
  <c r="R707" s="1"/>
  <c r="I708"/>
  <c r="K708" s="1"/>
  <c r="P708"/>
  <c r="R708" s="1"/>
  <c r="P709"/>
  <c r="R709" s="1"/>
  <c r="P710"/>
  <c r="R710" s="1"/>
  <c r="P721"/>
  <c r="R721" s="1"/>
  <c r="I722"/>
  <c r="K722" s="1"/>
  <c r="I743" s="1"/>
  <c r="K743" s="1"/>
  <c r="I723"/>
  <c r="K723" s="1"/>
  <c r="P723"/>
  <c r="R723" s="1"/>
  <c r="K724"/>
  <c r="P724"/>
  <c r="R724"/>
  <c r="P725"/>
  <c r="R725"/>
  <c r="I726"/>
  <c r="K726"/>
  <c r="P726"/>
  <c r="R726"/>
  <c r="K728"/>
  <c r="K729"/>
  <c r="R740"/>
  <c r="R745"/>
  <c r="I746"/>
  <c r="K746"/>
  <c r="I748"/>
  <c r="K748"/>
  <c r="K750"/>
  <c r="K751"/>
  <c r="K752"/>
  <c r="R753"/>
  <c r="A754"/>
  <c r="P762"/>
  <c r="R762" s="1"/>
  <c r="R769" s="1"/>
  <c r="R771" s="1"/>
  <c r="I772"/>
  <c r="K772" s="1"/>
  <c r="I774"/>
  <c r="K774" s="1"/>
  <c r="I775"/>
  <c r="K775" s="1"/>
  <c r="R779"/>
  <c r="R792" s="1"/>
  <c r="P782"/>
  <c r="R782" s="1"/>
  <c r="I783"/>
  <c r="K783" s="1"/>
  <c r="R783"/>
  <c r="R784"/>
  <c r="R785"/>
  <c r="R786"/>
  <c r="R788"/>
  <c r="R789"/>
  <c r="R798"/>
  <c r="R810" s="1"/>
  <c r="P801"/>
  <c r="R801" s="1"/>
  <c r="R802"/>
  <c r="R803"/>
  <c r="R804"/>
  <c r="R805"/>
  <c r="R806"/>
  <c r="R807"/>
  <c r="K817"/>
  <c r="K818"/>
  <c r="K819"/>
  <c r="K820"/>
  <c r="I821"/>
  <c r="K821" s="1"/>
  <c r="I822"/>
  <c r="K822" s="1"/>
  <c r="K823"/>
  <c r="R834"/>
  <c r="K835"/>
  <c r="K836"/>
  <c r="K837"/>
  <c r="P837"/>
  <c r="R837"/>
  <c r="K838"/>
  <c r="R838"/>
  <c r="R839"/>
  <c r="I840"/>
  <c r="K840" s="1"/>
  <c r="R840"/>
  <c r="K841"/>
  <c r="R841"/>
  <c r="R843"/>
  <c r="R844"/>
  <c r="R847"/>
  <c r="K853"/>
  <c r="K854"/>
  <c r="H855"/>
  <c r="K855"/>
  <c r="K856"/>
  <c r="I858"/>
  <c r="K858"/>
  <c r="H859"/>
  <c r="K859"/>
  <c r="R869"/>
  <c r="R870"/>
  <c r="R871"/>
  <c r="R875" s="1"/>
  <c r="I914"/>
  <c r="I915"/>
  <c r="K915" s="1"/>
  <c r="I916"/>
  <c r="I917"/>
  <c r="K917" s="1"/>
  <c r="I918"/>
  <c r="I919"/>
  <c r="K919"/>
  <c r="I920"/>
  <c r="K920"/>
  <c r="I950"/>
  <c r="K950"/>
  <c r="I951"/>
  <c r="K951"/>
  <c r="I952"/>
  <c r="K952"/>
  <c r="I953"/>
  <c r="K953"/>
  <c r="I954"/>
  <c r="K954"/>
  <c r="I955"/>
  <c r="K955"/>
  <c r="I978"/>
  <c r="K978"/>
  <c r="I979"/>
  <c r="K979"/>
  <c r="I980"/>
  <c r="K980"/>
  <c r="I981"/>
  <c r="K981"/>
  <c r="I982"/>
  <c r="K982"/>
  <c r="I983"/>
  <c r="K983"/>
  <c r="I984"/>
  <c r="K984"/>
  <c r="I1013"/>
  <c r="K1013"/>
  <c r="I1014"/>
  <c r="K1014"/>
  <c r="I1015"/>
  <c r="I1016"/>
  <c r="I1017"/>
  <c r="K1017"/>
  <c r="I1018"/>
  <c r="K1018"/>
  <c r="I1019"/>
  <c r="I1020"/>
  <c r="I1030"/>
  <c r="K1030" s="1"/>
  <c r="I1031"/>
  <c r="K1031" s="1"/>
  <c r="I1032"/>
  <c r="K1032" s="1"/>
  <c r="I1033"/>
  <c r="K1033" s="1"/>
  <c r="I1034"/>
  <c r="K1034" s="1"/>
  <c r="I1035"/>
  <c r="K1035" s="1"/>
  <c r="I1045"/>
  <c r="K1045" s="1"/>
  <c r="I1046"/>
  <c r="K1046" s="1"/>
  <c r="I1047"/>
  <c r="K1047" s="1"/>
  <c r="I1048"/>
  <c r="K1048" s="1"/>
  <c r="I1049"/>
  <c r="K1049" s="1"/>
  <c r="I1050"/>
  <c r="K1050" s="1"/>
  <c r="I1060"/>
  <c r="K1060" s="1"/>
  <c r="I1061"/>
  <c r="K1061" s="1"/>
  <c r="I1062"/>
  <c r="K1062" s="1"/>
  <c r="I1063"/>
  <c r="K1063" s="1"/>
  <c r="I1064"/>
  <c r="K1064" s="1"/>
  <c r="K1086"/>
  <c r="I1087"/>
  <c r="I2264" s="1"/>
  <c r="K1087"/>
  <c r="K1088"/>
  <c r="I1089"/>
  <c r="K1089" s="1"/>
  <c r="K1090"/>
  <c r="K1091"/>
  <c r="I1101"/>
  <c r="K1101" s="1"/>
  <c r="I1102"/>
  <c r="K1102" s="1"/>
  <c r="I1103"/>
  <c r="K1103" s="1"/>
  <c r="I1104"/>
  <c r="K1104" s="1"/>
  <c r="I1114"/>
  <c r="K1114" s="1"/>
  <c r="I1115"/>
  <c r="K1115" s="1"/>
  <c r="I1116"/>
  <c r="K1116" s="1"/>
  <c r="I1117"/>
  <c r="K1117" s="1"/>
  <c r="I1131"/>
  <c r="K1131" s="1"/>
  <c r="K1132"/>
  <c r="K1133"/>
  <c r="I1146"/>
  <c r="K1146" s="1"/>
  <c r="I1156"/>
  <c r="K1156" s="1"/>
  <c r="I1157"/>
  <c r="K1157" s="1"/>
  <c r="I1172"/>
  <c r="K1172" s="1"/>
  <c r="I1173"/>
  <c r="K1173" s="1"/>
  <c r="I1174"/>
  <c r="K1174" s="1"/>
  <c r="I1176"/>
  <c r="K1176" s="1"/>
  <c r="I1177"/>
  <c r="K1177" s="1"/>
  <c r="I1178"/>
  <c r="K1178" s="1"/>
  <c r="I1181"/>
  <c r="K1181" s="1"/>
  <c r="I1182"/>
  <c r="K1182" s="1"/>
  <c r="I1183"/>
  <c r="K1183" s="1"/>
  <c r="I1184"/>
  <c r="K1184" s="1"/>
  <c r="I1198"/>
  <c r="K1198" s="1"/>
  <c r="I1201"/>
  <c r="K1201" s="1"/>
  <c r="I1202"/>
  <c r="K1202" s="1"/>
  <c r="I1203"/>
  <c r="K1203" s="1"/>
  <c r="I1205"/>
  <c r="K1205" s="1"/>
  <c r="I1206"/>
  <c r="K1206" s="1"/>
  <c r="I1207"/>
  <c r="K1207" s="1"/>
  <c r="I1208"/>
  <c r="K1208" s="1"/>
  <c r="I1209"/>
  <c r="K1209" s="1"/>
  <c r="I1219"/>
  <c r="K1219" s="1"/>
  <c r="I1220"/>
  <c r="K1220" s="1"/>
  <c r="I1222"/>
  <c r="K1222" s="1"/>
  <c r="I1223"/>
  <c r="K1223" s="1"/>
  <c r="I1236"/>
  <c r="K1236" s="1"/>
  <c r="I1237"/>
  <c r="K1237" s="1"/>
  <c r="I1238"/>
  <c r="K1238" s="1"/>
  <c r="I1239"/>
  <c r="K1239" s="1"/>
  <c r="I1255"/>
  <c r="K1255" s="1"/>
  <c r="I1256"/>
  <c r="K1256" s="1"/>
  <c r="I1269"/>
  <c r="K1269" s="1"/>
  <c r="I1270"/>
  <c r="K1270" s="1"/>
  <c r="I1288"/>
  <c r="K1288" s="1"/>
  <c r="I1289"/>
  <c r="K1289" s="1"/>
  <c r="I1290"/>
  <c r="K1290" s="1"/>
  <c r="I1291"/>
  <c r="K1291" s="1"/>
  <c r="I1307"/>
  <c r="K1307" s="1"/>
  <c r="I1310"/>
  <c r="K1310" s="1"/>
  <c r="I1311"/>
  <c r="K1311" s="1"/>
  <c r="I1312"/>
  <c r="K1312" s="1"/>
  <c r="I1313"/>
  <c r="K1313" s="1"/>
  <c r="I1325"/>
  <c r="K1325" s="1"/>
  <c r="I1326"/>
  <c r="K1326" s="1"/>
  <c r="I1338"/>
  <c r="K1338" s="1"/>
  <c r="I1339"/>
  <c r="K1339" s="1"/>
  <c r="I1350"/>
  <c r="K1350" s="1"/>
  <c r="I1351"/>
  <c r="K1351" s="1"/>
  <c r="I1352"/>
  <c r="K1352" s="1"/>
  <c r="I1365"/>
  <c r="K1365" s="1"/>
  <c r="I1366"/>
  <c r="K1366" s="1"/>
  <c r="I1368"/>
  <c r="K1368" s="1"/>
  <c r="I1385"/>
  <c r="K1385" s="1"/>
  <c r="I1386"/>
  <c r="K1386" s="1"/>
  <c r="I1397"/>
  <c r="K1397" s="1"/>
  <c r="I1398"/>
  <c r="K1398" s="1"/>
  <c r="I1410"/>
  <c r="K1410" s="1"/>
  <c r="I1411"/>
  <c r="K1411" s="1"/>
  <c r="I1422"/>
  <c r="K1422" s="1"/>
  <c r="I1423"/>
  <c r="K1423" s="1"/>
  <c r="I1436"/>
  <c r="K1436" s="1"/>
  <c r="I1437"/>
  <c r="K1437" s="1"/>
  <c r="I1438"/>
  <c r="K1438" s="1"/>
  <c r="K1448"/>
  <c r="I1449"/>
  <c r="K1449"/>
  <c r="I1450"/>
  <c r="K1450"/>
  <c r="I1463"/>
  <c r="K1463"/>
  <c r="I1464"/>
  <c r="K1464"/>
  <c r="I1465"/>
  <c r="K1465"/>
  <c r="I1466"/>
  <c r="K1466"/>
  <c r="I1478"/>
  <c r="K1478"/>
  <c r="I1479"/>
  <c r="K1479"/>
  <c r="I1490"/>
  <c r="K1490"/>
  <c r="I1492"/>
  <c r="K1492"/>
  <c r="K1493"/>
  <c r="I1494"/>
  <c r="K1494" s="1"/>
  <c r="I1495"/>
  <c r="K1495" s="1"/>
  <c r="I1504"/>
  <c r="K1504" s="1"/>
  <c r="I1505"/>
  <c r="K1505" s="1"/>
  <c r="O1506"/>
  <c r="I1507"/>
  <c r="K1507"/>
  <c r="O1507"/>
  <c r="K1509"/>
  <c r="I1518"/>
  <c r="K1518"/>
  <c r="I1519"/>
  <c r="K1519"/>
  <c r="I1520"/>
  <c r="K1520"/>
  <c r="K1522"/>
  <c r="I1532"/>
  <c r="K1532" s="1"/>
  <c r="I1533"/>
  <c r="K1533" s="1"/>
  <c r="I1545"/>
  <c r="K1545" s="1"/>
  <c r="I1546"/>
  <c r="K1546" s="1"/>
  <c r="I1557"/>
  <c r="K1557" s="1"/>
  <c r="I1558"/>
  <c r="K1558" s="1"/>
  <c r="I1559"/>
  <c r="K1559" s="1"/>
  <c r="I1560"/>
  <c r="K1560" s="1"/>
  <c r="I1561"/>
  <c r="K1561" s="1"/>
  <c r="I1576"/>
  <c r="K1576" s="1"/>
  <c r="I1577"/>
  <c r="K1577" s="1"/>
  <c r="I1578"/>
  <c r="K1578" s="1"/>
  <c r="K1597"/>
  <c r="K1598"/>
  <c r="K1601"/>
  <c r="K1609"/>
  <c r="K1613"/>
  <c r="K1618"/>
  <c r="K1621"/>
  <c r="K1625"/>
  <c r="K1628"/>
  <c r="I1639"/>
  <c r="K1639"/>
  <c r="K1652"/>
  <c r="K1653"/>
  <c r="K1654"/>
  <c r="I1681"/>
  <c r="K1681" s="1"/>
  <c r="K1682"/>
  <c r="K1685"/>
  <c r="K1686"/>
  <c r="K1687"/>
  <c r="I1688"/>
  <c r="K1688" s="1"/>
  <c r="K1699"/>
  <c r="K1700"/>
  <c r="K1701"/>
  <c r="K1713"/>
  <c r="K1714"/>
  <c r="I1715"/>
  <c r="K1715"/>
  <c r="K1716"/>
  <c r="K1717"/>
  <c r="K1724"/>
  <c r="K1727"/>
  <c r="I1735"/>
  <c r="K1735"/>
  <c r="I1737"/>
  <c r="K1737"/>
  <c r="I1738"/>
  <c r="K1738"/>
  <c r="I1741"/>
  <c r="K1741"/>
  <c r="I1753"/>
  <c r="K1753"/>
  <c r="I1755"/>
  <c r="K1755"/>
  <c r="I1756"/>
  <c r="K1756"/>
  <c r="I1759"/>
  <c r="K1759"/>
  <c r="I1771"/>
  <c r="K1771"/>
  <c r="I1773"/>
  <c r="K1773"/>
  <c r="I1774"/>
  <c r="K1774"/>
  <c r="I1777"/>
  <c r="K1777"/>
  <c r="I1801"/>
  <c r="I1802"/>
  <c r="K1802" s="1"/>
  <c r="I1809"/>
  <c r="K1809" s="1"/>
  <c r="I1817"/>
  <c r="I1818" s="1"/>
  <c r="K1818"/>
  <c r="I1829"/>
  <c r="K1829"/>
  <c r="I1830"/>
  <c r="K1830"/>
  <c r="I1831"/>
  <c r="K1831"/>
  <c r="I1834"/>
  <c r="K1834"/>
  <c r="I1844"/>
  <c r="I1845"/>
  <c r="K1845" s="1"/>
  <c r="I1858"/>
  <c r="K1858" s="1"/>
  <c r="I1866"/>
  <c r="K1866" s="1"/>
  <c r="I1867"/>
  <c r="K1867" s="1"/>
  <c r="I1890"/>
  <c r="K1890" s="1"/>
  <c r="I1891"/>
  <c r="K1891" s="1"/>
  <c r="I1895"/>
  <c r="K1895" s="1"/>
  <c r="I1896"/>
  <c r="K1896" s="1"/>
  <c r="I1908"/>
  <c r="K1908" s="1"/>
  <c r="I1916"/>
  <c r="K1916" s="1"/>
  <c r="I1917"/>
  <c r="K1917" s="1"/>
  <c r="I1928"/>
  <c r="K1928" s="1"/>
  <c r="I1930"/>
  <c r="K1930" s="1"/>
  <c r="I1935"/>
  <c r="K1935" s="1"/>
  <c r="I1947"/>
  <c r="K1947" s="1"/>
  <c r="I1949"/>
  <c r="K1949" s="1"/>
  <c r="I1954"/>
  <c r="K1954" s="1"/>
  <c r="I1972"/>
  <c r="K1972" s="1"/>
  <c r="I1973"/>
  <c r="K1973" s="1"/>
  <c r="I1974"/>
  <c r="K1974" s="1"/>
  <c r="I1975"/>
  <c r="K1975" s="1"/>
  <c r="I1977"/>
  <c r="K1977" s="1"/>
  <c r="I1978"/>
  <c r="K1978" s="1"/>
  <c r="I1996"/>
  <c r="K1996" s="1"/>
  <c r="I1997"/>
  <c r="K1997" s="1"/>
  <c r="I1998"/>
  <c r="K1998" s="1"/>
  <c r="I1999"/>
  <c r="K1999" s="1"/>
  <c r="I2001"/>
  <c r="K2001" s="1"/>
  <c r="I2002"/>
  <c r="K2002" s="1"/>
  <c r="K2016"/>
  <c r="K2017"/>
  <c r="K2018"/>
  <c r="I2027"/>
  <c r="K2027"/>
  <c r="I2030"/>
  <c r="K2030"/>
  <c r="I2039"/>
  <c r="K2039"/>
  <c r="K2042" s="1"/>
  <c r="I2047"/>
  <c r="K2047" s="1"/>
  <c r="I2048"/>
  <c r="K2048" s="1"/>
  <c r="I2050"/>
  <c r="K2050" s="1"/>
  <c r="I2052"/>
  <c r="K2052" s="1"/>
  <c r="I2053"/>
  <c r="K2053" s="1"/>
  <c r="I2054"/>
  <c r="K2054" s="1"/>
  <c r="I2055"/>
  <c r="K2055" s="1"/>
  <c r="I2067"/>
  <c r="K2067" s="1"/>
  <c r="I2070"/>
  <c r="K2070" s="1"/>
  <c r="I2072"/>
  <c r="K2072" s="1"/>
  <c r="I2073"/>
  <c r="K2073" s="1"/>
  <c r="I2074"/>
  <c r="K2074" s="1"/>
  <c r="I2075"/>
  <c r="K2075" s="1"/>
  <c r="I2086"/>
  <c r="K2086" s="1"/>
  <c r="I2087"/>
  <c r="K2087" s="1"/>
  <c r="K2090" s="1"/>
  <c r="I2088"/>
  <c r="K2088" s="1"/>
  <c r="H2097"/>
  <c r="I2099"/>
  <c r="K2099"/>
  <c r="I2100"/>
  <c r="K2100"/>
  <c r="I2101"/>
  <c r="K2101"/>
  <c r="I2112"/>
  <c r="K2112"/>
  <c r="K2116" s="1"/>
  <c r="I2125"/>
  <c r="K2125" s="1"/>
  <c r="K2129"/>
  <c r="I2135"/>
  <c r="K2135"/>
  <c r="K2139" s="1"/>
  <c r="I2144"/>
  <c r="K2144" s="1"/>
  <c r="K2148" s="1"/>
  <c r="I2167"/>
  <c r="K2167"/>
  <c r="I2168"/>
  <c r="K2168"/>
  <c r="I2169"/>
  <c r="K2169"/>
  <c r="I2170"/>
  <c r="K2170"/>
  <c r="K2171"/>
  <c r="I2172"/>
  <c r="K2172" s="1"/>
  <c r="K2218"/>
  <c r="I2219"/>
  <c r="K2219"/>
  <c r="I2220"/>
  <c r="K2220"/>
  <c r="I2221"/>
  <c r="K2221"/>
  <c r="I2222"/>
  <c r="K2222"/>
  <c r="K2232"/>
  <c r="K2233"/>
  <c r="K2234"/>
  <c r="K2235"/>
  <c r="I2236"/>
  <c r="K2236"/>
  <c r="I2237"/>
  <c r="K2237"/>
  <c r="K2263"/>
  <c r="K2265"/>
  <c r="K2266"/>
  <c r="K2267"/>
  <c r="K2268"/>
  <c r="I2307"/>
  <c r="K2307" s="1"/>
  <c r="K2309"/>
  <c r="K2310"/>
  <c r="K2321"/>
  <c r="K2322"/>
  <c r="K2323"/>
  <c r="K2324"/>
  <c r="K2325"/>
  <c r="K2326"/>
  <c r="I2327"/>
  <c r="K2327" s="1"/>
  <c r="I2361"/>
  <c r="I2362"/>
  <c r="K2363"/>
  <c r="I2368"/>
  <c r="K2368"/>
  <c r="I2369"/>
  <c r="I2425"/>
  <c r="K2425" s="1"/>
  <c r="I2387"/>
  <c r="K2387"/>
  <c r="K2369"/>
  <c r="K2370"/>
  <c r="I2372"/>
  <c r="K2372"/>
  <c r="I2373"/>
  <c r="K2373"/>
  <c r="K2375"/>
  <c r="I2424"/>
  <c r="K2424" s="1"/>
  <c r="K2426"/>
  <c r="I2428"/>
  <c r="K2428"/>
  <c r="I2429"/>
  <c r="K2429"/>
  <c r="K2430"/>
  <c r="K2431"/>
  <c r="I2442"/>
  <c r="K2442"/>
  <c r="I2466"/>
  <c r="K2466"/>
  <c r="K2469"/>
  <c r="K2470"/>
  <c r="K2490"/>
  <c r="K2493"/>
  <c r="K2497"/>
  <c r="K2498"/>
  <c r="K2502" s="1"/>
  <c r="K2505"/>
  <c r="K2506"/>
  <c r="K2507"/>
  <c r="K2509"/>
  <c r="K2510" s="1"/>
  <c r="I2499" s="1"/>
  <c r="K2499" s="1"/>
  <c r="I2524"/>
  <c r="K2524"/>
  <c r="I2525"/>
  <c r="K2525"/>
  <c r="I2528"/>
  <c r="K2528"/>
  <c r="I2529"/>
  <c r="K2529"/>
  <c r="K2557"/>
  <c r="I2559"/>
  <c r="I2590" s="1"/>
  <c r="K2590" s="1"/>
  <c r="I2561"/>
  <c r="I2592"/>
  <c r="K2592" s="1"/>
  <c r="I2563"/>
  <c r="I2594" s="1"/>
  <c r="K2594"/>
  <c r="K2604"/>
  <c r="I2606"/>
  <c r="K2606" s="1"/>
  <c r="I2607"/>
  <c r="K2607" s="1"/>
  <c r="I2624"/>
  <c r="K2624" s="1"/>
  <c r="I2625"/>
  <c r="K2625" s="1"/>
  <c r="K2626"/>
  <c r="K2633"/>
  <c r="K2634"/>
  <c r="K2635"/>
  <c r="K2636"/>
  <c r="K2637"/>
  <c r="K2638"/>
  <c r="K2639"/>
  <c r="K2640"/>
  <c r="I2665"/>
  <c r="K2665"/>
  <c r="I2667"/>
  <c r="K2667"/>
  <c r="I2668"/>
  <c r="K2668"/>
  <c r="I2669"/>
  <c r="K2669"/>
  <c r="I2670"/>
  <c r="K2670"/>
  <c r="K2680"/>
  <c r="I2694"/>
  <c r="K2694" s="1"/>
  <c r="K2700"/>
  <c r="K2701"/>
  <c r="K2707"/>
  <c r="K2708"/>
  <c r="K2710"/>
  <c r="K2711" s="1"/>
  <c r="K2703" s="1"/>
  <c r="K2715"/>
  <c r="K2716"/>
  <c r="K2723"/>
  <c r="K2724"/>
  <c r="K2725"/>
  <c r="K2732"/>
  <c r="K2733"/>
  <c r="K2734"/>
  <c r="K2735"/>
  <c r="K2743"/>
  <c r="K2744"/>
  <c r="K2752"/>
  <c r="K2753"/>
  <c r="K2754"/>
  <c r="K2755"/>
  <c r="K2756"/>
  <c r="K2757"/>
  <c r="I2758"/>
  <c r="K2758" s="1"/>
  <c r="I2759"/>
  <c r="K2759" s="1"/>
  <c r="I2760"/>
  <c r="K2760" s="1"/>
  <c r="K2783"/>
  <c r="K2784"/>
  <c r="K2785"/>
  <c r="K2786"/>
  <c r="K2787"/>
  <c r="K2788"/>
  <c r="I2789"/>
  <c r="K2789" s="1"/>
  <c r="I2790"/>
  <c r="K2790" s="1"/>
  <c r="K2798"/>
  <c r="K2799"/>
  <c r="K2807"/>
  <c r="K2808"/>
  <c r="K2810"/>
  <c r="K2811" s="1"/>
  <c r="K2802"/>
  <c r="K2804" s="1"/>
  <c r="K2815"/>
  <c r="K2816"/>
  <c r="K2817"/>
  <c r="K2818"/>
  <c r="K2825"/>
  <c r="K2826"/>
  <c r="K2829" s="1"/>
  <c r="K2830" s="1"/>
  <c r="I2819" s="1"/>
  <c r="K2819"/>
  <c r="K2827"/>
  <c r="K2843"/>
  <c r="K2844"/>
  <c r="K2845"/>
  <c r="I2846"/>
  <c r="P2850"/>
  <c r="K2846"/>
  <c r="K2847"/>
  <c r="P2847"/>
  <c r="P2880"/>
  <c r="R2880" s="1"/>
  <c r="R2848"/>
  <c r="K2849"/>
  <c r="P2849"/>
  <c r="P2882" s="1"/>
  <c r="R2882"/>
  <c r="I2850"/>
  <c r="I3001"/>
  <c r="K3001" s="1"/>
  <c r="K2851"/>
  <c r="K2880" s="1"/>
  <c r="K2891"/>
  <c r="R2851"/>
  <c r="I2852"/>
  <c r="K2853"/>
  <c r="P2853"/>
  <c r="R2853"/>
  <c r="I2854"/>
  <c r="K2854"/>
  <c r="R2854"/>
  <c r="I2855"/>
  <c r="K2855" s="1"/>
  <c r="R2855"/>
  <c r="I2856"/>
  <c r="R2856"/>
  <c r="R2857"/>
  <c r="L2860"/>
  <c r="K2866"/>
  <c r="K2867"/>
  <c r="K2868"/>
  <c r="K2869"/>
  <c r="P2870"/>
  <c r="R2870"/>
  <c r="K2871"/>
  <c r="P2871"/>
  <c r="R2871" s="1"/>
  <c r="I2872"/>
  <c r="K2872" s="1"/>
  <c r="P2872"/>
  <c r="R2872" s="1"/>
  <c r="P2873"/>
  <c r="R2873" s="1"/>
  <c r="K2881"/>
  <c r="P2881"/>
  <c r="R2881"/>
  <c r="P2884"/>
  <c r="R2884"/>
  <c r="P2886"/>
  <c r="R2886"/>
  <c r="P2887"/>
  <c r="R2887"/>
  <c r="R2888"/>
  <c r="R2889"/>
  <c r="P2890"/>
  <c r="R2890"/>
  <c r="K2894"/>
  <c r="K2895"/>
  <c r="K2896"/>
  <c r="I2905"/>
  <c r="K2905" s="1"/>
  <c r="I2906"/>
  <c r="I2907"/>
  <c r="I2910"/>
  <c r="K2912"/>
  <c r="I2913"/>
  <c r="I2916"/>
  <c r="I2917"/>
  <c r="K2919"/>
  <c r="L2919"/>
  <c r="I2923"/>
  <c r="K2925" s="1"/>
  <c r="I2931"/>
  <c r="I2935"/>
  <c r="K2935"/>
  <c r="K2943"/>
  <c r="I2956"/>
  <c r="K2957"/>
  <c r="L2957"/>
  <c r="M2957"/>
  <c r="N2957" s="1"/>
  <c r="K2963"/>
  <c r="I2974"/>
  <c r="K2974"/>
  <c r="K2976"/>
  <c r="K2984"/>
  <c r="I2986"/>
  <c r="K2986"/>
  <c r="I2995"/>
  <c r="K2995"/>
  <c r="I2996"/>
  <c r="K2996"/>
  <c r="I2997"/>
  <c r="K2997"/>
  <c r="I2999"/>
  <c r="K2999"/>
  <c r="I3000"/>
  <c r="K3000"/>
  <c r="I3002"/>
  <c r="K3002"/>
  <c r="K3019" s="1"/>
  <c r="I3004"/>
  <c r="K3004" s="1"/>
  <c r="I3005"/>
  <c r="K3005" s="1"/>
  <c r="I3007"/>
  <c r="K3007" s="1"/>
  <c r="L3009"/>
  <c r="L3011"/>
  <c r="K3020"/>
  <c r="L3023"/>
  <c r="I3035"/>
  <c r="K3035" s="1"/>
  <c r="I3036"/>
  <c r="K3036" s="1"/>
  <c r="I3039"/>
  <c r="K3039" s="1"/>
  <c r="L3041"/>
  <c r="L3042"/>
  <c r="M3043"/>
  <c r="L3044"/>
  <c r="I3053"/>
  <c r="L3061"/>
  <c r="L3063"/>
  <c r="K3078"/>
  <c r="K3088"/>
  <c r="L3089"/>
  <c r="K3090"/>
  <c r="L3090"/>
  <c r="K3098"/>
  <c r="I3101"/>
  <c r="I3115" s="1"/>
  <c r="I3112"/>
  <c r="K3112"/>
  <c r="K3113"/>
  <c r="L3118"/>
  <c r="K3132"/>
  <c r="I3139"/>
  <c r="K3139" s="1"/>
  <c r="I3140"/>
  <c r="I3159" s="1"/>
  <c r="K3150"/>
  <c r="K3151"/>
  <c r="I3158"/>
  <c r="K3169"/>
  <c r="I3170"/>
  <c r="I3181"/>
  <c r="K3181" s="1"/>
  <c r="K3180"/>
  <c r="K3191"/>
  <c r="K3192"/>
  <c r="K3193"/>
  <c r="K3206"/>
  <c r="I3207"/>
  <c r="K3207"/>
  <c r="K3208"/>
  <c r="K3217"/>
  <c r="J3222"/>
  <c r="K3222"/>
  <c r="I3218" s="1"/>
  <c r="K3218" s="1"/>
  <c r="L3222"/>
  <c r="K3230"/>
  <c r="I3231"/>
  <c r="K3231"/>
  <c r="K3240"/>
  <c r="K3241"/>
  <c r="I3247"/>
  <c r="K3247"/>
  <c r="I3248"/>
  <c r="I3249"/>
  <c r="K3257"/>
  <c r="I3258"/>
  <c r="K3258" s="1"/>
  <c r="I3259"/>
  <c r="K3259" s="1"/>
  <c r="K3289"/>
  <c r="K3290"/>
  <c r="L3293"/>
  <c r="K3306"/>
  <c r="K3307"/>
  <c r="K3308"/>
  <c r="K3309"/>
  <c r="K3312"/>
  <c r="K3313"/>
  <c r="K3314"/>
  <c r="K3315"/>
  <c r="K3316"/>
  <c r="I3335"/>
  <c r="K3345"/>
  <c r="I3351"/>
  <c r="I3352"/>
  <c r="I3406" s="1"/>
  <c r="K3406" s="1"/>
  <c r="I3353"/>
  <c r="K3354"/>
  <c r="L3364"/>
  <c r="J3368"/>
  <c r="K3368" s="1"/>
  <c r="I3363" s="1"/>
  <c r="K3363" s="1"/>
  <c r="I3376"/>
  <c r="K3376"/>
  <c r="K3384"/>
  <c r="K3389"/>
  <c r="I3464" s="1"/>
  <c r="K3464" s="1"/>
  <c r="K3396"/>
  <c r="K3399"/>
  <c r="K3415"/>
  <c r="K3418"/>
  <c r="K3436"/>
  <c r="K3438"/>
  <c r="K3454"/>
  <c r="K3455"/>
  <c r="I3465"/>
  <c r="K3465"/>
  <c r="I3476"/>
  <c r="K3476"/>
  <c r="I3478"/>
  <c r="K3480"/>
  <c r="K3494"/>
  <c r="K3495"/>
  <c r="I3496"/>
  <c r="K3497"/>
  <c r="L3501"/>
  <c r="I3503"/>
  <c r="I3504"/>
  <c r="K3504"/>
  <c r="I3505"/>
  <c r="K3505"/>
  <c r="I3506"/>
  <c r="K3506"/>
  <c r="K3513"/>
  <c r="K3515"/>
  <c r="K3521"/>
  <c r="K3524"/>
  <c r="I3532"/>
  <c r="K3532"/>
  <c r="I3533"/>
  <c r="K3533"/>
  <c r="I3535"/>
  <c r="K3535"/>
  <c r="L3537"/>
  <c r="K3545"/>
  <c r="K3547" s="1"/>
  <c r="I3553"/>
  <c r="K3553" s="1"/>
  <c r="K3556"/>
  <c r="K3561"/>
  <c r="L3561"/>
  <c r="K3562"/>
  <c r="K3563"/>
  <c r="K3565"/>
  <c r="L3566"/>
  <c r="L3567"/>
  <c r="I3571"/>
  <c r="K3571" s="1"/>
  <c r="I3572"/>
  <c r="K3572" s="1"/>
  <c r="K3578"/>
  <c r="K3579"/>
  <c r="K3580"/>
  <c r="L3581"/>
  <c r="L3582"/>
  <c r="I3587"/>
  <c r="K3587"/>
  <c r="I3588"/>
  <c r="K3588"/>
  <c r="I3590"/>
  <c r="J3603"/>
  <c r="J3605" s="1"/>
  <c r="I3605"/>
  <c r="K3605"/>
  <c r="L3605"/>
  <c r="K3612"/>
  <c r="K3613"/>
  <c r="K3614"/>
  <c r="I3623"/>
  <c r="I3625"/>
  <c r="K3625"/>
  <c r="K3634"/>
  <c r="K3635"/>
  <c r="K3642"/>
  <c r="I3643"/>
  <c r="K3643" s="1"/>
  <c r="I3644"/>
  <c r="K3644" s="1"/>
  <c r="L3648"/>
  <c r="K3658"/>
  <c r="K3660"/>
  <c r="K3662"/>
  <c r="I3663"/>
  <c r="K3663" s="1"/>
  <c r="K3665"/>
  <c r="K3666"/>
  <c r="K3667"/>
  <c r="K3668"/>
  <c r="D3670"/>
  <c r="K3671"/>
  <c r="I3678"/>
  <c r="K3679"/>
  <c r="I3681"/>
  <c r="K3681" s="1"/>
  <c r="L3683"/>
  <c r="L3684"/>
  <c r="K3690"/>
  <c r="K3695"/>
  <c r="I3696"/>
  <c r="K3704"/>
  <c r="K3706"/>
  <c r="K3714"/>
  <c r="K3715"/>
  <c r="K3716"/>
  <c r="K3717"/>
  <c r="K3718"/>
  <c r="I3721"/>
  <c r="K3721"/>
  <c r="K3735"/>
  <c r="K3736"/>
  <c r="J3738" s="1"/>
  <c r="K3738"/>
  <c r="K3756" s="1"/>
  <c r="K3753"/>
  <c r="I3754"/>
  <c r="K3754"/>
  <c r="K3755"/>
  <c r="K3761"/>
  <c r="K3762"/>
  <c r="K3765"/>
  <c r="K3766"/>
  <c r="K3772"/>
  <c r="K3773"/>
  <c r="I3790"/>
  <c r="K3790" s="1"/>
  <c r="I3791"/>
  <c r="K3791" s="1"/>
  <c r="I3792"/>
  <c r="K3792" s="1"/>
  <c r="K3793"/>
  <c r="K3795"/>
  <c r="I3796"/>
  <c r="K3796" s="1"/>
  <c r="I3797"/>
  <c r="K3797" s="1"/>
  <c r="I3798"/>
  <c r="K3798" s="1"/>
  <c r="K3832" s="1"/>
  <c r="K3844" s="1"/>
  <c r="K3799"/>
  <c r="K3800"/>
  <c r="K3801"/>
  <c r="K3802"/>
  <c r="K3868"/>
  <c r="K3803"/>
  <c r="K3806"/>
  <c r="L3807"/>
  <c r="L3810"/>
  <c r="I3819"/>
  <c r="K3819" s="1"/>
  <c r="I3820"/>
  <c r="K3820" s="1"/>
  <c r="I3821"/>
  <c r="K3821" s="1"/>
  <c r="I3822"/>
  <c r="K3822" s="1"/>
  <c r="K3833"/>
  <c r="K3848"/>
  <c r="K3850"/>
  <c r="K3870"/>
  <c r="K3871"/>
  <c r="K3885"/>
  <c r="K3888"/>
  <c r="K3889"/>
  <c r="L3893"/>
  <c r="I3905"/>
  <c r="K3905"/>
  <c r="I3915"/>
  <c r="K3915"/>
  <c r="I3916"/>
  <c r="K3916"/>
  <c r="I3917"/>
  <c r="K3917" s="1"/>
  <c r="I3918"/>
  <c r="K3918" s="1"/>
  <c r="K3928"/>
  <c r="K3929"/>
  <c r="I3930"/>
  <c r="K3930" s="1"/>
  <c r="K3935"/>
  <c r="I3944"/>
  <c r="K3944"/>
  <c r="H4021"/>
  <c r="H4030"/>
  <c r="H4031"/>
  <c r="H4032"/>
  <c r="H3" i="11"/>
  <c r="J3"/>
  <c r="O3"/>
  <c r="Q3"/>
  <c r="U3"/>
  <c r="W3"/>
  <c r="AG6"/>
  <c r="AK8"/>
  <c r="X9"/>
  <c r="X10" s="1"/>
  <c r="Z9"/>
  <c r="AC9" s="1"/>
  <c r="C68" s="1"/>
  <c r="I294" s="1"/>
  <c r="K294" s="1"/>
  <c r="K303" s="1"/>
  <c r="K305" s="1"/>
  <c r="AK9"/>
  <c r="C10"/>
  <c r="W10"/>
  <c r="AK10"/>
  <c r="A11"/>
  <c r="A12"/>
  <c r="A13" s="1"/>
  <c r="A14"/>
  <c r="A15" s="1"/>
  <c r="A16" s="1"/>
  <c r="A17" s="1"/>
  <c r="A18"/>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206" s="1"/>
  <c r="A207" s="1"/>
  <c r="C11"/>
  <c r="P11"/>
  <c r="R11"/>
  <c r="X11"/>
  <c r="X12" s="1"/>
  <c r="X13" s="1"/>
  <c r="X14" s="1"/>
  <c r="X15" s="1"/>
  <c r="AK11"/>
  <c r="C12"/>
  <c r="W12"/>
  <c r="W36" s="1"/>
  <c r="AK12"/>
  <c r="C13"/>
  <c r="P286"/>
  <c r="R286" s="1"/>
  <c r="W13"/>
  <c r="W37"/>
  <c r="AK13"/>
  <c r="C14"/>
  <c r="D14"/>
  <c r="W14"/>
  <c r="AK14"/>
  <c r="C15"/>
  <c r="W15"/>
  <c r="AK15"/>
  <c r="C16"/>
  <c r="D16"/>
  <c r="I1702"/>
  <c r="K1702" s="1"/>
  <c r="X16"/>
  <c r="X17" s="1"/>
  <c r="Z16"/>
  <c r="Z17" s="1"/>
  <c r="AC17" s="1"/>
  <c r="AK16"/>
  <c r="C17"/>
  <c r="I1519"/>
  <c r="K1519" s="1"/>
  <c r="D17"/>
  <c r="AK17"/>
  <c r="C18"/>
  <c r="X18"/>
  <c r="X29" s="1"/>
  <c r="Z18"/>
  <c r="AC18" s="1"/>
  <c r="C80" s="1"/>
  <c r="AK18"/>
  <c r="W19"/>
  <c r="X19"/>
  <c r="X20" s="1"/>
  <c r="Z19"/>
  <c r="AC19" s="1"/>
  <c r="AK19"/>
  <c r="I20"/>
  <c r="K20" s="1"/>
  <c r="W20"/>
  <c r="AK20"/>
  <c r="X21"/>
  <c r="AC21"/>
  <c r="C83"/>
  <c r="I1285" s="1"/>
  <c r="K1285"/>
  <c r="AK21"/>
  <c r="AC22"/>
  <c r="C84" s="1"/>
  <c r="AK22"/>
  <c r="X23"/>
  <c r="Z23"/>
  <c r="AC23" s="1"/>
  <c r="C85" s="1"/>
  <c r="AK23"/>
  <c r="AC24"/>
  <c r="C86" s="1"/>
  <c r="AK24"/>
  <c r="C25"/>
  <c r="AC25"/>
  <c r="C87" s="1"/>
  <c r="I2166" s="1"/>
  <c r="K2166" s="1"/>
  <c r="AK25"/>
  <c r="C26"/>
  <c r="AC26"/>
  <c r="C88" s="1"/>
  <c r="AK26"/>
  <c r="C27"/>
  <c r="AC27"/>
  <c r="C89" s="1"/>
  <c r="AK27"/>
  <c r="AC28"/>
  <c r="C90" s="1"/>
  <c r="I912"/>
  <c r="I2556" s="1"/>
  <c r="K2556" s="1"/>
  <c r="AK28"/>
  <c r="C29"/>
  <c r="I1184" s="1"/>
  <c r="K1184" s="1"/>
  <c r="W29"/>
  <c r="AK29"/>
  <c r="C30"/>
  <c r="D30"/>
  <c r="AC30"/>
  <c r="C136"/>
  <c r="I1168" s="1"/>
  <c r="K1168" s="1"/>
  <c r="AK30"/>
  <c r="C31"/>
  <c r="D31"/>
  <c r="AK31"/>
  <c r="D32"/>
  <c r="I1061"/>
  <c r="K1061" s="1"/>
  <c r="AC32"/>
  <c r="AK32"/>
  <c r="D33"/>
  <c r="AC33"/>
  <c r="C139" s="1"/>
  <c r="AK33"/>
  <c r="W34"/>
  <c r="Y34"/>
  <c r="AK34"/>
  <c r="W35"/>
  <c r="AK35"/>
  <c r="AK36"/>
  <c r="I37"/>
  <c r="K37" s="1"/>
  <c r="AC38"/>
  <c r="D40"/>
  <c r="C41"/>
  <c r="P53"/>
  <c r="R53"/>
  <c r="P54"/>
  <c r="R54"/>
  <c r="C61"/>
  <c r="D61"/>
  <c r="C66"/>
  <c r="C67"/>
  <c r="P68"/>
  <c r="R68"/>
  <c r="P69"/>
  <c r="R69"/>
  <c r="I94"/>
  <c r="K94" s="1"/>
  <c r="I95"/>
  <c r="K95" s="1"/>
  <c r="I110"/>
  <c r="K110" s="1"/>
  <c r="K114" s="1"/>
  <c r="K116" s="1"/>
  <c r="I123"/>
  <c r="K123" s="1"/>
  <c r="K126"/>
  <c r="K128" s="1"/>
  <c r="K129" s="1"/>
  <c r="I140"/>
  <c r="K140"/>
  <c r="C141"/>
  <c r="I152"/>
  <c r="K152" s="1"/>
  <c r="I154"/>
  <c r="K154" s="1"/>
  <c r="K156"/>
  <c r="I184"/>
  <c r="K184"/>
  <c r="K185"/>
  <c r="P193"/>
  <c r="R193" s="1"/>
  <c r="I197"/>
  <c r="K197" s="1"/>
  <c r="I198"/>
  <c r="K198" s="1"/>
  <c r="P211"/>
  <c r="R211" s="1"/>
  <c r="I212"/>
  <c r="K212" s="1"/>
  <c r="I213"/>
  <c r="K213" s="1"/>
  <c r="P213"/>
  <c r="R213" s="1"/>
  <c r="P214"/>
  <c r="R214" s="1"/>
  <c r="P215"/>
  <c r="R215" s="1"/>
  <c r="P216"/>
  <c r="R216" s="1"/>
  <c r="P217"/>
  <c r="R217" s="1"/>
  <c r="P218"/>
  <c r="R218" s="1"/>
  <c r="I227"/>
  <c r="K227" s="1"/>
  <c r="I240"/>
  <c r="K240" s="1"/>
  <c r="K244"/>
  <c r="K255"/>
  <c r="K256"/>
  <c r="P285"/>
  <c r="R285"/>
  <c r="P296"/>
  <c r="R296" s="1"/>
  <c r="P298"/>
  <c r="R298" s="1"/>
  <c r="P308"/>
  <c r="R308" s="1"/>
  <c r="H310"/>
  <c r="H332"/>
  <c r="F334"/>
  <c r="H334"/>
  <c r="F335"/>
  <c r="P338"/>
  <c r="R338"/>
  <c r="P349"/>
  <c r="R349"/>
  <c r="P350"/>
  <c r="R350"/>
  <c r="H352"/>
  <c r="F354"/>
  <c r="H354"/>
  <c r="F355"/>
  <c r="P365"/>
  <c r="R365"/>
  <c r="P366"/>
  <c r="R366"/>
  <c r="H376"/>
  <c r="P377"/>
  <c r="R377" s="1"/>
  <c r="F378"/>
  <c r="H378"/>
  <c r="I382"/>
  <c r="K382" s="1"/>
  <c r="I383"/>
  <c r="K383" s="1"/>
  <c r="H407"/>
  <c r="F409"/>
  <c r="H409"/>
  <c r="P432"/>
  <c r="R432"/>
  <c r="P438"/>
  <c r="R438"/>
  <c r="P439"/>
  <c r="R439"/>
  <c r="P440"/>
  <c r="R440"/>
  <c r="I447"/>
  <c r="K447"/>
  <c r="P451"/>
  <c r="R451"/>
  <c r="P456"/>
  <c r="R456"/>
  <c r="P457"/>
  <c r="R457"/>
  <c r="P458"/>
  <c r="R458"/>
  <c r="P469"/>
  <c r="R469"/>
  <c r="P474"/>
  <c r="R474"/>
  <c r="P475"/>
  <c r="R475"/>
  <c r="P476"/>
  <c r="R476"/>
  <c r="I484"/>
  <c r="K484"/>
  <c r="P491"/>
  <c r="R491"/>
  <c r="P493"/>
  <c r="R493"/>
  <c r="P494"/>
  <c r="R494"/>
  <c r="P497"/>
  <c r="R497"/>
  <c r="I499"/>
  <c r="K499"/>
  <c r="R499"/>
  <c r="P509"/>
  <c r="R509" s="1"/>
  <c r="P511"/>
  <c r="R511" s="1"/>
  <c r="P512"/>
  <c r="R512" s="1"/>
  <c r="P514"/>
  <c r="R514" s="1"/>
  <c r="R517"/>
  <c r="J527"/>
  <c r="J528"/>
  <c r="J529"/>
  <c r="P529"/>
  <c r="R529" s="1"/>
  <c r="J530"/>
  <c r="J531"/>
  <c r="P531"/>
  <c r="R531" s="1"/>
  <c r="P532"/>
  <c r="R532" s="1"/>
  <c r="P534"/>
  <c r="R534" s="1"/>
  <c r="P536"/>
  <c r="R536" s="1"/>
  <c r="R537"/>
  <c r="J543"/>
  <c r="J544"/>
  <c r="J545"/>
  <c r="J546"/>
  <c r="J547"/>
  <c r="P553"/>
  <c r="R553" s="1"/>
  <c r="P555"/>
  <c r="R555" s="1"/>
  <c r="I559"/>
  <c r="K559" s="1"/>
  <c r="I560"/>
  <c r="K560" s="1"/>
  <c r="P560"/>
  <c r="R560" s="1"/>
  <c r="P561"/>
  <c r="R561" s="1"/>
  <c r="P562"/>
  <c r="R562" s="1"/>
  <c r="J568"/>
  <c r="J569"/>
  <c r="J570"/>
  <c r="J571"/>
  <c r="J572"/>
  <c r="I575"/>
  <c r="K575"/>
  <c r="J583"/>
  <c r="J584"/>
  <c r="J585"/>
  <c r="J586"/>
  <c r="J587"/>
  <c r="I590"/>
  <c r="K590" s="1"/>
  <c r="I592"/>
  <c r="K592" s="1"/>
  <c r="C593"/>
  <c r="P607"/>
  <c r="R607"/>
  <c r="P620"/>
  <c r="R620"/>
  <c r="I623"/>
  <c r="K623"/>
  <c r="P636"/>
  <c r="R636"/>
  <c r="P637"/>
  <c r="R637"/>
  <c r="P638"/>
  <c r="R638"/>
  <c r="I643"/>
  <c r="K643"/>
  <c r="K647" s="1"/>
  <c r="K649" s="1"/>
  <c r="K650" s="1"/>
  <c r="K651"/>
  <c r="K652" s="1"/>
  <c r="K653" s="1"/>
  <c r="I644"/>
  <c r="K644"/>
  <c r="K645"/>
  <c r="P648"/>
  <c r="R648" s="1"/>
  <c r="R652"/>
  <c r="P658"/>
  <c r="R658"/>
  <c r="R662" s="1"/>
  <c r="I662"/>
  <c r="K662" s="1"/>
  <c r="I663"/>
  <c r="K663" s="1"/>
  <c r="K664"/>
  <c r="P668"/>
  <c r="R668"/>
  <c r="R672" s="1"/>
  <c r="P679"/>
  <c r="R679" s="1"/>
  <c r="R683" s="1"/>
  <c r="I680"/>
  <c r="K680"/>
  <c r="I681"/>
  <c r="K681"/>
  <c r="I683"/>
  <c r="K683"/>
  <c r="I690"/>
  <c r="K690"/>
  <c r="P690"/>
  <c r="R690"/>
  <c r="P692"/>
  <c r="R692"/>
  <c r="P693"/>
  <c r="R693"/>
  <c r="P694"/>
  <c r="R694"/>
  <c r="P695"/>
  <c r="R695"/>
  <c r="P705"/>
  <c r="R705"/>
  <c r="I706"/>
  <c r="K706"/>
  <c r="K712" s="1"/>
  <c r="K714" s="1"/>
  <c r="P707"/>
  <c r="R707"/>
  <c r="I708"/>
  <c r="K708"/>
  <c r="P708"/>
  <c r="R708"/>
  <c r="P709"/>
  <c r="R709"/>
  <c r="P710"/>
  <c r="R710"/>
  <c r="P721"/>
  <c r="R721"/>
  <c r="I722"/>
  <c r="K722"/>
  <c r="I743" s="1"/>
  <c r="K743" s="1"/>
  <c r="I723"/>
  <c r="K723"/>
  <c r="P723"/>
  <c r="R723"/>
  <c r="K724"/>
  <c r="P724"/>
  <c r="R724" s="1"/>
  <c r="I725"/>
  <c r="K725" s="1"/>
  <c r="P725"/>
  <c r="R725" s="1"/>
  <c r="I726"/>
  <c r="K726" s="1"/>
  <c r="P726"/>
  <c r="R726" s="1"/>
  <c r="K728"/>
  <c r="K729"/>
  <c r="R740"/>
  <c r="R745"/>
  <c r="I746"/>
  <c r="K746" s="1"/>
  <c r="I747"/>
  <c r="K747" s="1"/>
  <c r="I748"/>
  <c r="K748" s="1"/>
  <c r="K750"/>
  <c r="K751"/>
  <c r="K752"/>
  <c r="R753"/>
  <c r="A754"/>
  <c r="P762"/>
  <c r="R762"/>
  <c r="R769" s="1"/>
  <c r="R771"/>
  <c r="I775"/>
  <c r="K775"/>
  <c r="I776"/>
  <c r="K776"/>
  <c r="R779"/>
  <c r="R792"/>
  <c r="P782"/>
  <c r="R782"/>
  <c r="R783"/>
  <c r="R784"/>
  <c r="R785"/>
  <c r="R786"/>
  <c r="R788"/>
  <c r="R789"/>
  <c r="R798"/>
  <c r="R810"/>
  <c r="P801"/>
  <c r="R801"/>
  <c r="R802"/>
  <c r="R803"/>
  <c r="R804"/>
  <c r="R805"/>
  <c r="R806"/>
  <c r="R807"/>
  <c r="K817"/>
  <c r="K818"/>
  <c r="K819"/>
  <c r="K820"/>
  <c r="I822"/>
  <c r="K822"/>
  <c r="K823"/>
  <c r="I824"/>
  <c r="K824" s="1"/>
  <c r="R834"/>
  <c r="R847" s="1"/>
  <c r="K835"/>
  <c r="K836"/>
  <c r="K837"/>
  <c r="P837"/>
  <c r="R837"/>
  <c r="K838"/>
  <c r="R838"/>
  <c r="R839"/>
  <c r="I840"/>
  <c r="K840" s="1"/>
  <c r="R840"/>
  <c r="K841"/>
  <c r="R841"/>
  <c r="I843"/>
  <c r="K843"/>
  <c r="R843"/>
  <c r="R844"/>
  <c r="K853"/>
  <c r="K854"/>
  <c r="H855"/>
  <c r="K855"/>
  <c r="K856"/>
  <c r="P856"/>
  <c r="R856" s="1"/>
  <c r="I858"/>
  <c r="K858" s="1"/>
  <c r="H859"/>
  <c r="K859"/>
  <c r="I860"/>
  <c r="K860" s="1"/>
  <c r="R869"/>
  <c r="R870"/>
  <c r="R871"/>
  <c r="I880"/>
  <c r="K880"/>
  <c r="I915"/>
  <c r="K915"/>
  <c r="I916"/>
  <c r="I917"/>
  <c r="K917" s="1"/>
  <c r="I918"/>
  <c r="I919"/>
  <c r="I920"/>
  <c r="I950"/>
  <c r="K950" s="1"/>
  <c r="I951"/>
  <c r="K951" s="1"/>
  <c r="I952"/>
  <c r="K952" s="1"/>
  <c r="I953"/>
  <c r="K953" s="1"/>
  <c r="I954"/>
  <c r="K954" s="1"/>
  <c r="I955"/>
  <c r="K955" s="1"/>
  <c r="I979"/>
  <c r="K979" s="1"/>
  <c r="I980"/>
  <c r="K980" s="1"/>
  <c r="I981"/>
  <c r="K981" s="1"/>
  <c r="I982"/>
  <c r="K982" s="1"/>
  <c r="I983"/>
  <c r="K983" s="1"/>
  <c r="I984"/>
  <c r="K984" s="1"/>
  <c r="I1013"/>
  <c r="K1013" s="1"/>
  <c r="I1015"/>
  <c r="I1016"/>
  <c r="I2527"/>
  <c r="K2527" s="1"/>
  <c r="I1017"/>
  <c r="K1017" s="1"/>
  <c r="I1018"/>
  <c r="I1019"/>
  <c r="I1020"/>
  <c r="K1020" s="1"/>
  <c r="I1030"/>
  <c r="K1030" s="1"/>
  <c r="I1032"/>
  <c r="K1032" s="1"/>
  <c r="I1033"/>
  <c r="K1033" s="1"/>
  <c r="I1034"/>
  <c r="K1034" s="1"/>
  <c r="I1035"/>
  <c r="K1035" s="1"/>
  <c r="I1044"/>
  <c r="K1044" s="1"/>
  <c r="I1045"/>
  <c r="K1045" s="1"/>
  <c r="I1047"/>
  <c r="K1047" s="1"/>
  <c r="I1048"/>
  <c r="K1048" s="1"/>
  <c r="I1049"/>
  <c r="K1049" s="1"/>
  <c r="I1050"/>
  <c r="K1050" s="1"/>
  <c r="I1059"/>
  <c r="K1059" s="1"/>
  <c r="I1060"/>
  <c r="K1060" s="1"/>
  <c r="K1066" s="1"/>
  <c r="K1068" s="1"/>
  <c r="I1062"/>
  <c r="K1062" s="1"/>
  <c r="I1063"/>
  <c r="K1063" s="1"/>
  <c r="I1064"/>
  <c r="K1064" s="1"/>
  <c r="I1084"/>
  <c r="K1086"/>
  <c r="K1088"/>
  <c r="I1089"/>
  <c r="K1089" s="1"/>
  <c r="K1090"/>
  <c r="K1091"/>
  <c r="I1101"/>
  <c r="K1101" s="1"/>
  <c r="K1107" s="1"/>
  <c r="K1109" s="1"/>
  <c r="I1102"/>
  <c r="K1102" s="1"/>
  <c r="I1103"/>
  <c r="K1103" s="1"/>
  <c r="I1104"/>
  <c r="K1104" s="1"/>
  <c r="I1114"/>
  <c r="K1114" s="1"/>
  <c r="K1120" s="1"/>
  <c r="I1115"/>
  <c r="K1115" s="1"/>
  <c r="I1116"/>
  <c r="K1116" s="1"/>
  <c r="I1117"/>
  <c r="K1117" s="1"/>
  <c r="I1131"/>
  <c r="K1131" s="1"/>
  <c r="K1138" s="1"/>
  <c r="K1140" s="1"/>
  <c r="K1132"/>
  <c r="K1133"/>
  <c r="I1134"/>
  <c r="K1134" s="1"/>
  <c r="I1146"/>
  <c r="K1146" s="1"/>
  <c r="I1156"/>
  <c r="K1156" s="1"/>
  <c r="I1157"/>
  <c r="K1157" s="1"/>
  <c r="I1158"/>
  <c r="K1158" s="1"/>
  <c r="I1172"/>
  <c r="K1172" s="1"/>
  <c r="I1174"/>
  <c r="K1174" s="1"/>
  <c r="I1175"/>
  <c r="K1175" s="1"/>
  <c r="I1176"/>
  <c r="K1176" s="1"/>
  <c r="I1178"/>
  <c r="K1178" s="1"/>
  <c r="I1179"/>
  <c r="K1179" s="1"/>
  <c r="I1181"/>
  <c r="K1181" s="1"/>
  <c r="I1182"/>
  <c r="K1182" s="1"/>
  <c r="I1183"/>
  <c r="K1183" s="1"/>
  <c r="I1185"/>
  <c r="K1185" s="1"/>
  <c r="I1198"/>
  <c r="K1198" s="1"/>
  <c r="I1201"/>
  <c r="K1201" s="1"/>
  <c r="I1203"/>
  <c r="K1203" s="1"/>
  <c r="I1204"/>
  <c r="K1204" s="1"/>
  <c r="I1205"/>
  <c r="K1205" s="1"/>
  <c r="I1206"/>
  <c r="K1206" s="1"/>
  <c r="I1207"/>
  <c r="K1207" s="1"/>
  <c r="I1208"/>
  <c r="K1208" s="1"/>
  <c r="I1209"/>
  <c r="K1209" s="1"/>
  <c r="I1219"/>
  <c r="K1219" s="1"/>
  <c r="I1220"/>
  <c r="K1220" s="1"/>
  <c r="I1222"/>
  <c r="K1222" s="1"/>
  <c r="I1223"/>
  <c r="K1223" s="1"/>
  <c r="I1236"/>
  <c r="K1236" s="1"/>
  <c r="I1238"/>
  <c r="K1238" s="1"/>
  <c r="I1239"/>
  <c r="K1239" s="1"/>
  <c r="I1256"/>
  <c r="K1256" s="1"/>
  <c r="I1257"/>
  <c r="K1257" s="1"/>
  <c r="I1269"/>
  <c r="K1269" s="1"/>
  <c r="I1270"/>
  <c r="K1270" s="1"/>
  <c r="I1271"/>
  <c r="K1271" s="1"/>
  <c r="I1288"/>
  <c r="K1288" s="1"/>
  <c r="I1290"/>
  <c r="K1290" s="1"/>
  <c r="I1291"/>
  <c r="K1291" s="1"/>
  <c r="I1292"/>
  <c r="K1292" s="1"/>
  <c r="I1307"/>
  <c r="K1307" s="1"/>
  <c r="I1310"/>
  <c r="K1310" s="1"/>
  <c r="I1311"/>
  <c r="K1311" s="1"/>
  <c r="I1312"/>
  <c r="K1312" s="1"/>
  <c r="I1313"/>
  <c r="K1313" s="1"/>
  <c r="I1314"/>
  <c r="K1314" s="1"/>
  <c r="I1325"/>
  <c r="K1325" s="1"/>
  <c r="I1326"/>
  <c r="K1326" s="1"/>
  <c r="I1327"/>
  <c r="K1327" s="1"/>
  <c r="I1338"/>
  <c r="K1338" s="1"/>
  <c r="I1339"/>
  <c r="K1339" s="1"/>
  <c r="I1340"/>
  <c r="K1340" s="1"/>
  <c r="I1351"/>
  <c r="K1351" s="1"/>
  <c r="I1352"/>
  <c r="K1352" s="1"/>
  <c r="I1365"/>
  <c r="K1365" s="1"/>
  <c r="I1366"/>
  <c r="K1366" s="1"/>
  <c r="I1367"/>
  <c r="K1367" s="1"/>
  <c r="I1368"/>
  <c r="K1368" s="1"/>
  <c r="I1386"/>
  <c r="K1386" s="1"/>
  <c r="I1397"/>
  <c r="K1397" s="1"/>
  <c r="I1398"/>
  <c r="K1398" s="1"/>
  <c r="I1410"/>
  <c r="K1410" s="1"/>
  <c r="I1411"/>
  <c r="K1411" s="1"/>
  <c r="I1423"/>
  <c r="K1423" s="1"/>
  <c r="I1424"/>
  <c r="K1424" s="1"/>
  <c r="I1436"/>
  <c r="K1436" s="1"/>
  <c r="I1438"/>
  <c r="K1438" s="1"/>
  <c r="I1439"/>
  <c r="K1439" s="1"/>
  <c r="K1448"/>
  <c r="I1450"/>
  <c r="K1450"/>
  <c r="I1451"/>
  <c r="K1451"/>
  <c r="I1463"/>
  <c r="K1463"/>
  <c r="I1465"/>
  <c r="K1465"/>
  <c r="I1478"/>
  <c r="K1478"/>
  <c r="I1490"/>
  <c r="K1490" s="1"/>
  <c r="K1493"/>
  <c r="I1494"/>
  <c r="K1494"/>
  <c r="I1505"/>
  <c r="K1505"/>
  <c r="I1506"/>
  <c r="K1506"/>
  <c r="O1506"/>
  <c r="O1507"/>
  <c r="K1509"/>
  <c r="I1518"/>
  <c r="K1518" s="1"/>
  <c r="I1520"/>
  <c r="K1520" s="1"/>
  <c r="I1521"/>
  <c r="K1521" s="1"/>
  <c r="K1522"/>
  <c r="I1533"/>
  <c r="K1533"/>
  <c r="I1534"/>
  <c r="K1534"/>
  <c r="I1545"/>
  <c r="K1545"/>
  <c r="I1546"/>
  <c r="K1546"/>
  <c r="I1557"/>
  <c r="K1557"/>
  <c r="I1558"/>
  <c r="K1558"/>
  <c r="I1559"/>
  <c r="K1559"/>
  <c r="I1560"/>
  <c r="K1560"/>
  <c r="I1561"/>
  <c r="K1561"/>
  <c r="I1562"/>
  <c r="K1562"/>
  <c r="I1578"/>
  <c r="K1578"/>
  <c r="I1579"/>
  <c r="K1579"/>
  <c r="K1597"/>
  <c r="K1598"/>
  <c r="K1601" s="1"/>
  <c r="K1609"/>
  <c r="K1613" s="1"/>
  <c r="K1618"/>
  <c r="K1621" s="1"/>
  <c r="K1625"/>
  <c r="K1628" s="1"/>
  <c r="I1639"/>
  <c r="K1639" s="1"/>
  <c r="I1640"/>
  <c r="K1640" s="1"/>
  <c r="K1652"/>
  <c r="K1653"/>
  <c r="K1654"/>
  <c r="K1682"/>
  <c r="K1685"/>
  <c r="K1686"/>
  <c r="K1687"/>
  <c r="K1699"/>
  <c r="K1700"/>
  <c r="K1701"/>
  <c r="I1703"/>
  <c r="K1703" s="1"/>
  <c r="I1711"/>
  <c r="K1711" s="1"/>
  <c r="K1713"/>
  <c r="K1714"/>
  <c r="I1715"/>
  <c r="K1715" s="1"/>
  <c r="K1716"/>
  <c r="K1717"/>
  <c r="K1724"/>
  <c r="K1727"/>
  <c r="I1735"/>
  <c r="K1735" s="1"/>
  <c r="I1737"/>
  <c r="K1737" s="1"/>
  <c r="I1738"/>
  <c r="K1738"/>
  <c r="I1741"/>
  <c r="K1741"/>
  <c r="I1742"/>
  <c r="K1742"/>
  <c r="I1753"/>
  <c r="K1753"/>
  <c r="I1755"/>
  <c r="K1755"/>
  <c r="I1756"/>
  <c r="K1756"/>
  <c r="I1759"/>
  <c r="K1759"/>
  <c r="I1760"/>
  <c r="K1760"/>
  <c r="I1771"/>
  <c r="K1771"/>
  <c r="I1773"/>
  <c r="K1773"/>
  <c r="I1774"/>
  <c r="K1774"/>
  <c r="I1777"/>
  <c r="K1777"/>
  <c r="I1778"/>
  <c r="K1778"/>
  <c r="I1801"/>
  <c r="I1802"/>
  <c r="K1802" s="1"/>
  <c r="K1801"/>
  <c r="I1809"/>
  <c r="I1810"/>
  <c r="K1810" s="1"/>
  <c r="I1817"/>
  <c r="K1817" s="1"/>
  <c r="I1829"/>
  <c r="K1829"/>
  <c r="I1831"/>
  <c r="K1831"/>
  <c r="I1834"/>
  <c r="K1834"/>
  <c r="I1835"/>
  <c r="K1835"/>
  <c r="I1844"/>
  <c r="I1858"/>
  <c r="K1858" s="1"/>
  <c r="I1866"/>
  <c r="K1866" s="1"/>
  <c r="I1867"/>
  <c r="K1867" s="1"/>
  <c r="I1890"/>
  <c r="K1890" s="1"/>
  <c r="I1894"/>
  <c r="K1894" s="1"/>
  <c r="I1896"/>
  <c r="K1896" s="1"/>
  <c r="I1908"/>
  <c r="K1908" s="1"/>
  <c r="I1915"/>
  <c r="K1915" s="1"/>
  <c r="I1917"/>
  <c r="K1917" s="1"/>
  <c r="I1928"/>
  <c r="K1928" s="1"/>
  <c r="I1931"/>
  <c r="K1931" s="1"/>
  <c r="I1932"/>
  <c r="K1932" s="1"/>
  <c r="I1934"/>
  <c r="K1934" s="1"/>
  <c r="I1935"/>
  <c r="K1935" s="1"/>
  <c r="I1947"/>
  <c r="K1947" s="1"/>
  <c r="I1949"/>
  <c r="K1949" s="1"/>
  <c r="I1950"/>
  <c r="K1950" s="1"/>
  <c r="I1951"/>
  <c r="K1951" s="1"/>
  <c r="I1954"/>
  <c r="K1954" s="1"/>
  <c r="I1972"/>
  <c r="K1972" s="1"/>
  <c r="I1973"/>
  <c r="K1973" s="1"/>
  <c r="I1974"/>
  <c r="K1974" s="1"/>
  <c r="I1975"/>
  <c r="K1975" s="1"/>
  <c r="I1976"/>
  <c r="K1976" s="1"/>
  <c r="I1978"/>
  <c r="K1978" s="1"/>
  <c r="I1996"/>
  <c r="K1996" s="1"/>
  <c r="I1997"/>
  <c r="K1997" s="1"/>
  <c r="I1998"/>
  <c r="K1998" s="1"/>
  <c r="I1999"/>
  <c r="K1999" s="1"/>
  <c r="I2002"/>
  <c r="K2002" s="1"/>
  <c r="K2016"/>
  <c r="K2017"/>
  <c r="K2021"/>
  <c r="K2018"/>
  <c r="I2027"/>
  <c r="K2027" s="1"/>
  <c r="I2029"/>
  <c r="K2029" s="1"/>
  <c r="I2030"/>
  <c r="K2030" s="1"/>
  <c r="I2031"/>
  <c r="K2031" s="1"/>
  <c r="I2039"/>
  <c r="K2039" s="1"/>
  <c r="K2042" s="1"/>
  <c r="I2047"/>
  <c r="K2047"/>
  <c r="I2048"/>
  <c r="K2048"/>
  <c r="I2052"/>
  <c r="K2052"/>
  <c r="I2054"/>
  <c r="K2054"/>
  <c r="I2055"/>
  <c r="K2055"/>
  <c r="I2056"/>
  <c r="K2056"/>
  <c r="I2067"/>
  <c r="K2067"/>
  <c r="I2069"/>
  <c r="K2069"/>
  <c r="I2072"/>
  <c r="K2072"/>
  <c r="I2074"/>
  <c r="K2074"/>
  <c r="I2075"/>
  <c r="K2075"/>
  <c r="I2076"/>
  <c r="K2076"/>
  <c r="I2086"/>
  <c r="K2086"/>
  <c r="I2087"/>
  <c r="K2087"/>
  <c r="I2088"/>
  <c r="K2088"/>
  <c r="H2097"/>
  <c r="I2099"/>
  <c r="K2099" s="1"/>
  <c r="I2100"/>
  <c r="K2100" s="1"/>
  <c r="K2103" s="1"/>
  <c r="I2101"/>
  <c r="K2101" s="1"/>
  <c r="I2112"/>
  <c r="K2112" s="1"/>
  <c r="K2116" s="1"/>
  <c r="I2125"/>
  <c r="K2125"/>
  <c r="K2129" s="1"/>
  <c r="I2135"/>
  <c r="K2135" s="1"/>
  <c r="K2139" s="1"/>
  <c r="I2144"/>
  <c r="K2144"/>
  <c r="K2148" s="1"/>
  <c r="I2167"/>
  <c r="K2167" s="1"/>
  <c r="I2168"/>
  <c r="K2168" s="1"/>
  <c r="I2169"/>
  <c r="K2169" s="1"/>
  <c r="I2170"/>
  <c r="K2170" s="1"/>
  <c r="K2171"/>
  <c r="I2172"/>
  <c r="K2172"/>
  <c r="K2218"/>
  <c r="I2219"/>
  <c r="K2219" s="1"/>
  <c r="I2220"/>
  <c r="K2220" s="1"/>
  <c r="I2221"/>
  <c r="K2221" s="1"/>
  <c r="I2222"/>
  <c r="K2222" s="1"/>
  <c r="K2232"/>
  <c r="K2233"/>
  <c r="K2234"/>
  <c r="K2235"/>
  <c r="I2236"/>
  <c r="K2236" s="1"/>
  <c r="I2237"/>
  <c r="K2237"/>
  <c r="K2263"/>
  <c r="K2265"/>
  <c r="K2266"/>
  <c r="K2267"/>
  <c r="K2268"/>
  <c r="I2308"/>
  <c r="K2308"/>
  <c r="K2309"/>
  <c r="K2310"/>
  <c r="K2321"/>
  <c r="K2322"/>
  <c r="K2323"/>
  <c r="K2324"/>
  <c r="K2325"/>
  <c r="K2326"/>
  <c r="I2327"/>
  <c r="K2327"/>
  <c r="I2328"/>
  <c r="K2328"/>
  <c r="I2361"/>
  <c r="K2361"/>
  <c r="I2362"/>
  <c r="K2363"/>
  <c r="I2368"/>
  <c r="K2368"/>
  <c r="I2369"/>
  <c r="K2370"/>
  <c r="I2372"/>
  <c r="K2375"/>
  <c r="I2424"/>
  <c r="K2424" s="1"/>
  <c r="K2426"/>
  <c r="I2428"/>
  <c r="K2430"/>
  <c r="K2431"/>
  <c r="I2466"/>
  <c r="K2466" s="1"/>
  <c r="I2467"/>
  <c r="K2467" s="1"/>
  <c r="K2469"/>
  <c r="K2470"/>
  <c r="K2490"/>
  <c r="K2493" s="1"/>
  <c r="K2497"/>
  <c r="K2502" s="1"/>
  <c r="K2498"/>
  <c r="K2505"/>
  <c r="K2506"/>
  <c r="K2509"/>
  <c r="K2510" s="1"/>
  <c r="I2499" s="1"/>
  <c r="K2499" s="1"/>
  <c r="K2507"/>
  <c r="I2531"/>
  <c r="K2531" s="1"/>
  <c r="K2557"/>
  <c r="I2559"/>
  <c r="K2604"/>
  <c r="I2605"/>
  <c r="K2605" s="1"/>
  <c r="I2607"/>
  <c r="K2607"/>
  <c r="I2625"/>
  <c r="K2625"/>
  <c r="K2626"/>
  <c r="K2633"/>
  <c r="K2634"/>
  <c r="K2635"/>
  <c r="K2636"/>
  <c r="K2637"/>
  <c r="K2638"/>
  <c r="K2639"/>
  <c r="K2640"/>
  <c r="I2665"/>
  <c r="K2665" s="1"/>
  <c r="I2667"/>
  <c r="K2667" s="1"/>
  <c r="I2668"/>
  <c r="K2668" s="1"/>
  <c r="I2669"/>
  <c r="K2669" s="1"/>
  <c r="I2670"/>
  <c r="K2670" s="1"/>
  <c r="K2680"/>
  <c r="K2700"/>
  <c r="K2701"/>
  <c r="K2707"/>
  <c r="K2708"/>
  <c r="K2710" s="1"/>
  <c r="K2711"/>
  <c r="K2703" s="1"/>
  <c r="K2705" s="1"/>
  <c r="K2715"/>
  <c r="K2716"/>
  <c r="K2723"/>
  <c r="K2724"/>
  <c r="K2727" s="1"/>
  <c r="K2728"/>
  <c r="K2717" s="1"/>
  <c r="K2720" s="1"/>
  <c r="K2725"/>
  <c r="K2732"/>
  <c r="K2733"/>
  <c r="K2734"/>
  <c r="K2735"/>
  <c r="K2743"/>
  <c r="K2745" s="1"/>
  <c r="K2744"/>
  <c r="K2752"/>
  <c r="K2753"/>
  <c r="K2754"/>
  <c r="K2755"/>
  <c r="K2756"/>
  <c r="K2757"/>
  <c r="I2758"/>
  <c r="K2758" s="1"/>
  <c r="I2759"/>
  <c r="K2759" s="1"/>
  <c r="I2760"/>
  <c r="K2760" s="1"/>
  <c r="K2783"/>
  <c r="K2784"/>
  <c r="K2785"/>
  <c r="K2786"/>
  <c r="K2787"/>
  <c r="K2788"/>
  <c r="I2789"/>
  <c r="K2789" s="1"/>
  <c r="I2790"/>
  <c r="K2790" s="1"/>
  <c r="K2798"/>
  <c r="K2799"/>
  <c r="K2807"/>
  <c r="K2808"/>
  <c r="K2810"/>
  <c r="K2811" s="1"/>
  <c r="K2802" s="1"/>
  <c r="K2815"/>
  <c r="K2816"/>
  <c r="K2817"/>
  <c r="K2818"/>
  <c r="K2825"/>
  <c r="K2826"/>
  <c r="K2827"/>
  <c r="K2843"/>
  <c r="K2844"/>
  <c r="K2845"/>
  <c r="K2846"/>
  <c r="K2847"/>
  <c r="P2847"/>
  <c r="R2847" s="1"/>
  <c r="R2848"/>
  <c r="K2849"/>
  <c r="P2849"/>
  <c r="K2850"/>
  <c r="K2893" s="1"/>
  <c r="K3847" s="1"/>
  <c r="K2851"/>
  <c r="K2880" s="1"/>
  <c r="K2891"/>
  <c r="R2851"/>
  <c r="K2852"/>
  <c r="K2892" s="1"/>
  <c r="K3846" s="1"/>
  <c r="K2853"/>
  <c r="P2853"/>
  <c r="R2853"/>
  <c r="P2886"/>
  <c r="R2886"/>
  <c r="I2854"/>
  <c r="K2854"/>
  <c r="R2854"/>
  <c r="I2855"/>
  <c r="R2855"/>
  <c r="I2856"/>
  <c r="I3806"/>
  <c r="K3806" s="1"/>
  <c r="R2856"/>
  <c r="R2857"/>
  <c r="L2860"/>
  <c r="K2866"/>
  <c r="K2867"/>
  <c r="K2868"/>
  <c r="K2869"/>
  <c r="P2870"/>
  <c r="R2870"/>
  <c r="K2871"/>
  <c r="P2871"/>
  <c r="R2871" s="1"/>
  <c r="I2872"/>
  <c r="K2872" s="1"/>
  <c r="P2872"/>
  <c r="R2872" s="1"/>
  <c r="P2873"/>
  <c r="R2873" s="1"/>
  <c r="P2881"/>
  <c r="R2881" s="1"/>
  <c r="P2884"/>
  <c r="R2884" s="1"/>
  <c r="P2887"/>
  <c r="R2887" s="1"/>
  <c r="R2888"/>
  <c r="R2889"/>
  <c r="P2890"/>
  <c r="R2890" s="1"/>
  <c r="K2895"/>
  <c r="I2905"/>
  <c r="K2905"/>
  <c r="I2906"/>
  <c r="I2907"/>
  <c r="I2910"/>
  <c r="I2936"/>
  <c r="I2911"/>
  <c r="I3034"/>
  <c r="K3034" s="1"/>
  <c r="K2912"/>
  <c r="I2913"/>
  <c r="K2913"/>
  <c r="I2914"/>
  <c r="I2916"/>
  <c r="I2917"/>
  <c r="L2919"/>
  <c r="I2923"/>
  <c r="K2925"/>
  <c r="I2931"/>
  <c r="K2935"/>
  <c r="I2941"/>
  <c r="I2956"/>
  <c r="K2957"/>
  <c r="L2957"/>
  <c r="M2957"/>
  <c r="N2957" s="1"/>
  <c r="I2974"/>
  <c r="K2974" s="1"/>
  <c r="K2984"/>
  <c r="I2995"/>
  <c r="K2995"/>
  <c r="I2996"/>
  <c r="K2996"/>
  <c r="I2997"/>
  <c r="K2997"/>
  <c r="I2999"/>
  <c r="K2999"/>
  <c r="I3000"/>
  <c r="I3001"/>
  <c r="K3001" s="1"/>
  <c r="I3002"/>
  <c r="K3002" s="1"/>
  <c r="K3019"/>
  <c r="I3004"/>
  <c r="K3004"/>
  <c r="I3005"/>
  <c r="K3005"/>
  <c r="L3009"/>
  <c r="L3011"/>
  <c r="L3023"/>
  <c r="I3028"/>
  <c r="K3028" s="1"/>
  <c r="I3030"/>
  <c r="K3030" s="1"/>
  <c r="I3033"/>
  <c r="K3033" s="1"/>
  <c r="I3035"/>
  <c r="K3035" s="1"/>
  <c r="I3036"/>
  <c r="K3036" s="1"/>
  <c r="L3041"/>
  <c r="L3042"/>
  <c r="M3043"/>
  <c r="L3044"/>
  <c r="I3053"/>
  <c r="L3061"/>
  <c r="L3063"/>
  <c r="K3088"/>
  <c r="L3089"/>
  <c r="L3090"/>
  <c r="K3098"/>
  <c r="R3098"/>
  <c r="I3101"/>
  <c r="K3101"/>
  <c r="P3101"/>
  <c r="R3101"/>
  <c r="K3113"/>
  <c r="L3118"/>
  <c r="K3132"/>
  <c r="I3139"/>
  <c r="K3139" s="1"/>
  <c r="I3140"/>
  <c r="K3150"/>
  <c r="K3151"/>
  <c r="I3158"/>
  <c r="K3158" s="1"/>
  <c r="K3169"/>
  <c r="I3170"/>
  <c r="I3181"/>
  <c r="K3181" s="1"/>
  <c r="K3180"/>
  <c r="K3191"/>
  <c r="K3192"/>
  <c r="K3193"/>
  <c r="K3206"/>
  <c r="I3207"/>
  <c r="K3207"/>
  <c r="K3208"/>
  <c r="K3217"/>
  <c r="J3222"/>
  <c r="K3222"/>
  <c r="I3218" s="1"/>
  <c r="K3218"/>
  <c r="L3222"/>
  <c r="K3230"/>
  <c r="I3231"/>
  <c r="K3231"/>
  <c r="K3240"/>
  <c r="K3241"/>
  <c r="I3247"/>
  <c r="I3248"/>
  <c r="I3249"/>
  <c r="K3249" s="1"/>
  <c r="K3257"/>
  <c r="I3258"/>
  <c r="K3258" s="1"/>
  <c r="I3259"/>
  <c r="K3259" s="1"/>
  <c r="K3289"/>
  <c r="K3290"/>
  <c r="L3293"/>
  <c r="K3306"/>
  <c r="K3307"/>
  <c r="K3308"/>
  <c r="K3309"/>
  <c r="K3312"/>
  <c r="K3313"/>
  <c r="K3314"/>
  <c r="K3315"/>
  <c r="K3316"/>
  <c r="I3335"/>
  <c r="K3335"/>
  <c r="I3330" s="1"/>
  <c r="K3330" s="1"/>
  <c r="K3345"/>
  <c r="I3351"/>
  <c r="I3405" s="1"/>
  <c r="I3352"/>
  <c r="I3353"/>
  <c r="I3407" s="1"/>
  <c r="I3426" s="1"/>
  <c r="I3447" s="1"/>
  <c r="K3353"/>
  <c r="K3354"/>
  <c r="L3364"/>
  <c r="I3368"/>
  <c r="I3402"/>
  <c r="I3421" s="1"/>
  <c r="I3443" s="1"/>
  <c r="I3483" s="1"/>
  <c r="K3483" s="1"/>
  <c r="I3477" s="1"/>
  <c r="K3477" s="1"/>
  <c r="J3368"/>
  <c r="I3376"/>
  <c r="K3376" s="1"/>
  <c r="K3384"/>
  <c r="K3389"/>
  <c r="C278" i="9"/>
  <c r="J278" s="1"/>
  <c r="I3464" i="11"/>
  <c r="K3464" s="1"/>
  <c r="K3396"/>
  <c r="L3399"/>
  <c r="M3399"/>
  <c r="N3399" s="1"/>
  <c r="K3415"/>
  <c r="L3415"/>
  <c r="K3436"/>
  <c r="K3438"/>
  <c r="K3454"/>
  <c r="K3455"/>
  <c r="I3465"/>
  <c r="K3465"/>
  <c r="I3476"/>
  <c r="K3476"/>
  <c r="I3478"/>
  <c r="K3478"/>
  <c r="K3494"/>
  <c r="P3494"/>
  <c r="R3494" s="1"/>
  <c r="K3495"/>
  <c r="P3495"/>
  <c r="R3495"/>
  <c r="I3496"/>
  <c r="L3501"/>
  <c r="I3503"/>
  <c r="I3504"/>
  <c r="P3504"/>
  <c r="R3504" s="1"/>
  <c r="I3505"/>
  <c r="K3505" s="1"/>
  <c r="I3506"/>
  <c r="P3506"/>
  <c r="R3506" s="1"/>
  <c r="K3513"/>
  <c r="K3515" s="1"/>
  <c r="K4003" i="13" s="1"/>
  <c r="K3521" i="11"/>
  <c r="K3524"/>
  <c r="K4004" i="13" s="1"/>
  <c r="I3532" i="11"/>
  <c r="K3532" s="1"/>
  <c r="I3533"/>
  <c r="K3533" s="1"/>
  <c r="L3537"/>
  <c r="K3545"/>
  <c r="K3547"/>
  <c r="L3547"/>
  <c r="I3553"/>
  <c r="K3553" s="1"/>
  <c r="K3556" s="1"/>
  <c r="K3561"/>
  <c r="L3561"/>
  <c r="K3562"/>
  <c r="K3563"/>
  <c r="L3566"/>
  <c r="L3567"/>
  <c r="K3578"/>
  <c r="K3579"/>
  <c r="K3580"/>
  <c r="L3581"/>
  <c r="L3582"/>
  <c r="I3587"/>
  <c r="K3587" s="1"/>
  <c r="I3588"/>
  <c r="K3588" s="1"/>
  <c r="K3591" s="1"/>
  <c r="I3590"/>
  <c r="I3683" s="1"/>
  <c r="K3683"/>
  <c r="J3603"/>
  <c r="I3605"/>
  <c r="J3605"/>
  <c r="K3605"/>
  <c r="L3605"/>
  <c r="K3612"/>
  <c r="K3613"/>
  <c r="K3614"/>
  <c r="I3616"/>
  <c r="I3647"/>
  <c r="K3647" s="1"/>
  <c r="I3623"/>
  <c r="I3681" s="1"/>
  <c r="K3681"/>
  <c r="K3634"/>
  <c r="K3635"/>
  <c r="K3643"/>
  <c r="I3644"/>
  <c r="K3644" s="1"/>
  <c r="I3645"/>
  <c r="K3645" s="1"/>
  <c r="L3649"/>
  <c r="K3659"/>
  <c r="K3661"/>
  <c r="I3662"/>
  <c r="K3662"/>
  <c r="K3663"/>
  <c r="I3664"/>
  <c r="K3664" s="1"/>
  <c r="K3666"/>
  <c r="K3667"/>
  <c r="K3668"/>
  <c r="K3669"/>
  <c r="D3671"/>
  <c r="I3679"/>
  <c r="K3680"/>
  <c r="I3682"/>
  <c r="K3682"/>
  <c r="L3684"/>
  <c r="L3685"/>
  <c r="K3691"/>
  <c r="K3696"/>
  <c r="K3705"/>
  <c r="K3707"/>
  <c r="K3715"/>
  <c r="K3716"/>
  <c r="K3717"/>
  <c r="K3718"/>
  <c r="K3719"/>
  <c r="I3722"/>
  <c r="K3722" s="1"/>
  <c r="K3736"/>
  <c r="K3737"/>
  <c r="J3739"/>
  <c r="K3739" s="1"/>
  <c r="K3757" s="1"/>
  <c r="K3754"/>
  <c r="I3755"/>
  <c r="K3755" s="1"/>
  <c r="K3756"/>
  <c r="K3762"/>
  <c r="L3761"/>
  <c r="K3763"/>
  <c r="K3764"/>
  <c r="K3766"/>
  <c r="K3767"/>
  <c r="K3773"/>
  <c r="K3774"/>
  <c r="I3791"/>
  <c r="K3791"/>
  <c r="I3792"/>
  <c r="K3792"/>
  <c r="I3793"/>
  <c r="K3793"/>
  <c r="K3794"/>
  <c r="K3796"/>
  <c r="I3797"/>
  <c r="K3797"/>
  <c r="I3798"/>
  <c r="K3798"/>
  <c r="I3799"/>
  <c r="K3799"/>
  <c r="K3833" s="1"/>
  <c r="K3845"/>
  <c r="K3800"/>
  <c r="K3801"/>
  <c r="K3803"/>
  <c r="K3869" s="1"/>
  <c r="K3804"/>
  <c r="K3807"/>
  <c r="L3808"/>
  <c r="L3811"/>
  <c r="I3820"/>
  <c r="K3820"/>
  <c r="I3821"/>
  <c r="K3821"/>
  <c r="I3822"/>
  <c r="K3822"/>
  <c r="I3823"/>
  <c r="K3823"/>
  <c r="K3886"/>
  <c r="K3890"/>
  <c r="L3894"/>
  <c r="I3906"/>
  <c r="K3906"/>
  <c r="I3916"/>
  <c r="K3916"/>
  <c r="I3917"/>
  <c r="K3917"/>
  <c r="I3918"/>
  <c r="K3918"/>
  <c r="I3919"/>
  <c r="K3919"/>
  <c r="K3929"/>
  <c r="K3930"/>
  <c r="I3931"/>
  <c r="K3931"/>
  <c r="I3945"/>
  <c r="K3945"/>
  <c r="C3" i="4"/>
  <c r="E3"/>
  <c r="E4" s="1"/>
  <c r="E5"/>
  <c r="E6" s="1"/>
  <c r="E11" s="1"/>
  <c r="E10"/>
  <c r="G19"/>
  <c r="H18" s="1"/>
  <c r="H3"/>
  <c r="H4"/>
  <c r="H5" s="1"/>
  <c r="H6" s="1"/>
  <c r="K3"/>
  <c r="K4"/>
  <c r="K5" s="1"/>
  <c r="K6"/>
  <c r="N3"/>
  <c r="Q3"/>
  <c r="C4"/>
  <c r="C5" s="1"/>
  <c r="C6"/>
  <c r="H10"/>
  <c r="H11"/>
  <c r="K11"/>
  <c r="E12"/>
  <c r="AA9" i="1"/>
  <c r="C68"/>
  <c r="I294" s="1"/>
  <c r="K294" s="1"/>
  <c r="K12" i="4"/>
  <c r="Z21" i="1"/>
  <c r="AA21" s="1"/>
  <c r="C83"/>
  <c r="I1282" s="1"/>
  <c r="K1282" s="1"/>
  <c r="N12" i="4"/>
  <c r="Q12"/>
  <c r="Z24" i="1"/>
  <c r="AA38"/>
  <c r="C140"/>
  <c r="E14" i="4"/>
  <c r="Z31" i="1"/>
  <c r="E15" i="4"/>
  <c r="E16"/>
  <c r="E18"/>
  <c r="E19"/>
  <c r="H19"/>
  <c r="E20"/>
  <c r="E21"/>
  <c r="G24"/>
  <c r="H25" s="1"/>
  <c r="B496" i="5"/>
  <c r="B111"/>
  <c r="F111" s="1"/>
  <c r="B248"/>
  <c r="F248" s="1"/>
  <c r="B501"/>
  <c r="B499"/>
  <c r="B454"/>
  <c r="B446"/>
  <c r="F446"/>
  <c r="B151"/>
  <c r="F151"/>
  <c r="B129"/>
  <c r="F129"/>
  <c r="B109"/>
  <c r="F109"/>
  <c r="B96"/>
  <c r="F96"/>
  <c r="B404"/>
  <c r="F171"/>
  <c r="B76"/>
  <c r="F76"/>
  <c r="B500"/>
  <c r="B259"/>
  <c r="F259" s="1"/>
  <c r="B186"/>
  <c r="F186" s="1"/>
  <c r="B424"/>
  <c r="F424" s="1"/>
  <c r="B333"/>
  <c r="F333" s="1"/>
  <c r="B396"/>
  <c r="B392"/>
  <c r="B363"/>
  <c r="F363" s="1"/>
  <c r="B272"/>
  <c r="F272" s="1"/>
  <c r="B243"/>
  <c r="B189"/>
  <c r="F189"/>
  <c r="B91"/>
  <c r="F91"/>
  <c r="F57"/>
  <c r="F197"/>
  <c r="B147"/>
  <c r="F147"/>
  <c r="B133"/>
  <c r="F133"/>
  <c r="F107"/>
  <c r="B110"/>
  <c r="F110" s="1"/>
  <c r="F153"/>
  <c r="F136"/>
  <c r="B452"/>
  <c r="B273"/>
  <c r="F273" s="1"/>
  <c r="B239"/>
  <c r="B223"/>
  <c r="F223"/>
  <c r="B203"/>
  <c r="B196"/>
  <c r="F196" s="1"/>
  <c r="B93"/>
  <c r="F93" s="1"/>
  <c r="B453"/>
  <c r="B445"/>
  <c r="F445"/>
  <c r="B403"/>
  <c r="B455"/>
  <c r="B130"/>
  <c r="F130" s="1"/>
  <c r="B356"/>
  <c r="F356" s="1"/>
  <c r="B184"/>
  <c r="F184"/>
  <c r="B173"/>
  <c r="F173"/>
  <c r="B134"/>
  <c r="F134"/>
  <c r="B31"/>
  <c r="F31"/>
  <c r="B265"/>
  <c r="B238"/>
  <c r="B89"/>
  <c r="F89"/>
  <c r="B32"/>
  <c r="F32"/>
  <c r="B94"/>
  <c r="F94"/>
  <c r="B329"/>
  <c r="B331"/>
  <c r="B495"/>
  <c r="B296"/>
  <c r="F296" s="1"/>
  <c r="B378"/>
  <c r="F378" s="1"/>
  <c r="B498"/>
  <c r="B127"/>
  <c r="F127"/>
  <c r="B37"/>
  <c r="F37"/>
  <c r="B493"/>
  <c r="B291"/>
  <c r="F291" s="1"/>
  <c r="B137"/>
  <c r="F137" s="1"/>
  <c r="B518"/>
  <c r="F518" s="1"/>
  <c r="B25"/>
  <c r="F25" s="1"/>
  <c r="B88"/>
  <c r="F88" s="1"/>
  <c r="B217"/>
  <c r="F217" s="1"/>
  <c r="B255"/>
  <c r="F255" s="1"/>
  <c r="B497"/>
  <c r="B34"/>
  <c r="F34"/>
  <c r="B268"/>
  <c r="F268"/>
  <c r="B251"/>
  <c r="F251"/>
  <c r="B423"/>
  <c r="F423"/>
  <c r="B152"/>
  <c r="F152"/>
  <c r="B187"/>
  <c r="F187"/>
  <c r="F265"/>
  <c r="B237"/>
  <c r="B168"/>
  <c r="F168"/>
  <c r="B61"/>
  <c r="F61"/>
  <c r="B35"/>
  <c r="F35"/>
  <c r="B138"/>
  <c r="F138"/>
  <c r="B327"/>
  <c r="F327"/>
  <c r="B172"/>
  <c r="F172"/>
  <c r="B320"/>
  <c r="F320"/>
  <c r="B62"/>
  <c r="B240"/>
  <c r="F203"/>
  <c r="B249"/>
  <c r="F249" s="1"/>
  <c r="B399"/>
  <c r="F399" s="1"/>
  <c r="AB1376" i="1"/>
  <c r="AB1359"/>
  <c r="D258" i="5"/>
  <c r="F258" s="1"/>
  <c r="K3423" i="1"/>
  <c r="K3421"/>
  <c r="P3137"/>
  <c r="R3137" s="1"/>
  <c r="D21" i="12"/>
  <c r="D22" s="1"/>
  <c r="C281" i="9"/>
  <c r="J281" s="1"/>
  <c r="K3995" i="13"/>
  <c r="AB1308" i="1"/>
  <c r="AB1325"/>
  <c r="V1306"/>
  <c r="X1306" s="1"/>
  <c r="R1198"/>
  <c r="AB1342"/>
  <c r="AB1306"/>
  <c r="AB1353"/>
  <c r="AB1366"/>
  <c r="K3170" i="11"/>
  <c r="I1818"/>
  <c r="K1818" s="1"/>
  <c r="I1830"/>
  <c r="K1830" s="1"/>
  <c r="I2590"/>
  <c r="K2590" s="1"/>
  <c r="K2559"/>
  <c r="I2387"/>
  <c r="K2387"/>
  <c r="K2369"/>
  <c r="I1014"/>
  <c r="K1014" s="1"/>
  <c r="I2425"/>
  <c r="I2440" s="1"/>
  <c r="I2408"/>
  <c r="K2408"/>
  <c r="K1809"/>
  <c r="K1016"/>
  <c r="I272"/>
  <c r="K272" s="1"/>
  <c r="P67"/>
  <c r="R67" s="1"/>
  <c r="P376"/>
  <c r="R376" s="1"/>
  <c r="I446"/>
  <c r="K446" s="1"/>
  <c r="P691"/>
  <c r="R691" s="1"/>
  <c r="P706"/>
  <c r="R706" s="1"/>
  <c r="P722"/>
  <c r="R722" s="1"/>
  <c r="I914"/>
  <c r="I228"/>
  <c r="K228"/>
  <c r="P309"/>
  <c r="R309"/>
  <c r="I339"/>
  <c r="K339"/>
  <c r="I414"/>
  <c r="K414"/>
  <c r="I448"/>
  <c r="K448"/>
  <c r="P84"/>
  <c r="R84"/>
  <c r="I274"/>
  <c r="K274"/>
  <c r="I300"/>
  <c r="K300"/>
  <c r="I315"/>
  <c r="K315"/>
  <c r="P321"/>
  <c r="R321"/>
  <c r="I359"/>
  <c r="K359"/>
  <c r="P378"/>
  <c r="R378"/>
  <c r="P392"/>
  <c r="R392"/>
  <c r="I483"/>
  <c r="K483"/>
  <c r="P498"/>
  <c r="R498"/>
  <c r="P516"/>
  <c r="R516"/>
  <c r="I273"/>
  <c r="K273"/>
  <c r="P297"/>
  <c r="R297"/>
  <c r="I299"/>
  <c r="K299"/>
  <c r="I314"/>
  <c r="K314"/>
  <c r="P320"/>
  <c r="R320"/>
  <c r="P337"/>
  <c r="R337"/>
  <c r="I358"/>
  <c r="K358"/>
  <c r="P391"/>
  <c r="R391"/>
  <c r="I482"/>
  <c r="K482"/>
  <c r="P515"/>
  <c r="R515"/>
  <c r="I520"/>
  <c r="K520"/>
  <c r="P535"/>
  <c r="R535"/>
  <c r="I577"/>
  <c r="K577"/>
  <c r="P83"/>
  <c r="R83"/>
  <c r="P192"/>
  <c r="R192"/>
  <c r="I338"/>
  <c r="K338"/>
  <c r="P363"/>
  <c r="R363"/>
  <c r="I413"/>
  <c r="K413"/>
  <c r="I536"/>
  <c r="K536"/>
  <c r="I561"/>
  <c r="K561"/>
  <c r="I593"/>
  <c r="K593"/>
  <c r="K2425"/>
  <c r="K2440"/>
  <c r="G18" i="4"/>
  <c r="B468" i="5"/>
  <c r="I3267" i="11"/>
  <c r="B463" i="5"/>
  <c r="B92"/>
  <c r="F92" s="1"/>
  <c r="B482"/>
  <c r="B277"/>
  <c r="D11" i="14"/>
  <c r="D12"/>
  <c r="D10"/>
  <c r="D13"/>
  <c r="D14"/>
  <c r="B112" i="5"/>
  <c r="F112" s="1"/>
  <c r="B276"/>
  <c r="V1305" i="1"/>
  <c r="X1305"/>
  <c r="P1323"/>
  <c r="V1322"/>
  <c r="X1322" s="1"/>
  <c r="R1306"/>
  <c r="AB1218"/>
  <c r="AB1323"/>
  <c r="AB1340"/>
  <c r="B175" i="5"/>
  <c r="F175"/>
  <c r="B245"/>
  <c r="K3496" i="11"/>
  <c r="P3496"/>
  <c r="R3496"/>
  <c r="I3534"/>
  <c r="K3534"/>
  <c r="B364" i="5"/>
  <c r="F364" s="1"/>
  <c r="B148"/>
  <c r="F148" s="1"/>
  <c r="I2558" i="13"/>
  <c r="K914"/>
  <c r="B236" i="5"/>
  <c r="B58"/>
  <c r="F58" s="1"/>
  <c r="B126"/>
  <c r="F126" s="1"/>
  <c r="B235"/>
  <c r="K3402" i="11"/>
  <c r="I3397" s="1"/>
  <c r="K3397" s="1"/>
  <c r="L3397" s="1"/>
  <c r="B97" i="5"/>
  <c r="F97"/>
  <c r="Z35" i="1"/>
  <c r="AA35"/>
  <c r="I253" s="1"/>
  <c r="K253" s="1"/>
  <c r="G21" i="4"/>
  <c r="G20"/>
  <c r="G23"/>
  <c r="G25"/>
  <c r="G22"/>
  <c r="P2846" i="11"/>
  <c r="K2856"/>
  <c r="I3007"/>
  <c r="K3007"/>
  <c r="R2849"/>
  <c r="P2882"/>
  <c r="R2882" s="1"/>
  <c r="I2560"/>
  <c r="K2560" s="1"/>
  <c r="K916"/>
  <c r="AB1312" i="1"/>
  <c r="K3679" i="11"/>
  <c r="I3690"/>
  <c r="K3690"/>
  <c r="I3905"/>
  <c r="K3905" s="1"/>
  <c r="I2959"/>
  <c r="K2956"/>
  <c r="I2986"/>
  <c r="K2986" s="1"/>
  <c r="I2530"/>
  <c r="K2530" s="1"/>
  <c r="K1019"/>
  <c r="I2933" i="13"/>
  <c r="K2907"/>
  <c r="I3030"/>
  <c r="K3030"/>
  <c r="I3198" i="11"/>
  <c r="K3198" s="1"/>
  <c r="B154" i="5"/>
  <c r="F154" s="1"/>
  <c r="B247"/>
  <c r="F247" s="1"/>
  <c r="B486"/>
  <c r="B106"/>
  <c r="F106"/>
  <c r="P3505" i="11"/>
  <c r="R3505" s="1"/>
  <c r="I3589"/>
  <c r="K3589" s="1"/>
  <c r="I3624"/>
  <c r="K3624" s="1"/>
  <c r="B391" i="5"/>
  <c r="F391"/>
  <c r="B461"/>
  <c r="F461"/>
  <c r="B178"/>
  <c r="F178"/>
  <c r="B140"/>
  <c r="F140"/>
  <c r="I1562" i="13"/>
  <c r="K1562" s="1"/>
  <c r="K1566"/>
  <c r="K1569" s="1"/>
  <c r="I1931"/>
  <c r="K1931" s="1"/>
  <c r="I1894"/>
  <c r="K1894"/>
  <c r="I1915"/>
  <c r="K1915"/>
  <c r="I1953"/>
  <c r="K1953"/>
  <c r="I1865"/>
  <c r="K1865"/>
  <c r="I2605"/>
  <c r="K2605" s="1"/>
  <c r="K2609"/>
  <c r="I1976"/>
  <c r="K1976"/>
  <c r="I2000"/>
  <c r="K2000"/>
  <c r="I1934"/>
  <c r="K1934"/>
  <c r="I1950"/>
  <c r="K1950"/>
  <c r="I2029"/>
  <c r="K2029" s="1"/>
  <c r="F235" i="5"/>
  <c r="B170"/>
  <c r="F170"/>
  <c r="P1322" i="1"/>
  <c r="R1322"/>
  <c r="K2748" i="11"/>
  <c r="C35"/>
  <c r="I1046"/>
  <c r="K1046"/>
  <c r="I1031"/>
  <c r="K1031"/>
  <c r="K282"/>
  <c r="K507"/>
  <c r="I783"/>
  <c r="K783"/>
  <c r="I2410" i="13"/>
  <c r="K2410"/>
  <c r="K2362"/>
  <c r="K1015"/>
  <c r="I2526"/>
  <c r="K2526"/>
  <c r="B70" i="5"/>
  <c r="F70"/>
  <c r="B95"/>
  <c r="F95"/>
  <c r="B241"/>
  <c r="F241"/>
  <c r="AA29" i="1"/>
  <c r="C91"/>
  <c r="K3503" i="11"/>
  <c r="K3507" s="1"/>
  <c r="B444" i="5"/>
  <c r="F444"/>
  <c r="B198"/>
  <c r="F198"/>
  <c r="B166"/>
  <c r="F166"/>
  <c r="K3000" i="11"/>
  <c r="I3697"/>
  <c r="I3059"/>
  <c r="K3059" s="1"/>
  <c r="K2941"/>
  <c r="K1844"/>
  <c r="I1845"/>
  <c r="K1845"/>
  <c r="I749"/>
  <c r="K749" s="1"/>
  <c r="I727"/>
  <c r="K727" s="1"/>
  <c r="I3571"/>
  <c r="K3571" s="1"/>
  <c r="K3504"/>
  <c r="K3407"/>
  <c r="P2880"/>
  <c r="R2880" s="1"/>
  <c r="K3158" i="13"/>
  <c r="I3198"/>
  <c r="K3198" s="1"/>
  <c r="K2913"/>
  <c r="I2939"/>
  <c r="I2915"/>
  <c r="I2932"/>
  <c r="K2643"/>
  <c r="K2645" s="1"/>
  <c r="K2241"/>
  <c r="K2103"/>
  <c r="K2105" s="1"/>
  <c r="K2107" s="1"/>
  <c r="I2940" i="11"/>
  <c r="K2917" i="13"/>
  <c r="I3040"/>
  <c r="K3040" s="1"/>
  <c r="I1134"/>
  <c r="K1134" s="1"/>
  <c r="K1138"/>
  <c r="K1140" s="1"/>
  <c r="I1702"/>
  <c r="K1702" s="1"/>
  <c r="I3625" i="11"/>
  <c r="K3625" s="1"/>
  <c r="K3506"/>
  <c r="I3572"/>
  <c r="K3572" s="1"/>
  <c r="K2931"/>
  <c r="I2951"/>
  <c r="I3049"/>
  <c r="I2959" i="13"/>
  <c r="K2956"/>
  <c r="I3904"/>
  <c r="K3904"/>
  <c r="K1085"/>
  <c r="E17" i="4"/>
  <c r="I3115" i="11"/>
  <c r="K3115"/>
  <c r="I2939"/>
  <c r="I2915"/>
  <c r="I1865"/>
  <c r="K1865"/>
  <c r="I1953"/>
  <c r="K1953" s="1"/>
  <c r="K1957"/>
  <c r="I2000"/>
  <c r="K2000"/>
  <c r="I3589" i="13"/>
  <c r="K3589" s="1"/>
  <c r="I3624"/>
  <c r="I3727" s="1"/>
  <c r="K2092"/>
  <c r="I1930" i="11"/>
  <c r="K1930" s="1"/>
  <c r="K1938"/>
  <c r="K2792" i="13"/>
  <c r="K2794" s="1"/>
  <c r="K1019"/>
  <c r="I2530"/>
  <c r="K2530"/>
  <c r="P210" i="11"/>
  <c r="R210" s="1"/>
  <c r="I946"/>
  <c r="K946" s="1"/>
  <c r="I911"/>
  <c r="I975"/>
  <c r="K975" s="1"/>
  <c r="I1012"/>
  <c r="I83"/>
  <c r="P450"/>
  <c r="R450" s="1"/>
  <c r="K3140" i="13"/>
  <c r="K2873"/>
  <c r="K2264"/>
  <c r="I2666"/>
  <c r="K2666"/>
  <c r="I1385" i="11"/>
  <c r="K1385" s="1"/>
  <c r="K667"/>
  <c r="K669" s="1"/>
  <c r="K670" s="1"/>
  <c r="K671" s="1"/>
  <c r="K672" s="1"/>
  <c r="K673" s="1"/>
  <c r="P554"/>
  <c r="R554" s="1"/>
  <c r="R566"/>
  <c r="R568" s="1"/>
  <c r="I474"/>
  <c r="K474" s="1"/>
  <c r="P704"/>
  <c r="R704" s="1"/>
  <c r="P689"/>
  <c r="R689" s="1"/>
  <c r="R698" s="1"/>
  <c r="R700" s="1"/>
  <c r="I1492"/>
  <c r="K1492" s="1"/>
  <c r="I887"/>
  <c r="K887"/>
  <c r="I1085"/>
  <c r="I2262" s="1"/>
  <c r="I2664" s="1"/>
  <c r="I3266" i="13"/>
  <c r="K3248"/>
  <c r="P2846"/>
  <c r="I3805"/>
  <c r="K3805" s="1"/>
  <c r="K2856"/>
  <c r="P630" i="11"/>
  <c r="R630"/>
  <c r="P618"/>
  <c r="R618"/>
  <c r="I500"/>
  <c r="K500"/>
  <c r="I2911" i="13"/>
  <c r="I1506"/>
  <c r="K1506" s="1"/>
  <c r="I1534"/>
  <c r="K1534" s="1"/>
  <c r="I689"/>
  <c r="K689" s="1"/>
  <c r="P764"/>
  <c r="R764" s="1"/>
  <c r="I747"/>
  <c r="K747" s="1"/>
  <c r="AB1362" i="1"/>
  <c r="AB1379"/>
  <c r="AB1310"/>
  <c r="K2021" i="13"/>
  <c r="K1469"/>
  <c r="K1471" s="1"/>
  <c r="K2736"/>
  <c r="I880"/>
  <c r="K880" s="1"/>
  <c r="I887"/>
  <c r="K887" s="1"/>
  <c r="P706"/>
  <c r="R706" s="1"/>
  <c r="P722"/>
  <c r="R722" s="1"/>
  <c r="I1810"/>
  <c r="K1810" s="1"/>
  <c r="I949"/>
  <c r="K949"/>
  <c r="I123"/>
  <c r="K123"/>
  <c r="K126" s="1"/>
  <c r="K128"/>
  <c r="K129" s="1"/>
  <c r="I94"/>
  <c r="K94" s="1"/>
  <c r="P1342" i="1"/>
  <c r="AB1307"/>
  <c r="I412" i="13"/>
  <c r="K412"/>
  <c r="V1197" i="1"/>
  <c r="X1197"/>
  <c r="I46" i="13"/>
  <c r="K46"/>
  <c r="I65"/>
  <c r="K65"/>
  <c r="I20"/>
  <c r="K20"/>
  <c r="I37"/>
  <c r="K37"/>
  <c r="I155"/>
  <c r="K155"/>
  <c r="I29"/>
  <c r="K29"/>
  <c r="I226"/>
  <c r="K226"/>
  <c r="I357"/>
  <c r="K357"/>
  <c r="P191"/>
  <c r="R191"/>
  <c r="P284"/>
  <c r="R284"/>
  <c r="P376"/>
  <c r="R376"/>
  <c r="I481"/>
  <c r="K481"/>
  <c r="I446"/>
  <c r="K446"/>
  <c r="I381"/>
  <c r="K381"/>
  <c r="I211"/>
  <c r="K211"/>
  <c r="K2347" i="1"/>
  <c r="P1010"/>
  <c r="R1010" s="1"/>
  <c r="AC1009"/>
  <c r="AE1010" s="1"/>
  <c r="P1028"/>
  <c r="R1028" s="1"/>
  <c r="K833"/>
  <c r="K947"/>
  <c r="B98" i="5"/>
  <c r="F98" s="1"/>
  <c r="B33"/>
  <c r="F33" s="1"/>
  <c r="I63" i="13"/>
  <c r="K63" s="1"/>
  <c r="I27"/>
  <c r="K27" s="1"/>
  <c r="I851" i="1"/>
  <c r="K851" s="1"/>
  <c r="O330" i="9"/>
  <c r="H327" s="1"/>
  <c r="L339"/>
  <c r="K832" i="1"/>
  <c r="B426" i="5"/>
  <c r="F48"/>
  <c r="R327" i="9"/>
  <c r="R329"/>
  <c r="B167" i="5"/>
  <c r="F167"/>
  <c r="B99"/>
  <c r="F99"/>
  <c r="B90"/>
  <c r="F90"/>
  <c r="B169"/>
  <c r="F169"/>
  <c r="B13"/>
  <c r="F13"/>
  <c r="K3426" i="11"/>
  <c r="B374" i="5"/>
  <c r="B102"/>
  <c r="L342" i="9"/>
  <c r="K3624" i="13"/>
  <c r="K3727"/>
  <c r="I3729" i="11"/>
  <c r="B199" i="5"/>
  <c r="F199"/>
  <c r="I2589" i="13"/>
  <c r="K2589"/>
  <c r="K2558"/>
  <c r="B517" i="5"/>
  <c r="I3034" i="13"/>
  <c r="K3034"/>
  <c r="K2911"/>
  <c r="K2857"/>
  <c r="K3008" s="1"/>
  <c r="K2918"/>
  <c r="K3041" s="1"/>
  <c r="K2942"/>
  <c r="K3060"/>
  <c r="K3076" s="1"/>
  <c r="K3102"/>
  <c r="H3123"/>
  <c r="I3122"/>
  <c r="K3116" s="1"/>
  <c r="K2975"/>
  <c r="I2961" i="11"/>
  <c r="K2961" s="1"/>
  <c r="I2972"/>
  <c r="K2972"/>
  <c r="I3900"/>
  <c r="K3900"/>
  <c r="K2951"/>
  <c r="AB1373" i="1"/>
  <c r="AB1356"/>
  <c r="AB1327"/>
  <c r="AB1344"/>
  <c r="I3907" i="13"/>
  <c r="K3907" s="1"/>
  <c r="K2959"/>
  <c r="I3058" i="11"/>
  <c r="I3074" s="1"/>
  <c r="B303" i="5"/>
  <c r="F303"/>
  <c r="R2846" i="11"/>
  <c r="P2879"/>
  <c r="R2879" s="1"/>
  <c r="P2858"/>
  <c r="R2858" s="1"/>
  <c r="AB1219" i="1"/>
  <c r="B422" i="5"/>
  <c r="F422"/>
  <c r="B132"/>
  <c r="F132" s="1"/>
  <c r="B362"/>
  <c r="F362" s="1"/>
  <c r="R328" i="9"/>
  <c r="R332" s="1"/>
  <c r="S332" s="1"/>
  <c r="R330"/>
  <c r="B250" i="5"/>
  <c r="F250" s="1"/>
  <c r="B447"/>
  <c r="F447" s="1"/>
  <c r="AB1313" i="1"/>
  <c r="I2664" i="13"/>
  <c r="K2664"/>
  <c r="K2262"/>
  <c r="I3051"/>
  <c r="K2933"/>
  <c r="I2953"/>
  <c r="I3901" s="1"/>
  <c r="K3901" s="1"/>
  <c r="I2591" i="11"/>
  <c r="K2591" s="1"/>
  <c r="B270" i="5"/>
  <c r="K2959" i="11"/>
  <c r="I3908"/>
  <c r="K3908" s="1"/>
  <c r="AB1346" i="1"/>
  <c r="AB1329"/>
  <c r="B287" i="5"/>
  <c r="K1085" i="11"/>
  <c r="I2523"/>
  <c r="K2523" s="1"/>
  <c r="K1012"/>
  <c r="I3038" i="13"/>
  <c r="K3038" s="1"/>
  <c r="K2915"/>
  <c r="K3697" i="11"/>
  <c r="K3699" s="1"/>
  <c r="I3706"/>
  <c r="K3706" s="1"/>
  <c r="K3709" s="1"/>
  <c r="AB1303" i="1"/>
  <c r="AB1316"/>
  <c r="I3728" i="11"/>
  <c r="K3728" s="1"/>
  <c r="B200" i="5"/>
  <c r="F200" s="1"/>
  <c r="AB1324" i="1"/>
  <c r="AB1341"/>
  <c r="P2879" i="13"/>
  <c r="R2879" s="1"/>
  <c r="P2858"/>
  <c r="R2858" s="1"/>
  <c r="R2846"/>
  <c r="I3057"/>
  <c r="K2939"/>
  <c r="I153" i="11"/>
  <c r="K153" s="1"/>
  <c r="B360" i="5"/>
  <c r="F360"/>
  <c r="B201"/>
  <c r="F201"/>
  <c r="K3267" i="11"/>
  <c r="I3280"/>
  <c r="B305" i="5"/>
  <c r="F305" s="1"/>
  <c r="I3072" i="11"/>
  <c r="K3049"/>
  <c r="I3881"/>
  <c r="K3881"/>
  <c r="AB1309" i="1"/>
  <c r="B218" i="5"/>
  <c r="B16"/>
  <c r="F16"/>
  <c r="AB1311" i="1"/>
  <c r="K3266" i="13"/>
  <c r="I3279"/>
  <c r="K3279"/>
  <c r="K3159"/>
  <c r="K3160"/>
  <c r="K3161" s="1"/>
  <c r="K3153" s="1"/>
  <c r="I3199"/>
  <c r="K3199" s="1"/>
  <c r="K3200" s="1"/>
  <c r="K3201" s="1"/>
  <c r="I111" i="11"/>
  <c r="K111" s="1"/>
  <c r="K118"/>
  <c r="K119" s="1"/>
  <c r="I96"/>
  <c r="K96" s="1"/>
  <c r="K99"/>
  <c r="K101" s="1"/>
  <c r="K83"/>
  <c r="I3057"/>
  <c r="K3057"/>
  <c r="K2939"/>
  <c r="B286" i="5"/>
  <c r="AB1314" i="1"/>
  <c r="AB1345"/>
  <c r="AB1328"/>
  <c r="AB1304"/>
  <c r="K3058" i="11"/>
  <c r="AB1380" i="1"/>
  <c r="AB1363"/>
  <c r="K2262" i="11"/>
  <c r="K2664"/>
  <c r="AB1409" i="1"/>
  <c r="AB1201"/>
  <c r="AB1347"/>
  <c r="AB1330"/>
  <c r="I3910" i="11"/>
  <c r="K3910" s="1"/>
  <c r="I3487"/>
  <c r="K3487" s="1"/>
  <c r="K3447"/>
  <c r="AB1320" i="1"/>
  <c r="AB1333"/>
  <c r="D279" i="5"/>
  <c r="F279"/>
  <c r="AB1337" i="1"/>
  <c r="AB1350"/>
  <c r="I3891" i="11"/>
  <c r="K3891" s="1"/>
  <c r="AB1305" i="1"/>
  <c r="K2962" i="13"/>
  <c r="I3888" i="11"/>
  <c r="K3888"/>
  <c r="AB1326" i="1"/>
  <c r="AB1343"/>
  <c r="AB1375"/>
  <c r="AB1358"/>
  <c r="AB1348"/>
  <c r="AB1331"/>
  <c r="AB1410"/>
  <c r="AB1404"/>
  <c r="I3628" i="11"/>
  <c r="AB1199" i="1"/>
  <c r="AB1361"/>
  <c r="AB1378"/>
  <c r="AB1406"/>
  <c r="AB1322"/>
  <c r="AB1339"/>
  <c r="I3932" i="11"/>
  <c r="K3932" s="1"/>
  <c r="AB1411" i="1"/>
  <c r="AB1321"/>
  <c r="AB1338"/>
  <c r="AB1401"/>
  <c r="AB1414" s="1"/>
  <c r="AB1198"/>
  <c r="AB1360"/>
  <c r="AB1377"/>
  <c r="AB1197"/>
  <c r="AB1200"/>
  <c r="AB1387"/>
  <c r="AB1390"/>
  <c r="AB1391" s="1"/>
  <c r="AB1357"/>
  <c r="AB1374"/>
  <c r="AB1204"/>
  <c r="AB1381"/>
  <c r="AB1364"/>
  <c r="AB1405"/>
  <c r="AB1407"/>
  <c r="AB1388"/>
  <c r="AB1408"/>
  <c r="AB1203"/>
  <c r="AB1217"/>
  <c r="AB1355"/>
  <c r="AB1371"/>
  <c r="AB1354"/>
  <c r="AB1205"/>
  <c r="AB1389"/>
  <c r="AB1412"/>
  <c r="AB1403"/>
  <c r="AB1402"/>
  <c r="AB1195"/>
  <c r="AB1208"/>
  <c r="AB1210"/>
  <c r="C229" i="9" s="1"/>
  <c r="J229"/>
  <c r="V1324" i="1"/>
  <c r="V1341"/>
  <c r="V1357" s="1"/>
  <c r="X1357" s="1"/>
  <c r="I1419"/>
  <c r="K1419"/>
  <c r="I2406"/>
  <c r="I2428"/>
  <c r="R1270"/>
  <c r="R1271"/>
  <c r="R1331"/>
  <c r="AA10"/>
  <c r="C69" s="1"/>
  <c r="I295"/>
  <c r="K295" s="1"/>
  <c r="AC333"/>
  <c r="AE334"/>
  <c r="AE342" s="1"/>
  <c r="AE344"/>
  <c r="AE346" s="1"/>
  <c r="AE347" s="1"/>
  <c r="AE348" s="1"/>
  <c r="AE349"/>
  <c r="AE350" s="1"/>
  <c r="K974"/>
  <c r="V558"/>
  <c r="X558"/>
  <c r="D392" i="5"/>
  <c r="F392"/>
  <c r="AI32" i="1"/>
  <c r="D331" i="5"/>
  <c r="F331" s="1"/>
  <c r="P3073" i="1"/>
  <c r="R3073" s="1"/>
  <c r="D511" i="5"/>
  <c r="F511" s="1"/>
  <c r="P2424" i="1"/>
  <c r="M2428" s="1"/>
  <c r="D346" i="5"/>
  <c r="P1029" i="1"/>
  <c r="R1029" s="1"/>
  <c r="D404" i="5"/>
  <c r="F404" s="1"/>
  <c r="V1304" i="1"/>
  <c r="X1304" s="1"/>
  <c r="X1316" s="1"/>
  <c r="P911"/>
  <c r="R911" s="1"/>
  <c r="AI24"/>
  <c r="P3351"/>
  <c r="Z34"/>
  <c r="AA34"/>
  <c r="C77" s="1"/>
  <c r="I443"/>
  <c r="K443" s="1"/>
  <c r="P3212"/>
  <c r="P3315" s="1"/>
  <c r="R3315"/>
  <c r="P3075"/>
  <c r="R3075"/>
  <c r="AC408"/>
  <c r="AE409"/>
  <c r="AE417" s="1"/>
  <c r="AE419" s="1"/>
  <c r="AC424" s="1"/>
  <c r="AE425" s="1"/>
  <c r="AE429" s="1"/>
  <c r="AE431" s="1"/>
  <c r="AE433" s="1"/>
  <c r="AE434" s="1"/>
  <c r="AE435" s="1"/>
  <c r="AE436" s="1"/>
  <c r="AE437" s="1"/>
  <c r="P2589"/>
  <c r="I3027"/>
  <c r="K3027" s="1"/>
  <c r="K1769"/>
  <c r="P1769"/>
  <c r="R1769"/>
  <c r="AA24"/>
  <c r="C86" s="1"/>
  <c r="Z25"/>
  <c r="Z26" s="1"/>
  <c r="AA26" s="1"/>
  <c r="P3382"/>
  <c r="R3382" s="1"/>
  <c r="R3180"/>
  <c r="I3247"/>
  <c r="K3247"/>
  <c r="I3131"/>
  <c r="K3131"/>
  <c r="P913"/>
  <c r="R913" s="1"/>
  <c r="D484" i="5"/>
  <c r="F484" s="1"/>
  <c r="Z37" i="1"/>
  <c r="AA37" s="1"/>
  <c r="I241"/>
  <c r="K241" s="1"/>
  <c r="AC1007"/>
  <c r="AE1008" s="1"/>
  <c r="P1008"/>
  <c r="R1008" s="1"/>
  <c r="I3024"/>
  <c r="K3024" s="1"/>
  <c r="K946"/>
  <c r="I2760"/>
  <c r="I2742"/>
  <c r="K2589"/>
  <c r="V309"/>
  <c r="X309" s="1"/>
  <c r="V353"/>
  <c r="X353" s="1"/>
  <c r="D286" i="5"/>
  <c r="F286" s="1"/>
  <c r="P1014" i="1"/>
  <c r="R1014" s="1"/>
  <c r="P1032"/>
  <c r="R1032" s="1"/>
  <c r="AC1013"/>
  <c r="AE1014" s="1"/>
  <c r="P1054"/>
  <c r="R1054" s="1"/>
  <c r="K973"/>
  <c r="K707"/>
  <c r="I1712"/>
  <c r="K1712" s="1"/>
  <c r="D377" i="5"/>
  <c r="F377" s="1"/>
  <c r="K1624" i="1"/>
  <c r="K1626" s="1"/>
  <c r="C102" i="9"/>
  <c r="P3359" i="1"/>
  <c r="P3246"/>
  <c r="R3246" s="1"/>
  <c r="P3245"/>
  <c r="R3245" s="1"/>
  <c r="P912"/>
  <c r="R912" s="1"/>
  <c r="K912"/>
  <c r="R1307"/>
  <c r="P1324"/>
  <c r="I1711"/>
  <c r="K1711"/>
  <c r="V1325"/>
  <c r="X1325"/>
  <c r="P1343"/>
  <c r="R1343"/>
  <c r="R1326"/>
  <c r="AI30"/>
  <c r="X35"/>
  <c r="AC2550"/>
  <c r="R868"/>
  <c r="AA31"/>
  <c r="Z32"/>
  <c r="I3246"/>
  <c r="K3246"/>
  <c r="R19"/>
  <c r="C81"/>
  <c r="Z20"/>
  <c r="AA20"/>
  <c r="K3076"/>
  <c r="P3076"/>
  <c r="R3076"/>
  <c r="K1012"/>
  <c r="P1030"/>
  <c r="R1030" s="1"/>
  <c r="P1012"/>
  <c r="R1012" s="1"/>
  <c r="AC1011"/>
  <c r="AE1012" s="1"/>
  <c r="X1324"/>
  <c r="P1345"/>
  <c r="R1345"/>
  <c r="V1327"/>
  <c r="X1327"/>
  <c r="R1328"/>
  <c r="I2762"/>
  <c r="K948"/>
  <c r="P2977"/>
  <c r="R2977" s="1"/>
  <c r="I2996"/>
  <c r="K2996" s="1"/>
  <c r="V1321"/>
  <c r="X1321" s="1"/>
  <c r="P1339"/>
  <c r="Z17"/>
  <c r="AA17" s="1"/>
  <c r="C79" s="1"/>
  <c r="AA16"/>
  <c r="I3028"/>
  <c r="K3028"/>
  <c r="K2590"/>
  <c r="P2590"/>
  <c r="AA18"/>
  <c r="C80"/>
  <c r="AI25"/>
  <c r="C25"/>
  <c r="K282" s="1"/>
  <c r="I2617"/>
  <c r="K2617"/>
  <c r="K2602"/>
  <c r="AI26"/>
  <c r="I1131"/>
  <c r="K1131"/>
  <c r="K1135" s="1"/>
  <c r="K1137" s="1"/>
  <c r="C60" i="9" s="1"/>
  <c r="K1700" i="1"/>
  <c r="D349" i="5"/>
  <c r="F349" s="1"/>
  <c r="K3072" i="1"/>
  <c r="P1033"/>
  <c r="R1033" s="1"/>
  <c r="K1015"/>
  <c r="AC1014"/>
  <c r="AE1015"/>
  <c r="I1679"/>
  <c r="K1679"/>
  <c r="P599"/>
  <c r="R599"/>
  <c r="P430"/>
  <c r="R430"/>
  <c r="K132"/>
  <c r="K133"/>
  <c r="I1709"/>
  <c r="K1709"/>
  <c r="P449"/>
  <c r="R449"/>
  <c r="P629"/>
  <c r="R629"/>
  <c r="I1889"/>
  <c r="K1889"/>
  <c r="K135"/>
  <c r="I81"/>
  <c r="K81" s="1"/>
  <c r="I74"/>
  <c r="K74" s="1"/>
  <c r="P24"/>
  <c r="I20"/>
  <c r="K20" s="1"/>
  <c r="I29"/>
  <c r="K29" s="1"/>
  <c r="I37"/>
  <c r="K37" s="1"/>
  <c r="D287" i="5"/>
  <c r="R1323" i="1"/>
  <c r="P1340"/>
  <c r="R1340"/>
  <c r="K834"/>
  <c r="I850"/>
  <c r="K850" s="1"/>
  <c r="AA12"/>
  <c r="R3146"/>
  <c r="P3360"/>
  <c r="P3213"/>
  <c r="P3071"/>
  <c r="R3071" s="1"/>
  <c r="K2389"/>
  <c r="I2460"/>
  <c r="I2495"/>
  <c r="P1056"/>
  <c r="W402"/>
  <c r="W403"/>
  <c r="W404" s="1"/>
  <c r="D517" i="5"/>
  <c r="F517" s="1"/>
  <c r="K2976" i="1"/>
  <c r="K2977"/>
  <c r="I2995"/>
  <c r="K2995"/>
  <c r="P2976"/>
  <c r="R2976"/>
  <c r="I2408"/>
  <c r="K2408"/>
  <c r="K1599"/>
  <c r="P1363"/>
  <c r="P1380" s="1"/>
  <c r="P1411" s="1"/>
  <c r="AI33"/>
  <c r="D17"/>
  <c r="K2220"/>
  <c r="D510" i="5"/>
  <c r="K1807" i="1"/>
  <c r="M547"/>
  <c r="V2545"/>
  <c r="S2555" s="1"/>
  <c r="AC2545"/>
  <c r="P375"/>
  <c r="R375"/>
  <c r="P1344"/>
  <c r="R1344"/>
  <c r="V1326"/>
  <c r="X1326"/>
  <c r="R1327"/>
  <c r="P1031"/>
  <c r="R1031" s="1"/>
  <c r="I1029"/>
  <c r="K1029" s="1"/>
  <c r="K1013"/>
  <c r="P1013"/>
  <c r="R1013"/>
  <c r="AC1012"/>
  <c r="AE1013"/>
  <c r="P2070"/>
  <c r="R2070"/>
  <c r="K2070"/>
  <c r="D282" i="5"/>
  <c r="F282" s="1"/>
  <c r="D281"/>
  <c r="F281" s="1"/>
  <c r="D495"/>
  <c r="F495" s="1"/>
  <c r="D486"/>
  <c r="F486" s="1"/>
  <c r="I3089" i="1"/>
  <c r="K1434"/>
  <c r="R3239"/>
  <c r="D375" i="5"/>
  <c r="K2684" i="1"/>
  <c r="I2685"/>
  <c r="K2685"/>
  <c r="D374" i="5"/>
  <c r="F374"/>
  <c r="AC353" i="1"/>
  <c r="AE354"/>
  <c r="AE362" s="1"/>
  <c r="AE364" s="1"/>
  <c r="AE366" s="1"/>
  <c r="AE367" s="1"/>
  <c r="AC309"/>
  <c r="AE310" s="1"/>
  <c r="AE318" s="1"/>
  <c r="AE320" s="1"/>
  <c r="AE322" s="1"/>
  <c r="AC377"/>
  <c r="AE378"/>
  <c r="AE386" s="1"/>
  <c r="AE388" s="1"/>
  <c r="AC392" s="1"/>
  <c r="AE393"/>
  <c r="AE397" s="1"/>
  <c r="AE399" s="1"/>
  <c r="AE401" s="1"/>
  <c r="AE402" s="1"/>
  <c r="AE403" s="1"/>
  <c r="AE404" s="1"/>
  <c r="AE405" s="1"/>
  <c r="I2330"/>
  <c r="K2330"/>
  <c r="I1998"/>
  <c r="K1998"/>
  <c r="V333"/>
  <c r="X333"/>
  <c r="P79"/>
  <c r="R79"/>
  <c r="V377"/>
  <c r="X377"/>
  <c r="I2234"/>
  <c r="K2234"/>
  <c r="K2218"/>
  <c r="D330" i="5"/>
  <c r="F330"/>
  <c r="K1476" i="1"/>
  <c r="I3117"/>
  <c r="K3117" s="1"/>
  <c r="K1799"/>
  <c r="I1800"/>
  <c r="K1800"/>
  <c r="P1359"/>
  <c r="I3263"/>
  <c r="K3263" s="1"/>
  <c r="C12"/>
  <c r="P1290"/>
  <c r="R1290"/>
  <c r="P2274"/>
  <c r="R2274"/>
  <c r="K3069"/>
  <c r="I2896"/>
  <c r="K2760"/>
  <c r="E2715"/>
  <c r="K977"/>
  <c r="R1079"/>
  <c r="K979"/>
  <c r="I1016"/>
  <c r="I1031"/>
  <c r="K910"/>
  <c r="P910"/>
  <c r="R910" s="1"/>
  <c r="P3247"/>
  <c r="R3247" s="1"/>
  <c r="P3074"/>
  <c r="R3074" s="1"/>
  <c r="I3029"/>
  <c r="K3029" s="1"/>
  <c r="K2591"/>
  <c r="V1320"/>
  <c r="V1337"/>
  <c r="V1353" s="1"/>
  <c r="X1353" s="1"/>
  <c r="R1321"/>
  <c r="P617"/>
  <c r="R617" s="1"/>
  <c r="P553"/>
  <c r="R553" s="1"/>
  <c r="R565" s="1"/>
  <c r="R567" s="1"/>
  <c r="I110"/>
  <c r="K110" s="1"/>
  <c r="I82"/>
  <c r="P3211"/>
  <c r="P3358"/>
  <c r="K2588"/>
  <c r="P2588"/>
  <c r="R1330"/>
  <c r="V1329"/>
  <c r="X1329"/>
  <c r="D348" i="5"/>
  <c r="P1346" i="1"/>
  <c r="R1346" s="1"/>
  <c r="R1329"/>
  <c r="P1315"/>
  <c r="P1332"/>
  <c r="V1331" s="1"/>
  <c r="X1331" s="1"/>
  <c r="D509" i="5"/>
  <c r="I2757" i="1"/>
  <c r="K1014"/>
  <c r="K1008"/>
  <c r="P1026"/>
  <c r="R1026" s="1"/>
  <c r="K949"/>
  <c r="V1323"/>
  <c r="X1323" s="1"/>
  <c r="D493" i="5"/>
  <c r="F493" s="1"/>
  <c r="AA25" i="1"/>
  <c r="C87" s="1"/>
  <c r="I2164" s="1"/>
  <c r="K2164" s="1"/>
  <c r="P1015"/>
  <c r="R1015" s="1"/>
  <c r="P1075"/>
  <c r="R1075" s="1"/>
  <c r="C31"/>
  <c r="D329" i="5"/>
  <c r="F329" s="1"/>
  <c r="V1338" i="1"/>
  <c r="I2217"/>
  <c r="K2217" s="1"/>
  <c r="R1363"/>
  <c r="P1361"/>
  <c r="R1361"/>
  <c r="D242" i="5"/>
  <c r="F242" s="1"/>
  <c r="D23"/>
  <c r="F23" s="1"/>
  <c r="D24"/>
  <c r="F24" s="1"/>
  <c r="D326"/>
  <c r="F326" s="1"/>
  <c r="D275"/>
  <c r="F275" s="1"/>
  <c r="D276"/>
  <c r="D243"/>
  <c r="F243" s="1"/>
  <c r="D13" i="20"/>
  <c r="F13" s="1"/>
  <c r="D14" i="5"/>
  <c r="F14" s="1"/>
  <c r="D161"/>
  <c r="F161" s="1"/>
  <c r="D163"/>
  <c r="F163" s="1"/>
  <c r="H83" i="15"/>
  <c r="B51" i="16" s="1"/>
  <c r="H77" i="15"/>
  <c r="H30"/>
  <c r="H46"/>
  <c r="H55"/>
  <c r="H22"/>
  <c r="B10" i="16" s="1"/>
  <c r="H14" i="15"/>
  <c r="B7" i="16" s="1"/>
  <c r="H43" i="19"/>
  <c r="H33"/>
  <c r="H54"/>
  <c r="H61"/>
  <c r="B14" i="20"/>
  <c r="H19" i="19"/>
  <c r="H26"/>
  <c r="H38"/>
  <c r="H12"/>
  <c r="B6" i="20" s="1"/>
  <c r="H48" i="19"/>
  <c r="I53" i="13"/>
  <c r="K53"/>
  <c r="I44"/>
  <c r="K44"/>
  <c r="I35"/>
  <c r="K35"/>
  <c r="D164" i="5"/>
  <c r="F164"/>
  <c r="D284"/>
  <c r="F284"/>
  <c r="D266"/>
  <c r="F266"/>
  <c r="D274"/>
  <c r="F274"/>
  <c r="D267"/>
  <c r="F267"/>
  <c r="D162"/>
  <c r="F162"/>
  <c r="D264"/>
  <c r="F264"/>
  <c r="D521"/>
  <c r="F521"/>
  <c r="D40"/>
  <c r="F40"/>
  <c r="D51"/>
  <c r="F51"/>
  <c r="D41"/>
  <c r="F41"/>
  <c r="D42"/>
  <c r="F42"/>
  <c r="D522"/>
  <c r="F522"/>
  <c r="D492"/>
  <c r="K3183" i="13"/>
  <c r="K3172"/>
  <c r="K3154"/>
  <c r="K2196" s="1"/>
  <c r="K2206" i="1"/>
  <c r="C161" i="9" s="1"/>
  <c r="D41" i="16"/>
  <c r="R331" i="9"/>
  <c r="N4" i="4"/>
  <c r="N5" s="1"/>
  <c r="N6" s="1"/>
  <c r="N10"/>
  <c r="I3274" i="11"/>
  <c r="K3274" s="1"/>
  <c r="K1015"/>
  <c r="I2526"/>
  <c r="K2526"/>
  <c r="I3368" i="13"/>
  <c r="K3335"/>
  <c r="I3330" s="1"/>
  <c r="K3330"/>
  <c r="B176" i="5"/>
  <c r="F176"/>
  <c r="B108"/>
  <c r="F108"/>
  <c r="B375"/>
  <c r="F375"/>
  <c r="B128"/>
  <c r="F128"/>
  <c r="I3424" i="11"/>
  <c r="K3405"/>
  <c r="I3265"/>
  <c r="I3278" s="1"/>
  <c r="K3247"/>
  <c r="P720"/>
  <c r="R720" s="1"/>
  <c r="R729" s="1"/>
  <c r="R731" s="1"/>
  <c r="I2165"/>
  <c r="K2165" s="1"/>
  <c r="K2175" s="1"/>
  <c r="K2178" s="1"/>
  <c r="K2211" s="1"/>
  <c r="K2914"/>
  <c r="I3037"/>
  <c r="K3037" s="1"/>
  <c r="I2938"/>
  <c r="K2938" s="1"/>
  <c r="C137"/>
  <c r="P25"/>
  <c r="R25" s="1"/>
  <c r="I1688"/>
  <c r="K1688" s="1"/>
  <c r="I167"/>
  <c r="I2049"/>
  <c r="K2049"/>
  <c r="I175"/>
  <c r="K175"/>
  <c r="P468"/>
  <c r="R468"/>
  <c r="I1892"/>
  <c r="K1892"/>
  <c r="P431"/>
  <c r="R431"/>
  <c r="K3496" i="13"/>
  <c r="I3534"/>
  <c r="K3534" s="1"/>
  <c r="B49" i="5"/>
  <c r="F49"/>
  <c r="B10"/>
  <c r="F10"/>
  <c r="K3351" i="11"/>
  <c r="I720"/>
  <c r="K720" s="1"/>
  <c r="I2932"/>
  <c r="K2906"/>
  <c r="I3029"/>
  <c r="K3029"/>
  <c r="K2362"/>
  <c r="K2364" s="1"/>
  <c r="I2365"/>
  <c r="I2367" s="1"/>
  <c r="K2367" s="1"/>
  <c r="I2410"/>
  <c r="K2410"/>
  <c r="K2414" s="1"/>
  <c r="K2416"/>
  <c r="I2422" s="1"/>
  <c r="K2422" s="1"/>
  <c r="I2068"/>
  <c r="K2068"/>
  <c r="K132"/>
  <c r="K133"/>
  <c r="I81"/>
  <c r="K81"/>
  <c r="K86" s="1"/>
  <c r="K88" s="1"/>
  <c r="P430"/>
  <c r="R430"/>
  <c r="I82"/>
  <c r="K82"/>
  <c r="P449"/>
  <c r="R449"/>
  <c r="R461" s="1"/>
  <c r="R463"/>
  <c r="P467"/>
  <c r="R467"/>
  <c r="R479" s="1"/>
  <c r="P600"/>
  <c r="R600"/>
  <c r="I1681"/>
  <c r="K1681"/>
  <c r="I1891"/>
  <c r="K1891"/>
  <c r="K3763" i="13"/>
  <c r="K2201"/>
  <c r="L3760"/>
  <c r="I3680"/>
  <c r="K3680" s="1"/>
  <c r="K3623"/>
  <c r="I3726"/>
  <c r="I3274"/>
  <c r="K3274" s="1"/>
  <c r="I155" i="11"/>
  <c r="K155" s="1"/>
  <c r="I74"/>
  <c r="K74" s="1"/>
  <c r="I65"/>
  <c r="K65" s="1"/>
  <c r="P24"/>
  <c r="R24" s="1"/>
  <c r="I3728" i="13"/>
  <c r="I3682"/>
  <c r="K3682"/>
  <c r="K3590"/>
  <c r="K3591"/>
  <c r="K3592" s="1"/>
  <c r="K3582" s="1"/>
  <c r="I55" i="11"/>
  <c r="K55" s="1"/>
  <c r="K2628" i="13"/>
  <c r="K2629" s="1"/>
  <c r="I2614"/>
  <c r="K2614" s="1"/>
  <c r="K712"/>
  <c r="K714" s="1"/>
  <c r="I720"/>
  <c r="K720" s="1"/>
  <c r="I140"/>
  <c r="K140" s="1"/>
  <c r="P25"/>
  <c r="R25" s="1"/>
  <c r="P390"/>
  <c r="R390" s="1"/>
  <c r="I298"/>
  <c r="K298" s="1"/>
  <c r="P52"/>
  <c r="R52" s="1"/>
  <c r="I196"/>
  <c r="K196" s="1"/>
  <c r="I313"/>
  <c r="K313" s="1"/>
  <c r="I337"/>
  <c r="K337" s="1"/>
  <c r="K3170"/>
  <c r="K2850"/>
  <c r="K2893" s="1"/>
  <c r="K3846"/>
  <c r="R2849"/>
  <c r="R2847"/>
  <c r="K1844"/>
  <c r="K1801"/>
  <c r="I2564"/>
  <c r="K188"/>
  <c r="K3115"/>
  <c r="I2389"/>
  <c r="K2389"/>
  <c r="P82"/>
  <c r="R82" s="1"/>
  <c r="I81"/>
  <c r="K81" s="1"/>
  <c r="K86" s="1"/>
  <c r="I82"/>
  <c r="K82" s="1"/>
  <c r="K132"/>
  <c r="K133" s="1"/>
  <c r="P430"/>
  <c r="R430" s="1"/>
  <c r="P467"/>
  <c r="R467" s="1"/>
  <c r="P553"/>
  <c r="R553" s="1"/>
  <c r="C137"/>
  <c r="C139"/>
  <c r="I55"/>
  <c r="K55" s="1"/>
  <c r="I11"/>
  <c r="K11" s="1"/>
  <c r="I272"/>
  <c r="K272" s="1"/>
  <c r="B448" i="5"/>
  <c r="F448" s="1"/>
  <c r="B431"/>
  <c r="F431" s="1"/>
  <c r="B174"/>
  <c r="F174" s="1"/>
  <c r="B60"/>
  <c r="F60" s="1"/>
  <c r="B294"/>
  <c r="F294" s="1"/>
  <c r="B150"/>
  <c r="F150" s="1"/>
  <c r="B149"/>
  <c r="F149" s="1"/>
  <c r="B135"/>
  <c r="F135" s="1"/>
  <c r="I496" i="13"/>
  <c r="K496" s="1"/>
  <c r="I336"/>
  <c r="K336" s="1"/>
  <c r="I297"/>
  <c r="K297" s="1"/>
  <c r="N1857" i="1"/>
  <c r="N1858" s="1"/>
  <c r="I2657"/>
  <c r="K2657" s="1"/>
  <c r="K1735"/>
  <c r="B345" i="5"/>
  <c r="F345"/>
  <c r="B269"/>
  <c r="F269"/>
  <c r="B185"/>
  <c r="F185"/>
  <c r="I270" i="13"/>
  <c r="K270"/>
  <c r="I72"/>
  <c r="K72"/>
  <c r="B188" i="5"/>
  <c r="F188"/>
  <c r="B36"/>
  <c r="F36"/>
  <c r="B28"/>
  <c r="F28"/>
  <c r="D520"/>
  <c r="F520"/>
  <c r="AA23" i="1"/>
  <c r="C85" s="1"/>
  <c r="F41" i="16"/>
  <c r="D16" i="20"/>
  <c r="F16"/>
  <c r="D50" i="5"/>
  <c r="F50"/>
  <c r="D519"/>
  <c r="D280"/>
  <c r="F280"/>
  <c r="D15"/>
  <c r="F15"/>
  <c r="I2952" i="11"/>
  <c r="I2955"/>
  <c r="K3265"/>
  <c r="D29" i="5"/>
  <c r="F29" s="1"/>
  <c r="D460"/>
  <c r="F460" s="1"/>
  <c r="D236"/>
  <c r="F236" s="1"/>
  <c r="D244"/>
  <c r="F244" s="1"/>
  <c r="I3744" i="13"/>
  <c r="K3744" s="1"/>
  <c r="K3728"/>
  <c r="K3424" i="11"/>
  <c r="I3446"/>
  <c r="I3486"/>
  <c r="K3486" s="1"/>
  <c r="K3488"/>
  <c r="K3489" s="1"/>
  <c r="K3479" s="1"/>
  <c r="I3402" i="13"/>
  <c r="D165" i="5"/>
  <c r="F165" s="1"/>
  <c r="D285"/>
  <c r="F285" s="1"/>
  <c r="K2564" i="13"/>
  <c r="I2595"/>
  <c r="K2595"/>
  <c r="I3743"/>
  <c r="K3743"/>
  <c r="K3745" s="1"/>
  <c r="K3746" s="1"/>
  <c r="K3739" s="1"/>
  <c r="K3740" s="1"/>
  <c r="K2203" s="1"/>
  <c r="K3726"/>
  <c r="K167" i="11"/>
  <c r="D496" i="5"/>
  <c r="F496"/>
  <c r="D514"/>
  <c r="F514"/>
  <c r="D257"/>
  <c r="F257"/>
  <c r="D453"/>
  <c r="F453"/>
  <c r="D45" i="16"/>
  <c r="F45"/>
  <c r="D328" i="5"/>
  <c r="F328"/>
  <c r="D245"/>
  <c r="F245"/>
  <c r="D237"/>
  <c r="F237"/>
  <c r="D454"/>
  <c r="F454"/>
  <c r="D260"/>
  <c r="F260"/>
  <c r="D480"/>
  <c r="F480"/>
  <c r="D256"/>
  <c r="F256"/>
  <c r="D26"/>
  <c r="F26"/>
  <c r="D483"/>
  <c r="F483"/>
  <c r="D497"/>
  <c r="F497"/>
  <c r="D283"/>
  <c r="F283"/>
  <c r="D27"/>
  <c r="F27"/>
  <c r="D477"/>
  <c r="F477"/>
  <c r="D30" i="16"/>
  <c r="D478" i="5"/>
  <c r="F478"/>
  <c r="D26" i="16"/>
  <c r="F26"/>
  <c r="D261" i="5"/>
  <c r="F261" s="1"/>
  <c r="D451"/>
  <c r="F451"/>
  <c r="D262"/>
  <c r="F262" s="1"/>
  <c r="D357"/>
  <c r="F357" s="1"/>
  <c r="D358"/>
  <c r="F358" s="1"/>
  <c r="D479"/>
  <c r="F479" s="1"/>
  <c r="D47" i="16"/>
  <c r="F47" s="1"/>
  <c r="D485" i="5"/>
  <c r="F485" s="1"/>
  <c r="D246"/>
  <c r="F246" s="1"/>
  <c r="I2985" i="11"/>
  <c r="K2985" s="1"/>
  <c r="K2988"/>
  <c r="K3968" i="13" s="1"/>
  <c r="D238" i="5"/>
  <c r="F238" s="1"/>
  <c r="D224"/>
  <c r="F224"/>
  <c r="D218"/>
  <c r="F218" s="1"/>
  <c r="D457"/>
  <c r="F457" s="1"/>
  <c r="D28" i="16"/>
  <c r="F28" s="1"/>
  <c r="D476" i="5"/>
  <c r="F476" s="1"/>
  <c r="D468"/>
  <c r="F468" s="1"/>
  <c r="D59"/>
  <c r="F59" s="1"/>
  <c r="D278"/>
  <c r="F278" s="1"/>
  <c r="D450"/>
  <c r="F450" s="1"/>
  <c r="D239"/>
  <c r="F239" s="1"/>
  <c r="D427"/>
  <c r="F427" s="1"/>
  <c r="D191"/>
  <c r="F191" s="1"/>
  <c r="D219"/>
  <c r="F219" s="1"/>
  <c r="D458"/>
  <c r="F458" s="1"/>
  <c r="D253"/>
  <c r="F253"/>
  <c r="D240"/>
  <c r="F240"/>
  <c r="D225"/>
  <c r="F225"/>
  <c r="D55"/>
  <c r="F55"/>
  <c r="D337"/>
  <c r="F337"/>
  <c r="D469"/>
  <c r="F469"/>
  <c r="D270"/>
  <c r="F270"/>
  <c r="D473"/>
  <c r="F473"/>
  <c r="D211"/>
  <c r="F211"/>
  <c r="D513"/>
  <c r="F513"/>
  <c r="D428"/>
  <c r="D499"/>
  <c r="F499"/>
  <c r="D101"/>
  <c r="F101"/>
  <c r="D470"/>
  <c r="F470"/>
  <c r="D442"/>
  <c r="F442"/>
  <c r="D220"/>
  <c r="F220"/>
  <c r="D205"/>
  <c r="F205"/>
  <c r="D498"/>
  <c r="F498"/>
  <c r="D226"/>
  <c r="F226"/>
  <c r="D432"/>
  <c r="F432"/>
  <c r="D192"/>
  <c r="F192"/>
  <c r="D487"/>
  <c r="D500"/>
  <c r="F500"/>
  <c r="D252"/>
  <c r="F252"/>
  <c r="D141"/>
  <c r="F141"/>
  <c r="D179"/>
  <c r="F179"/>
  <c r="D230"/>
  <c r="F230"/>
  <c r="D212"/>
  <c r="F212"/>
  <c r="D227"/>
  <c r="F227"/>
  <c r="D142"/>
  <c r="F142"/>
  <c r="D471"/>
  <c r="F471"/>
  <c r="D429"/>
  <c r="F429"/>
  <c r="D228"/>
  <c r="F228"/>
  <c r="D113"/>
  <c r="F113"/>
  <c r="D501"/>
  <c r="F501"/>
  <c r="D221"/>
  <c r="F221"/>
  <c r="D443"/>
  <c r="D77"/>
  <c r="F77"/>
  <c r="D193"/>
  <c r="F193"/>
  <c r="D206"/>
  <c r="F206"/>
  <c r="D231"/>
  <c r="F231"/>
  <c r="D433"/>
  <c r="F433"/>
  <c r="B477"/>
  <c r="D102"/>
  <c r="F102" s="1"/>
  <c r="D180"/>
  <c r="F180" s="1"/>
  <c r="D254"/>
  <c r="F254" s="1"/>
  <c r="D71"/>
  <c r="F71" s="1"/>
  <c r="D430"/>
  <c r="F430" s="1"/>
  <c r="D472"/>
  <c r="F472" s="1"/>
  <c r="D78"/>
  <c r="F78" s="1"/>
  <c r="D143"/>
  <c r="F143" s="1"/>
  <c r="D103"/>
  <c r="F103" s="1"/>
  <c r="D434"/>
  <c r="F434" s="1"/>
  <c r="D207"/>
  <c r="F207" s="1"/>
  <c r="D222"/>
  <c r="F222" s="1"/>
  <c r="D195"/>
  <c r="F195" s="1"/>
  <c r="D181"/>
  <c r="F181" s="1"/>
  <c r="D194"/>
  <c r="F194" s="1"/>
  <c r="D232"/>
  <c r="F232" s="1"/>
  <c r="D213"/>
  <c r="F213" s="1"/>
  <c r="D72"/>
  <c r="F72" s="1"/>
  <c r="D155"/>
  <c r="F155" s="1"/>
  <c r="D114"/>
  <c r="F114" s="1"/>
  <c r="D104"/>
  <c r="F104" s="1"/>
  <c r="D79"/>
  <c r="F79" s="1"/>
  <c r="D182"/>
  <c r="F182" s="1"/>
  <c r="D233"/>
  <c r="F233" s="1"/>
  <c r="D144"/>
  <c r="F144" s="1"/>
  <c r="D208"/>
  <c r="F208" s="1"/>
  <c r="D214"/>
  <c r="F214" s="1"/>
  <c r="D73"/>
  <c r="F73" s="1"/>
  <c r="D209"/>
  <c r="F209" s="1"/>
  <c r="D183"/>
  <c r="F183" s="1"/>
  <c r="D234"/>
  <c r="F234" s="1"/>
  <c r="D293"/>
  <c r="F293" s="1"/>
  <c r="D115"/>
  <c r="F115" s="1"/>
  <c r="D156"/>
  <c r="F156" s="1"/>
  <c r="D80"/>
  <c r="F80" s="1"/>
  <c r="D116"/>
  <c r="F116" s="1"/>
  <c r="D81"/>
  <c r="F81" s="1"/>
  <c r="D216"/>
  <c r="F216" s="1"/>
  <c r="D145"/>
  <c r="F145" s="1"/>
  <c r="D75"/>
  <c r="F75" s="1"/>
  <c r="D105"/>
  <c r="F105" s="1"/>
  <c r="D215"/>
  <c r="F215" s="1"/>
  <c r="D157"/>
  <c r="F157" s="1"/>
  <c r="D74"/>
  <c r="F74" s="1"/>
  <c r="D159"/>
  <c r="F159" s="1"/>
  <c r="D118"/>
  <c r="F118" s="1"/>
  <c r="D146"/>
  <c r="F146" s="1"/>
  <c r="D158"/>
  <c r="F158" s="1"/>
  <c r="D117"/>
  <c r="F117" s="1"/>
  <c r="D290"/>
  <c r="F290" s="1"/>
  <c r="D277"/>
  <c r="F277" s="1"/>
  <c r="D515"/>
  <c r="F515" s="1"/>
  <c r="D475"/>
  <c r="F475" s="1"/>
  <c r="D474"/>
  <c r="F474" s="1"/>
  <c r="D462"/>
  <c r="F462" s="1"/>
  <c r="D482"/>
  <c r="F482" s="1"/>
  <c r="D396"/>
  <c r="F396" s="1"/>
  <c r="D395"/>
  <c r="F395" s="1"/>
  <c r="D421"/>
  <c r="D463"/>
  <c r="F463"/>
  <c r="D464"/>
  <c r="F464"/>
  <c r="D488"/>
  <c r="D465"/>
  <c r="F465"/>
  <c r="D466"/>
  <c r="N213" i="9"/>
  <c r="H326"/>
  <c r="H328" s="1"/>
  <c r="H330"/>
  <c r="T212"/>
  <c r="T211"/>
  <c r="T210"/>
  <c r="T209"/>
  <c r="T208"/>
  <c r="T207"/>
  <c r="T199"/>
  <c r="V199"/>
  <c r="T194"/>
  <c r="V194"/>
  <c r="T190"/>
  <c r="V190"/>
  <c r="T183"/>
  <c r="V183"/>
  <c r="T181"/>
  <c r="V181"/>
  <c r="T180"/>
  <c r="T174"/>
  <c r="V174" s="1"/>
  <c r="T173"/>
  <c r="V173" s="1"/>
  <c r="T164"/>
  <c r="V164" s="1"/>
  <c r="T159"/>
  <c r="T155"/>
  <c r="V155"/>
  <c r="T154"/>
  <c r="V154"/>
  <c r="T153"/>
  <c r="V153"/>
  <c r="T146"/>
  <c r="V146"/>
  <c r="T136"/>
  <c r="V136"/>
  <c r="T132"/>
  <c r="V132"/>
  <c r="T129"/>
  <c r="V129"/>
  <c r="T109"/>
  <c r="V109"/>
  <c r="T103"/>
  <c r="V103"/>
  <c r="T99"/>
  <c r="V99"/>
  <c r="T96"/>
  <c r="V96"/>
  <c r="T81"/>
  <c r="V81"/>
  <c r="T67"/>
  <c r="V67"/>
  <c r="T61"/>
  <c r="V61"/>
  <c r="T53"/>
  <c r="V53"/>
  <c r="T52"/>
  <c r="V52"/>
  <c r="T44"/>
  <c r="V44"/>
  <c r="T43"/>
  <c r="V43"/>
  <c r="T37"/>
  <c r="V37"/>
  <c r="T31"/>
  <c r="V31"/>
  <c r="T14"/>
  <c r="V14"/>
  <c r="S28"/>
  <c r="S65"/>
  <c r="U65" s="1"/>
  <c r="B295" i="5" s="1"/>
  <c r="V8" i="9"/>
  <c r="P204"/>
  <c r="L204"/>
  <c r="J204"/>
  <c r="H204"/>
  <c r="P205"/>
  <c r="L205"/>
  <c r="J205"/>
  <c r="H205"/>
  <c r="P107"/>
  <c r="F107"/>
  <c r="P91"/>
  <c r="L91"/>
  <c r="J91"/>
  <c r="H91"/>
  <c r="F91"/>
  <c r="P202"/>
  <c r="L202"/>
  <c r="J202"/>
  <c r="H202"/>
  <c r="F202"/>
  <c r="P201"/>
  <c r="L201"/>
  <c r="J201"/>
  <c r="H201"/>
  <c r="T201" s="1"/>
  <c r="V201" s="1"/>
  <c r="P200"/>
  <c r="L200"/>
  <c r="J200"/>
  <c r="H200"/>
  <c r="P160"/>
  <c r="L160"/>
  <c r="J160"/>
  <c r="H160"/>
  <c r="F160"/>
  <c r="P151"/>
  <c r="P148"/>
  <c r="L148"/>
  <c r="J148"/>
  <c r="H148"/>
  <c r="F148"/>
  <c r="P147"/>
  <c r="L147"/>
  <c r="J147"/>
  <c r="H147"/>
  <c r="F147"/>
  <c r="P119"/>
  <c r="L119"/>
  <c r="J119"/>
  <c r="H119"/>
  <c r="F119"/>
  <c r="P118"/>
  <c r="L118"/>
  <c r="J118"/>
  <c r="H118"/>
  <c r="P116"/>
  <c r="L116"/>
  <c r="J116"/>
  <c r="H116"/>
  <c r="F116"/>
  <c r="P62"/>
  <c r="L62"/>
  <c r="J62"/>
  <c r="H62"/>
  <c r="F62"/>
  <c r="P29"/>
  <c r="J29"/>
  <c r="H29"/>
  <c r="F29"/>
  <c r="P108"/>
  <c r="L108"/>
  <c r="L29"/>
  <c r="F115"/>
  <c r="H175"/>
  <c r="H115"/>
  <c r="H108"/>
  <c r="J115"/>
  <c r="J108"/>
  <c r="L115"/>
  <c r="E207"/>
  <c r="E180"/>
  <c r="F180"/>
  <c r="V180" s="1"/>
  <c r="B440" i="5"/>
  <c r="E212" i="9"/>
  <c r="U212"/>
  <c r="E74"/>
  <c r="U74"/>
  <c r="B302" i="5" s="1"/>
  <c r="E211" i="9"/>
  <c r="E208"/>
  <c r="U208" s="1"/>
  <c r="E209"/>
  <c r="E210"/>
  <c r="E71"/>
  <c r="U71"/>
  <c r="B300" i="5" s="1"/>
  <c r="E159" i="9"/>
  <c r="E89"/>
  <c r="U89"/>
  <c r="E140"/>
  <c r="U140"/>
  <c r="B384" i="5" s="1"/>
  <c r="E169" i="9"/>
  <c r="E130"/>
  <c r="E197"/>
  <c r="U197" s="1"/>
  <c r="B506" i="5" s="1"/>
  <c r="E144" i="9"/>
  <c r="U144"/>
  <c r="B388" i="5" s="1"/>
  <c r="E143" i="9"/>
  <c r="U143" s="1"/>
  <c r="B387" i="5"/>
  <c r="E122" i="9"/>
  <c r="U122"/>
  <c r="B352" i="5" s="1"/>
  <c r="E156" i="9"/>
  <c r="U156" s="1"/>
  <c r="B401" i="5"/>
  <c r="E149" i="9"/>
  <c r="U149"/>
  <c r="E127"/>
  <c r="U127"/>
  <c r="B361" i="5" s="1"/>
  <c r="E162" i="9"/>
  <c r="E38"/>
  <c r="U38"/>
  <c r="B83" i="5" s="1"/>
  <c r="E88" i="9"/>
  <c r="U88" s="1"/>
  <c r="B316" i="5"/>
  <c r="E46" i="9"/>
  <c r="U46"/>
  <c r="B121" i="5" s="1"/>
  <c r="E75" i="9"/>
  <c r="U75" s="1"/>
  <c r="B304" i="5"/>
  <c r="E70" i="9"/>
  <c r="U70"/>
  <c r="B299" i="5" s="1"/>
  <c r="E79" i="9"/>
  <c r="U79" s="1"/>
  <c r="E138"/>
  <c r="E142"/>
  <c r="E201"/>
  <c r="F201"/>
  <c r="E165"/>
  <c r="U165"/>
  <c r="B409" i="5" s="1"/>
  <c r="E177" i="9"/>
  <c r="U177" s="1"/>
  <c r="E106"/>
  <c r="U106" s="1"/>
  <c r="B336" i="5"/>
  <c r="E118" i="9"/>
  <c r="F118"/>
  <c r="E128"/>
  <c r="F128"/>
  <c r="E203"/>
  <c r="E163"/>
  <c r="E84"/>
  <c r="U84"/>
  <c r="B312" i="5" s="1"/>
  <c r="E18" i="9"/>
  <c r="E66"/>
  <c r="U66"/>
  <c r="E32"/>
  <c r="U32"/>
  <c r="B65" i="5" s="1"/>
  <c r="E83" i="9"/>
  <c r="E204"/>
  <c r="F204"/>
  <c r="E112"/>
  <c r="U112"/>
  <c r="B342" i="5" s="1"/>
  <c r="E72" i="9"/>
  <c r="U72" s="1"/>
  <c r="E102"/>
  <c r="U102" s="1"/>
  <c r="B332" i="5" s="1"/>
  <c r="E114" i="9"/>
  <c r="U114"/>
  <c r="B344" i="5" s="1"/>
  <c r="E86" i="9"/>
  <c r="U86" s="1"/>
  <c r="B314" i="5" s="1"/>
  <c r="E93" i="9"/>
  <c r="U93"/>
  <c r="E63"/>
  <c r="U63"/>
  <c r="B288" i="5" s="1"/>
  <c r="E151" i="9"/>
  <c r="F151" s="1"/>
  <c r="E69"/>
  <c r="E25"/>
  <c r="E185"/>
  <c r="B437" i="5"/>
  <c r="E184" i="9"/>
  <c r="U184"/>
  <c r="B436" i="5" s="1"/>
  <c r="E186" i="9"/>
  <c r="U186" s="1"/>
  <c r="B438" i="5"/>
  <c r="E172" i="9"/>
  <c r="U172"/>
  <c r="B414" i="5" s="1"/>
  <c r="E90" i="9"/>
  <c r="U90"/>
  <c r="E191"/>
  <c r="U191"/>
  <c r="B490" i="5" s="1"/>
  <c r="E171" i="9"/>
  <c r="E133"/>
  <c r="U133"/>
  <c r="B371" i="5" s="1"/>
  <c r="E193" i="9"/>
  <c r="U193" s="1"/>
  <c r="B502" i="5"/>
  <c r="E189" i="9"/>
  <c r="U189"/>
  <c r="B481" i="5" s="1"/>
  <c r="E161" i="9"/>
  <c r="E124"/>
  <c r="E168"/>
  <c r="E94"/>
  <c r="U94" s="1"/>
  <c r="B319" i="5"/>
  <c r="E170" i="9"/>
  <c r="U170"/>
  <c r="B412" i="5" s="1"/>
  <c r="E175" i="9"/>
  <c r="E206"/>
  <c r="F206"/>
  <c r="V206" s="1"/>
  <c r="E152"/>
  <c r="U152" s="1"/>
  <c r="B397" i="5"/>
  <c r="E22" i="9"/>
  <c r="E76"/>
  <c r="E6"/>
  <c r="U6"/>
  <c r="B8" i="5" s="1"/>
  <c r="E111" i="9"/>
  <c r="U111" s="1"/>
  <c r="B341" i="5"/>
  <c r="E200" i="9"/>
  <c r="U200"/>
  <c r="B509" i="5" s="1"/>
  <c r="F509" s="1"/>
  <c r="E166" i="9"/>
  <c r="U166"/>
  <c r="B410" i="5" s="1"/>
  <c r="E145" i="9"/>
  <c r="E105"/>
  <c r="U105"/>
  <c r="B335" i="5" s="1"/>
  <c r="E82" i="9"/>
  <c r="E80"/>
  <c r="U80"/>
  <c r="E77"/>
  <c r="E51"/>
  <c r="U51" s="1"/>
  <c r="B202" i="5"/>
  <c r="E137" i="9"/>
  <c r="U137"/>
  <c r="B381" i="5" s="1"/>
  <c r="E92" i="9"/>
  <c r="U92" s="1"/>
  <c r="E195"/>
  <c r="H151"/>
  <c r="H107"/>
  <c r="D394" i="5"/>
  <c r="L151" i="9"/>
  <c r="L107"/>
  <c r="J107"/>
  <c r="H117"/>
  <c r="R3212" i="1"/>
  <c r="P1292"/>
  <c r="R1292" s="1"/>
  <c r="P3281"/>
  <c r="R3281" s="1"/>
  <c r="AA11"/>
  <c r="C70" s="1"/>
  <c r="K2406"/>
  <c r="Z36"/>
  <c r="AA36"/>
  <c r="I242" s="1"/>
  <c r="K242"/>
  <c r="V82"/>
  <c r="C27"/>
  <c r="I140" s="1"/>
  <c r="K140" s="1"/>
  <c r="I3507"/>
  <c r="I3517" s="1"/>
  <c r="K3517"/>
  <c r="I3262"/>
  <c r="K3262"/>
  <c r="C14"/>
  <c r="I2639"/>
  <c r="K2639" s="1"/>
  <c r="P1215"/>
  <c r="I3461"/>
  <c r="P1291"/>
  <c r="R1291" s="1"/>
  <c r="I3264"/>
  <c r="K3264" s="1"/>
  <c r="C13"/>
  <c r="I1044"/>
  <c r="K1044" s="1"/>
  <c r="R1055"/>
  <c r="L128" i="9"/>
  <c r="I1843" i="1"/>
  <c r="K1843"/>
  <c r="D530" i="5"/>
  <c r="K2460" i="1"/>
  <c r="J231" i="9"/>
  <c r="I2739" i="1"/>
  <c r="K2603"/>
  <c r="I2604"/>
  <c r="K2604"/>
  <c r="I2085"/>
  <c r="K2085"/>
  <c r="I2052"/>
  <c r="K2052"/>
  <c r="I2098"/>
  <c r="K2098"/>
  <c r="I2072"/>
  <c r="K2072"/>
  <c r="I2926"/>
  <c r="K2926"/>
  <c r="C26"/>
  <c r="X1337"/>
  <c r="X1320"/>
  <c r="V408"/>
  <c r="X408"/>
  <c r="K705"/>
  <c r="K711"/>
  <c r="K713" s="1"/>
  <c r="I719"/>
  <c r="K719" s="1"/>
  <c r="I3404"/>
  <c r="K3404"/>
  <c r="I781"/>
  <c r="K781" s="1"/>
  <c r="V775" s="1"/>
  <c r="K507"/>
  <c r="K3444"/>
  <c r="K3445" s="1"/>
  <c r="K1016"/>
  <c r="K3453"/>
  <c r="C95" i="9"/>
  <c r="R1315" i="1"/>
  <c r="R1317" s="1"/>
  <c r="K2807"/>
  <c r="K2809" s="1"/>
  <c r="I243"/>
  <c r="K243" s="1"/>
  <c r="K246"/>
  <c r="K248" s="1"/>
  <c r="C35"/>
  <c r="P139"/>
  <c r="R139" s="1"/>
  <c r="I2925"/>
  <c r="K2925" s="1"/>
  <c r="K2927"/>
  <c r="I2618"/>
  <c r="K2618"/>
  <c r="I3475"/>
  <c r="K3475"/>
  <c r="P850"/>
  <c r="R850"/>
  <c r="R853" s="1"/>
  <c r="R855" s="1"/>
  <c r="I2269"/>
  <c r="K2269"/>
  <c r="I724"/>
  <c r="K724"/>
  <c r="I2289"/>
  <c r="P2288"/>
  <c r="R2288" s="1"/>
  <c r="I688"/>
  <c r="K688" s="1"/>
  <c r="P763"/>
  <c r="R763" s="1"/>
  <c r="I746"/>
  <c r="K746" s="1"/>
  <c r="I3460"/>
  <c r="P3429"/>
  <c r="P3421"/>
  <c r="R3421" s="1"/>
  <c r="R3423" s="1"/>
  <c r="R3424" s="1"/>
  <c r="F205" i="9"/>
  <c r="R205"/>
  <c r="R213"/>
  <c r="D523" i="5"/>
  <c r="F523"/>
  <c r="V1345" i="1"/>
  <c r="X1345"/>
  <c r="X1328"/>
  <c r="I123"/>
  <c r="K123" s="1"/>
  <c r="K126" s="1"/>
  <c r="K128" s="1"/>
  <c r="K129" s="1"/>
  <c r="C17" i="9" s="1"/>
  <c r="I95" i="1"/>
  <c r="K95" s="1"/>
  <c r="I65"/>
  <c r="K65" s="1"/>
  <c r="I46"/>
  <c r="K46" s="1"/>
  <c r="I55"/>
  <c r="K55" s="1"/>
  <c r="I11"/>
  <c r="K11" s="1"/>
  <c r="I155"/>
  <c r="K155" s="1"/>
  <c r="D14"/>
  <c r="D532" i="5"/>
  <c r="D11" i="1"/>
  <c r="I2066"/>
  <c r="I2046"/>
  <c r="K2046"/>
  <c r="P467"/>
  <c r="R467"/>
  <c r="X82"/>
  <c r="X85"/>
  <c r="X87" s="1"/>
  <c r="X88" s="1"/>
  <c r="D417" i="5"/>
  <c r="K2430" i="1"/>
  <c r="P3430"/>
  <c r="R3430" s="1"/>
  <c r="P1348"/>
  <c r="P1435"/>
  <c r="R1435" s="1"/>
  <c r="I483"/>
  <c r="K483" s="1"/>
  <c r="I1268"/>
  <c r="K1268" s="1"/>
  <c r="I1254"/>
  <c r="K1254" s="1"/>
  <c r="I2047"/>
  <c r="K2047" s="1"/>
  <c r="I2067"/>
  <c r="I83"/>
  <c r="P2072"/>
  <c r="R2072" s="1"/>
  <c r="R3429"/>
  <c r="E45" i="9"/>
  <c r="E85"/>
  <c r="U85" s="1"/>
  <c r="B313" i="5" s="1"/>
  <c r="I1041" i="1"/>
  <c r="K1041" s="1"/>
  <c r="I2712"/>
  <c r="K2712" s="1"/>
  <c r="L2712" s="1"/>
  <c r="I1863"/>
  <c r="K1863" s="1"/>
  <c r="I1913"/>
  <c r="K1913" s="1"/>
  <c r="I1974"/>
  <c r="K1974" s="1"/>
  <c r="C66"/>
  <c r="I748" s="1"/>
  <c r="K748"/>
  <c r="I3204"/>
  <c r="P338"/>
  <c r="R338" s="1"/>
  <c r="I1449"/>
  <c r="K1449" s="1"/>
  <c r="P2287"/>
  <c r="R2287" s="1"/>
  <c r="I1932"/>
  <c r="K1932" s="1"/>
  <c r="I3042"/>
  <c r="K3042" s="1"/>
  <c r="K3044"/>
  <c r="I1951"/>
  <c r="K1951"/>
  <c r="C41"/>
  <c r="I382"/>
  <c r="I1560"/>
  <c r="K1560"/>
  <c r="K1564" s="1"/>
  <c r="K1567" s="1"/>
  <c r="C189" i="9" s="1"/>
  <c r="I254" i="1"/>
  <c r="K254" s="1"/>
  <c r="K258"/>
  <c r="K260" s="1"/>
  <c r="I942"/>
  <c r="K942" s="1"/>
  <c r="P721"/>
  <c r="R721" s="1"/>
  <c r="P690"/>
  <c r="R690" s="1"/>
  <c r="I907"/>
  <c r="K2557"/>
  <c r="V2556"/>
  <c r="P2557"/>
  <c r="R2557"/>
  <c r="I2027"/>
  <c r="K2027"/>
  <c r="I1892"/>
  <c r="K1892"/>
  <c r="I1929"/>
  <c r="K1929"/>
  <c r="J2965"/>
  <c r="K2965"/>
  <c r="V1314"/>
  <c r="X1314"/>
  <c r="D317" i="5"/>
  <c r="F317"/>
  <c r="D35" i="16"/>
  <c r="F35"/>
  <c r="C10" i="1"/>
  <c r="V1346"/>
  <c r="X1346" s="1"/>
  <c r="I3474"/>
  <c r="K3474" s="1"/>
  <c r="I2658"/>
  <c r="K2658" s="1"/>
  <c r="P495"/>
  <c r="R495" s="1"/>
  <c r="I577"/>
  <c r="K577" s="1"/>
  <c r="V3203"/>
  <c r="X3203" s="1"/>
  <c r="K3204"/>
  <c r="I151"/>
  <c r="K151" s="1"/>
  <c r="K160" s="1"/>
  <c r="C19" i="9" s="1"/>
  <c r="P22" i="1"/>
  <c r="C30"/>
  <c r="I880"/>
  <c r="K880" s="1"/>
  <c r="I2585"/>
  <c r="I873"/>
  <c r="K873"/>
  <c r="I2786"/>
  <c r="K2786"/>
  <c r="I1082"/>
  <c r="K1082"/>
  <c r="P533"/>
  <c r="R533" s="1"/>
  <c r="I1773"/>
  <c r="I1737"/>
  <c r="K1737"/>
  <c r="I1830"/>
  <c r="K1830"/>
  <c r="I1755"/>
  <c r="K1755"/>
  <c r="P513"/>
  <c r="R513"/>
  <c r="R1380"/>
  <c r="K2761"/>
  <c r="I2897"/>
  <c r="K2897"/>
  <c r="I2743"/>
  <c r="I3410"/>
  <c r="K3410" s="1"/>
  <c r="V1347"/>
  <c r="X1330"/>
  <c r="L95" i="9"/>
  <c r="P95"/>
  <c r="V2741" i="1"/>
  <c r="X2741" s="1"/>
  <c r="J135" i="9"/>
  <c r="H135"/>
  <c r="I1506" i="1"/>
  <c r="K1506" s="1"/>
  <c r="I3403"/>
  <c r="K3403" s="1"/>
  <c r="I2493"/>
  <c r="K2458"/>
  <c r="P1354"/>
  <c r="R1338"/>
  <c r="K3507"/>
  <c r="K3510" s="1"/>
  <c r="K3512"/>
  <c r="C89" i="9" s="1"/>
  <c r="T29"/>
  <c r="V29" s="1"/>
  <c r="T62"/>
  <c r="V62" s="1"/>
  <c r="T116"/>
  <c r="V116" s="1"/>
  <c r="T118"/>
  <c r="T119"/>
  <c r="V119" s="1"/>
  <c r="T147"/>
  <c r="V147" s="1"/>
  <c r="T202"/>
  <c r="V202" s="1"/>
  <c r="T91"/>
  <c r="V91" s="1"/>
  <c r="T204"/>
  <c r="K2891" i="1"/>
  <c r="V1344"/>
  <c r="K2387"/>
  <c r="AC2728"/>
  <c r="AE2729" s="1"/>
  <c r="K2739"/>
  <c r="P1034"/>
  <c r="R1034" s="1"/>
  <c r="C71"/>
  <c r="K2762"/>
  <c r="C17"/>
  <c r="I2242"/>
  <c r="K2242" s="1"/>
  <c r="I3162"/>
  <c r="K3162" s="1"/>
  <c r="L3162"/>
  <c r="P1360"/>
  <c r="R1360"/>
  <c r="P1378"/>
  <c r="P1409"/>
  <c r="R1409" s="1"/>
  <c r="AC1015"/>
  <c r="AE1016" s="1"/>
  <c r="P3310"/>
  <c r="R3310" s="1"/>
  <c r="P1356"/>
  <c r="R1356"/>
  <c r="I2053"/>
  <c r="K2053" s="1"/>
  <c r="I1915"/>
  <c r="K1915" s="1"/>
  <c r="T148" i="9"/>
  <c r="V148" s="1"/>
  <c r="T205"/>
  <c r="V205" s="1"/>
  <c r="I2528" i="1"/>
  <c r="K2528" s="1"/>
  <c r="P2897"/>
  <c r="R2897"/>
  <c r="I2982"/>
  <c r="P2982"/>
  <c r="R2982" s="1"/>
  <c r="P2743"/>
  <c r="K2743"/>
  <c r="K2982"/>
  <c r="K3569"/>
  <c r="K3562"/>
  <c r="K3563"/>
  <c r="E28" i="9"/>
  <c r="U28"/>
  <c r="B56" i="5" s="1"/>
  <c r="P1373" i="1"/>
  <c r="R1373" s="1"/>
  <c r="I2562"/>
  <c r="AC2732"/>
  <c r="AE2733" s="1"/>
  <c r="V2742"/>
  <c r="X2742" s="1"/>
  <c r="V95"/>
  <c r="X95" s="1"/>
  <c r="X98" s="1"/>
  <c r="X100" s="1"/>
  <c r="X103" s="1"/>
  <c r="X104" s="1"/>
  <c r="V110"/>
  <c r="X110" s="1"/>
  <c r="X113" s="1"/>
  <c r="X115" s="1"/>
  <c r="X117"/>
  <c r="X118" s="1"/>
  <c r="P1349"/>
  <c r="R1332"/>
  <c r="P3282"/>
  <c r="R3282" s="1"/>
  <c r="P3316"/>
  <c r="R3316" s="1"/>
  <c r="R3213"/>
  <c r="F60" i="9"/>
  <c r="I2306" i="1"/>
  <c r="K2306" s="1"/>
  <c r="P498"/>
  <c r="R498" s="1"/>
  <c r="I96"/>
  <c r="I111"/>
  <c r="K111"/>
  <c r="I2696"/>
  <c r="K2696"/>
  <c r="K2699" s="1"/>
  <c r="I1464"/>
  <c r="K1464" s="1"/>
  <c r="I1435"/>
  <c r="I1100"/>
  <c r="K1100"/>
  <c r="I1462"/>
  <c r="K1462"/>
  <c r="K1467" s="1"/>
  <c r="K1469" s="1"/>
  <c r="I1477"/>
  <c r="K1477"/>
  <c r="K1480" s="1"/>
  <c r="K1482" s="1"/>
  <c r="I1113"/>
  <c r="K1113"/>
  <c r="I1422"/>
  <c r="K1422" s="1"/>
  <c r="I274"/>
  <c r="K274" s="1"/>
  <c r="I1776"/>
  <c r="I383"/>
  <c r="K383" s="1"/>
  <c r="I1949"/>
  <c r="K1949" s="1"/>
  <c r="I1437"/>
  <c r="P298"/>
  <c r="R298" s="1"/>
  <c r="I1638"/>
  <c r="K1638" s="1"/>
  <c r="I821"/>
  <c r="K821" s="1"/>
  <c r="I774"/>
  <c r="P321"/>
  <c r="R321" s="1"/>
  <c r="I3381"/>
  <c r="J175" i="9"/>
  <c r="P175"/>
  <c r="T175" s="1"/>
  <c r="L175"/>
  <c r="I153" i="1"/>
  <c r="K153" s="1"/>
  <c r="I167"/>
  <c r="P468"/>
  <c r="R468"/>
  <c r="P554"/>
  <c r="R554"/>
  <c r="I175"/>
  <c r="K175"/>
  <c r="P431"/>
  <c r="R431"/>
  <c r="P140"/>
  <c r="R140"/>
  <c r="P450"/>
  <c r="R450"/>
  <c r="I1890"/>
  <c r="K1890"/>
  <c r="I474"/>
  <c r="K474"/>
  <c r="C51" i="9" s="1"/>
  <c r="I1686" i="1"/>
  <c r="K1686" s="1"/>
  <c r="I359"/>
  <c r="V358" s="1"/>
  <c r="I1833"/>
  <c r="K1833" s="1"/>
  <c r="I198"/>
  <c r="P198" s="1"/>
  <c r="R198"/>
  <c r="K83"/>
  <c r="P851"/>
  <c r="R851" s="1"/>
  <c r="I1447"/>
  <c r="K1447" s="1"/>
  <c r="T200" i="9"/>
  <c r="V200" s="1"/>
  <c r="T115"/>
  <c r="V115" s="1"/>
  <c r="AF368" i="1"/>
  <c r="P903"/>
  <c r="P719"/>
  <c r="R719" s="1"/>
  <c r="R728" s="1"/>
  <c r="R730" s="1"/>
  <c r="Z27"/>
  <c r="Z28" s="1"/>
  <c r="AA28" s="1"/>
  <c r="AA13"/>
  <c r="C72" s="1"/>
  <c r="Z14"/>
  <c r="Z15" s="1"/>
  <c r="AA15" s="1"/>
  <c r="I3229"/>
  <c r="K3229" s="1"/>
  <c r="P821"/>
  <c r="R821" s="1"/>
  <c r="P2562"/>
  <c r="R2562"/>
  <c r="K2562"/>
  <c r="V2561"/>
  <c r="P166"/>
  <c r="R166" s="1"/>
  <c r="K198"/>
  <c r="K359"/>
  <c r="P1404"/>
  <c r="I3386"/>
  <c r="V382"/>
  <c r="V1348"/>
  <c r="X1333"/>
  <c r="V1364"/>
  <c r="X1364" s="1"/>
  <c r="X1348"/>
  <c r="V1403"/>
  <c r="X1403" s="1"/>
  <c r="R1404"/>
  <c r="K670"/>
  <c r="I671" s="1"/>
  <c r="K671" s="1"/>
  <c r="I672" s="1"/>
  <c r="K672"/>
  <c r="L1555"/>
  <c r="L1556"/>
  <c r="I3490"/>
  <c r="K3490" s="1"/>
  <c r="I3023"/>
  <c r="K3023" s="1"/>
  <c r="AC2556"/>
  <c r="AE2557" s="1"/>
  <c r="V1362"/>
  <c r="X1362" s="1"/>
  <c r="I380"/>
  <c r="I2633"/>
  <c r="K2633" s="1"/>
  <c r="R1378"/>
  <c r="I2071"/>
  <c r="P514"/>
  <c r="R514" s="1"/>
  <c r="I1348"/>
  <c r="K1348" s="1"/>
  <c r="P319"/>
  <c r="R319" s="1"/>
  <c r="I1774"/>
  <c r="K1774" s="1"/>
  <c r="P534"/>
  <c r="R534" s="1"/>
  <c r="I621"/>
  <c r="K621" s="1"/>
  <c r="P2250"/>
  <c r="R2250"/>
  <c r="I312"/>
  <c r="P496"/>
  <c r="R496" s="1"/>
  <c r="I1756"/>
  <c r="K1756" s="1"/>
  <c r="I480"/>
  <c r="K480" s="1"/>
  <c r="K3461"/>
  <c r="I3477"/>
  <c r="X1341"/>
  <c r="I622"/>
  <c r="K622" s="1"/>
  <c r="I2073"/>
  <c r="I1384"/>
  <c r="K1384" s="1"/>
  <c r="P25"/>
  <c r="R25" s="1"/>
  <c r="I1206"/>
  <c r="K1206" s="1"/>
  <c r="I2981"/>
  <c r="I3000" s="1"/>
  <c r="K3000" s="1"/>
  <c r="V1342"/>
  <c r="I3146"/>
  <c r="K3146"/>
  <c r="L3146" s="1"/>
  <c r="X1383"/>
  <c r="I1739"/>
  <c r="K1739" s="1"/>
  <c r="R3178"/>
  <c r="K646"/>
  <c r="I648"/>
  <c r="K648" s="1"/>
  <c r="I649"/>
  <c r="K649" s="1"/>
  <c r="I650" s="1"/>
  <c r="K650" s="1"/>
  <c r="I651"/>
  <c r="K651" s="1"/>
  <c r="I652" s="1"/>
  <c r="K652" s="1"/>
  <c r="AI34"/>
  <c r="P1774"/>
  <c r="R1774" s="1"/>
  <c r="P2981"/>
  <c r="R2981" s="1"/>
  <c r="K3477"/>
  <c r="I3492"/>
  <c r="K3492" s="1"/>
  <c r="I3519"/>
  <c r="K3519" s="1"/>
  <c r="F12" i="22"/>
  <c r="F10"/>
  <c r="F14"/>
  <c r="P19" i="9"/>
  <c r="I881" i="11"/>
  <c r="K881" s="1"/>
  <c r="K883" s="1"/>
  <c r="K912"/>
  <c r="F8" i="22"/>
  <c r="F29"/>
  <c r="I2587" i="11"/>
  <c r="K2587" s="1"/>
  <c r="U161" i="9"/>
  <c r="B405" i="5" s="1"/>
  <c r="H64" i="32"/>
  <c r="H66"/>
  <c r="H8" i="31"/>
  <c r="H10"/>
  <c r="B5" i="27" s="1"/>
  <c r="F5" s="1"/>
  <c r="H31" i="31"/>
  <c r="B13" i="27"/>
  <c r="F13" s="1"/>
  <c r="H35" i="31"/>
  <c r="H37" s="1"/>
  <c r="B15" i="27" s="1"/>
  <c r="F15" s="1"/>
  <c r="U22" i="9"/>
  <c r="B45" i="5" s="1"/>
  <c r="F108" i="9"/>
  <c r="F208"/>
  <c r="V208" s="1"/>
  <c r="H27" i="23"/>
  <c r="H29" s="1"/>
  <c r="B12" i="29" s="1"/>
  <c r="F12" s="1"/>
  <c r="F51" i="9"/>
  <c r="U204"/>
  <c r="B516" i="5"/>
  <c r="F516" s="1"/>
  <c r="U201" i="9"/>
  <c r="B510" i="5"/>
  <c r="F510" s="1"/>
  <c r="U180" i="9"/>
  <c r="U195"/>
  <c r="B504" i="5" s="1"/>
  <c r="H39" i="23"/>
  <c r="H41"/>
  <c r="B16" i="29" s="1"/>
  <c r="F16"/>
  <c r="H45" i="23"/>
  <c r="H47"/>
  <c r="B18" i="29" s="1"/>
  <c r="F18" s="1"/>
  <c r="H19" i="23"/>
  <c r="H21"/>
  <c r="B9" i="29" s="1"/>
  <c r="F9"/>
  <c r="U169" i="9"/>
  <c r="U171"/>
  <c r="B413" i="5" s="1"/>
  <c r="F200" i="9"/>
  <c r="U168"/>
  <c r="F212"/>
  <c r="V212"/>
  <c r="U206"/>
  <c r="U118"/>
  <c r="B348" i="5" s="1"/>
  <c r="F348" s="1"/>
  <c r="U77" i="9"/>
  <c r="F102"/>
  <c r="U128"/>
  <c r="B366" i="5" s="1"/>
  <c r="B308"/>
  <c r="B318"/>
  <c r="H29" i="32"/>
  <c r="H69" s="1"/>
  <c r="H71" s="1"/>
  <c r="H72" s="1"/>
  <c r="F7" i="29"/>
  <c r="I976" i="13"/>
  <c r="K976" s="1"/>
  <c r="I912"/>
  <c r="I947"/>
  <c r="K947" s="1"/>
  <c r="P375"/>
  <c r="R375" s="1"/>
  <c r="I1421"/>
  <c r="K1421" s="1"/>
  <c r="P389"/>
  <c r="R389" s="1"/>
  <c r="I1083"/>
  <c r="I2260" s="1"/>
  <c r="I1011"/>
  <c r="I881"/>
  <c r="K881" s="1"/>
  <c r="P209"/>
  <c r="R209"/>
  <c r="I945"/>
  <c r="K945"/>
  <c r="I974"/>
  <c r="K974"/>
  <c r="I910"/>
  <c r="I975"/>
  <c r="K975" s="1"/>
  <c r="K986"/>
  <c r="K988" s="1"/>
  <c r="I911"/>
  <c r="K911" s="1"/>
  <c r="I1059"/>
  <c r="K1059"/>
  <c r="K1066" s="1"/>
  <c r="K1068"/>
  <c r="I946"/>
  <c r="K946"/>
  <c r="K957" s="1"/>
  <c r="K959" s="1"/>
  <c r="I1044"/>
  <c r="K1044"/>
  <c r="K1052" s="1"/>
  <c r="K1054" s="1"/>
  <c r="I888"/>
  <c r="K888"/>
  <c r="K890" s="1"/>
  <c r="I1012"/>
  <c r="I1084"/>
  <c r="I1029"/>
  <c r="K1029" s="1"/>
  <c r="K1037" s="1"/>
  <c r="K1039" s="1"/>
  <c r="P210"/>
  <c r="R210" s="1"/>
  <c r="R220" s="1"/>
  <c r="R223" s="1"/>
  <c r="P704"/>
  <c r="R704" s="1"/>
  <c r="R713" s="1"/>
  <c r="R715" s="1"/>
  <c r="P720"/>
  <c r="R720" s="1"/>
  <c r="R729" s="1"/>
  <c r="R731" s="1"/>
  <c r="P689"/>
  <c r="R689" s="1"/>
  <c r="R698" s="1"/>
  <c r="R700" s="1"/>
  <c r="I2165"/>
  <c r="K2165" s="1"/>
  <c r="K2175" s="1"/>
  <c r="K2178" s="1"/>
  <c r="K2211"/>
  <c r="I2554"/>
  <c r="K910"/>
  <c r="I2261"/>
  <c r="K2261" s="1"/>
  <c r="K1084"/>
  <c r="K1083"/>
  <c r="I2555"/>
  <c r="I2586" s="1"/>
  <c r="K2586" s="1"/>
  <c r="I2522"/>
  <c r="K2522" s="1"/>
  <c r="K1011"/>
  <c r="K2555"/>
  <c r="H70" i="32"/>
  <c r="R108" i="40"/>
  <c r="H73" i="32"/>
  <c r="P3173" i="1"/>
  <c r="R3173" s="1"/>
  <c r="X89"/>
  <c r="X90" s="1"/>
  <c r="L189" i="9"/>
  <c r="L51"/>
  <c r="H51"/>
  <c r="R479" i="1"/>
  <c r="R481" s="1"/>
  <c r="K2189"/>
  <c r="C144" i="9" s="1"/>
  <c r="K2191" i="11"/>
  <c r="I740"/>
  <c r="K740" s="1"/>
  <c r="K755" s="1"/>
  <c r="K757" s="1"/>
  <c r="K731"/>
  <c r="K733" s="1"/>
  <c r="K2981" i="1"/>
  <c r="AA14"/>
  <c r="P1377"/>
  <c r="I3001"/>
  <c r="K3001" s="1"/>
  <c r="V1408"/>
  <c r="X1408" s="1"/>
  <c r="I1198"/>
  <c r="K1198" s="1"/>
  <c r="Z2556"/>
  <c r="I2659"/>
  <c r="K2659" s="1"/>
  <c r="I1831"/>
  <c r="K1831" s="1"/>
  <c r="I1286"/>
  <c r="K1286" s="1"/>
  <c r="I519"/>
  <c r="K519" s="1"/>
  <c r="I2619"/>
  <c r="K2619" s="1"/>
  <c r="I426"/>
  <c r="K426" s="1"/>
  <c r="I726"/>
  <c r="K726"/>
  <c r="V1361"/>
  <c r="X1361" s="1"/>
  <c r="K2289"/>
  <c r="K3757" i="13"/>
  <c r="R481" i="11"/>
  <c r="R443"/>
  <c r="R445"/>
  <c r="K89"/>
  <c r="K3446"/>
  <c r="I3056"/>
  <c r="K3056" s="1"/>
  <c r="I2634" i="1"/>
  <c r="P3314"/>
  <c r="R3314" s="1"/>
  <c r="V1340"/>
  <c r="X1340" s="1"/>
  <c r="C288" i="9"/>
  <c r="J288"/>
  <c r="K4016" i="13"/>
  <c r="K3592" i="11"/>
  <c r="K3582" s="1"/>
  <c r="K3583" s="1"/>
  <c r="I3338" i="13"/>
  <c r="K3338" s="1"/>
  <c r="I3927" i="11"/>
  <c r="K2792"/>
  <c r="K2794"/>
  <c r="K2105"/>
  <c r="K2107" s="1"/>
  <c r="K1122"/>
  <c r="I3054"/>
  <c r="K2936"/>
  <c r="K2761"/>
  <c r="K2764"/>
  <c r="K2332"/>
  <c r="K2336"/>
  <c r="E13" i="4"/>
  <c r="I3727" i="11"/>
  <c r="K3727" s="1"/>
  <c r="K3623"/>
  <c r="K3616"/>
  <c r="K3590"/>
  <c r="C245" i="9"/>
  <c r="J245" s="1"/>
  <c r="K3368" i="11"/>
  <c r="I3363" s="1"/>
  <c r="K3363"/>
  <c r="I3006"/>
  <c r="K3006" s="1"/>
  <c r="K2911"/>
  <c r="K2910"/>
  <c r="K3503" i="13"/>
  <c r="K3507" s="1"/>
  <c r="K3498" s="1"/>
  <c r="K3478"/>
  <c r="I3661"/>
  <c r="K3661"/>
  <c r="K3353"/>
  <c r="I3407"/>
  <c r="I3426" s="1"/>
  <c r="K3426" s="1"/>
  <c r="K3351"/>
  <c r="I3405"/>
  <c r="K3405" s="1"/>
  <c r="I3267"/>
  <c r="K3249"/>
  <c r="K3250" s="1"/>
  <c r="K3251"/>
  <c r="K3243" s="1"/>
  <c r="K3244" s="1"/>
  <c r="K3767" s="1"/>
  <c r="I3265"/>
  <c r="K3265" s="1"/>
  <c r="K3101"/>
  <c r="I3616"/>
  <c r="K1498"/>
  <c r="K1482"/>
  <c r="K1484"/>
  <c r="C126" i="9"/>
  <c r="I3689" i="13"/>
  <c r="K3689" s="1"/>
  <c r="K3678"/>
  <c r="K3684" s="1"/>
  <c r="L3685" s="1"/>
  <c r="K3352"/>
  <c r="K3355" s="1"/>
  <c r="K3356" s="1"/>
  <c r="K2822"/>
  <c r="I3794"/>
  <c r="K3794" s="1"/>
  <c r="I2998"/>
  <c r="K2998" s="1"/>
  <c r="I2914"/>
  <c r="I2908"/>
  <c r="K2563"/>
  <c r="K2561"/>
  <c r="K2559"/>
  <c r="K1817"/>
  <c r="I578"/>
  <c r="K578" s="1"/>
  <c r="K581"/>
  <c r="K583" s="1"/>
  <c r="I584" s="1"/>
  <c r="P515"/>
  <c r="R515"/>
  <c r="P513"/>
  <c r="R513"/>
  <c r="I499"/>
  <c r="K499"/>
  <c r="P497"/>
  <c r="R497"/>
  <c r="P495"/>
  <c r="R495"/>
  <c r="I482"/>
  <c r="K482"/>
  <c r="I474"/>
  <c r="K474"/>
  <c r="P450"/>
  <c r="R450"/>
  <c r="I447"/>
  <c r="K447"/>
  <c r="P431"/>
  <c r="R431"/>
  <c r="R443" s="1"/>
  <c r="R445" s="1"/>
  <c r="I413"/>
  <c r="K413"/>
  <c r="P363"/>
  <c r="R363"/>
  <c r="I358"/>
  <c r="K358"/>
  <c r="P349"/>
  <c r="R349"/>
  <c r="I338"/>
  <c r="K338"/>
  <c r="P337"/>
  <c r="R337"/>
  <c r="P320"/>
  <c r="R320"/>
  <c r="I314"/>
  <c r="K314"/>
  <c r="I227"/>
  <c r="K227"/>
  <c r="I212"/>
  <c r="K212"/>
  <c r="I197"/>
  <c r="K197"/>
  <c r="P192"/>
  <c r="R192"/>
  <c r="I83"/>
  <c r="I18"/>
  <c r="K18" s="1"/>
  <c r="P468"/>
  <c r="R468" s="1"/>
  <c r="R479"/>
  <c r="R481" s="1"/>
  <c r="I25" i="9"/>
  <c r="S25" s="1"/>
  <c r="H81" i="24"/>
  <c r="H83"/>
  <c r="U95" i="9"/>
  <c r="I1504" i="1"/>
  <c r="K1504" s="1"/>
  <c r="I1701"/>
  <c r="K1701"/>
  <c r="F10" i="12"/>
  <c r="F11"/>
  <c r="F62" i="5"/>
  <c r="F416"/>
  <c r="F415"/>
  <c r="F408"/>
  <c r="K3628" i="1"/>
  <c r="K3630"/>
  <c r="K3576"/>
  <c r="L144" i="9"/>
  <c r="J144"/>
  <c r="I1517" i="1"/>
  <c r="I111" i="13"/>
  <c r="K111" s="1"/>
  <c r="K114" s="1"/>
  <c r="K116" s="1"/>
  <c r="K118" s="1"/>
  <c r="K119" s="1"/>
  <c r="I96"/>
  <c r="K96" s="1"/>
  <c r="K99"/>
  <c r="K101" s="1"/>
  <c r="K104" s="1"/>
  <c r="K105" s="1"/>
  <c r="K83"/>
  <c r="K88"/>
  <c r="D359" i="5"/>
  <c r="F359" s="1"/>
  <c r="P126" i="9"/>
  <c r="H126"/>
  <c r="I3424" i="13"/>
  <c r="K3424" s="1"/>
  <c r="K3407"/>
  <c r="K3536"/>
  <c r="K3538" s="1"/>
  <c r="K3539" s="1"/>
  <c r="K3500"/>
  <c r="K3501" s="1"/>
  <c r="I3744" i="11"/>
  <c r="K3744" s="1"/>
  <c r="R1377" i="1"/>
  <c r="P1408"/>
  <c r="U25" i="9"/>
  <c r="B52" i="5" s="1"/>
  <c r="I583" i="13"/>
  <c r="K2914"/>
  <c r="I2938"/>
  <c r="I3037"/>
  <c r="K3037" s="1"/>
  <c r="I3425"/>
  <c r="K3425" s="1"/>
  <c r="K3685"/>
  <c r="K3688" s="1"/>
  <c r="K3691" s="1"/>
  <c r="I3646"/>
  <c r="K3646" s="1"/>
  <c r="K3616"/>
  <c r="I3278"/>
  <c r="I3297" s="1"/>
  <c r="I3280"/>
  <c r="K3267"/>
  <c r="K3268" s="1"/>
  <c r="K3269" s="1"/>
  <c r="K3261" s="1"/>
  <c r="K3054" i="11"/>
  <c r="I3887"/>
  <c r="K3887"/>
  <c r="V1356" i="1"/>
  <c r="X1356" s="1"/>
  <c r="I3298" i="13"/>
  <c r="K3280"/>
  <c r="K2938"/>
  <c r="I3056"/>
  <c r="K3056"/>
  <c r="I2955"/>
  <c r="I3446"/>
  <c r="K3446" s="1"/>
  <c r="K3448" s="1"/>
  <c r="K3449" s="1"/>
  <c r="K3439" s="1"/>
  <c r="P573"/>
  <c r="R573" s="1"/>
  <c r="K1517" i="1"/>
  <c r="I1532"/>
  <c r="I3337" i="13"/>
  <c r="K3337" s="1"/>
  <c r="K3339" s="1"/>
  <c r="K3340" s="1"/>
  <c r="K3278"/>
  <c r="K3281" s="1"/>
  <c r="K3282" s="1"/>
  <c r="K3275" s="1"/>
  <c r="K3277" s="1"/>
  <c r="K2200" s="1"/>
  <c r="V1407" i="1"/>
  <c r="X1407" s="1"/>
  <c r="R1408"/>
  <c r="I3447" i="13"/>
  <c r="I3487" s="1"/>
  <c r="K3487" s="1"/>
  <c r="K3408"/>
  <c r="K3409" s="1"/>
  <c r="K3398"/>
  <c r="K102"/>
  <c r="I3486"/>
  <c r="K3486" s="1"/>
  <c r="K3488" s="1"/>
  <c r="K3489" s="1"/>
  <c r="K3479" s="1"/>
  <c r="K3447"/>
  <c r="I3322"/>
  <c r="K3322" s="1"/>
  <c r="K3297"/>
  <c r="K1532" i="1"/>
  <c r="I1544"/>
  <c r="K1544" s="1"/>
  <c r="K3427" i="13"/>
  <c r="K3428" s="1"/>
  <c r="K3417" s="1"/>
  <c r="I2985"/>
  <c r="K2985" s="1"/>
  <c r="K2988" s="1"/>
  <c r="K2191" s="1"/>
  <c r="I2958"/>
  <c r="I3903"/>
  <c r="K3903"/>
  <c r="K2955"/>
  <c r="I3323"/>
  <c r="K3323" s="1"/>
  <c r="K3298"/>
  <c r="I3906"/>
  <c r="K3906" s="1"/>
  <c r="K2958"/>
  <c r="K3299"/>
  <c r="K3291" s="1"/>
  <c r="K3293" s="1"/>
  <c r="K3294" s="1"/>
  <c r="K2204" s="1"/>
  <c r="Z29" i="11"/>
  <c r="AC29" s="1"/>
  <c r="C91" s="1"/>
  <c r="P79" s="1"/>
  <c r="R79" s="1"/>
  <c r="R87" s="1"/>
  <c r="R89" s="1"/>
  <c r="H17" i="48"/>
  <c r="B8" i="47" s="1"/>
  <c r="F8" s="1"/>
  <c r="H36" i="48"/>
  <c r="B14" i="47"/>
  <c r="F14" s="1"/>
  <c r="F22" i="38"/>
  <c r="F17"/>
  <c r="F4"/>
  <c r="F15"/>
  <c r="H47" i="48"/>
  <c r="B18" i="47" s="1"/>
  <c r="H74" i="48"/>
  <c r="B38" i="47"/>
  <c r="F16" i="51" l="1"/>
  <c r="F5" i="64"/>
  <c r="F5" i="29"/>
  <c r="F11" i="27"/>
  <c r="F16" s="1"/>
  <c r="H149" i="63"/>
  <c r="B7" i="64" s="1"/>
  <c r="F7" s="1"/>
  <c r="F11" i="58"/>
  <c r="D15" i="10" s="1"/>
  <c r="F15" s="1"/>
  <c r="H15" s="1"/>
  <c r="K3324" i="13"/>
  <c r="K3318" s="1"/>
  <c r="K3319" s="1"/>
  <c r="K2209" s="1"/>
  <c r="K3332"/>
  <c r="K3365"/>
  <c r="K3378"/>
  <c r="K3379" s="1"/>
  <c r="K3466" s="1"/>
  <c r="K3468" s="1"/>
  <c r="K3347"/>
  <c r="K3348" s="1"/>
  <c r="K3456" s="1"/>
  <c r="K3458" s="1"/>
  <c r="K2213" s="1"/>
  <c r="K3774"/>
  <c r="K3776" s="1"/>
  <c r="K3769"/>
  <c r="L3583" i="11"/>
  <c r="K3584"/>
  <c r="F17" i="9"/>
  <c r="D30" i="5"/>
  <c r="F30" s="1"/>
  <c r="H17" i="9"/>
  <c r="L17"/>
  <c r="J17"/>
  <c r="P17"/>
  <c r="AE323" i="1"/>
  <c r="AF322"/>
  <c r="P586" i="13"/>
  <c r="R586" s="1"/>
  <c r="I2613"/>
  <c r="K90"/>
  <c r="K2908"/>
  <c r="I3031"/>
  <c r="K3031" s="1"/>
  <c r="I1092" i="11"/>
  <c r="K1092" s="1"/>
  <c r="I2269"/>
  <c r="I3946"/>
  <c r="K3946" s="1"/>
  <c r="K3927"/>
  <c r="K2634" i="1"/>
  <c r="I2640"/>
  <c r="K2640" s="1"/>
  <c r="I174"/>
  <c r="K174" s="1"/>
  <c r="K178" s="1"/>
  <c r="C21" i="9" s="1"/>
  <c r="C73" i="1"/>
  <c r="I2585" i="13"/>
  <c r="K2585" s="1"/>
  <c r="K2554"/>
  <c r="I2523"/>
  <c r="K2523" s="1"/>
  <c r="K1012"/>
  <c r="K2260"/>
  <c r="I2662"/>
  <c r="K2662" s="1"/>
  <c r="P2073" i="1"/>
  <c r="R2073" s="1"/>
  <c r="K2073"/>
  <c r="K312"/>
  <c r="V311"/>
  <c r="I3203"/>
  <c r="I2556"/>
  <c r="I2736"/>
  <c r="C90"/>
  <c r="P904"/>
  <c r="R904" s="1"/>
  <c r="R903"/>
  <c r="I3092"/>
  <c r="K1437"/>
  <c r="K1435"/>
  <c r="I3090"/>
  <c r="K96"/>
  <c r="K99" s="1"/>
  <c r="K101" s="1"/>
  <c r="M96"/>
  <c r="M97" s="1"/>
  <c r="H89" i="9"/>
  <c r="L89"/>
  <c r="J89"/>
  <c r="V1363" i="1"/>
  <c r="X1363" s="1"/>
  <c r="X1347"/>
  <c r="P1773"/>
  <c r="R1773" s="1"/>
  <c r="K1773"/>
  <c r="W566"/>
  <c r="R22"/>
  <c r="K907"/>
  <c r="P907"/>
  <c r="R907" s="1"/>
  <c r="P189" i="9"/>
  <c r="H189"/>
  <c r="F189"/>
  <c r="D481" i="5"/>
  <c r="F481" s="1"/>
  <c r="J189" i="9"/>
  <c r="K382" i="1"/>
  <c r="V381"/>
  <c r="V790"/>
  <c r="X790" s="1"/>
  <c r="X775"/>
  <c r="U82" i="9"/>
  <c r="B310" i="5" s="1"/>
  <c r="U83" i="9"/>
  <c r="B311" i="5" s="1"/>
  <c r="U163" i="9"/>
  <c r="B407" i="5" s="1"/>
  <c r="H331" i="9"/>
  <c r="H332"/>
  <c r="H334"/>
  <c r="K3402" i="13"/>
  <c r="I3397" s="1"/>
  <c r="K3397" s="1"/>
  <c r="K3400" s="1"/>
  <c r="I3421"/>
  <c r="P573" i="11"/>
  <c r="R573" s="1"/>
  <c r="P586"/>
  <c r="R586" s="1"/>
  <c r="I2613"/>
  <c r="K90"/>
  <c r="I1517"/>
  <c r="K1517" s="1"/>
  <c r="K1524" s="1"/>
  <c r="K1526" s="1"/>
  <c r="I1544"/>
  <c r="K1544" s="1"/>
  <c r="K1549" s="1"/>
  <c r="K1551" s="1"/>
  <c r="D405" i="5"/>
  <c r="F405" s="1"/>
  <c r="P161" i="9"/>
  <c r="H161"/>
  <c r="L161"/>
  <c r="X1338" i="1"/>
  <c r="V1354"/>
  <c r="X1354" s="1"/>
  <c r="K82"/>
  <c r="K86" s="1"/>
  <c r="K88" s="1"/>
  <c r="L82"/>
  <c r="P337"/>
  <c r="R337" s="1"/>
  <c r="I1220"/>
  <c r="K1220" s="1"/>
  <c r="I1101"/>
  <c r="K1101" s="1"/>
  <c r="K1104" s="1"/>
  <c r="K1106" s="1"/>
  <c r="C254" i="9" s="1"/>
  <c r="J254" s="1"/>
  <c r="I1448" i="1"/>
  <c r="K1448" s="1"/>
  <c r="I536"/>
  <c r="K536" s="1"/>
  <c r="I1409"/>
  <c r="K1409" s="1"/>
  <c r="I1323"/>
  <c r="K1323" s="1"/>
  <c r="I2086"/>
  <c r="K2086" s="1"/>
  <c r="I2099"/>
  <c r="K2099" s="1"/>
  <c r="K2101" s="1"/>
  <c r="K2103" s="1"/>
  <c r="K2105" s="1"/>
  <c r="C134" i="9" s="1"/>
  <c r="I314" i="1"/>
  <c r="P363"/>
  <c r="R363" s="1"/>
  <c r="I3380"/>
  <c r="I576"/>
  <c r="K576" s="1"/>
  <c r="I1310"/>
  <c r="K1310" s="1"/>
  <c r="I1253"/>
  <c r="K1253" s="1"/>
  <c r="I1832"/>
  <c r="K1832" s="1"/>
  <c r="K1835" s="1"/>
  <c r="K1837" s="1"/>
  <c r="I1844" s="1"/>
  <c r="K1844" s="1"/>
  <c r="K1847" s="1"/>
  <c r="C113" i="9" s="1"/>
  <c r="I299" i="1"/>
  <c r="K299" s="1"/>
  <c r="I1171"/>
  <c r="I1894"/>
  <c r="K1894" s="1"/>
  <c r="I2000"/>
  <c r="K2000" s="1"/>
  <c r="I2256"/>
  <c r="K2256" s="1"/>
  <c r="I1205"/>
  <c r="K1205" s="1"/>
  <c r="I482"/>
  <c r="K482" s="1"/>
  <c r="I2290"/>
  <c r="I1775"/>
  <c r="P391"/>
  <c r="R391" s="1"/>
  <c r="I2028"/>
  <c r="K2028" s="1"/>
  <c r="I2320"/>
  <c r="I773"/>
  <c r="P320"/>
  <c r="R320" s="1"/>
  <c r="I837"/>
  <c r="K837" s="1"/>
  <c r="P308"/>
  <c r="R308" s="1"/>
  <c r="I2349"/>
  <c r="J2966"/>
  <c r="K2966" s="1"/>
  <c r="I520"/>
  <c r="K520" s="1"/>
  <c r="P53"/>
  <c r="R53" s="1"/>
  <c r="I227"/>
  <c r="I1200"/>
  <c r="K1200" s="1"/>
  <c r="I1952"/>
  <c r="K1952" s="1"/>
  <c r="I1396"/>
  <c r="K1396" s="1"/>
  <c r="I1864"/>
  <c r="K1864" s="1"/>
  <c r="P2251"/>
  <c r="R2251" s="1"/>
  <c r="I447"/>
  <c r="K447" s="1"/>
  <c r="I853"/>
  <c r="K853" s="1"/>
  <c r="P83"/>
  <c r="R83" s="1"/>
  <c r="I725"/>
  <c r="K725" s="1"/>
  <c r="K730" s="1"/>
  <c r="K732" s="1"/>
  <c r="I2277" s="1"/>
  <c r="I1757"/>
  <c r="K1757" s="1"/>
  <c r="I1364"/>
  <c r="K1364" s="1"/>
  <c r="I2660"/>
  <c r="K2660" s="1"/>
  <c r="K2666" s="1"/>
  <c r="K2668" s="1"/>
  <c r="I2686" s="1"/>
  <c r="K2686" s="1"/>
  <c r="K2688" s="1"/>
  <c r="I1175"/>
  <c r="K1175" s="1"/>
  <c r="I2243"/>
  <c r="K2243" s="1"/>
  <c r="I2607"/>
  <c r="K2607" s="1"/>
  <c r="I1349"/>
  <c r="K1349" s="1"/>
  <c r="I1235"/>
  <c r="P1436"/>
  <c r="R1436" s="1"/>
  <c r="P497"/>
  <c r="R497" s="1"/>
  <c r="I1576"/>
  <c r="K1576" s="1"/>
  <c r="I819"/>
  <c r="I2915"/>
  <c r="K2915" s="1"/>
  <c r="P377"/>
  <c r="R377" s="1"/>
  <c r="I592"/>
  <c r="K592" s="1"/>
  <c r="I2270"/>
  <c r="K2270" s="1"/>
  <c r="I747"/>
  <c r="K747" s="1"/>
  <c r="I212"/>
  <c r="K212" s="1"/>
  <c r="I1933"/>
  <c r="K1933" s="1"/>
  <c r="I561"/>
  <c r="P285"/>
  <c r="R285" s="1"/>
  <c r="P68"/>
  <c r="R68" s="1"/>
  <c r="I1421"/>
  <c r="K1421" s="1"/>
  <c r="I499"/>
  <c r="I1267"/>
  <c r="K1267" s="1"/>
  <c r="I197"/>
  <c r="I1154"/>
  <c r="K1154" s="1"/>
  <c r="I413"/>
  <c r="K413" s="1"/>
  <c r="I1114"/>
  <c r="K1114" s="1"/>
  <c r="K1117" s="1"/>
  <c r="K1119" s="1"/>
  <c r="P1376"/>
  <c r="R1359"/>
  <c r="P2489"/>
  <c r="R2489" s="1"/>
  <c r="M2495"/>
  <c r="O2495" s="1"/>
  <c r="O2497" s="1"/>
  <c r="O2498" s="1"/>
  <c r="K2495"/>
  <c r="L60" i="9"/>
  <c r="J60"/>
  <c r="D271" i="5"/>
  <c r="F271" s="1"/>
  <c r="P60" i="9"/>
  <c r="I3425" i="1"/>
  <c r="K3425" s="1"/>
  <c r="C78"/>
  <c r="R1339"/>
  <c r="P1355"/>
  <c r="Z33"/>
  <c r="AA33" s="1"/>
  <c r="AA32"/>
  <c r="C138" s="1"/>
  <c r="D332" i="5"/>
  <c r="F332" s="1"/>
  <c r="H102" i="9"/>
  <c r="P102"/>
  <c r="J102"/>
  <c r="I2561" i="1"/>
  <c r="I3406"/>
  <c r="K3406" s="1"/>
  <c r="AC2731"/>
  <c r="AE2732" s="1"/>
  <c r="P2742"/>
  <c r="K2742"/>
  <c r="L3131"/>
  <c r="I2734"/>
  <c r="I3239"/>
  <c r="K3239" s="1"/>
  <c r="C88"/>
  <c r="P3102"/>
  <c r="I2583"/>
  <c r="I3067"/>
  <c r="K104" i="11"/>
  <c r="K105" s="1"/>
  <c r="K102"/>
  <c r="K3209" i="13"/>
  <c r="K3210" s="1"/>
  <c r="K3194"/>
  <c r="K3195" s="1"/>
  <c r="K3220"/>
  <c r="K3221" s="1"/>
  <c r="K3051"/>
  <c r="I3882"/>
  <c r="K3882" s="1"/>
  <c r="K3074" i="11"/>
  <c r="I3100"/>
  <c r="K3729"/>
  <c r="K3730" s="1"/>
  <c r="K3723" s="1"/>
  <c r="K3724" s="1"/>
  <c r="I3745"/>
  <c r="K3745" s="1"/>
  <c r="K3746" s="1"/>
  <c r="K3747" s="1"/>
  <c r="K3740" s="1"/>
  <c r="K883" i="13"/>
  <c r="I3038" i="11"/>
  <c r="K3038" s="1"/>
  <c r="K2915"/>
  <c r="I3050" i="13"/>
  <c r="K2932"/>
  <c r="I1683" i="11"/>
  <c r="K1683" s="1"/>
  <c r="I183"/>
  <c r="K183" s="1"/>
  <c r="K188" s="1"/>
  <c r="K1052"/>
  <c r="K1054" s="1"/>
  <c r="K3758" i="13"/>
  <c r="A264" i="1"/>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5" s="1"/>
  <c r="A566" s="1"/>
  <c r="A567" s="1"/>
  <c r="A568" s="1"/>
  <c r="A569" s="1"/>
  <c r="A570" s="1"/>
  <c r="A572" s="1"/>
  <c r="A573" s="1"/>
  <c r="A574" s="1"/>
  <c r="A575" s="1"/>
  <c r="A576" s="1"/>
  <c r="A577" s="1"/>
  <c r="A578" s="1"/>
  <c r="A579" s="1"/>
  <c r="A580" s="1"/>
  <c r="A581" s="1"/>
  <c r="A582" s="1"/>
  <c r="A583" s="1"/>
  <c r="A584" s="1"/>
  <c r="A585"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4" s="1"/>
  <c r="A735" s="1"/>
  <c r="A736" s="1"/>
  <c r="A737" s="1"/>
  <c r="A738" s="1"/>
  <c r="A739" s="1"/>
  <c r="A740" s="1"/>
  <c r="A741" s="1"/>
  <c r="A742" s="1"/>
  <c r="A743" s="1"/>
  <c r="A744" s="1"/>
  <c r="A745" s="1"/>
  <c r="A746" s="1"/>
  <c r="A747" s="1"/>
  <c r="A748" s="1"/>
  <c r="A749" s="1"/>
  <c r="A750" s="1"/>
  <c r="A751" s="1"/>
  <c r="A752" s="1"/>
  <c r="A206"/>
  <c r="A207" s="1"/>
  <c r="M3501" i="13"/>
  <c r="K584"/>
  <c r="K89"/>
  <c r="V768" i="1"/>
  <c r="I2934" i="13"/>
  <c r="J126" i="9"/>
  <c r="L126"/>
  <c r="T126" s="1"/>
  <c r="V126" s="1"/>
  <c r="F126"/>
  <c r="I1336" i="1"/>
  <c r="K1336" s="1"/>
  <c r="K3448" i="11"/>
  <c r="K3449" s="1"/>
  <c r="K3439" s="1"/>
  <c r="D388" i="5"/>
  <c r="F388" s="1"/>
  <c r="H144" i="9"/>
  <c r="P144"/>
  <c r="F144"/>
  <c r="H333"/>
  <c r="H335" s="1"/>
  <c r="H336" s="1"/>
  <c r="X101" i="1"/>
  <c r="I2663" i="13"/>
  <c r="K2663" s="1"/>
  <c r="F89" i="9"/>
  <c r="P89"/>
  <c r="T89" s="1"/>
  <c r="V89" s="1"/>
  <c r="P297" i="1"/>
  <c r="R297" s="1"/>
  <c r="I1976"/>
  <c r="K1976" s="1"/>
  <c r="P515"/>
  <c r="R515" s="1"/>
  <c r="P349"/>
  <c r="R349" s="1"/>
  <c r="I1637"/>
  <c r="K1637" s="1"/>
  <c r="R503"/>
  <c r="R505" s="1"/>
  <c r="P2071"/>
  <c r="R2071" s="1"/>
  <c r="K2071"/>
  <c r="K380"/>
  <c r="V379"/>
  <c r="I2554"/>
  <c r="AA27"/>
  <c r="X382"/>
  <c r="AC382"/>
  <c r="AE383" s="1"/>
  <c r="V413"/>
  <c r="P3385"/>
  <c r="R3385" s="1"/>
  <c r="K3386"/>
  <c r="Z2561"/>
  <c r="X2561"/>
  <c r="AC2561"/>
  <c r="AE2562" s="1"/>
  <c r="I166"/>
  <c r="K166" s="1"/>
  <c r="P230"/>
  <c r="R230" s="1"/>
  <c r="C74"/>
  <c r="I194" s="1"/>
  <c r="P2260"/>
  <c r="P905"/>
  <c r="R905" s="1"/>
  <c r="J161" i="9"/>
  <c r="K1453" i="1"/>
  <c r="K1455" s="1"/>
  <c r="C88" i="9" s="1"/>
  <c r="C164" i="1"/>
  <c r="K167"/>
  <c r="K3381"/>
  <c r="P3380"/>
  <c r="R3380" s="1"/>
  <c r="K774"/>
  <c r="V774"/>
  <c r="P1776"/>
  <c r="R1776" s="1"/>
  <c r="K1776"/>
  <c r="I3411"/>
  <c r="K3411" s="1"/>
  <c r="C94" i="9"/>
  <c r="I3030" i="1"/>
  <c r="K3030" s="1"/>
  <c r="C92" i="9"/>
  <c r="P3106" i="1"/>
  <c r="I739"/>
  <c r="K739" s="1"/>
  <c r="K754" s="1"/>
  <c r="K756" s="1"/>
  <c r="P2776"/>
  <c r="R2776" s="1"/>
  <c r="R2743"/>
  <c r="I273"/>
  <c r="K273" s="1"/>
  <c r="I358"/>
  <c r="K2244"/>
  <c r="K2245" s="1"/>
  <c r="I2250" s="1"/>
  <c r="K2250" s="1"/>
  <c r="P535"/>
  <c r="R535" s="1"/>
  <c r="R541" s="1"/>
  <c r="R543" s="1"/>
  <c r="V204" i="9"/>
  <c r="P1362" i="1"/>
  <c r="K2493"/>
  <c r="P2487"/>
  <c r="R2487" s="1"/>
  <c r="L102" i="9"/>
  <c r="I2738" i="1"/>
  <c r="D39" i="5"/>
  <c r="F39" s="1"/>
  <c r="H19" i="9"/>
  <c r="J19"/>
  <c r="L19"/>
  <c r="T19" s="1"/>
  <c r="V19" s="1"/>
  <c r="F19"/>
  <c r="I1335" i="1"/>
  <c r="K1335" s="1"/>
  <c r="P81"/>
  <c r="R81" s="1"/>
  <c r="I1234"/>
  <c r="I1738"/>
  <c r="K1738" s="1"/>
  <c r="I560"/>
  <c r="I445"/>
  <c r="K445" s="1"/>
  <c r="P336"/>
  <c r="R336" s="1"/>
  <c r="I3378"/>
  <c r="I1575"/>
  <c r="K1575" s="1"/>
  <c r="I1408"/>
  <c r="K1408" s="1"/>
  <c r="I297"/>
  <c r="K297" s="1"/>
  <c r="P307"/>
  <c r="R307" s="1"/>
  <c r="I535"/>
  <c r="K535" s="1"/>
  <c r="I336"/>
  <c r="I591"/>
  <c r="K591" s="1"/>
  <c r="I1383"/>
  <c r="K1383" s="1"/>
  <c r="P362"/>
  <c r="R362" s="1"/>
  <c r="I1308"/>
  <c r="K1308" s="1"/>
  <c r="I1169"/>
  <c r="I394"/>
  <c r="I1153"/>
  <c r="K1153" s="1"/>
  <c r="I2305"/>
  <c r="I1947"/>
  <c r="K1947" s="1"/>
  <c r="I1219"/>
  <c r="K1219" s="1"/>
  <c r="I1865"/>
  <c r="K1865" s="1"/>
  <c r="P267"/>
  <c r="R267" s="1"/>
  <c r="I1928"/>
  <c r="K1928" s="1"/>
  <c r="P180"/>
  <c r="R180" s="1"/>
  <c r="P296"/>
  <c r="R296" s="1"/>
  <c r="I411"/>
  <c r="K411" s="1"/>
  <c r="I575"/>
  <c r="K575" s="1"/>
  <c r="K580" s="1"/>
  <c r="I852"/>
  <c r="K852" s="1"/>
  <c r="I1363"/>
  <c r="K1363" s="1"/>
  <c r="I818"/>
  <c r="I459"/>
  <c r="K459" s="1"/>
  <c r="I836"/>
  <c r="K836" s="1"/>
  <c r="I356"/>
  <c r="I1395"/>
  <c r="K1395" s="1"/>
  <c r="I1322"/>
  <c r="K1322" s="1"/>
  <c r="P364"/>
  <c r="R364" s="1"/>
  <c r="I1252"/>
  <c r="K1252" s="1"/>
  <c r="P348"/>
  <c r="R348" s="1"/>
  <c r="I2051"/>
  <c r="K2051" s="1"/>
  <c r="I689"/>
  <c r="K689" s="1"/>
  <c r="I1436"/>
  <c r="I338"/>
  <c r="I1288"/>
  <c r="K1288" s="1"/>
  <c r="K2067"/>
  <c r="P2067"/>
  <c r="R2067" s="1"/>
  <c r="P1364"/>
  <c r="R1348"/>
  <c r="K2066"/>
  <c r="P2066"/>
  <c r="R2066" s="1"/>
  <c r="K3460"/>
  <c r="I3476"/>
  <c r="K2272"/>
  <c r="K2273" s="1"/>
  <c r="L2273" s="1"/>
  <c r="R143"/>
  <c r="I1232"/>
  <c r="K1232" s="1"/>
  <c r="I495"/>
  <c r="I1573"/>
  <c r="K1573" s="1"/>
  <c r="U145" i="9"/>
  <c r="B389" i="5" s="1"/>
  <c r="U124" i="9"/>
  <c r="B354" i="5" s="1"/>
  <c r="U69" i="9"/>
  <c r="B298" i="5" s="1"/>
  <c r="U142" i="9"/>
  <c r="B386" i="5" s="1"/>
  <c r="U209" i="9"/>
  <c r="F209"/>
  <c r="U211"/>
  <c r="F211"/>
  <c r="V211" s="1"/>
  <c r="V209"/>
  <c r="K3729" i="13"/>
  <c r="K3722" s="1"/>
  <c r="K3723" s="1"/>
  <c r="I740"/>
  <c r="K740" s="1"/>
  <c r="K3333"/>
  <c r="A264" i="11"/>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I1046" i="1"/>
  <c r="K1031"/>
  <c r="AE368"/>
  <c r="AF367"/>
  <c r="I3102"/>
  <c r="K3102" s="1"/>
  <c r="K3089"/>
  <c r="V1410"/>
  <c r="X1410" s="1"/>
  <c r="R1411"/>
  <c r="P1077"/>
  <c r="R1077" s="1"/>
  <c r="R1056"/>
  <c r="H60" i="9"/>
  <c r="I2898" i="1"/>
  <c r="I2744"/>
  <c r="P1341"/>
  <c r="R1324"/>
  <c r="R1334" s="1"/>
  <c r="P2428"/>
  <c r="R2428" s="1"/>
  <c r="K2428"/>
  <c r="I3674" i="11"/>
  <c r="K3674" s="1"/>
  <c r="K3628"/>
  <c r="I3615" s="1"/>
  <c r="K2953" i="13"/>
  <c r="K3072" i="11"/>
  <c r="I3075"/>
  <c r="I3298"/>
  <c r="K3280"/>
  <c r="K3057" i="13"/>
  <c r="I3887"/>
  <c r="K3887" s="1"/>
  <c r="K4017"/>
  <c r="K2208" i="11"/>
  <c r="I2952" i="13"/>
  <c r="K3498" i="11"/>
  <c r="K3536"/>
  <c r="M3397"/>
  <c r="K3366" i="13"/>
  <c r="L3366" s="1"/>
  <c r="K3262"/>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3267" i="1"/>
  <c r="K3269" s="1"/>
  <c r="K1955"/>
  <c r="C125" i="9" s="1"/>
  <c r="D16" i="14"/>
  <c r="E14"/>
  <c r="D19"/>
  <c r="K3825" i="11"/>
  <c r="I3570"/>
  <c r="K3570" s="1"/>
  <c r="K3573" s="1"/>
  <c r="K3564" s="1"/>
  <c r="P3503"/>
  <c r="R3503" s="1"/>
  <c r="R3507" s="1"/>
  <c r="R3498" s="1"/>
  <c r="I3622"/>
  <c r="K3622" s="1"/>
  <c r="K3626" s="1"/>
  <c r="K3627" s="1"/>
  <c r="K3352"/>
  <c r="I3406"/>
  <c r="K3053"/>
  <c r="I3885"/>
  <c r="K3885" s="1"/>
  <c r="K2829"/>
  <c r="K2830" s="1"/>
  <c r="I2819" s="1"/>
  <c r="K2819" s="1"/>
  <c r="K2822"/>
  <c r="K2428"/>
  <c r="I2442"/>
  <c r="K2442" s="1"/>
  <c r="K2241"/>
  <c r="K2225"/>
  <c r="K2227" s="1"/>
  <c r="K1566"/>
  <c r="K1569" s="1"/>
  <c r="K1084"/>
  <c r="I2261"/>
  <c r="K919"/>
  <c r="I2563"/>
  <c r="I1739"/>
  <c r="K1739" s="1"/>
  <c r="I1757"/>
  <c r="K1757" s="1"/>
  <c r="I1775"/>
  <c r="K1775" s="1"/>
  <c r="I1832"/>
  <c r="K1832" s="1"/>
  <c r="K1837" s="1"/>
  <c r="K1839" s="1"/>
  <c r="I1846" s="1"/>
  <c r="K1846" s="1"/>
  <c r="K1849" s="1"/>
  <c r="P495"/>
  <c r="R495" s="1"/>
  <c r="R503" s="1"/>
  <c r="R505" s="1"/>
  <c r="P533"/>
  <c r="R533" s="1"/>
  <c r="R541" s="1"/>
  <c r="R543" s="1"/>
  <c r="I578"/>
  <c r="K578" s="1"/>
  <c r="I974"/>
  <c r="K974" s="1"/>
  <c r="I1083"/>
  <c r="I945"/>
  <c r="K945" s="1"/>
  <c r="I910"/>
  <c r="I211"/>
  <c r="K211" s="1"/>
  <c r="I313"/>
  <c r="K313" s="1"/>
  <c r="I337"/>
  <c r="K337" s="1"/>
  <c r="I774"/>
  <c r="K774" s="1"/>
  <c r="I2624"/>
  <c r="K2624" s="1"/>
  <c r="K2628" s="1"/>
  <c r="K2629" s="1"/>
  <c r="I2614" s="1"/>
  <c r="K2614" s="1"/>
  <c r="I1422"/>
  <c r="K1422" s="1"/>
  <c r="I2001"/>
  <c r="K2001" s="1"/>
  <c r="I1977"/>
  <c r="K1977" s="1"/>
  <c r="K1984" s="1"/>
  <c r="K1986" s="1"/>
  <c r="I1916"/>
  <c r="K1916" s="1"/>
  <c r="I1895"/>
  <c r="K1895" s="1"/>
  <c r="I1638"/>
  <c r="K1638" s="1"/>
  <c r="I1177"/>
  <c r="K1177" s="1"/>
  <c r="P82"/>
  <c r="R82" s="1"/>
  <c r="I1173"/>
  <c r="K1173" s="1"/>
  <c r="I1202"/>
  <c r="K1202" s="1"/>
  <c r="I381"/>
  <c r="K381" s="1"/>
  <c r="P191"/>
  <c r="R191" s="1"/>
  <c r="I481"/>
  <c r="K481" s="1"/>
  <c r="I196"/>
  <c r="K196" s="1"/>
  <c r="I298"/>
  <c r="K298" s="1"/>
  <c r="P52"/>
  <c r="R52" s="1"/>
  <c r="I412"/>
  <c r="K412" s="1"/>
  <c r="I498"/>
  <c r="K498" s="1"/>
  <c r="K3919" i="13"/>
  <c r="I3933" s="1"/>
  <c r="K3933" s="1"/>
  <c r="I2940"/>
  <c r="K2916"/>
  <c r="K2852"/>
  <c r="K2892" s="1"/>
  <c r="K3845" s="1"/>
  <c r="I2909"/>
  <c r="I3003"/>
  <c r="K3003" s="1"/>
  <c r="P2883"/>
  <c r="R2883" s="1"/>
  <c r="R2850"/>
  <c r="K2727"/>
  <c r="K2728" s="1"/>
  <c r="K2717" s="1"/>
  <c r="K2720" s="1"/>
  <c r="I2408"/>
  <c r="K2408" s="1"/>
  <c r="K2414" s="1"/>
  <c r="K2416" s="1"/>
  <c r="I2422" s="1"/>
  <c r="K2422" s="1"/>
  <c r="K2361"/>
  <c r="K2364" s="1"/>
  <c r="I2365" s="1"/>
  <c r="I2367" s="1"/>
  <c r="K2367" s="1"/>
  <c r="K2225"/>
  <c r="K2227" s="1"/>
  <c r="K1120"/>
  <c r="K1122" s="1"/>
  <c r="K1107"/>
  <c r="K1109" s="1"/>
  <c r="I2531"/>
  <c r="K2531" s="1"/>
  <c r="K1020"/>
  <c r="I2527"/>
  <c r="K2527" s="1"/>
  <c r="K1016"/>
  <c r="K1022" s="1"/>
  <c r="K1024" s="1"/>
  <c r="K918"/>
  <c r="I2562"/>
  <c r="K916"/>
  <c r="I2560"/>
  <c r="S2735" i="1"/>
  <c r="X2734" s="1"/>
  <c r="I2407"/>
  <c r="I2459"/>
  <c r="K2251"/>
  <c r="K2252" s="1"/>
  <c r="K2239"/>
  <c r="L135" i="9"/>
  <c r="F135"/>
  <c r="K2088" i="1"/>
  <c r="K2090" s="1"/>
  <c r="C133" i="9" s="1"/>
  <c r="D366" i="5"/>
  <c r="F366" s="1"/>
  <c r="H128" i="9"/>
  <c r="P128"/>
  <c r="T128" s="1"/>
  <c r="V128" s="1"/>
  <c r="J117"/>
  <c r="F117"/>
  <c r="L117"/>
  <c r="K1868" i="1"/>
  <c r="C114" i="9" s="1"/>
  <c r="K1745" i="1"/>
  <c r="K1747" s="1"/>
  <c r="I1801" s="1"/>
  <c r="K1801" s="1"/>
  <c r="K1803" s="1"/>
  <c r="C112" i="9" s="1"/>
  <c r="K978" i="1"/>
  <c r="P1059"/>
  <c r="I2759"/>
  <c r="K945"/>
  <c r="K909"/>
  <c r="P909"/>
  <c r="R909" s="1"/>
  <c r="C11"/>
  <c r="I2219"/>
  <c r="K2219" s="1"/>
  <c r="K2223" s="1"/>
  <c r="K2225" s="1"/>
  <c r="C162" i="9" s="1"/>
  <c r="P3428" i="1"/>
  <c r="R3428" s="1"/>
  <c r="R3432" s="1"/>
  <c r="R3433" s="1"/>
  <c r="I3427" s="1"/>
  <c r="K3427" s="1"/>
  <c r="P1289"/>
  <c r="R1289" s="1"/>
  <c r="I3174"/>
  <c r="K3174" s="1"/>
  <c r="P1288"/>
  <c r="R1288" s="1"/>
  <c r="I3459"/>
  <c r="D20" i="12"/>
  <c r="D23" s="1"/>
  <c r="C45"/>
  <c r="P2850" i="11"/>
  <c r="I2998"/>
  <c r="K2998" s="1"/>
  <c r="I2908"/>
  <c r="P2852"/>
  <c r="I3003"/>
  <c r="K3003" s="1"/>
  <c r="I2909"/>
  <c r="P3497"/>
  <c r="R3497" s="1"/>
  <c r="K3497"/>
  <c r="K3500" s="1"/>
  <c r="K3501" s="1"/>
  <c r="U76" i="9"/>
  <c r="B306" i="5" s="1"/>
  <c r="U18" i="9"/>
  <c r="B38" i="5" s="1"/>
  <c r="U151" i="9"/>
  <c r="B394" i="5" s="1"/>
  <c r="F394" s="1"/>
  <c r="L107" i="40"/>
  <c r="S108" s="1"/>
  <c r="D363" i="44"/>
  <c r="F363" s="1"/>
  <c r="F355"/>
  <c r="J21" i="9"/>
  <c r="K2533" i="13"/>
  <c r="K2535" s="1"/>
  <c r="K912"/>
  <c r="K922" s="1"/>
  <c r="K924" s="1"/>
  <c r="I2556"/>
  <c r="F22" i="29"/>
  <c r="I1011" i="11"/>
  <c r="P209"/>
  <c r="R209" s="1"/>
  <c r="V1358" i="1"/>
  <c r="X1358" s="1"/>
  <c r="X1342"/>
  <c r="R2252"/>
  <c r="R2253" s="1"/>
  <c r="AC358"/>
  <c r="AE359" s="1"/>
  <c r="X358"/>
  <c r="P51" i="9"/>
  <c r="D202" i="5"/>
  <c r="F202" s="1"/>
  <c r="J51" i="9"/>
  <c r="P1365" i="1"/>
  <c r="R1349"/>
  <c r="V1360"/>
  <c r="X1360" s="1"/>
  <c r="X1344"/>
  <c r="V118" i="9"/>
  <c r="P1371" i="1"/>
  <c r="R1354"/>
  <c r="P135" i="9"/>
  <c r="T135" s="1"/>
  <c r="V135" s="1"/>
  <c r="D379" i="5"/>
  <c r="F379" s="1"/>
  <c r="V1339" i="1"/>
  <c r="K2585"/>
  <c r="P2585"/>
  <c r="P2273"/>
  <c r="R2273" s="1"/>
  <c r="K2967"/>
  <c r="I1519"/>
  <c r="K1519" s="1"/>
  <c r="I1493"/>
  <c r="K1493" s="1"/>
  <c r="I1681"/>
  <c r="K1681" s="1"/>
  <c r="I183"/>
  <c r="K183" s="1"/>
  <c r="K188" s="1"/>
  <c r="J95" i="9"/>
  <c r="T95" s="1"/>
  <c r="V95" s="1"/>
  <c r="H95"/>
  <c r="F95"/>
  <c r="K2892" i="1"/>
  <c r="P2739"/>
  <c r="I2558"/>
  <c r="V2738"/>
  <c r="X2738" s="1"/>
  <c r="J128" i="9"/>
  <c r="I1324" i="1"/>
  <c r="K1324" s="1"/>
  <c r="I2661"/>
  <c r="K2661" s="1"/>
  <c r="P516"/>
  <c r="R516" s="1"/>
  <c r="I2608"/>
  <c r="K2608" s="1"/>
  <c r="K2610" s="1"/>
  <c r="K2611" s="1"/>
  <c r="I1176"/>
  <c r="K1176" s="1"/>
  <c r="P378"/>
  <c r="R378" s="1"/>
  <c r="P309"/>
  <c r="R309" s="1"/>
  <c r="I2074"/>
  <c r="P350"/>
  <c r="R350" s="1"/>
  <c r="I2350"/>
  <c r="I1758"/>
  <c r="K1758" s="1"/>
  <c r="K1763" s="1"/>
  <c r="K1765" s="1"/>
  <c r="I1809" s="1"/>
  <c r="K1809" s="1"/>
  <c r="K1811" s="1"/>
  <c r="C111" i="9" s="1"/>
  <c r="I315" i="1"/>
  <c r="P392"/>
  <c r="R392" s="1"/>
  <c r="P84"/>
  <c r="R84" s="1"/>
  <c r="I228"/>
  <c r="I300"/>
  <c r="K300" s="1"/>
  <c r="I500"/>
  <c r="I213"/>
  <c r="K213" s="1"/>
  <c r="I1930"/>
  <c r="K1930" s="1"/>
  <c r="K1936" s="1"/>
  <c r="C124" i="9" s="1"/>
  <c r="P536" i="1"/>
  <c r="R536" s="1"/>
  <c r="I448"/>
  <c r="K448" s="1"/>
  <c r="I1740"/>
  <c r="K1740" s="1"/>
  <c r="I2635"/>
  <c r="I839"/>
  <c r="K839" s="1"/>
  <c r="I1182"/>
  <c r="K1182" s="1"/>
  <c r="I414"/>
  <c r="K414" s="1"/>
  <c r="I1311"/>
  <c r="K1311" s="1"/>
  <c r="P365"/>
  <c r="R365" s="1"/>
  <c r="P286"/>
  <c r="R286" s="1"/>
  <c r="I855"/>
  <c r="K855" s="1"/>
  <c r="I1155"/>
  <c r="K1155" s="1"/>
  <c r="I1365"/>
  <c r="K1365" s="1"/>
  <c r="I2054"/>
  <c r="K2054" s="1"/>
  <c r="P54"/>
  <c r="R54" s="1"/>
  <c r="I2029"/>
  <c r="K2029" s="1"/>
  <c r="I1289"/>
  <c r="K1289" s="1"/>
  <c r="I1350"/>
  <c r="K1350" s="1"/>
  <c r="I1577"/>
  <c r="K1577" s="1"/>
  <c r="P1437"/>
  <c r="R1437" s="1"/>
  <c r="R1440" s="1"/>
  <c r="R1442" s="1"/>
  <c r="I1337"/>
  <c r="K1337" s="1"/>
  <c r="I1172"/>
  <c r="P69"/>
  <c r="R69" s="1"/>
  <c r="I1236"/>
  <c r="I1201"/>
  <c r="K1201" s="1"/>
  <c r="I2620"/>
  <c r="K2620" s="1"/>
  <c r="K2622" s="1"/>
  <c r="K2623" s="1"/>
  <c r="K2624" s="1"/>
  <c r="I339"/>
  <c r="P1234"/>
  <c r="R1234" s="1"/>
  <c r="R1237" s="1"/>
  <c r="R1239" s="1"/>
  <c r="R1215"/>
  <c r="P117" i="9"/>
  <c r="T117" s="1"/>
  <c r="V117" s="1"/>
  <c r="U175"/>
  <c r="B417" i="5" s="1"/>
  <c r="F417" s="1"/>
  <c r="F175" i="9"/>
  <c r="V175" s="1"/>
  <c r="F161"/>
  <c r="U162"/>
  <c r="B406" i="5" s="1"/>
  <c r="F159" i="9"/>
  <c r="V159" s="1"/>
  <c r="U159"/>
  <c r="F210"/>
  <c r="V210" s="1"/>
  <c r="U210"/>
  <c r="F207"/>
  <c r="V207" s="1"/>
  <c r="U207"/>
  <c r="T108"/>
  <c r="V108" s="1"/>
  <c r="T151"/>
  <c r="V151" s="1"/>
  <c r="T160"/>
  <c r="V160" s="1"/>
  <c r="T107"/>
  <c r="V107" s="1"/>
  <c r="K2955" i="11"/>
  <c r="I3904"/>
  <c r="K3904" s="1"/>
  <c r="I2958"/>
  <c r="K2952"/>
  <c r="I3901"/>
  <c r="K3901" s="1"/>
  <c r="I2973"/>
  <c r="K2973" s="1"/>
  <c r="P9" i="1"/>
  <c r="R9" s="1"/>
  <c r="I1251"/>
  <c r="K1251" s="1"/>
  <c r="P23"/>
  <c r="I1517" i="13"/>
  <c r="K1517" s="1"/>
  <c r="I1544"/>
  <c r="K1544" s="1"/>
  <c r="K1549" s="1"/>
  <c r="K1551" s="1"/>
  <c r="K3173"/>
  <c r="I2440"/>
  <c r="K2440" s="1"/>
  <c r="I3050" i="11"/>
  <c r="K2932"/>
  <c r="K3355"/>
  <c r="K3356" s="1"/>
  <c r="I3337"/>
  <c r="K3337" s="1"/>
  <c r="I3297"/>
  <c r="K3278"/>
  <c r="F276" i="5"/>
  <c r="I972" i="1"/>
  <c r="P705"/>
  <c r="R705" s="1"/>
  <c r="K2757"/>
  <c r="I2893"/>
  <c r="P3280"/>
  <c r="R3280" s="1"/>
  <c r="R3211"/>
  <c r="K114"/>
  <c r="K116" s="1"/>
  <c r="R622"/>
  <c r="P908"/>
  <c r="R908" s="1"/>
  <c r="R1058"/>
  <c r="K2896"/>
  <c r="P2896"/>
  <c r="R2896" s="1"/>
  <c r="I2758"/>
  <c r="R3207"/>
  <c r="K2388"/>
  <c r="K2392" s="1"/>
  <c r="K2394" s="1"/>
  <c r="C220" i="9" s="1"/>
  <c r="J220" s="1"/>
  <c r="V769" i="1"/>
  <c r="I3488"/>
  <c r="K3488" s="1"/>
  <c r="F287" i="5"/>
  <c r="W570" i="1"/>
  <c r="R24"/>
  <c r="R461"/>
  <c r="R463" s="1"/>
  <c r="R443"/>
  <c r="R445" s="1"/>
  <c r="D347" i="5"/>
  <c r="F347" s="1"/>
  <c r="I310" i="1"/>
  <c r="K310" s="1"/>
  <c r="I354"/>
  <c r="K354" s="1"/>
  <c r="I334"/>
  <c r="K334" s="1"/>
  <c r="I378"/>
  <c r="K378" s="1"/>
  <c r="I409"/>
  <c r="K409" s="1"/>
  <c r="P604"/>
  <c r="R604" s="1"/>
  <c r="I139"/>
  <c r="I224"/>
  <c r="K224" s="1"/>
  <c r="C82"/>
  <c r="I1250" s="1"/>
  <c r="K1250" s="1"/>
  <c r="K1257" s="1"/>
  <c r="K1259" s="1"/>
  <c r="C165"/>
  <c r="P618"/>
  <c r="R618" s="1"/>
  <c r="P50"/>
  <c r="R50" s="1"/>
  <c r="C67"/>
  <c r="I3382"/>
  <c r="P1057"/>
  <c r="P688"/>
  <c r="R688" s="1"/>
  <c r="R697" s="1"/>
  <c r="R699" s="1"/>
  <c r="I2163"/>
  <c r="K2163" s="1"/>
  <c r="K2173" s="1"/>
  <c r="P703"/>
  <c r="R703" s="1"/>
  <c r="R712" s="1"/>
  <c r="R714" s="1"/>
  <c r="P1006"/>
  <c r="P1011"/>
  <c r="R1011" s="1"/>
  <c r="F346" i="5"/>
  <c r="K1011" i="1"/>
  <c r="K3443" i="11"/>
  <c r="I3437" s="1"/>
  <c r="K3437" s="1"/>
  <c r="K3441" s="1"/>
  <c r="K3421"/>
  <c r="I3416" s="1"/>
  <c r="K3416" s="1"/>
  <c r="L340" i="9"/>
  <c r="L341"/>
  <c r="R1342" i="1"/>
  <c r="P1358"/>
  <c r="R713" i="11"/>
  <c r="R715" s="1"/>
  <c r="I2555"/>
  <c r="K911"/>
  <c r="I2960"/>
  <c r="K2940"/>
  <c r="I2528"/>
  <c r="K2528" s="1"/>
  <c r="I2525"/>
  <c r="K2525" s="1"/>
  <c r="K914"/>
  <c r="I2558"/>
  <c r="P390"/>
  <c r="R390" s="1"/>
  <c r="I357"/>
  <c r="K357" s="1"/>
  <c r="P284"/>
  <c r="R284" s="1"/>
  <c r="I226"/>
  <c r="K226" s="1"/>
  <c r="K3435" i="1"/>
  <c r="K3436" s="1"/>
  <c r="Q10" i="4"/>
  <c r="Q4"/>
  <c r="I3795" i="11"/>
  <c r="K3795" s="1"/>
  <c r="K2959" i="1"/>
  <c r="C195" i="9" s="1"/>
  <c r="K2201" i="11"/>
  <c r="K4021" i="13"/>
  <c r="C172" i="9"/>
  <c r="K4007" i="13"/>
  <c r="I3535" i="11"/>
  <c r="K3535" s="1"/>
  <c r="K3538"/>
  <c r="K3539" s="1"/>
  <c r="R3500"/>
  <c r="R3501" s="1"/>
  <c r="K3481"/>
  <c r="K3248"/>
  <c r="K3250" s="1"/>
  <c r="K3251" s="1"/>
  <c r="K3243" s="1"/>
  <c r="I3266"/>
  <c r="K3244"/>
  <c r="K3140"/>
  <c r="K3141" s="1"/>
  <c r="K3142" s="1"/>
  <c r="K3134" s="1"/>
  <c r="K3135" s="1"/>
  <c r="I3159"/>
  <c r="K2916"/>
  <c r="I3039"/>
  <c r="K3039" s="1"/>
  <c r="R2875"/>
  <c r="R2877" s="1"/>
  <c r="K2873"/>
  <c r="K2855"/>
  <c r="I3805"/>
  <c r="K3805" s="1"/>
  <c r="K3870" s="1"/>
  <c r="K2804"/>
  <c r="I2561"/>
  <c r="I2524"/>
  <c r="K2524" s="1"/>
  <c r="K1870"/>
  <c r="P513"/>
  <c r="R513" s="1"/>
  <c r="R521" s="1"/>
  <c r="R523" s="1"/>
  <c r="I1087"/>
  <c r="P212"/>
  <c r="R212" s="1"/>
  <c r="P389"/>
  <c r="R389" s="1"/>
  <c r="R395" s="1"/>
  <c r="R397" s="1"/>
  <c r="P375"/>
  <c r="R375" s="1"/>
  <c r="R381" s="1"/>
  <c r="R383" s="1"/>
  <c r="P412" s="1"/>
  <c r="R412" s="1"/>
  <c r="I1421"/>
  <c r="K1421" s="1"/>
  <c r="K1427" s="1"/>
  <c r="K1429" s="1"/>
  <c r="I1479"/>
  <c r="K1479" s="1"/>
  <c r="K1482" s="1"/>
  <c r="K1484" s="1"/>
  <c r="I1449"/>
  <c r="K1449" s="1"/>
  <c r="K1455" s="1"/>
  <c r="K1457" s="1"/>
  <c r="I1464"/>
  <c r="K1464" s="1"/>
  <c r="K1469" s="1"/>
  <c r="K1471" s="1"/>
  <c r="I1466"/>
  <c r="K1466" s="1"/>
  <c r="I1437"/>
  <c r="K1437" s="1"/>
  <c r="K1442" s="1"/>
  <c r="K1444" s="1"/>
  <c r="I3804" i="13"/>
  <c r="K3804" s="1"/>
  <c r="K3583"/>
  <c r="K3184"/>
  <c r="K3141"/>
  <c r="K3142" s="1"/>
  <c r="K3134" s="1"/>
  <c r="K3135" s="1"/>
  <c r="I3028"/>
  <c r="K3028" s="1"/>
  <c r="I3006"/>
  <c r="K3006" s="1"/>
  <c r="I3049"/>
  <c r="I2951"/>
  <c r="I2941"/>
  <c r="K2931"/>
  <c r="I3033"/>
  <c r="K3033" s="1"/>
  <c r="K2910"/>
  <c r="I2936"/>
  <c r="P2852"/>
  <c r="K2761"/>
  <c r="K2764" s="1"/>
  <c r="K2748"/>
  <c r="K2745"/>
  <c r="K2739"/>
  <c r="K2705"/>
  <c r="K2008"/>
  <c r="K2010" s="1"/>
  <c r="K1984"/>
  <c r="K1986" s="1"/>
  <c r="K1537"/>
  <c r="K1539" s="1"/>
  <c r="K1511"/>
  <c r="K1513" s="1"/>
  <c r="I167"/>
  <c r="K167" s="1"/>
  <c r="P554"/>
  <c r="R554" s="1"/>
  <c r="R566" s="1"/>
  <c r="R568" s="1"/>
  <c r="I175"/>
  <c r="K175" s="1"/>
  <c r="I1892"/>
  <c r="K1892" s="1"/>
  <c r="I2049"/>
  <c r="K2049" s="1"/>
  <c r="I2069"/>
  <c r="K2069" s="1"/>
  <c r="P855"/>
  <c r="R855" s="1"/>
  <c r="I2427"/>
  <c r="I725"/>
  <c r="K725" s="1"/>
  <c r="K731" s="1"/>
  <c r="K733" s="1"/>
  <c r="I2371"/>
  <c r="I1521"/>
  <c r="K1521" s="1"/>
  <c r="I1508"/>
  <c r="K1508" s="1"/>
  <c r="P54"/>
  <c r="R54" s="1"/>
  <c r="P193"/>
  <c r="R193" s="1"/>
  <c r="I198"/>
  <c r="K198" s="1"/>
  <c r="I213"/>
  <c r="K213" s="1"/>
  <c r="I228"/>
  <c r="K228" s="1"/>
  <c r="I315"/>
  <c r="K315" s="1"/>
  <c r="P321"/>
  <c r="R321" s="1"/>
  <c r="P338"/>
  <c r="R338" s="1"/>
  <c r="I339"/>
  <c r="K339" s="1"/>
  <c r="P350"/>
  <c r="R350" s="1"/>
  <c r="I359"/>
  <c r="K359" s="1"/>
  <c r="P365"/>
  <c r="R365" s="1"/>
  <c r="I414"/>
  <c r="K414" s="1"/>
  <c r="I448"/>
  <c r="K448" s="1"/>
  <c r="I483"/>
  <c r="K483" s="1"/>
  <c r="P498"/>
  <c r="R498" s="1"/>
  <c r="P516"/>
  <c r="R516" s="1"/>
  <c r="P536"/>
  <c r="R536" s="1"/>
  <c r="I824"/>
  <c r="K824" s="1"/>
  <c r="I843"/>
  <c r="K843" s="1"/>
  <c r="P856"/>
  <c r="R856" s="1"/>
  <c r="I860"/>
  <c r="K860" s="1"/>
  <c r="I1451"/>
  <c r="K1451" s="1"/>
  <c r="K1455" s="1"/>
  <c r="K1457" s="1"/>
  <c r="I1640"/>
  <c r="K1640" s="1"/>
  <c r="I1742"/>
  <c r="K1742" s="1"/>
  <c r="I1760"/>
  <c r="K1760" s="1"/>
  <c r="I1778"/>
  <c r="K1778" s="1"/>
  <c r="I1835"/>
  <c r="K1835" s="1"/>
  <c r="I2031"/>
  <c r="K2031" s="1"/>
  <c r="P298"/>
  <c r="R298" s="1"/>
  <c r="I300"/>
  <c r="K300" s="1"/>
  <c r="I383"/>
  <c r="K383" s="1"/>
  <c r="P392"/>
  <c r="R392" s="1"/>
  <c r="R395" s="1"/>
  <c r="R397" s="1"/>
  <c r="I500"/>
  <c r="K500" s="1"/>
  <c r="I776"/>
  <c r="K776" s="1"/>
  <c r="I1158"/>
  <c r="K1158" s="1"/>
  <c r="I1175"/>
  <c r="K1175" s="1"/>
  <c r="I1179"/>
  <c r="K1179" s="1"/>
  <c r="I1204"/>
  <c r="K1204" s="1"/>
  <c r="I1257"/>
  <c r="K1257" s="1"/>
  <c r="I1292"/>
  <c r="K1292" s="1"/>
  <c r="I1314"/>
  <c r="K1314" s="1"/>
  <c r="I1340"/>
  <c r="K1340" s="1"/>
  <c r="I1367"/>
  <c r="K1367" s="1"/>
  <c r="I1424"/>
  <c r="K1424" s="1"/>
  <c r="K1427" s="1"/>
  <c r="K1429" s="1"/>
  <c r="I1439"/>
  <c r="K1439" s="1"/>
  <c r="K1442" s="1"/>
  <c r="K1444" s="1"/>
  <c r="I1579"/>
  <c r="K1579" s="1"/>
  <c r="I1932"/>
  <c r="K1932" s="1"/>
  <c r="K1938" s="1"/>
  <c r="I1951"/>
  <c r="K1951" s="1"/>
  <c r="K1957" s="1"/>
  <c r="I2056"/>
  <c r="K2056" s="1"/>
  <c r="I2467"/>
  <c r="K2467" s="1"/>
  <c r="P69"/>
  <c r="R69" s="1"/>
  <c r="P84"/>
  <c r="R84" s="1"/>
  <c r="P378"/>
  <c r="R378" s="1"/>
  <c r="R381" s="1"/>
  <c r="R383" s="1"/>
  <c r="P412" s="1"/>
  <c r="R412" s="1"/>
  <c r="I1185"/>
  <c r="K1185" s="1"/>
  <c r="I1271"/>
  <c r="K1271" s="1"/>
  <c r="I1327"/>
  <c r="K1327" s="1"/>
  <c r="I2076"/>
  <c r="K2076" s="1"/>
  <c r="K2077" s="1"/>
  <c r="I2308"/>
  <c r="K2308" s="1"/>
  <c r="I2328"/>
  <c r="K2328" s="1"/>
  <c r="K2332" s="1"/>
  <c r="K2336" s="1"/>
  <c r="K890" i="11"/>
  <c r="K3685"/>
  <c r="K3686" s="1"/>
  <c r="R12" i="4"/>
  <c r="P3104" i="1"/>
  <c r="R3104" s="1"/>
  <c r="K3920" i="11"/>
  <c r="I3934" s="1"/>
  <c r="K3934" s="1"/>
  <c r="C149" i="9"/>
  <c r="K4006" i="13"/>
  <c r="C277" i="9"/>
  <c r="J277" s="1"/>
  <c r="K3994" i="13"/>
  <c r="K2917" i="11"/>
  <c r="I3040"/>
  <c r="K3040" s="1"/>
  <c r="I2933"/>
  <c r="K2907"/>
  <c r="K2736"/>
  <c r="K2739" s="1"/>
  <c r="K2643"/>
  <c r="K2645" s="1"/>
  <c r="I2389"/>
  <c r="K2389" s="1"/>
  <c r="K2372"/>
  <c r="K2090"/>
  <c r="K2092" s="1"/>
  <c r="K2008"/>
  <c r="K2010" s="1"/>
  <c r="I2529"/>
  <c r="K2529" s="1"/>
  <c r="K1018"/>
  <c r="K920"/>
  <c r="I2564"/>
  <c r="K918"/>
  <c r="I2562"/>
  <c r="R875"/>
  <c r="K686"/>
  <c r="I688" s="1"/>
  <c r="K688" s="1"/>
  <c r="K564"/>
  <c r="K567" s="1"/>
  <c r="I568" s="1"/>
  <c r="K568" s="1"/>
  <c r="I569" s="1"/>
  <c r="K569" s="1"/>
  <c r="I570" s="1"/>
  <c r="K570" s="1"/>
  <c r="I571" s="1"/>
  <c r="K571" s="1"/>
  <c r="I572" s="1"/>
  <c r="K572" s="1"/>
  <c r="I9"/>
  <c r="K9" s="1"/>
  <c r="I72"/>
  <c r="K72" s="1"/>
  <c r="I772"/>
  <c r="K772" s="1"/>
  <c r="I1576"/>
  <c r="K1576" s="1"/>
  <c r="I2050"/>
  <c r="K2050" s="1"/>
  <c r="I2070"/>
  <c r="K2070" s="1"/>
  <c r="I18"/>
  <c r="K18" s="1"/>
  <c r="I53"/>
  <c r="K53" s="1"/>
  <c r="I35"/>
  <c r="K35" s="1"/>
  <c r="I63"/>
  <c r="K63" s="1"/>
  <c r="I270"/>
  <c r="K270" s="1"/>
  <c r="I496"/>
  <c r="K496" s="1"/>
  <c r="I27"/>
  <c r="K27" s="1"/>
  <c r="I1507"/>
  <c r="K1507" s="1"/>
  <c r="I44"/>
  <c r="K44" s="1"/>
  <c r="I243"/>
  <c r="K243" s="1"/>
  <c r="C140"/>
  <c r="C138"/>
  <c r="I2694"/>
  <c r="K2694" s="1"/>
  <c r="I949"/>
  <c r="K949" s="1"/>
  <c r="I978"/>
  <c r="K978" s="1"/>
  <c r="I947"/>
  <c r="K947" s="1"/>
  <c r="I976"/>
  <c r="K976" s="1"/>
  <c r="I888"/>
  <c r="K888" s="1"/>
  <c r="I1029"/>
  <c r="K1029" s="1"/>
  <c r="K1037" s="1"/>
  <c r="K1039" s="1"/>
  <c r="I11"/>
  <c r="K11" s="1"/>
  <c r="I29"/>
  <c r="K29" s="1"/>
  <c r="I46"/>
  <c r="K46" s="1"/>
  <c r="I2373"/>
  <c r="K2373" s="1"/>
  <c r="I2429"/>
  <c r="K2429" s="1"/>
  <c r="I689"/>
  <c r="K689" s="1"/>
  <c r="P764"/>
  <c r="R764" s="1"/>
  <c r="P855"/>
  <c r="R855" s="1"/>
  <c r="R858" s="1"/>
  <c r="R860" s="1"/>
  <c r="I2371"/>
  <c r="I2427"/>
  <c r="I1495"/>
  <c r="K1495" s="1"/>
  <c r="K1498" s="1"/>
  <c r="I1508"/>
  <c r="K1508" s="1"/>
  <c r="P267"/>
  <c r="R267" s="1"/>
  <c r="P319"/>
  <c r="R319" s="1"/>
  <c r="I336"/>
  <c r="K336" s="1"/>
  <c r="P336"/>
  <c r="R336" s="1"/>
  <c r="P348"/>
  <c r="R348" s="1"/>
  <c r="I356"/>
  <c r="K356" s="1"/>
  <c r="P362"/>
  <c r="R362" s="1"/>
  <c r="I426"/>
  <c r="K426" s="1"/>
  <c r="I459"/>
  <c r="K459" s="1"/>
  <c r="I480"/>
  <c r="K480" s="1"/>
  <c r="P496"/>
  <c r="R496" s="1"/>
  <c r="I1740"/>
  <c r="K1740" s="1"/>
  <c r="K1747" s="1"/>
  <c r="K1749" s="1"/>
  <c r="I1803" s="1"/>
  <c r="K1803" s="1"/>
  <c r="K1805" s="1"/>
  <c r="I1758"/>
  <c r="K1758" s="1"/>
  <c r="I1833"/>
  <c r="K1833" s="1"/>
  <c r="I2053"/>
  <c r="K2053" s="1"/>
  <c r="K2057" s="1"/>
  <c r="I2073"/>
  <c r="K2073" s="1"/>
  <c r="K2077" s="1"/>
  <c r="I2307"/>
  <c r="K2307" s="1"/>
  <c r="I2606"/>
  <c r="K2606" s="1"/>
  <c r="K2609" s="1"/>
  <c r="I297"/>
  <c r="K297" s="1"/>
  <c r="I622"/>
  <c r="K622" s="1"/>
  <c r="P180"/>
  <c r="R180" s="1"/>
  <c r="I312"/>
  <c r="K312" s="1"/>
  <c r="P364"/>
  <c r="R364" s="1"/>
  <c r="I411"/>
  <c r="K411" s="1"/>
  <c r="I445"/>
  <c r="K445" s="1"/>
  <c r="I535"/>
  <c r="K535" s="1"/>
  <c r="I839"/>
  <c r="K839" s="1"/>
  <c r="I857"/>
  <c r="K857" s="1"/>
  <c r="I1237"/>
  <c r="K1237" s="1"/>
  <c r="I1255"/>
  <c r="K1255" s="1"/>
  <c r="I1289"/>
  <c r="K1289" s="1"/>
  <c r="I1350"/>
  <c r="K1350" s="1"/>
  <c r="I1577"/>
  <c r="K1577" s="1"/>
  <c r="I1776"/>
  <c r="K1776" s="1"/>
  <c r="K1783" s="1"/>
  <c r="K1785" s="1"/>
  <c r="I1819" s="1"/>
  <c r="K1819" s="1"/>
  <c r="K1821" s="1"/>
  <c r="I519"/>
  <c r="K519" s="1"/>
  <c r="I821"/>
  <c r="K821" s="1"/>
  <c r="P81"/>
  <c r="R81" s="1"/>
  <c r="P307"/>
  <c r="R307" s="1"/>
  <c r="I380"/>
  <c r="K380" s="1"/>
  <c r="I394"/>
  <c r="K394" s="1"/>
  <c r="I576"/>
  <c r="K576" s="1"/>
  <c r="K581" s="1"/>
  <c r="K3824" i="13"/>
  <c r="K3696"/>
  <c r="K3698" s="1"/>
  <c r="I3705"/>
  <c r="K3705" s="1"/>
  <c r="K3708" s="1"/>
  <c r="K2208" s="1"/>
  <c r="I3570"/>
  <c r="K3570" s="1"/>
  <c r="K3573" s="1"/>
  <c r="K3564" s="1"/>
  <c r="I3622"/>
  <c r="K3622" s="1"/>
  <c r="K3626" s="1"/>
  <c r="K3627" s="1"/>
  <c r="K3053"/>
  <c r="I3884"/>
  <c r="K3884" s="1"/>
  <c r="I3029"/>
  <c r="K3029" s="1"/>
  <c r="K2906"/>
  <c r="R2875"/>
  <c r="R2877" s="1"/>
  <c r="K2057"/>
  <c r="K1870"/>
  <c r="K647"/>
  <c r="K649" s="1"/>
  <c r="K650" s="1"/>
  <c r="K651" s="1"/>
  <c r="K652" s="1"/>
  <c r="K653" s="1"/>
  <c r="R541"/>
  <c r="R543" s="1"/>
  <c r="I727"/>
  <c r="K727" s="1"/>
  <c r="I749"/>
  <c r="K749" s="1"/>
  <c r="P449"/>
  <c r="R449" s="1"/>
  <c r="R461" s="1"/>
  <c r="R463" s="1"/>
  <c r="I1711"/>
  <c r="K1711" s="1"/>
  <c r="I2068"/>
  <c r="K2068" s="1"/>
  <c r="I153"/>
  <c r="K153" s="1"/>
  <c r="I1683"/>
  <c r="K1683" s="1"/>
  <c r="K667"/>
  <c r="K669" s="1"/>
  <c r="K670" s="1"/>
  <c r="K671" s="1"/>
  <c r="K672" s="1"/>
  <c r="K673" s="1"/>
  <c r="P533"/>
  <c r="R533" s="1"/>
  <c r="I1739"/>
  <c r="K1739" s="1"/>
  <c r="K1747" s="1"/>
  <c r="K1749" s="1"/>
  <c r="I1803" s="1"/>
  <c r="K1803" s="1"/>
  <c r="K1805" s="1"/>
  <c r="I1757"/>
  <c r="K1757" s="1"/>
  <c r="I1775"/>
  <c r="K1775" s="1"/>
  <c r="K1783" s="1"/>
  <c r="K1785" s="1"/>
  <c r="I1819" s="1"/>
  <c r="K1819" s="1"/>
  <c r="K1821" s="1"/>
  <c r="I1832"/>
  <c r="K1832" s="1"/>
  <c r="I498"/>
  <c r="K498" s="1"/>
  <c r="I1638"/>
  <c r="K1638" s="1"/>
  <c r="P180"/>
  <c r="R180" s="1"/>
  <c r="I312"/>
  <c r="K312" s="1"/>
  <c r="P319"/>
  <c r="R319" s="1"/>
  <c r="P336"/>
  <c r="R336" s="1"/>
  <c r="P348"/>
  <c r="R348" s="1"/>
  <c r="I356"/>
  <c r="K356" s="1"/>
  <c r="P362"/>
  <c r="R362" s="1"/>
  <c r="P364"/>
  <c r="R364" s="1"/>
  <c r="I411"/>
  <c r="K411" s="1"/>
  <c r="I426"/>
  <c r="K426" s="1"/>
  <c r="I445"/>
  <c r="K445" s="1"/>
  <c r="I459"/>
  <c r="K459" s="1"/>
  <c r="I480"/>
  <c r="K480" s="1"/>
  <c r="P496"/>
  <c r="R496" s="1"/>
  <c r="R503" s="1"/>
  <c r="R505" s="1"/>
  <c r="P514"/>
  <c r="R514" s="1"/>
  <c r="R521" s="1"/>
  <c r="R523" s="1"/>
  <c r="P534"/>
  <c r="R534" s="1"/>
  <c r="I535"/>
  <c r="K535" s="1"/>
  <c r="I560"/>
  <c r="K560" s="1"/>
  <c r="K564" s="1"/>
  <c r="K567" s="1"/>
  <c r="I568" s="1"/>
  <c r="K568" s="1"/>
  <c r="I569" s="1"/>
  <c r="K569" s="1"/>
  <c r="I570" s="1"/>
  <c r="K570" s="1"/>
  <c r="I571" s="1"/>
  <c r="K571" s="1"/>
  <c r="I572" s="1"/>
  <c r="K572" s="1"/>
  <c r="I592"/>
  <c r="K592" s="1"/>
  <c r="I839"/>
  <c r="K839" s="1"/>
  <c r="I857"/>
  <c r="K857" s="1"/>
  <c r="I1740"/>
  <c r="K1740" s="1"/>
  <c r="I1758"/>
  <c r="K1758" s="1"/>
  <c r="I1776"/>
  <c r="K1776" s="1"/>
  <c r="I1833"/>
  <c r="K1833" s="1"/>
  <c r="P3062" i="1"/>
  <c r="M3069" s="1"/>
  <c r="R3069" s="1"/>
  <c r="K685"/>
  <c r="I687" s="1"/>
  <c r="K687" s="1"/>
  <c r="K692" s="1"/>
  <c r="K694" s="1"/>
  <c r="K763" s="1"/>
  <c r="AC31"/>
  <c r="D30" s="1"/>
  <c r="AI31"/>
  <c r="H38" i="41"/>
  <c r="H39" s="1"/>
  <c r="B11" i="38" s="1"/>
  <c r="F11" s="1"/>
  <c r="F24" s="1"/>
  <c r="D365" i="44"/>
  <c r="F365" s="1"/>
  <c r="F357"/>
  <c r="F358" s="1"/>
  <c r="D38" i="47" s="1"/>
  <c r="F38" s="1"/>
  <c r="F366" i="44"/>
  <c r="D39" i="47" s="1"/>
  <c r="F39" s="1"/>
  <c r="F348" i="44"/>
  <c r="F351" s="1"/>
  <c r="D18" i="47" s="1"/>
  <c r="F18" s="1"/>
  <c r="F46" s="1"/>
  <c r="F9" i="49"/>
  <c r="D11" i="10" s="1"/>
  <c r="F11" s="1"/>
  <c r="H11" s="1"/>
  <c r="B14" i="28"/>
  <c r="F14" s="1"/>
  <c r="A1" i="39"/>
  <c r="A2" i="40" s="1"/>
  <c r="A1" i="41" s="1"/>
  <c r="A1" i="33" s="1"/>
  <c r="A1" i="62"/>
  <c r="F8" i="55"/>
  <c r="D10" i="10" s="1"/>
  <c r="F10" s="1"/>
  <c r="H10" s="1"/>
  <c r="H9" i="43"/>
  <c r="B6" i="45" s="1"/>
  <c r="F6" s="1"/>
  <c r="A1" i="52"/>
  <c r="A1" i="50"/>
  <c r="A1" i="54"/>
  <c r="A1" i="56"/>
  <c r="AC16" i="13"/>
  <c r="I2683" s="1"/>
  <c r="K2683" s="1"/>
  <c r="F14" i="53"/>
  <c r="D8" i="10" s="1"/>
  <c r="P144" i="11"/>
  <c r="R144" s="1"/>
  <c r="R196" s="1"/>
  <c r="R198" s="1"/>
  <c r="R201" s="1"/>
  <c r="R202" s="1"/>
  <c r="R203" s="1"/>
  <c r="R204" s="1"/>
  <c r="Z20"/>
  <c r="AC20" s="1"/>
  <c r="C82" s="1"/>
  <c r="I1253" s="1"/>
  <c r="K1253" s="1"/>
  <c r="K1260" s="1"/>
  <c r="K1262" s="1"/>
  <c r="I1909" s="1"/>
  <c r="K1909" s="1"/>
  <c r="K1920" s="1"/>
  <c r="AC19" i="13"/>
  <c r="C164" s="1"/>
  <c r="Z10"/>
  <c r="AC10" s="1"/>
  <c r="C69" s="1"/>
  <c r="I295" s="1"/>
  <c r="K295" s="1"/>
  <c r="D12" i="10"/>
  <c r="F12" s="1"/>
  <c r="H12" s="1"/>
  <c r="X34" i="11"/>
  <c r="X34" i="13"/>
  <c r="B8" i="28"/>
  <c r="F8" s="1"/>
  <c r="F11"/>
  <c r="F7"/>
  <c r="AC16" i="11"/>
  <c r="AC18" i="13"/>
  <c r="C80" s="1"/>
  <c r="I378" s="1"/>
  <c r="K378" s="1"/>
  <c r="K386" s="1"/>
  <c r="K388" s="1"/>
  <c r="I393" s="1"/>
  <c r="K393" s="1"/>
  <c r="K397" s="1"/>
  <c r="K399" s="1"/>
  <c r="K401" s="1"/>
  <c r="K402" s="1"/>
  <c r="K403" s="1"/>
  <c r="K404" s="1"/>
  <c r="K405" s="1"/>
  <c r="I254"/>
  <c r="K254" s="1"/>
  <c r="C79"/>
  <c r="C81" i="11"/>
  <c r="C164"/>
  <c r="P23" i="13"/>
  <c r="R23" s="1"/>
  <c r="I1254"/>
  <c r="K1254" s="1"/>
  <c r="P9"/>
  <c r="R9" s="1"/>
  <c r="R14" s="1"/>
  <c r="Z34" i="11"/>
  <c r="AC34" s="1"/>
  <c r="C77" s="1"/>
  <c r="I443" s="1"/>
  <c r="K443" s="1"/>
  <c r="K451" s="1"/>
  <c r="K453" s="1"/>
  <c r="I458" s="1"/>
  <c r="K458" s="1"/>
  <c r="K462" s="1"/>
  <c r="K464" s="1"/>
  <c r="K466" s="1"/>
  <c r="K467" s="1"/>
  <c r="K468" s="1"/>
  <c r="K469" s="1"/>
  <c r="K470" s="1"/>
  <c r="I409"/>
  <c r="K409" s="1"/>
  <c r="K417" s="1"/>
  <c r="K419" s="1"/>
  <c r="I354"/>
  <c r="K354" s="1"/>
  <c r="K362" s="1"/>
  <c r="K364" s="1"/>
  <c r="K366" s="1"/>
  <c r="K367" s="1"/>
  <c r="K368" s="1"/>
  <c r="K369" s="1"/>
  <c r="K370" s="1"/>
  <c r="I310"/>
  <c r="K310" s="1"/>
  <c r="K318" s="1"/>
  <c r="K320" s="1"/>
  <c r="P602" s="1"/>
  <c r="R602" s="1"/>
  <c r="I334"/>
  <c r="K334" s="1"/>
  <c r="K342" s="1"/>
  <c r="K344" s="1"/>
  <c r="K346" s="1"/>
  <c r="K347" s="1"/>
  <c r="K348" s="1"/>
  <c r="K349" s="1"/>
  <c r="K350" s="1"/>
  <c r="I378"/>
  <c r="K378" s="1"/>
  <c r="K386" s="1"/>
  <c r="K388" s="1"/>
  <c r="I393" s="1"/>
  <c r="K393" s="1"/>
  <c r="K397" s="1"/>
  <c r="K399" s="1"/>
  <c r="K401" s="1"/>
  <c r="K402" s="1"/>
  <c r="K403" s="1"/>
  <c r="K404" s="1"/>
  <c r="K405" s="1"/>
  <c r="I2617"/>
  <c r="K2617" s="1"/>
  <c r="C79"/>
  <c r="I254"/>
  <c r="K254" s="1"/>
  <c r="I2617" i="13"/>
  <c r="K2617" s="1"/>
  <c r="AC29"/>
  <c r="C91" s="1"/>
  <c r="Z10" i="11"/>
  <c r="Z11" s="1"/>
  <c r="P632"/>
  <c r="R632" s="1"/>
  <c r="P589"/>
  <c r="R589" s="1"/>
  <c r="P575"/>
  <c r="R575" s="1"/>
  <c r="R136"/>
  <c r="R137" s="1"/>
  <c r="R138" s="1"/>
  <c r="R139" s="1"/>
  <c r="R140" s="1"/>
  <c r="I224"/>
  <c r="K224" s="1"/>
  <c r="K231" s="1"/>
  <c r="K233" s="1"/>
  <c r="I1254"/>
  <c r="K1254" s="1"/>
  <c r="P9"/>
  <c r="R9" s="1"/>
  <c r="R14" s="1"/>
  <c r="P23"/>
  <c r="R23" s="1"/>
  <c r="P635" i="13"/>
  <c r="R635" s="1"/>
  <c r="K467"/>
  <c r="K468" s="1"/>
  <c r="K469" s="1"/>
  <c r="K470" s="1"/>
  <c r="Z11"/>
  <c r="C82"/>
  <c r="I1253" s="1"/>
  <c r="K1253" s="1"/>
  <c r="K1260" s="1"/>
  <c r="K1262" s="1"/>
  <c r="I1909" s="1"/>
  <c r="K1909" s="1"/>
  <c r="K1920" s="1"/>
  <c r="C165"/>
  <c r="E59" i="33"/>
  <c r="H59" s="1"/>
  <c r="H60" s="1"/>
  <c r="B12" i="34"/>
  <c r="F12" s="1"/>
  <c r="H8" i="33"/>
  <c r="H10" s="1"/>
  <c r="B5" i="34" s="1"/>
  <c r="F5" s="1"/>
  <c r="D6" i="10" l="1"/>
  <c r="F6" s="1"/>
  <c r="F16" i="28"/>
  <c r="D9" i="10" s="1"/>
  <c r="F9" s="1"/>
  <c r="H9" s="1"/>
  <c r="P402" i="13"/>
  <c r="R402" s="1"/>
  <c r="P401"/>
  <c r="R401" s="1"/>
  <c r="H112" i="9"/>
  <c r="D342" i="5"/>
  <c r="F342" s="1"/>
  <c r="J112" i="9"/>
  <c r="F112"/>
  <c r="L112"/>
  <c r="P112"/>
  <c r="T112" s="1"/>
  <c r="V112" s="1"/>
  <c r="C289"/>
  <c r="J289" s="1"/>
  <c r="K4018" i="13"/>
  <c r="I2275" i="1"/>
  <c r="I2281"/>
  <c r="C187" i="9" s="1"/>
  <c r="C185"/>
  <c r="I2279" i="1"/>
  <c r="H113" i="9"/>
  <c r="P113"/>
  <c r="D343" i="5"/>
  <c r="F343" s="1"/>
  <c r="J113" i="9"/>
  <c r="F113"/>
  <c r="L113"/>
  <c r="I583" i="11"/>
  <c r="K583"/>
  <c r="L124" i="9"/>
  <c r="P124"/>
  <c r="H124"/>
  <c r="D354" i="5"/>
  <c r="F354" s="1"/>
  <c r="J124" i="9"/>
  <c r="F124"/>
  <c r="P111"/>
  <c r="L111"/>
  <c r="F111"/>
  <c r="H111"/>
  <c r="J111"/>
  <c r="D341" i="5"/>
  <c r="F341" s="1"/>
  <c r="K3758" i="11"/>
  <c r="K3759" s="1"/>
  <c r="K3741"/>
  <c r="K3617" i="13"/>
  <c r="K3670"/>
  <c r="K3647"/>
  <c r="K3891"/>
  <c r="K3826"/>
  <c r="I2441" i="11"/>
  <c r="K2441" s="1"/>
  <c r="K2444" s="1"/>
  <c r="K2446" s="1"/>
  <c r="K2427"/>
  <c r="K2433" s="1"/>
  <c r="K2435" s="1"/>
  <c r="I3051"/>
  <c r="I2953"/>
  <c r="K2933"/>
  <c r="J149" i="9"/>
  <c r="F149"/>
  <c r="P149"/>
  <c r="L149"/>
  <c r="H149"/>
  <c r="K3689" i="11"/>
  <c r="K3692" s="1"/>
  <c r="K4014" i="13"/>
  <c r="R858"/>
  <c r="R860" s="1"/>
  <c r="I851"/>
  <c r="K851" s="1"/>
  <c r="I834"/>
  <c r="K834" s="1"/>
  <c r="I816"/>
  <c r="K816" s="1"/>
  <c r="K2936"/>
  <c r="I3054"/>
  <c r="I3059"/>
  <c r="K3059" s="1"/>
  <c r="K2941"/>
  <c r="K3049"/>
  <c r="I3072"/>
  <c r="I3880"/>
  <c r="I2592" i="11"/>
  <c r="K2592" s="1"/>
  <c r="K2561"/>
  <c r="H3123"/>
  <c r="K2942"/>
  <c r="K3060" s="1"/>
  <c r="K3076" s="1"/>
  <c r="K3102" s="1"/>
  <c r="R3102" s="1"/>
  <c r="K2975"/>
  <c r="K2977" s="1"/>
  <c r="K2857"/>
  <c r="K3008" s="1"/>
  <c r="K2918"/>
  <c r="I3122"/>
  <c r="K3116" s="1"/>
  <c r="K3159"/>
  <c r="K3160" s="1"/>
  <c r="K3161" s="1"/>
  <c r="I3199"/>
  <c r="K3199" s="1"/>
  <c r="K3200" s="1"/>
  <c r="K3201" s="1"/>
  <c r="I3279"/>
  <c r="K3266"/>
  <c r="K3268" s="1"/>
  <c r="K3269" s="1"/>
  <c r="K3261" s="1"/>
  <c r="K3262" s="1"/>
  <c r="C168" i="9"/>
  <c r="C244"/>
  <c r="J244" s="1"/>
  <c r="L3481" i="11"/>
  <c r="K4001" i="13"/>
  <c r="C280" i="9"/>
  <c r="J280" s="1"/>
  <c r="K4005" i="13"/>
  <c r="L195" i="9"/>
  <c r="D504" i="5"/>
  <c r="F504" s="1"/>
  <c r="F195" i="9"/>
  <c r="P195"/>
  <c r="H195"/>
  <c r="J195"/>
  <c r="I2589" i="11"/>
  <c r="K2589" s="1"/>
  <c r="K2558"/>
  <c r="I3909"/>
  <c r="K3909" s="1"/>
  <c r="K2960"/>
  <c r="K2555"/>
  <c r="I2586"/>
  <c r="K2586" s="1"/>
  <c r="R1358" i="1"/>
  <c r="P1375"/>
  <c r="K2208"/>
  <c r="C167" i="9" s="1"/>
  <c r="K3998" i="13"/>
  <c r="K2210" i="11"/>
  <c r="K3382" i="1"/>
  <c r="P3381"/>
  <c r="R3381" s="1"/>
  <c r="V784"/>
  <c r="X784" s="1"/>
  <c r="X769"/>
  <c r="P2893"/>
  <c r="R2893" s="1"/>
  <c r="I2978"/>
  <c r="K2893"/>
  <c r="W568"/>
  <c r="R23"/>
  <c r="W567"/>
  <c r="W569"/>
  <c r="I3907" i="11"/>
  <c r="K3907" s="1"/>
  <c r="K2958"/>
  <c r="P1218" i="1"/>
  <c r="R1218" s="1"/>
  <c r="K1236"/>
  <c r="K1172"/>
  <c r="P1174"/>
  <c r="K2635"/>
  <c r="I2641"/>
  <c r="K2641" s="1"/>
  <c r="K2644" s="1"/>
  <c r="K2646" s="1"/>
  <c r="I2823"/>
  <c r="K2823" s="1"/>
  <c r="K500"/>
  <c r="K228"/>
  <c r="P234"/>
  <c r="R234" s="1"/>
  <c r="P2772"/>
  <c r="R2772" s="1"/>
  <c r="R2739"/>
  <c r="X1339"/>
  <c r="V1355"/>
  <c r="X1355" s="1"/>
  <c r="R1365"/>
  <c r="P1382"/>
  <c r="R220" i="11"/>
  <c r="R223" s="1"/>
  <c r="K4002" i="13"/>
  <c r="C279" i="9"/>
  <c r="J279" s="1"/>
  <c r="I2937" i="11"/>
  <c r="K2909"/>
  <c r="I3032"/>
  <c r="K3032" s="1"/>
  <c r="P2885"/>
  <c r="R2885" s="1"/>
  <c r="R2852"/>
  <c r="K3010"/>
  <c r="D45" i="12"/>
  <c r="C46"/>
  <c r="J162" i="9"/>
  <c r="H162"/>
  <c r="L162"/>
  <c r="P162"/>
  <c r="T162" s="1"/>
  <c r="D406" i="5"/>
  <c r="F406" s="1"/>
  <c r="P1080" i="1"/>
  <c r="R1080" s="1"/>
  <c r="R1059"/>
  <c r="K2407"/>
  <c r="K2411" s="1"/>
  <c r="K2413" s="1"/>
  <c r="C217" i="9" s="1"/>
  <c r="I2429" i="1"/>
  <c r="I2591" i="13"/>
  <c r="K2591" s="1"/>
  <c r="K2560"/>
  <c r="I2593"/>
  <c r="K2593" s="1"/>
  <c r="K2562"/>
  <c r="K2909"/>
  <c r="K2920" s="1"/>
  <c r="I2937"/>
  <c r="I3032"/>
  <c r="K3032" s="1"/>
  <c r="K3043" s="1"/>
  <c r="K910" i="11"/>
  <c r="K922" s="1"/>
  <c r="K924" s="1"/>
  <c r="I2554"/>
  <c r="K1083"/>
  <c r="I2260"/>
  <c r="N3397"/>
  <c r="I3323"/>
  <c r="K3323" s="1"/>
  <c r="K3298"/>
  <c r="I3646"/>
  <c r="K3646" s="1"/>
  <c r="K3615"/>
  <c r="P1357" i="1"/>
  <c r="R1341"/>
  <c r="I2983"/>
  <c r="P2898"/>
  <c r="R2898" s="1"/>
  <c r="K2898"/>
  <c r="K1046"/>
  <c r="I1061"/>
  <c r="K1061" s="1"/>
  <c r="I3491"/>
  <c r="K3476"/>
  <c r="K1436"/>
  <c r="I3091"/>
  <c r="K2055"/>
  <c r="V355"/>
  <c r="K356"/>
  <c r="I582"/>
  <c r="K582"/>
  <c r="K1169"/>
  <c r="P1171"/>
  <c r="V559"/>
  <c r="X559" s="1"/>
  <c r="K560"/>
  <c r="K1234"/>
  <c r="P1247"/>
  <c r="R1247" s="1"/>
  <c r="AC2727"/>
  <c r="AE2728" s="1"/>
  <c r="K2738"/>
  <c r="P2738"/>
  <c r="V2737"/>
  <c r="X2737" s="1"/>
  <c r="F92" i="9"/>
  <c r="P92"/>
  <c r="L92"/>
  <c r="J92"/>
  <c r="D318" i="5"/>
  <c r="F318" s="1"/>
  <c r="H92" i="9"/>
  <c r="H94"/>
  <c r="L94"/>
  <c r="F94"/>
  <c r="P94"/>
  <c r="D37" i="16"/>
  <c r="J94" i="9"/>
  <c r="D319" i="5"/>
  <c r="F319" s="1"/>
  <c r="V789" i="1"/>
  <c r="X789" s="1"/>
  <c r="X774"/>
  <c r="H88" i="9"/>
  <c r="L88"/>
  <c r="F88"/>
  <c r="P88"/>
  <c r="D316" i="5"/>
  <c r="F316" s="1"/>
  <c r="J88" i="9"/>
  <c r="P194" i="1"/>
  <c r="R194" s="1"/>
  <c r="P162"/>
  <c r="R162" s="1"/>
  <c r="K194"/>
  <c r="K170"/>
  <c r="C20" i="9" s="1"/>
  <c r="AC413" i="1"/>
  <c r="AE414" s="1"/>
  <c r="X413"/>
  <c r="V2553"/>
  <c r="K2554"/>
  <c r="P2554"/>
  <c r="R2554" s="1"/>
  <c r="X379"/>
  <c r="V410"/>
  <c r="AC379"/>
  <c r="X768"/>
  <c r="V783"/>
  <c r="X783" s="1"/>
  <c r="I585" i="13"/>
  <c r="K585"/>
  <c r="I3073"/>
  <c r="K3050"/>
  <c r="I3881"/>
  <c r="K3881" s="1"/>
  <c r="I3021" i="1"/>
  <c r="K3021" s="1"/>
  <c r="P2583"/>
  <c r="K2583"/>
  <c r="I3308"/>
  <c r="I3398" s="1"/>
  <c r="K3398" s="1"/>
  <c r="I1006"/>
  <c r="P209"/>
  <c r="R209" s="1"/>
  <c r="I1080"/>
  <c r="K1080" s="1"/>
  <c r="I968"/>
  <c r="K968" s="1"/>
  <c r="I874"/>
  <c r="K874" s="1"/>
  <c r="K876" s="1"/>
  <c r="I903"/>
  <c r="K903" s="1"/>
  <c r="I938"/>
  <c r="K938" s="1"/>
  <c r="P2734"/>
  <c r="I2784"/>
  <c r="K2784" s="1"/>
  <c r="AC2724"/>
  <c r="AE2725" s="1"/>
  <c r="AE2736" s="1"/>
  <c r="AE2738" s="1"/>
  <c r="K2734"/>
  <c r="R2742"/>
  <c r="P2775"/>
  <c r="R2775" s="1"/>
  <c r="I1502"/>
  <c r="K1502" s="1"/>
  <c r="I1530"/>
  <c r="K1530" s="1"/>
  <c r="K1535" s="1"/>
  <c r="K1537" s="1"/>
  <c r="C100" i="9" s="1"/>
  <c r="P1372" i="1"/>
  <c r="R1355"/>
  <c r="I2069"/>
  <c r="I73"/>
  <c r="K73" s="1"/>
  <c r="I1682"/>
  <c r="K1682" s="1"/>
  <c r="K1689" s="1"/>
  <c r="K1691" s="1"/>
  <c r="C105" i="9" s="1"/>
  <c r="I771" i="1"/>
  <c r="I28"/>
  <c r="K28" s="1"/>
  <c r="I10"/>
  <c r="K10" s="1"/>
  <c r="I271"/>
  <c r="K271" s="1"/>
  <c r="P10"/>
  <c r="R10" s="1"/>
  <c r="R14" s="1"/>
  <c r="I64"/>
  <c r="K64" s="1"/>
  <c r="I497"/>
  <c r="I2049"/>
  <c r="K2049" s="1"/>
  <c r="I19"/>
  <c r="K19" s="1"/>
  <c r="I36"/>
  <c r="T60" i="9"/>
  <c r="V60" s="1"/>
  <c r="R1376" i="1"/>
  <c r="P1407"/>
  <c r="P197"/>
  <c r="R197" s="1"/>
  <c r="K197"/>
  <c r="P165"/>
  <c r="R165" s="1"/>
  <c r="I2822"/>
  <c r="K2822" s="1"/>
  <c r="K499"/>
  <c r="V560"/>
  <c r="X560" s="1"/>
  <c r="K561"/>
  <c r="P819"/>
  <c r="R819" s="1"/>
  <c r="I3227"/>
  <c r="K3227" s="1"/>
  <c r="K819"/>
  <c r="P1217"/>
  <c r="R1217" s="1"/>
  <c r="K1235"/>
  <c r="P1248"/>
  <c r="R1248" s="1"/>
  <c r="I2332"/>
  <c r="K2332" s="1"/>
  <c r="K2320"/>
  <c r="P2289"/>
  <c r="R2289" s="1"/>
  <c r="R2293" s="1"/>
  <c r="R2295" s="1"/>
  <c r="K2290"/>
  <c r="K2293" s="1"/>
  <c r="K2295" s="1"/>
  <c r="K1171"/>
  <c r="P1173"/>
  <c r="K3380"/>
  <c r="I3385"/>
  <c r="P3379"/>
  <c r="R3379" s="1"/>
  <c r="V313"/>
  <c r="K314"/>
  <c r="X1366"/>
  <c r="T161" i="9"/>
  <c r="V161" s="1"/>
  <c r="I2691" i="11"/>
  <c r="K2691" s="1"/>
  <c r="K2613"/>
  <c r="K3421" i="13"/>
  <c r="I3416" s="1"/>
  <c r="K3416" s="1"/>
  <c r="K3419" s="1"/>
  <c r="I3443"/>
  <c r="AC381" i="1"/>
  <c r="AE382" s="1"/>
  <c r="X381"/>
  <c r="V412"/>
  <c r="T189" i="9"/>
  <c r="V189" s="1"/>
  <c r="K3090" i="1"/>
  <c r="I3103"/>
  <c r="I3105"/>
  <c r="K3092"/>
  <c r="P2736"/>
  <c r="I3400"/>
  <c r="K3400" s="1"/>
  <c r="K2736"/>
  <c r="K3203"/>
  <c r="V3202"/>
  <c r="X3202" s="1"/>
  <c r="AC311"/>
  <c r="AE312" s="1"/>
  <c r="X311"/>
  <c r="D44" i="5"/>
  <c r="F44" s="1"/>
  <c r="P21" i="9"/>
  <c r="H21"/>
  <c r="L21"/>
  <c r="F21"/>
  <c r="K2636" i="1"/>
  <c r="K2637" s="1"/>
  <c r="C86" i="9" s="1"/>
  <c r="K91" i="13"/>
  <c r="I1698"/>
  <c r="K1698" s="1"/>
  <c r="K1706" s="1"/>
  <c r="K4009"/>
  <c r="C283" i="9"/>
  <c r="J283" s="1"/>
  <c r="I2587" i="1"/>
  <c r="P3208"/>
  <c r="I1084"/>
  <c r="K1084" s="1"/>
  <c r="I1009"/>
  <c r="I3070"/>
  <c r="P212"/>
  <c r="R212" s="1"/>
  <c r="H61" i="33"/>
  <c r="B14" i="34" s="1"/>
  <c r="F14" s="1"/>
  <c r="F16" s="1"/>
  <c r="A1" i="43"/>
  <c r="A3" i="48" s="1"/>
  <c r="A1" i="63"/>
  <c r="K1837" i="13"/>
  <c r="K1839" s="1"/>
  <c r="I1846" s="1"/>
  <c r="K1846" s="1"/>
  <c r="K1849" s="1"/>
  <c r="K1765"/>
  <c r="K1767" s="1"/>
  <c r="I1811" s="1"/>
  <c r="K1811" s="1"/>
  <c r="K1813" s="1"/>
  <c r="P2892"/>
  <c r="R2892" s="1"/>
  <c r="P2859"/>
  <c r="R2859" s="1"/>
  <c r="K3566"/>
  <c r="L3564"/>
  <c r="I2388" i="11"/>
  <c r="K2388" s="1"/>
  <c r="K2391" s="1"/>
  <c r="K2371"/>
  <c r="K2376" s="1"/>
  <c r="I1532"/>
  <c r="K1532" s="1"/>
  <c r="K1537" s="1"/>
  <c r="K1539" s="1"/>
  <c r="I1504"/>
  <c r="K1504" s="1"/>
  <c r="K1511" s="1"/>
  <c r="K1513" s="1"/>
  <c r="K693"/>
  <c r="K695" s="1"/>
  <c r="K764" s="1"/>
  <c r="K2562"/>
  <c r="I2593"/>
  <c r="K2593" s="1"/>
  <c r="I2595"/>
  <c r="K2595" s="1"/>
  <c r="K2564"/>
  <c r="L3686"/>
  <c r="K2371" i="13"/>
  <c r="I2388"/>
  <c r="K2388" s="1"/>
  <c r="K2391" s="1"/>
  <c r="K2427"/>
  <c r="K2433" s="1"/>
  <c r="K2435" s="1"/>
  <c r="I2441"/>
  <c r="K2441" s="1"/>
  <c r="K2444" s="1"/>
  <c r="K2446" s="1"/>
  <c r="R2852"/>
  <c r="R2862" s="1"/>
  <c r="R2863" s="1"/>
  <c r="P2885"/>
  <c r="R2885" s="1"/>
  <c r="R2895" s="1"/>
  <c r="R2896" s="1"/>
  <c r="I2961"/>
  <c r="I2972"/>
  <c r="K2972" s="1"/>
  <c r="K2951"/>
  <c r="I3899"/>
  <c r="K3899" s="1"/>
  <c r="L3135"/>
  <c r="K2192"/>
  <c r="K3584"/>
  <c r="L3583"/>
  <c r="K3869"/>
  <c r="P401" i="11"/>
  <c r="R401" s="1"/>
  <c r="P402"/>
  <c r="R402" s="1"/>
  <c r="K1087"/>
  <c r="I2264"/>
  <c r="P2859"/>
  <c r="R2859" s="1"/>
  <c r="P2892"/>
  <c r="R2892" s="1"/>
  <c r="L3135"/>
  <c r="K2192"/>
  <c r="K2190" i="1"/>
  <c r="C145" i="9" s="1"/>
  <c r="K3977" i="13"/>
  <c r="K3985"/>
  <c r="C271" i="9"/>
  <c r="J271" s="1"/>
  <c r="K3768" i="11"/>
  <c r="L172" i="9"/>
  <c r="H172"/>
  <c r="P172"/>
  <c r="T172" s="1"/>
  <c r="V172" s="1"/>
  <c r="F172"/>
  <c r="D414" i="5"/>
  <c r="F414" s="1"/>
  <c r="J172" i="9"/>
  <c r="L3802" i="11"/>
  <c r="L3803" s="1"/>
  <c r="Q11" i="4"/>
  <c r="Q5"/>
  <c r="Q6" s="1"/>
  <c r="L344" i="9"/>
  <c r="L346" s="1"/>
  <c r="L3416" i="11"/>
  <c r="R1006" i="1"/>
  <c r="P1007"/>
  <c r="R1007" s="1"/>
  <c r="L2176"/>
  <c r="K2176"/>
  <c r="K2209" s="1"/>
  <c r="C170" i="9" s="1"/>
  <c r="P1078" i="1"/>
  <c r="R1078" s="1"/>
  <c r="R1057"/>
  <c r="I9"/>
  <c r="K9" s="1"/>
  <c r="I2048"/>
  <c r="K2048" s="1"/>
  <c r="K2057" s="1"/>
  <c r="K2059" s="1"/>
  <c r="C130" i="9" s="1"/>
  <c r="I1490" i="1"/>
  <c r="K1490" s="1"/>
  <c r="K1496" s="1"/>
  <c r="C179" i="9" s="1"/>
  <c r="I770" i="1"/>
  <c r="I44"/>
  <c r="K44" s="1"/>
  <c r="I27"/>
  <c r="K27" s="1"/>
  <c r="K32" s="1"/>
  <c r="I2068"/>
  <c r="I53"/>
  <c r="K53" s="1"/>
  <c r="I1233"/>
  <c r="K1233" s="1"/>
  <c r="K1239" s="1"/>
  <c r="K1241" s="1"/>
  <c r="I2346"/>
  <c r="I1202"/>
  <c r="K1202" s="1"/>
  <c r="I270"/>
  <c r="K270" s="1"/>
  <c r="I1173"/>
  <c r="I1505"/>
  <c r="K1505" s="1"/>
  <c r="I496"/>
  <c r="I35"/>
  <c r="K35" s="1"/>
  <c r="I1518"/>
  <c r="K1518" s="1"/>
  <c r="I1574"/>
  <c r="K1574" s="1"/>
  <c r="K1580" s="1"/>
  <c r="K1582" s="1"/>
  <c r="I63"/>
  <c r="K63" s="1"/>
  <c r="K68" s="1"/>
  <c r="I18"/>
  <c r="K18" s="1"/>
  <c r="K23" s="1"/>
  <c r="I72"/>
  <c r="K72" s="1"/>
  <c r="K77" s="1"/>
  <c r="I1907"/>
  <c r="K1907" s="1"/>
  <c r="C74" i="9"/>
  <c r="K139" i="1"/>
  <c r="K143" s="1"/>
  <c r="P2262"/>
  <c r="R2262" s="1"/>
  <c r="I2894"/>
  <c r="I2740"/>
  <c r="K2758"/>
  <c r="K118"/>
  <c r="L116"/>
  <c r="C13" i="9" s="1"/>
  <c r="C12"/>
  <c r="P1053" i="1"/>
  <c r="K972"/>
  <c r="K3297" i="11"/>
  <c r="K3299" s="1"/>
  <c r="K3291" s="1"/>
  <c r="K3293" s="1"/>
  <c r="K3294" s="1"/>
  <c r="I3322"/>
  <c r="K3322" s="1"/>
  <c r="K3324" s="1"/>
  <c r="K3318" s="1"/>
  <c r="K3319" s="1"/>
  <c r="K3347"/>
  <c r="K3348" s="1"/>
  <c r="K3378"/>
  <c r="K3379" s="1"/>
  <c r="I3073"/>
  <c r="I3882"/>
  <c r="K3882" s="1"/>
  <c r="K3050"/>
  <c r="K1524" i="13"/>
  <c r="K1526" s="1"/>
  <c r="F162" i="9"/>
  <c r="R1222" i="1"/>
  <c r="R1224" s="1"/>
  <c r="K339"/>
  <c r="V338"/>
  <c r="V314"/>
  <c r="K315"/>
  <c r="P2350"/>
  <c r="R2350" s="1"/>
  <c r="K2350"/>
  <c r="K2074"/>
  <c r="K2075" s="1"/>
  <c r="P2074"/>
  <c r="R2074" s="1"/>
  <c r="K2558"/>
  <c r="P2558"/>
  <c r="V2557"/>
  <c r="P3107"/>
  <c r="R2275"/>
  <c r="S2274"/>
  <c r="R2277"/>
  <c r="R2279" s="1"/>
  <c r="P2268" s="1"/>
  <c r="R2268" s="1"/>
  <c r="P1402"/>
  <c r="R1371"/>
  <c r="P1388"/>
  <c r="T51" i="9"/>
  <c r="V51" s="1"/>
  <c r="I2522" i="11"/>
  <c r="K2522" s="1"/>
  <c r="K2533" s="1"/>
  <c r="K2535" s="1"/>
  <c r="K1011"/>
  <c r="K1022" s="1"/>
  <c r="K1024" s="1"/>
  <c r="I2587" i="13"/>
  <c r="K2587" s="1"/>
  <c r="K2597" s="1"/>
  <c r="K2599" s="1"/>
  <c r="K2556"/>
  <c r="I2934" i="11"/>
  <c r="K2908"/>
  <c r="K2920" s="1"/>
  <c r="I3031"/>
  <c r="K3031" s="1"/>
  <c r="P2883"/>
  <c r="R2883" s="1"/>
  <c r="R2895" s="1"/>
  <c r="R2896" s="1"/>
  <c r="R2850"/>
  <c r="R2862" s="1"/>
  <c r="R2863" s="1"/>
  <c r="I3473" i="1"/>
  <c r="K3473" s="1"/>
  <c r="L3476" s="1"/>
  <c r="K3478" s="1"/>
  <c r="K3459"/>
  <c r="I298"/>
  <c r="K298" s="1"/>
  <c r="I1174"/>
  <c r="K1174" s="1"/>
  <c r="I1199"/>
  <c r="K1199" s="1"/>
  <c r="I211"/>
  <c r="K211" s="1"/>
  <c r="I481"/>
  <c r="K481" s="1"/>
  <c r="I1636"/>
  <c r="K1636" s="1"/>
  <c r="I2914"/>
  <c r="K2914" s="1"/>
  <c r="K2917" s="1"/>
  <c r="I1309"/>
  <c r="K1309" s="1"/>
  <c r="P390"/>
  <c r="R390" s="1"/>
  <c r="R395" s="1"/>
  <c r="R397" s="1"/>
  <c r="P67"/>
  <c r="R67" s="1"/>
  <c r="I1204"/>
  <c r="K1204" s="1"/>
  <c r="I1170"/>
  <c r="P52"/>
  <c r="R52" s="1"/>
  <c r="I2348"/>
  <c r="I498"/>
  <c r="I357"/>
  <c r="I1266"/>
  <c r="K1266" s="1"/>
  <c r="I226"/>
  <c r="P376"/>
  <c r="R376" s="1"/>
  <c r="R381" s="1"/>
  <c r="R383" s="1"/>
  <c r="I2255"/>
  <c r="K2255" s="1"/>
  <c r="P284"/>
  <c r="R284" s="1"/>
  <c r="I446"/>
  <c r="K446" s="1"/>
  <c r="I772"/>
  <c r="I272"/>
  <c r="K272" s="1"/>
  <c r="I1287"/>
  <c r="K1287" s="1"/>
  <c r="I381"/>
  <c r="I337"/>
  <c r="P82"/>
  <c r="R82" s="1"/>
  <c r="I412"/>
  <c r="K412" s="1"/>
  <c r="I313"/>
  <c r="I2711"/>
  <c r="K2711" s="1"/>
  <c r="L2711" s="1"/>
  <c r="L2714" s="1"/>
  <c r="K2714" s="1"/>
  <c r="I1420"/>
  <c r="K1420" s="1"/>
  <c r="K1425" s="1"/>
  <c r="K1427" s="1"/>
  <c r="C85" i="9" s="1"/>
  <c r="I196" i="1"/>
  <c r="I1914"/>
  <c r="K1914" s="1"/>
  <c r="I1893"/>
  <c r="K1893" s="1"/>
  <c r="I1999"/>
  <c r="K1999" s="1"/>
  <c r="K2006" s="1"/>
  <c r="K2008" s="1"/>
  <c r="C192" i="9" s="1"/>
  <c r="I3379" i="1"/>
  <c r="I1975"/>
  <c r="K1975" s="1"/>
  <c r="K1982" s="1"/>
  <c r="K1984" s="1"/>
  <c r="C191" i="9" s="1"/>
  <c r="I2895" i="1"/>
  <c r="K2759"/>
  <c r="K2764" s="1"/>
  <c r="K2766" s="1"/>
  <c r="C248" i="9" s="1"/>
  <c r="J248" s="1"/>
  <c r="I2741" i="1"/>
  <c r="D344" i="5"/>
  <c r="F344" s="1"/>
  <c r="L114" i="9"/>
  <c r="P114"/>
  <c r="F114"/>
  <c r="H114"/>
  <c r="J114"/>
  <c r="F133"/>
  <c r="D371" i="5"/>
  <c r="F371" s="1"/>
  <c r="J133" i="9"/>
  <c r="P133"/>
  <c r="L133"/>
  <c r="H133"/>
  <c r="K2459" i="1"/>
  <c r="K2463" s="1"/>
  <c r="K2466" s="1"/>
  <c r="C215" i="9" s="1"/>
  <c r="I2494" i="1"/>
  <c r="I1092" i="13"/>
  <c r="K1092" s="1"/>
  <c r="K1095" s="1"/>
  <c r="K1097" s="1"/>
  <c r="I2269"/>
  <c r="K2376"/>
  <c r="K3010"/>
  <c r="K2940"/>
  <c r="I3058"/>
  <c r="I2960"/>
  <c r="K957" i="11"/>
  <c r="K959" s="1"/>
  <c r="K986"/>
  <c r="K988" s="1"/>
  <c r="K1765"/>
  <c r="K1767" s="1"/>
  <c r="I1811" s="1"/>
  <c r="K1811" s="1"/>
  <c r="K1813" s="1"/>
  <c r="I2594"/>
  <c r="K2594" s="1"/>
  <c r="K2563"/>
  <c r="K2261"/>
  <c r="I2663"/>
  <c r="K2663" s="1"/>
  <c r="I3425"/>
  <c r="K3425" s="1"/>
  <c r="K3427" s="1"/>
  <c r="K3428" s="1"/>
  <c r="K3417" s="1"/>
  <c r="L3417" s="1"/>
  <c r="K3406"/>
  <c r="K3408" s="1"/>
  <c r="K3409" s="1"/>
  <c r="K3398" s="1"/>
  <c r="K3648"/>
  <c r="K3617"/>
  <c r="K3671"/>
  <c r="K3566"/>
  <c r="L3564"/>
  <c r="K3892"/>
  <c r="K3827"/>
  <c r="H125" i="9"/>
  <c r="D355" i="5"/>
  <c r="F355" s="1"/>
  <c r="L125" i="9"/>
  <c r="J125"/>
  <c r="F125"/>
  <c r="P125"/>
  <c r="T125" s="1"/>
  <c r="V125" s="1"/>
  <c r="K2859" i="13"/>
  <c r="I2973"/>
  <c r="K2973" s="1"/>
  <c r="I3900"/>
  <c r="K3900" s="1"/>
  <c r="K2952"/>
  <c r="I3089" i="11"/>
  <c r="K3089" s="1"/>
  <c r="K3075"/>
  <c r="I3933"/>
  <c r="K3933" s="1"/>
  <c r="I3670"/>
  <c r="K3670" s="1"/>
  <c r="I3660"/>
  <c r="K3660" s="1"/>
  <c r="K3673" s="1"/>
  <c r="I3409" i="1"/>
  <c r="K3409" s="1"/>
  <c r="V2743"/>
  <c r="X2743" s="1"/>
  <c r="I2563"/>
  <c r="P2744"/>
  <c r="K2744"/>
  <c r="AC2733"/>
  <c r="AE2734" s="1"/>
  <c r="AE369"/>
  <c r="AE370" s="1"/>
  <c r="AE371"/>
  <c r="K755" i="13"/>
  <c r="K757" s="1"/>
  <c r="K495" i="1"/>
  <c r="I2818"/>
  <c r="K2818" s="1"/>
  <c r="R1364"/>
  <c r="P1381"/>
  <c r="K338"/>
  <c r="V337"/>
  <c r="P818"/>
  <c r="R818" s="1"/>
  <c r="K818"/>
  <c r="I3226"/>
  <c r="K3226" s="1"/>
  <c r="K2305"/>
  <c r="I2319"/>
  <c r="K394"/>
  <c r="V393"/>
  <c r="K336"/>
  <c r="V335"/>
  <c r="P3377"/>
  <c r="R3377" s="1"/>
  <c r="K3378"/>
  <c r="P1379"/>
  <c r="R1362"/>
  <c r="K358"/>
  <c r="V357"/>
  <c r="P3175"/>
  <c r="R3106"/>
  <c r="R2260"/>
  <c r="P2269"/>
  <c r="R2269" s="1"/>
  <c r="I2735"/>
  <c r="C89"/>
  <c r="I3240"/>
  <c r="K3240" s="1"/>
  <c r="I2584"/>
  <c r="P3103"/>
  <c r="I2555"/>
  <c r="I3068"/>
  <c r="R521"/>
  <c r="R523" s="1"/>
  <c r="T144" i="9"/>
  <c r="V144" s="1"/>
  <c r="I2954" i="13"/>
  <c r="K2934"/>
  <c r="I3052"/>
  <c r="P3100" i="11"/>
  <c r="R3100" s="1"/>
  <c r="K3100"/>
  <c r="I3114"/>
  <c r="K3114" s="1"/>
  <c r="K3118" s="1"/>
  <c r="K2199" i="13"/>
  <c r="K3229"/>
  <c r="K3233" s="1"/>
  <c r="K2198" s="1"/>
  <c r="K3067" i="1"/>
  <c r="P3067"/>
  <c r="R3067" s="1"/>
  <c r="P3205"/>
  <c r="P3171"/>
  <c r="R3171" s="1"/>
  <c r="P3135"/>
  <c r="R3102"/>
  <c r="V2560"/>
  <c r="P2561"/>
  <c r="R2561" s="1"/>
  <c r="K2561"/>
  <c r="T102" i="9"/>
  <c r="V102" s="1"/>
  <c r="C139" i="1"/>
  <c r="C137"/>
  <c r="R1351"/>
  <c r="C255" i="9"/>
  <c r="J255" s="1"/>
  <c r="I2793" i="1"/>
  <c r="K2793" s="1"/>
  <c r="I1089"/>
  <c r="K1089" s="1"/>
  <c r="I3412"/>
  <c r="K3412" s="1"/>
  <c r="I2592"/>
  <c r="P233"/>
  <c r="R233" s="1"/>
  <c r="K227"/>
  <c r="K2349"/>
  <c r="P2349"/>
  <c r="R2349" s="1"/>
  <c r="V773"/>
  <c r="K773"/>
  <c r="K1775"/>
  <c r="K1781" s="1"/>
  <c r="K1783" s="1"/>
  <c r="I1817" s="1"/>
  <c r="K1817" s="1"/>
  <c r="K1819" s="1"/>
  <c r="C110" i="9" s="1"/>
  <c r="P1775" i="1"/>
  <c r="R1775" s="1"/>
  <c r="R1781" s="1"/>
  <c r="R1783" s="1"/>
  <c r="P1792" s="1"/>
  <c r="R1792" s="1"/>
  <c r="R1794" s="1"/>
  <c r="F134" i="9"/>
  <c r="P134"/>
  <c r="D372" i="5"/>
  <c r="F372" s="1"/>
  <c r="L134" i="9"/>
  <c r="J134"/>
  <c r="H134"/>
  <c r="D6" i="20"/>
  <c r="F6" s="1"/>
  <c r="K89" i="1"/>
  <c r="C7" i="9" s="1"/>
  <c r="C6"/>
  <c r="P572" i="1"/>
  <c r="R572" s="1"/>
  <c r="K90"/>
  <c r="P585"/>
  <c r="R585" s="1"/>
  <c r="X1350"/>
  <c r="K91" i="11"/>
  <c r="I1698"/>
  <c r="K1698" s="1"/>
  <c r="K1706" s="1"/>
  <c r="R28" i="1"/>
  <c r="R30" s="1"/>
  <c r="K102"/>
  <c r="K104"/>
  <c r="K105" s="1"/>
  <c r="K1440"/>
  <c r="K1442" s="1"/>
  <c r="C87" i="9" s="1"/>
  <c r="R915" i="1"/>
  <c r="R917" s="1"/>
  <c r="I940"/>
  <c r="K940" s="1"/>
  <c r="I970"/>
  <c r="I905"/>
  <c r="K905" s="1"/>
  <c r="P2556"/>
  <c r="R2556" s="1"/>
  <c r="V2555"/>
  <c r="K2556"/>
  <c r="K2566" i="13"/>
  <c r="K2568" s="1"/>
  <c r="I269" i="1"/>
  <c r="K269" s="1"/>
  <c r="K277" s="1"/>
  <c r="K279" s="1"/>
  <c r="I769"/>
  <c r="K769" s="1"/>
  <c r="P65"/>
  <c r="R65" s="1"/>
  <c r="I1634"/>
  <c r="K1634" s="1"/>
  <c r="I209"/>
  <c r="K209" s="1"/>
  <c r="P603"/>
  <c r="R603" s="1"/>
  <c r="I2671" i="11"/>
  <c r="K2671" s="1"/>
  <c r="K2269"/>
  <c r="I2691" i="13"/>
  <c r="K2691" s="1"/>
  <c r="K2613"/>
  <c r="AF323" i="1"/>
  <c r="AF324"/>
  <c r="AE324"/>
  <c r="AE325" s="1"/>
  <c r="AE326" s="1"/>
  <c r="T17" i="9"/>
  <c r="V17" s="1"/>
  <c r="L3801" i="13"/>
  <c r="L3802" s="1"/>
  <c r="I310"/>
  <c r="K310" s="1"/>
  <c r="K318" s="1"/>
  <c r="K320" s="1"/>
  <c r="K322" s="1"/>
  <c r="K323" s="1"/>
  <c r="K324" s="1"/>
  <c r="K325" s="1"/>
  <c r="K326" s="1"/>
  <c r="F19" i="45"/>
  <c r="D7" i="10" s="1"/>
  <c r="F7" s="1"/>
  <c r="H7" s="1"/>
  <c r="C78" i="13"/>
  <c r="I64" s="1"/>
  <c r="K64" s="1"/>
  <c r="K68" s="1"/>
  <c r="C81"/>
  <c r="P619" s="1"/>
  <c r="R619" s="1"/>
  <c r="R623" s="1"/>
  <c r="C165" i="11"/>
  <c r="AC10"/>
  <c r="C69" s="1"/>
  <c r="I295" s="1"/>
  <c r="K295" s="1"/>
  <c r="P635"/>
  <c r="R635" s="1"/>
  <c r="K322"/>
  <c r="K323" s="1"/>
  <c r="K324" s="1"/>
  <c r="K325" s="1"/>
  <c r="K326" s="1"/>
  <c r="P10" i="13"/>
  <c r="R10" s="1"/>
  <c r="I409"/>
  <c r="K409" s="1"/>
  <c r="K417" s="1"/>
  <c r="K419" s="1"/>
  <c r="I425" s="1"/>
  <c r="K425" s="1"/>
  <c r="K429" s="1"/>
  <c r="K431" s="1"/>
  <c r="K433" s="1"/>
  <c r="K434" s="1"/>
  <c r="K435" s="1"/>
  <c r="K436" s="1"/>
  <c r="K437" s="1"/>
  <c r="I354"/>
  <c r="K354" s="1"/>
  <c r="K362" s="1"/>
  <c r="K364" s="1"/>
  <c r="K366" s="1"/>
  <c r="K367" s="1"/>
  <c r="K368" s="1"/>
  <c r="K369" s="1"/>
  <c r="K370" s="1"/>
  <c r="I334"/>
  <c r="K334" s="1"/>
  <c r="K342" s="1"/>
  <c r="K344" s="1"/>
  <c r="K346" s="1"/>
  <c r="K347" s="1"/>
  <c r="K348" s="1"/>
  <c r="K349" s="1"/>
  <c r="K350" s="1"/>
  <c r="I36"/>
  <c r="K36" s="1"/>
  <c r="K40" s="1"/>
  <c r="C78" i="11"/>
  <c r="I2683"/>
  <c r="K2683" s="1"/>
  <c r="I151" i="13"/>
  <c r="K151" s="1"/>
  <c r="K160" s="1"/>
  <c r="P605"/>
  <c r="R605" s="1"/>
  <c r="I139"/>
  <c r="K139" s="1"/>
  <c r="K143" s="1"/>
  <c r="P50" i="11"/>
  <c r="R50" s="1"/>
  <c r="R57" s="1"/>
  <c r="R60" s="1"/>
  <c r="P619"/>
  <c r="R619" s="1"/>
  <c r="R623" s="1"/>
  <c r="P266"/>
  <c r="R266" s="1"/>
  <c r="R270" s="1"/>
  <c r="R272" s="1"/>
  <c r="R274" s="1"/>
  <c r="R275" s="1"/>
  <c r="R276" s="1"/>
  <c r="R277" s="1"/>
  <c r="I425"/>
  <c r="K425" s="1"/>
  <c r="K429" s="1"/>
  <c r="K431" s="1"/>
  <c r="K433" s="1"/>
  <c r="K434" s="1"/>
  <c r="K435" s="1"/>
  <c r="K436" s="1"/>
  <c r="K437" s="1"/>
  <c r="K371"/>
  <c r="P144" i="13"/>
  <c r="R144" s="1"/>
  <c r="R196" s="1"/>
  <c r="R198" s="1"/>
  <c r="R201" s="1"/>
  <c r="R202" s="1"/>
  <c r="R203" s="1"/>
  <c r="R204" s="1"/>
  <c r="P79"/>
  <c r="R79" s="1"/>
  <c r="R87" s="1"/>
  <c r="R89" s="1"/>
  <c r="I139" i="11"/>
  <c r="K139" s="1"/>
  <c r="K143" s="1"/>
  <c r="P605"/>
  <c r="R605" s="1"/>
  <c r="I151"/>
  <c r="K151" s="1"/>
  <c r="K160" s="1"/>
  <c r="AC11"/>
  <c r="C70" s="1"/>
  <c r="Z12"/>
  <c r="Z35"/>
  <c r="AC35" s="1"/>
  <c r="I253" s="1"/>
  <c r="K253" s="1"/>
  <c r="K258" s="1"/>
  <c r="K260" s="1"/>
  <c r="Z35" i="13"/>
  <c r="AC35" s="1"/>
  <c r="I253" s="1"/>
  <c r="K253" s="1"/>
  <c r="K258" s="1"/>
  <c r="K260" s="1"/>
  <c r="AC11"/>
  <c r="C70" s="1"/>
  <c r="Z12"/>
  <c r="H6" i="10" l="1"/>
  <c r="L2920" i="11"/>
  <c r="K2921"/>
  <c r="K2451" i="13"/>
  <c r="K2448"/>
  <c r="L105" i="9"/>
  <c r="D335" i="5"/>
  <c r="F335" s="1"/>
  <c r="J105" i="9"/>
  <c r="P105"/>
  <c r="H105"/>
  <c r="F105"/>
  <c r="C73"/>
  <c r="D18" i="20"/>
  <c r="F18" s="1"/>
  <c r="F8" i="10"/>
  <c r="D14"/>
  <c r="F14" s="1"/>
  <c r="H14" s="1"/>
  <c r="K3044" i="13"/>
  <c r="M3042"/>
  <c r="L3046"/>
  <c r="K2921"/>
  <c r="K2187" s="1"/>
  <c r="L2920"/>
  <c r="K970" i="1"/>
  <c r="P1051"/>
  <c r="D9" i="5"/>
  <c r="F9" s="1"/>
  <c r="F7" i="9"/>
  <c r="V7" s="1"/>
  <c r="T134"/>
  <c r="V134" s="1"/>
  <c r="P2592" i="1"/>
  <c r="K2592"/>
  <c r="I1542"/>
  <c r="K1542" s="1"/>
  <c r="K1547" s="1"/>
  <c r="K1549" s="1"/>
  <c r="C101" i="9" s="1"/>
  <c r="I1515" i="1"/>
  <c r="K1515" s="1"/>
  <c r="K1522" s="1"/>
  <c r="K1524" s="1"/>
  <c r="C98" i="9" s="1"/>
  <c r="P3237" i="1"/>
  <c r="R3237" s="1"/>
  <c r="R3135"/>
  <c r="P3349"/>
  <c r="V3199"/>
  <c r="X3199" s="1"/>
  <c r="P3308"/>
  <c r="R3308" s="1"/>
  <c r="P3274"/>
  <c r="R3274" s="1"/>
  <c r="R3205"/>
  <c r="K3052" i="13"/>
  <c r="I3883"/>
  <c r="K3883" s="1"/>
  <c r="I3902"/>
  <c r="K3902" s="1"/>
  <c r="K2954"/>
  <c r="V2554" i="1"/>
  <c r="P2555"/>
  <c r="R2555" s="1"/>
  <c r="K2555"/>
  <c r="I3022"/>
  <c r="K3022" s="1"/>
  <c r="P2584"/>
  <c r="K2584"/>
  <c r="I881"/>
  <c r="K881" s="1"/>
  <c r="K883" s="1"/>
  <c r="I1007"/>
  <c r="I904"/>
  <c r="K904" s="1"/>
  <c r="I969"/>
  <c r="K969" s="1"/>
  <c r="I939"/>
  <c r="K939" s="1"/>
  <c r="I1081"/>
  <c r="K1081" s="1"/>
  <c r="I1039"/>
  <c r="K1039" s="1"/>
  <c r="K1048" s="1"/>
  <c r="K1050" s="1"/>
  <c r="P210"/>
  <c r="R210" s="1"/>
  <c r="I3309"/>
  <c r="I3399" s="1"/>
  <c r="K3399" s="1"/>
  <c r="I1055"/>
  <c r="I1024"/>
  <c r="K1024" s="1"/>
  <c r="K1032" s="1"/>
  <c r="K1034" s="1"/>
  <c r="R3175"/>
  <c r="I3242"/>
  <c r="K3242" s="1"/>
  <c r="P1410"/>
  <c r="R1379"/>
  <c r="AC335"/>
  <c r="AE336" s="1"/>
  <c r="X335"/>
  <c r="X393"/>
  <c r="V425"/>
  <c r="X425" s="1"/>
  <c r="I2331"/>
  <c r="K2319"/>
  <c r="K2324" s="1"/>
  <c r="C120" i="9" s="1"/>
  <c r="P2777" i="1"/>
  <c r="R2777" s="1"/>
  <c r="R2744"/>
  <c r="K3808" i="11"/>
  <c r="K3810" s="1"/>
  <c r="K3911"/>
  <c r="K2960" i="13"/>
  <c r="I3908"/>
  <c r="K3908" s="1"/>
  <c r="I2380"/>
  <c r="I2377"/>
  <c r="K2494" i="1"/>
  <c r="K2498" s="1"/>
  <c r="K2501" s="1"/>
  <c r="C216" i="9" s="1"/>
  <c r="I2529" i="1"/>
  <c r="K2529" s="1"/>
  <c r="K2533" s="1"/>
  <c r="K2536" s="1"/>
  <c r="P2488"/>
  <c r="R2488" s="1"/>
  <c r="R2492" s="1"/>
  <c r="R2494" s="1"/>
  <c r="C219" i="9" s="1"/>
  <c r="J219" s="1"/>
  <c r="T133"/>
  <c r="V133" s="1"/>
  <c r="P2741" i="1"/>
  <c r="I3408"/>
  <c r="K3408" s="1"/>
  <c r="I2560"/>
  <c r="V2740"/>
  <c r="X2740" s="1"/>
  <c r="AC2730"/>
  <c r="AE2731" s="1"/>
  <c r="K2741"/>
  <c r="I3407"/>
  <c r="K3407" s="1"/>
  <c r="I2980"/>
  <c r="P2895"/>
  <c r="R2895" s="1"/>
  <c r="K2895"/>
  <c r="K3379"/>
  <c r="P3378"/>
  <c r="R3378" s="1"/>
  <c r="I3384"/>
  <c r="P164"/>
  <c r="R164" s="1"/>
  <c r="K196"/>
  <c r="P196"/>
  <c r="R196" s="1"/>
  <c r="K337"/>
  <c r="V336"/>
  <c r="V772"/>
  <c r="K772"/>
  <c r="P412"/>
  <c r="R412" s="1"/>
  <c r="C299" i="9"/>
  <c r="I2821" i="1"/>
  <c r="K2821" s="1"/>
  <c r="K498"/>
  <c r="P402"/>
  <c r="R402" s="1"/>
  <c r="P401"/>
  <c r="R401" s="1"/>
  <c r="C301" i="9"/>
  <c r="J301" s="1"/>
  <c r="R2271" i="1"/>
  <c r="R3107"/>
  <c r="P3176"/>
  <c r="R2558"/>
  <c r="P3142"/>
  <c r="AC338"/>
  <c r="AE339" s="1"/>
  <c r="X338"/>
  <c r="I3928" i="11"/>
  <c r="K3928" s="1"/>
  <c r="K3935" s="1"/>
  <c r="K3937" s="1"/>
  <c r="I3099"/>
  <c r="K3073"/>
  <c r="K3077" s="1"/>
  <c r="K3456"/>
  <c r="K3458" s="1"/>
  <c r="C274" i="9"/>
  <c r="J274" s="1"/>
  <c r="K3991" i="13"/>
  <c r="K2202" i="1"/>
  <c r="C156" i="9" s="1"/>
  <c r="K2204" i="11"/>
  <c r="K3988" i="13"/>
  <c r="P1074" i="1"/>
  <c r="R1074" s="1"/>
  <c r="R1053"/>
  <c r="F12" i="9"/>
  <c r="H12"/>
  <c r="D17" i="5"/>
  <c r="F17" s="1"/>
  <c r="L12" i="9"/>
  <c r="P12"/>
  <c r="K119" i="1"/>
  <c r="C16" i="9" s="1"/>
  <c r="C15"/>
  <c r="V2739" i="1"/>
  <c r="X2739" s="1"/>
  <c r="X2745" s="1"/>
  <c r="X2747" s="1"/>
  <c r="K2740"/>
  <c r="P2740"/>
  <c r="AC2729"/>
  <c r="AE2730" s="1"/>
  <c r="I2559"/>
  <c r="I3405"/>
  <c r="K3405" s="1"/>
  <c r="J74" i="9"/>
  <c r="D302" i="5"/>
  <c r="F302" s="1"/>
  <c r="H74" i="9"/>
  <c r="F74"/>
  <c r="P74"/>
  <c r="T74" s="1"/>
  <c r="V74" s="1"/>
  <c r="L74"/>
  <c r="P51" i="1"/>
  <c r="R51" s="1"/>
  <c r="R57" s="1"/>
  <c r="R60" s="1"/>
  <c r="I225"/>
  <c r="K225" s="1"/>
  <c r="I2819"/>
  <c r="K2819" s="1"/>
  <c r="K2826" s="1"/>
  <c r="K2828" s="1"/>
  <c r="K2832" s="1"/>
  <c r="K2834" s="1"/>
  <c r="K496"/>
  <c r="P1175"/>
  <c r="K1173"/>
  <c r="P2068"/>
  <c r="R2068" s="1"/>
  <c r="K2068"/>
  <c r="F179" i="9"/>
  <c r="D420" i="5"/>
  <c r="F420" s="1"/>
  <c r="H179" i="9"/>
  <c r="L179"/>
  <c r="P179"/>
  <c r="J179"/>
  <c r="N14" i="1"/>
  <c r="K14"/>
  <c r="L3419" i="11"/>
  <c r="K2264"/>
  <c r="I2666"/>
  <c r="K2666" s="1"/>
  <c r="K2977" i="13"/>
  <c r="K2189" s="1"/>
  <c r="I834" i="11"/>
  <c r="K834" s="1"/>
  <c r="I816"/>
  <c r="K816" s="1"/>
  <c r="I851"/>
  <c r="K851" s="1"/>
  <c r="I2380"/>
  <c r="I2377"/>
  <c r="P1009" i="1"/>
  <c r="R1009" s="1"/>
  <c r="R1017" s="1"/>
  <c r="R1019" s="1"/>
  <c r="AC1008"/>
  <c r="AE1009" s="1"/>
  <c r="P1027"/>
  <c r="R1027" s="1"/>
  <c r="K1009"/>
  <c r="P3311"/>
  <c r="R3311" s="1"/>
  <c r="R3208"/>
  <c r="P3277"/>
  <c r="R3277" s="1"/>
  <c r="P86" i="9"/>
  <c r="L86"/>
  <c r="D314" i="5"/>
  <c r="F314" s="1"/>
  <c r="H86" i="9"/>
  <c r="J86"/>
  <c r="F86"/>
  <c r="T21"/>
  <c r="V21" s="1"/>
  <c r="P2769" i="1"/>
  <c r="R2769" s="1"/>
  <c r="R2736"/>
  <c r="I3190"/>
  <c r="K3190" s="1"/>
  <c r="L3190" s="1"/>
  <c r="K3105"/>
  <c r="I3176"/>
  <c r="K3176" s="1"/>
  <c r="I3483" i="13"/>
  <c r="K3443"/>
  <c r="I3437" s="1"/>
  <c r="K3437" s="1"/>
  <c r="K3441" s="1"/>
  <c r="K2210" s="1"/>
  <c r="R1407" i="1"/>
  <c r="V1406"/>
  <c r="X1406" s="1"/>
  <c r="I2820"/>
  <c r="K2820" s="1"/>
  <c r="K497"/>
  <c r="K771"/>
  <c r="V770"/>
  <c r="D324" i="5"/>
  <c r="F324" s="1"/>
  <c r="F100" i="9"/>
  <c r="L100"/>
  <c r="J100"/>
  <c r="P100"/>
  <c r="T100" s="1"/>
  <c r="V100" s="1"/>
  <c r="H100"/>
  <c r="P2767" i="1"/>
  <c r="R2767" s="1"/>
  <c r="R2734"/>
  <c r="K915"/>
  <c r="K917" s="1"/>
  <c r="K981"/>
  <c r="K983" s="1"/>
  <c r="R220"/>
  <c r="R223" s="1"/>
  <c r="K3415"/>
  <c r="I3099" i="13"/>
  <c r="K3099" s="1"/>
  <c r="I3927"/>
  <c r="K3927" s="1"/>
  <c r="K3073"/>
  <c r="AE380" i="1"/>
  <c r="AC393"/>
  <c r="AE394" s="1"/>
  <c r="L20" i="9"/>
  <c r="F20"/>
  <c r="H20"/>
  <c r="P20"/>
  <c r="D43" i="5"/>
  <c r="F43" s="1"/>
  <c r="J20" i="9"/>
  <c r="T88"/>
  <c r="V88" s="1"/>
  <c r="D14" i="20"/>
  <c r="F14" s="1"/>
  <c r="F37" i="16"/>
  <c r="K564" i="1"/>
  <c r="K566" s="1"/>
  <c r="I567" s="1"/>
  <c r="K567" s="1"/>
  <c r="I568" s="1"/>
  <c r="K568" s="1"/>
  <c r="I569" s="1"/>
  <c r="K569" s="1"/>
  <c r="I570" s="1"/>
  <c r="K570" s="1"/>
  <c r="I571" s="1"/>
  <c r="K571" s="1"/>
  <c r="K572" s="1"/>
  <c r="P1193"/>
  <c r="R1171"/>
  <c r="T1170" s="1"/>
  <c r="I583"/>
  <c r="K583"/>
  <c r="I3518"/>
  <c r="K3518" s="1"/>
  <c r="K3491"/>
  <c r="L3491" s="1"/>
  <c r="K3493" s="1"/>
  <c r="I3002"/>
  <c r="K3002" s="1"/>
  <c r="K2983"/>
  <c r="P2983"/>
  <c r="R2983" s="1"/>
  <c r="P1374"/>
  <c r="R1357"/>
  <c r="R1367" s="1"/>
  <c r="K3619" i="11"/>
  <c r="K1095"/>
  <c r="K1097" s="1"/>
  <c r="K2937" i="13"/>
  <c r="K2944" s="1"/>
  <c r="K2945" s="1"/>
  <c r="K2188" s="1"/>
  <c r="I3055"/>
  <c r="K3055" s="1"/>
  <c r="J217" i="9"/>
  <c r="D528" i="5"/>
  <c r="V162" i="9"/>
  <c r="M3011" i="11"/>
  <c r="K3011"/>
  <c r="L3012"/>
  <c r="K3018"/>
  <c r="K3022" s="1"/>
  <c r="L2646" i="1"/>
  <c r="P1196"/>
  <c r="P1273"/>
  <c r="R1273" s="1"/>
  <c r="R1276" s="1"/>
  <c r="R1278" s="1"/>
  <c r="P1179"/>
  <c r="R1174"/>
  <c r="T1173" s="1"/>
  <c r="I2997"/>
  <c r="K2997" s="1"/>
  <c r="K2978"/>
  <c r="P2978"/>
  <c r="R2978" s="1"/>
  <c r="F167" i="9"/>
  <c r="J167"/>
  <c r="D411" i="5"/>
  <c r="F411" s="1"/>
  <c r="P167" i="9"/>
  <c r="L167"/>
  <c r="H167"/>
  <c r="T195"/>
  <c r="V195" s="1"/>
  <c r="C272"/>
  <c r="J272" s="1"/>
  <c r="K3986" i="13"/>
  <c r="K3220" i="11"/>
  <c r="K3221" s="1"/>
  <c r="K3194"/>
  <c r="K3195" s="1"/>
  <c r="K3209"/>
  <c r="K3210" s="1"/>
  <c r="I3890" i="13"/>
  <c r="K3890" s="1"/>
  <c r="K3880"/>
  <c r="K4015"/>
  <c r="C287" i="9"/>
  <c r="J287" s="1"/>
  <c r="K3051" i="11"/>
  <c r="I3883"/>
  <c r="K3883" s="1"/>
  <c r="K2201" i="1"/>
  <c r="C178" i="9" s="1"/>
  <c r="K4019" i="13"/>
  <c r="K2203" i="11"/>
  <c r="T124" i="9"/>
  <c r="V124" s="1"/>
  <c r="K584" i="11"/>
  <c r="I584"/>
  <c r="T113" i="9"/>
  <c r="V113" s="1"/>
  <c r="I2859" i="1"/>
  <c r="K2859" s="1"/>
  <c r="C186" i="9"/>
  <c r="I2850" i="1"/>
  <c r="L187" i="9"/>
  <c r="D439" i="5"/>
  <c r="F439" s="1"/>
  <c r="H187" i="9"/>
  <c r="P187"/>
  <c r="J187"/>
  <c r="F187"/>
  <c r="R404" i="13"/>
  <c r="R406" s="1"/>
  <c r="P413" s="1"/>
  <c r="R413" s="1"/>
  <c r="R415" s="1"/>
  <c r="R417" s="1"/>
  <c r="I2262" i="1"/>
  <c r="K2262" s="1"/>
  <c r="I607"/>
  <c r="K607" s="1"/>
  <c r="K611" s="1"/>
  <c r="K613" s="1"/>
  <c r="P633"/>
  <c r="R633" s="1"/>
  <c r="K284"/>
  <c r="X2555"/>
  <c r="AC2555"/>
  <c r="AE2556" s="1"/>
  <c r="L87" i="9"/>
  <c r="D315" i="5"/>
  <c r="F315" s="1"/>
  <c r="H87" i="9"/>
  <c r="F87"/>
  <c r="P87"/>
  <c r="J87"/>
  <c r="K91" i="1"/>
  <c r="C10" i="9" s="1"/>
  <c r="I1696" i="1"/>
  <c r="K1696" s="1"/>
  <c r="K1704" s="1"/>
  <c r="C106" i="9" s="1"/>
  <c r="P2258" i="1"/>
  <c r="R2258" s="1"/>
  <c r="C9" i="9"/>
  <c r="F6"/>
  <c r="D7" i="16"/>
  <c r="F7" s="1"/>
  <c r="D8" i="5"/>
  <c r="F8" s="1"/>
  <c r="F524" s="1"/>
  <c r="F4626" s="1"/>
  <c r="F4628" s="1"/>
  <c r="L110" i="9"/>
  <c r="D340" i="5"/>
  <c r="F340" s="1"/>
  <c r="J110" i="9"/>
  <c r="P110"/>
  <c r="T110" s="1"/>
  <c r="H110"/>
  <c r="F110"/>
  <c r="V788" i="1"/>
  <c r="X788" s="1"/>
  <c r="X773"/>
  <c r="X2560"/>
  <c r="Z2560" s="1"/>
  <c r="AC2560"/>
  <c r="AE2561" s="1"/>
  <c r="K3119" i="11"/>
  <c r="L3119"/>
  <c r="P3068" i="1"/>
  <c r="R3068" s="1"/>
  <c r="R3078" s="1"/>
  <c r="R3080" s="1"/>
  <c r="K3068"/>
  <c r="K3078" s="1"/>
  <c r="K3080" s="1"/>
  <c r="P3136"/>
  <c r="P3172"/>
  <c r="R3172" s="1"/>
  <c r="P3206"/>
  <c r="R3103"/>
  <c r="I2785"/>
  <c r="K2785" s="1"/>
  <c r="AC2725"/>
  <c r="AE2726" s="1"/>
  <c r="P2735"/>
  <c r="K2735"/>
  <c r="X357"/>
  <c r="AC357"/>
  <c r="AE358" s="1"/>
  <c r="AC337"/>
  <c r="AE338" s="1"/>
  <c r="X337"/>
  <c r="R1381"/>
  <c r="P1412"/>
  <c r="K503"/>
  <c r="K505" s="1"/>
  <c r="V2562"/>
  <c r="P2563"/>
  <c r="R2563" s="1"/>
  <c r="P3112"/>
  <c r="K2563"/>
  <c r="K4013" i="13"/>
  <c r="C286" i="9"/>
  <c r="J286" s="1"/>
  <c r="K2860" i="13"/>
  <c r="K2184" s="1"/>
  <c r="K2879"/>
  <c r="L2858"/>
  <c r="L2862"/>
  <c r="L3568" i="11"/>
  <c r="K3567"/>
  <c r="L3398"/>
  <c r="K3400"/>
  <c r="I3074" i="13"/>
  <c r="K3058"/>
  <c r="L3012"/>
  <c r="K3011"/>
  <c r="K3018"/>
  <c r="K3022" s="1"/>
  <c r="M3011"/>
  <c r="I2671"/>
  <c r="K2671" s="1"/>
  <c r="K2674" s="1"/>
  <c r="K2676" s="1"/>
  <c r="K2269"/>
  <c r="K2272" s="1"/>
  <c r="K2274" s="1"/>
  <c r="J215" i="9"/>
  <c r="D526" i="5"/>
  <c r="T114" i="9"/>
  <c r="V114" s="1"/>
  <c r="L191"/>
  <c r="D490" i="5"/>
  <c r="F490" s="1"/>
  <c r="F191" i="9"/>
  <c r="H191"/>
  <c r="J191"/>
  <c r="P191"/>
  <c r="L192"/>
  <c r="H192"/>
  <c r="F192"/>
  <c r="J192"/>
  <c r="P192"/>
  <c r="T192" s="1"/>
  <c r="V192" s="1"/>
  <c r="D491" i="5"/>
  <c r="F491" s="1"/>
  <c r="J85" i="9"/>
  <c r="P85"/>
  <c r="L85"/>
  <c r="D313" i="5"/>
  <c r="F313" s="1"/>
  <c r="F85" i="9"/>
  <c r="H85"/>
  <c r="K313" i="1"/>
  <c r="V312"/>
  <c r="V380"/>
  <c r="K381"/>
  <c r="I2257"/>
  <c r="K2257" s="1"/>
  <c r="K2258" s="1"/>
  <c r="K2259" s="1"/>
  <c r="I2263" s="1"/>
  <c r="K2263" s="1"/>
  <c r="P232"/>
  <c r="R232" s="1"/>
  <c r="K226"/>
  <c r="K357"/>
  <c r="V356"/>
  <c r="P2348"/>
  <c r="R2348" s="1"/>
  <c r="K2348"/>
  <c r="K1170"/>
  <c r="P1172"/>
  <c r="I3052" i="11"/>
  <c r="I2954"/>
  <c r="K2934"/>
  <c r="V1387" i="1"/>
  <c r="X1387" s="1"/>
  <c r="P1395"/>
  <c r="R1388"/>
  <c r="R1402"/>
  <c r="V1401"/>
  <c r="X1401" s="1"/>
  <c r="X2557"/>
  <c r="AC2557"/>
  <c r="AE2558" s="1"/>
  <c r="Z2557"/>
  <c r="X314"/>
  <c r="AC314"/>
  <c r="AE315" s="1"/>
  <c r="C276" i="9"/>
  <c r="J276" s="1"/>
  <c r="K3466" i="11"/>
  <c r="K3468" s="1"/>
  <c r="K3993" i="13"/>
  <c r="K3989"/>
  <c r="K2209" i="11"/>
  <c r="K2207" i="1"/>
  <c r="C163" i="9" s="1"/>
  <c r="P13"/>
  <c r="F13"/>
  <c r="D18" i="5"/>
  <c r="F18" s="1"/>
  <c r="H13" i="9"/>
  <c r="L13"/>
  <c r="P2894" i="1"/>
  <c r="R2894" s="1"/>
  <c r="I2979"/>
  <c r="K2894"/>
  <c r="K2900" s="1"/>
  <c r="K2902" s="1"/>
  <c r="C247" i="9" s="1"/>
  <c r="J247" s="1"/>
  <c r="I3581" i="1"/>
  <c r="K3581" s="1"/>
  <c r="K3583" s="1"/>
  <c r="C18" i="9"/>
  <c r="P306" i="1"/>
  <c r="R306" s="1"/>
  <c r="R312" s="1"/>
  <c r="R314" s="1"/>
  <c r="P66"/>
  <c r="R66" s="1"/>
  <c r="R72" s="1"/>
  <c r="R74" s="1"/>
  <c r="P630" s="1"/>
  <c r="R630" s="1"/>
  <c r="I210"/>
  <c r="K210" s="1"/>
  <c r="K216" s="1"/>
  <c r="K218" s="1"/>
  <c r="P318"/>
  <c r="R318" s="1"/>
  <c r="R324" s="1"/>
  <c r="R326" s="1"/>
  <c r="I1218"/>
  <c r="K1218" s="1"/>
  <c r="K1223" s="1"/>
  <c r="K1225" s="1"/>
  <c r="C70" i="9" s="1"/>
  <c r="I3489" i="1"/>
  <c r="K3489" s="1"/>
  <c r="K3494" s="1"/>
  <c r="K3495" s="1"/>
  <c r="I3498" s="1"/>
  <c r="K3498" s="1"/>
  <c r="K3501" s="1"/>
  <c r="C66" i="9" s="1"/>
  <c r="P2346" i="1"/>
  <c r="R2346" s="1"/>
  <c r="K2346"/>
  <c r="I1265"/>
  <c r="K1265" s="1"/>
  <c r="K1271" s="1"/>
  <c r="K1273" s="1"/>
  <c r="I590"/>
  <c r="K590" s="1"/>
  <c r="K595" s="1"/>
  <c r="K597" s="1"/>
  <c r="I598" s="1"/>
  <c r="K598" s="1"/>
  <c r="I599" s="1"/>
  <c r="K599" s="1"/>
  <c r="I600" s="1"/>
  <c r="K600" s="1"/>
  <c r="I601" s="1"/>
  <c r="K601" s="1"/>
  <c r="I602" s="1"/>
  <c r="K602" s="1"/>
  <c r="I1362"/>
  <c r="K1362" s="1"/>
  <c r="K1369" s="1"/>
  <c r="K1371" s="1"/>
  <c r="I1283"/>
  <c r="K1283" s="1"/>
  <c r="P195"/>
  <c r="R195" s="1"/>
  <c r="I3471"/>
  <c r="K3471" s="1"/>
  <c r="K3481" s="1"/>
  <c r="K3483" s="1"/>
  <c r="C72" i="9" s="1"/>
  <c r="I1305" i="1"/>
  <c r="K1305" s="1"/>
  <c r="I1196"/>
  <c r="K1196" s="1"/>
  <c r="K1209" s="1"/>
  <c r="K1211" s="1"/>
  <c r="C69" i="9" s="1"/>
  <c r="I1347" i="1"/>
  <c r="K1347" s="1"/>
  <c r="K1353" s="1"/>
  <c r="K1355" s="1"/>
  <c r="C79" i="9" s="1"/>
  <c r="I1635" i="1"/>
  <c r="K1635" s="1"/>
  <c r="K1640" s="1"/>
  <c r="K1642" s="1"/>
  <c r="I1167"/>
  <c r="I2345"/>
  <c r="P347"/>
  <c r="R347" s="1"/>
  <c r="R353" s="1"/>
  <c r="R355" s="1"/>
  <c r="I3376"/>
  <c r="P1246"/>
  <c r="P295"/>
  <c r="R295" s="1"/>
  <c r="R301" s="1"/>
  <c r="R303" s="1"/>
  <c r="K770"/>
  <c r="K777" s="1"/>
  <c r="K779" s="1"/>
  <c r="V771"/>
  <c r="D368" i="5"/>
  <c r="F368" s="1"/>
  <c r="J130" i="9"/>
  <c r="L130"/>
  <c r="P130"/>
  <c r="T130" s="1"/>
  <c r="H130"/>
  <c r="F130"/>
  <c r="L170"/>
  <c r="J170"/>
  <c r="F170"/>
  <c r="D412" i="5"/>
  <c r="F412" s="1"/>
  <c r="H170" i="9"/>
  <c r="P170"/>
  <c r="T170" s="1"/>
  <c r="V170" s="1"/>
  <c r="K3419" i="11"/>
  <c r="K3775"/>
  <c r="K3777" s="1"/>
  <c r="K3770"/>
  <c r="P145" i="9"/>
  <c r="J145"/>
  <c r="D389" i="5"/>
  <c r="F389" s="1"/>
  <c r="L145" i="9"/>
  <c r="H145"/>
  <c r="F145"/>
  <c r="R404" i="11"/>
  <c r="R406" s="1"/>
  <c r="P413" s="1"/>
  <c r="R413" s="1"/>
  <c r="R415" s="1"/>
  <c r="R417" s="1"/>
  <c r="I3909" i="13"/>
  <c r="K3909" s="1"/>
  <c r="L3909" s="1"/>
  <c r="L3910" s="1"/>
  <c r="K2961"/>
  <c r="K2964" s="1"/>
  <c r="K2965" s="1"/>
  <c r="K2190" s="1"/>
  <c r="I2392"/>
  <c r="I2393" s="1"/>
  <c r="J2378" s="1"/>
  <c r="I2381"/>
  <c r="I2381" i="11"/>
  <c r="I2392"/>
  <c r="I2393" s="1"/>
  <c r="J2378" s="1"/>
  <c r="L3568" i="13"/>
  <c r="K3567"/>
  <c r="P3070" i="1"/>
  <c r="R3070" s="1"/>
  <c r="K3070"/>
  <c r="I3025"/>
  <c r="K3025" s="1"/>
  <c r="P2587"/>
  <c r="K2587"/>
  <c r="I3118"/>
  <c r="K3103"/>
  <c r="AC412"/>
  <c r="AE413" s="1"/>
  <c r="X412"/>
  <c r="X313"/>
  <c r="AC313"/>
  <c r="AE314" s="1"/>
  <c r="P3384"/>
  <c r="R3384" s="1"/>
  <c r="K3385"/>
  <c r="P1195"/>
  <c r="R1173"/>
  <c r="T1172" s="1"/>
  <c r="P1178"/>
  <c r="K36"/>
  <c r="K40" s="1"/>
  <c r="I45"/>
  <c r="P2069"/>
  <c r="R2069" s="1"/>
  <c r="K2069"/>
  <c r="R1372"/>
  <c r="P1403"/>
  <c r="K1509"/>
  <c r="K1511" s="1"/>
  <c r="K2746"/>
  <c r="K2748" s="1"/>
  <c r="K2796"/>
  <c r="K2798" s="1"/>
  <c r="C253" i="9" s="1"/>
  <c r="J253" s="1"/>
  <c r="K951" i="1"/>
  <c r="K953" s="1"/>
  <c r="K1092"/>
  <c r="K1094" s="1"/>
  <c r="K1006"/>
  <c r="P1049"/>
  <c r="P1024"/>
  <c r="R1024" s="1"/>
  <c r="AC1005"/>
  <c r="AE1006" s="1"/>
  <c r="AE1017" s="1"/>
  <c r="AE1019" s="1"/>
  <c r="K2595"/>
  <c r="K2597" s="1"/>
  <c r="K3033"/>
  <c r="K3035" s="1"/>
  <c r="K586" i="13"/>
  <c r="I586"/>
  <c r="AC410" i="1"/>
  <c r="X410"/>
  <c r="X2553"/>
  <c r="AC2553"/>
  <c r="AE2554" s="1"/>
  <c r="AE2566" s="1"/>
  <c r="AE2568" s="1"/>
  <c r="Z2553"/>
  <c r="R201"/>
  <c r="R203" s="1"/>
  <c r="T94" i="9"/>
  <c r="V94" s="1"/>
  <c r="T92"/>
  <c r="V92" s="1"/>
  <c r="P2771" i="1"/>
  <c r="R2771" s="1"/>
  <c r="R2738"/>
  <c r="X563"/>
  <c r="X565" s="1"/>
  <c r="X566" s="1"/>
  <c r="X567" s="1"/>
  <c r="X568" s="1"/>
  <c r="X569" s="1"/>
  <c r="X570" s="1"/>
  <c r="X571" s="1"/>
  <c r="AC355"/>
  <c r="AE356" s="1"/>
  <c r="X355"/>
  <c r="I3104"/>
  <c r="K3091"/>
  <c r="K3095" s="1"/>
  <c r="K3096" s="1"/>
  <c r="C306" i="9" s="1"/>
  <c r="J306" s="1"/>
  <c r="K3650" i="11"/>
  <c r="I2662"/>
  <c r="K2662" s="1"/>
  <c r="K2674" s="1"/>
  <c r="K2676" s="1"/>
  <c r="K2260"/>
  <c r="K2272" s="1"/>
  <c r="K2274" s="1"/>
  <c r="I2585"/>
  <c r="K2585" s="1"/>
  <c r="K2597" s="1"/>
  <c r="K2599" s="1"/>
  <c r="K2554"/>
  <c r="K2566" s="1"/>
  <c r="K2568" s="1"/>
  <c r="P2429" i="1"/>
  <c r="R2429" s="1"/>
  <c r="R2433" s="1"/>
  <c r="R2435" s="1"/>
  <c r="K2429"/>
  <c r="K2433" s="1"/>
  <c r="K2436" s="1"/>
  <c r="C218" i="9" s="1"/>
  <c r="J218" s="1"/>
  <c r="I3055" i="11"/>
  <c r="K3055" s="1"/>
  <c r="K2937"/>
  <c r="P1390" i="1"/>
  <c r="R1382"/>
  <c r="P1413"/>
  <c r="R2900"/>
  <c r="R2902" s="1"/>
  <c r="C249" i="9" s="1"/>
  <c r="J249" s="1"/>
  <c r="P1389" i="1"/>
  <c r="R1375"/>
  <c r="P1406"/>
  <c r="H168" i="9"/>
  <c r="L168"/>
  <c r="P168"/>
  <c r="F168"/>
  <c r="J168"/>
  <c r="I3338" i="11"/>
  <c r="K3338" s="1"/>
  <c r="K3339" s="1"/>
  <c r="K3340" s="1"/>
  <c r="K3279"/>
  <c r="K3281" s="1"/>
  <c r="K3282" s="1"/>
  <c r="K3275" s="1"/>
  <c r="K3277" s="1"/>
  <c r="K3153"/>
  <c r="K3154" s="1"/>
  <c r="K3183"/>
  <c r="K3184" s="1"/>
  <c r="K3172"/>
  <c r="K3173" s="1"/>
  <c r="K3041"/>
  <c r="K3043" s="1"/>
  <c r="K2962"/>
  <c r="K3967" i="13"/>
  <c r="K2189" i="11"/>
  <c r="K2187" i="1"/>
  <c r="C142" i="9" s="1"/>
  <c r="I3075" i="13"/>
  <c r="I3926"/>
  <c r="K3072"/>
  <c r="K3054"/>
  <c r="K3062" s="1"/>
  <c r="I3886"/>
  <c r="K3886" s="1"/>
  <c r="T149" i="9"/>
  <c r="V149" s="1"/>
  <c r="K2953" i="11"/>
  <c r="I3902"/>
  <c r="K3902" s="1"/>
  <c r="K2451"/>
  <c r="K2448"/>
  <c r="K3910" i="13"/>
  <c r="K3807"/>
  <c r="K3809" s="1"/>
  <c r="K2212" i="1"/>
  <c r="I2939" s="1"/>
  <c r="K2939" s="1"/>
  <c r="C198" i="9" s="1"/>
  <c r="K4020" i="13"/>
  <c r="T111" i="9"/>
  <c r="V111" s="1"/>
  <c r="F185"/>
  <c r="D437" i="5"/>
  <c r="F437" s="1"/>
  <c r="P185" i="9"/>
  <c r="D51" i="16"/>
  <c r="F51" s="1"/>
  <c r="H185" i="9"/>
  <c r="L185"/>
  <c r="C188"/>
  <c r="J185"/>
  <c r="I2307" i="1"/>
  <c r="K2307" s="1"/>
  <c r="C184" i="9"/>
  <c r="K2859" i="11"/>
  <c r="P50" i="13"/>
  <c r="R50" s="1"/>
  <c r="R57" s="1"/>
  <c r="R60" s="1"/>
  <c r="P574" s="1"/>
  <c r="R574" s="1"/>
  <c r="R581" s="1"/>
  <c r="P602"/>
  <c r="R602" s="1"/>
  <c r="I2051"/>
  <c r="K2051" s="1"/>
  <c r="K2059" s="1"/>
  <c r="K2061" s="1"/>
  <c r="I773"/>
  <c r="K773" s="1"/>
  <c r="P266"/>
  <c r="R266" s="1"/>
  <c r="R270" s="1"/>
  <c r="R272" s="1"/>
  <c r="R274" s="1"/>
  <c r="R275" s="1"/>
  <c r="R276" s="1"/>
  <c r="R277" s="1"/>
  <c r="I2071"/>
  <c r="K2071" s="1"/>
  <c r="K2079" s="1"/>
  <c r="K2081" s="1"/>
  <c r="I73"/>
  <c r="K73" s="1"/>
  <c r="K77" s="1"/>
  <c r="I10"/>
  <c r="K10" s="1"/>
  <c r="I19"/>
  <c r="K19" s="1"/>
  <c r="K23" s="1"/>
  <c r="I28"/>
  <c r="K28" s="1"/>
  <c r="K32" s="1"/>
  <c r="I1684"/>
  <c r="K1684" s="1"/>
  <c r="K1691" s="1"/>
  <c r="K1693" s="1"/>
  <c r="I497"/>
  <c r="K497" s="1"/>
  <c r="I45"/>
  <c r="K45" s="1"/>
  <c r="K49" s="1"/>
  <c r="I1409" s="1"/>
  <c r="K1409" s="1"/>
  <c r="K1414" s="1"/>
  <c r="K1416" s="1"/>
  <c r="P22"/>
  <c r="R22" s="1"/>
  <c r="R28" s="1"/>
  <c r="R30" s="1"/>
  <c r="I271"/>
  <c r="K271" s="1"/>
  <c r="I54"/>
  <c r="K54" s="1"/>
  <c r="K58" s="1"/>
  <c r="I1324"/>
  <c r="K1324" s="1"/>
  <c r="K1330" s="1"/>
  <c r="K1332" s="1"/>
  <c r="P606" s="1"/>
  <c r="R606" s="1"/>
  <c r="I379"/>
  <c r="K379" s="1"/>
  <c r="I479"/>
  <c r="K479" s="1"/>
  <c r="K487" s="1"/>
  <c r="K489" s="1"/>
  <c r="I444"/>
  <c r="K444" s="1"/>
  <c r="I1337"/>
  <c r="K1337" s="1"/>
  <c r="K1343" s="1"/>
  <c r="K1345" s="1"/>
  <c r="I355"/>
  <c r="K355" s="1"/>
  <c r="P361"/>
  <c r="R361" s="1"/>
  <c r="R369" s="1"/>
  <c r="R371" s="1"/>
  <c r="I1155"/>
  <c r="K1155" s="1"/>
  <c r="K1161" s="1"/>
  <c r="K1163" s="1"/>
  <c r="I410"/>
  <c r="K410" s="1"/>
  <c r="I2028"/>
  <c r="K2028" s="1"/>
  <c r="K2034" s="1"/>
  <c r="I10" i="11"/>
  <c r="K10" s="1"/>
  <c r="I45"/>
  <c r="K45" s="1"/>
  <c r="K49" s="1"/>
  <c r="I497"/>
  <c r="K497" s="1"/>
  <c r="I64"/>
  <c r="K64" s="1"/>
  <c r="K68" s="1"/>
  <c r="I28"/>
  <c r="K28" s="1"/>
  <c r="K32" s="1"/>
  <c r="I1684"/>
  <c r="K1684" s="1"/>
  <c r="K1691" s="1"/>
  <c r="K1693" s="1"/>
  <c r="I2051"/>
  <c r="K2051" s="1"/>
  <c r="K2059" s="1"/>
  <c r="K2061" s="1"/>
  <c r="I54"/>
  <c r="K54" s="1"/>
  <c r="K58" s="1"/>
  <c r="I773"/>
  <c r="K773" s="1"/>
  <c r="P10"/>
  <c r="R10" s="1"/>
  <c r="P22"/>
  <c r="R22" s="1"/>
  <c r="R28" s="1"/>
  <c r="R30" s="1"/>
  <c r="I2071"/>
  <c r="K2071" s="1"/>
  <c r="K2079" s="1"/>
  <c r="K2081" s="1"/>
  <c r="I73"/>
  <c r="K73" s="1"/>
  <c r="K77" s="1"/>
  <c r="I36"/>
  <c r="K36" s="1"/>
  <c r="K40" s="1"/>
  <c r="I271"/>
  <c r="K271" s="1"/>
  <c r="I19"/>
  <c r="K19" s="1"/>
  <c r="K23" s="1"/>
  <c r="P574"/>
  <c r="R574" s="1"/>
  <c r="R581" s="1"/>
  <c r="I1913"/>
  <c r="K1913" s="1"/>
  <c r="I2028"/>
  <c r="K2028" s="1"/>
  <c r="K2034" s="1"/>
  <c r="I1893"/>
  <c r="K1893" s="1"/>
  <c r="K1899" s="1"/>
  <c r="P601"/>
  <c r="R601" s="1"/>
  <c r="R612" s="1"/>
  <c r="P588"/>
  <c r="R588" s="1"/>
  <c r="R595" s="1"/>
  <c r="K371" i="13"/>
  <c r="P589"/>
  <c r="R589" s="1"/>
  <c r="P632"/>
  <c r="R632" s="1"/>
  <c r="P575"/>
  <c r="R575" s="1"/>
  <c r="R136"/>
  <c r="R137" s="1"/>
  <c r="R138" s="1"/>
  <c r="R139" s="1"/>
  <c r="R140" s="1"/>
  <c r="I495"/>
  <c r="K495" s="1"/>
  <c r="K503" s="1"/>
  <c r="K505" s="1"/>
  <c r="I1235"/>
  <c r="K1235" s="1"/>
  <c r="K1242" s="1"/>
  <c r="K1244" s="1"/>
  <c r="I1575"/>
  <c r="K1575" s="1"/>
  <c r="K1582" s="1"/>
  <c r="K1584" s="1"/>
  <c r="Z36"/>
  <c r="AC36" s="1"/>
  <c r="I242" s="1"/>
  <c r="K242" s="1"/>
  <c r="AC12"/>
  <c r="C71" s="1"/>
  <c r="Z13"/>
  <c r="Z36" i="11"/>
  <c r="AC36" s="1"/>
  <c r="I242" s="1"/>
  <c r="K242" s="1"/>
  <c r="Z13"/>
  <c r="AC12"/>
  <c r="C71" s="1"/>
  <c r="I1235"/>
  <c r="K1235" s="1"/>
  <c r="K1242" s="1"/>
  <c r="K1244" s="1"/>
  <c r="I495"/>
  <c r="K495" s="1"/>
  <c r="K503" s="1"/>
  <c r="K505" s="1"/>
  <c r="I1575"/>
  <c r="K1575" s="1"/>
  <c r="K1582" s="1"/>
  <c r="K1584" s="1"/>
  <c r="F16" i="10" l="1"/>
  <c r="H8"/>
  <c r="L3062" i="13"/>
  <c r="K3063"/>
  <c r="K3044" i="11"/>
  <c r="M3042"/>
  <c r="L3046"/>
  <c r="I379" i="1"/>
  <c r="I1334"/>
  <c r="K1334" s="1"/>
  <c r="K1341" s="1"/>
  <c r="K1343" s="1"/>
  <c r="C78" i="9" s="1"/>
  <c r="I410" i="1"/>
  <c r="K410" s="1"/>
  <c r="K417" s="1"/>
  <c r="K419" s="1"/>
  <c r="I479"/>
  <c r="K479" s="1"/>
  <c r="K487" s="1"/>
  <c r="K489" s="1"/>
  <c r="C30" i="9" s="1"/>
  <c r="P231" i="1"/>
  <c r="R231" s="1"/>
  <c r="R237" s="1"/>
  <c r="R239" s="1"/>
  <c r="C182" i="9" s="1"/>
  <c r="I444" i="1"/>
  <c r="K444" s="1"/>
  <c r="K451" s="1"/>
  <c r="K453" s="1"/>
  <c r="I458" s="1"/>
  <c r="K458" s="1"/>
  <c r="K462" s="1"/>
  <c r="K464" s="1"/>
  <c r="K466" s="1"/>
  <c r="I355"/>
  <c r="P163"/>
  <c r="R163" s="1"/>
  <c r="R169" s="1"/>
  <c r="R171" s="1"/>
  <c r="I1152"/>
  <c r="K1152" s="1"/>
  <c r="K1158" s="1"/>
  <c r="K1160" s="1"/>
  <c r="P361"/>
  <c r="R361" s="1"/>
  <c r="R369" s="1"/>
  <c r="R371" s="1"/>
  <c r="I812"/>
  <c r="I846"/>
  <c r="K846" s="1"/>
  <c r="K783"/>
  <c r="I830"/>
  <c r="K830" s="1"/>
  <c r="I2913"/>
  <c r="C23" i="9"/>
  <c r="L3718" i="13"/>
  <c r="L3719" i="11"/>
  <c r="I2304" i="1"/>
  <c r="K2304" s="1"/>
  <c r="K2311" s="1"/>
  <c r="K2313" s="1"/>
  <c r="I1649"/>
  <c r="K1649" s="1"/>
  <c r="K1654" s="1"/>
  <c r="K1656" s="1"/>
  <c r="I1660"/>
  <c r="K1660" s="1"/>
  <c r="K1663" s="1"/>
  <c r="K1665" s="1"/>
  <c r="I1670" s="1"/>
  <c r="K1670" s="1"/>
  <c r="K1673" s="1"/>
  <c r="K1675" s="1"/>
  <c r="C104" i="9" s="1"/>
  <c r="I2848" i="1"/>
  <c r="K2848" s="1"/>
  <c r="K2835"/>
  <c r="K2879" i="11"/>
  <c r="K2860"/>
  <c r="L2858"/>
  <c r="L2862"/>
  <c r="L188" i="9"/>
  <c r="H188"/>
  <c r="J188"/>
  <c r="D440" i="5"/>
  <c r="F440" s="1"/>
  <c r="P188" i="9"/>
  <c r="F188"/>
  <c r="T185"/>
  <c r="V185" s="1"/>
  <c r="K3867" i="13"/>
  <c r="K3873" s="1"/>
  <c r="K3874" s="1"/>
  <c r="L3809"/>
  <c r="K3810"/>
  <c r="L3815"/>
  <c r="K3831"/>
  <c r="I2311" i="11"/>
  <c r="K2311" s="1"/>
  <c r="I2468"/>
  <c r="K2468" s="1"/>
  <c r="I3945" i="13"/>
  <c r="K3945" s="1"/>
  <c r="K3926"/>
  <c r="L142" i="9"/>
  <c r="J142"/>
  <c r="D386" i="5"/>
  <c r="F386" s="1"/>
  <c r="H142" i="9"/>
  <c r="P142"/>
  <c r="F142"/>
  <c r="C266"/>
  <c r="J266" s="1"/>
  <c r="K3980" i="13"/>
  <c r="K3987"/>
  <c r="K2198" i="1"/>
  <c r="C152" i="9" s="1"/>
  <c r="K2200" i="11"/>
  <c r="T168" i="9"/>
  <c r="V168" s="1"/>
  <c r="K4012" i="13"/>
  <c r="C285" i="9"/>
  <c r="J285" s="1"/>
  <c r="K3104" i="1"/>
  <c r="I3189"/>
  <c r="K3189" s="1"/>
  <c r="L3189" s="1"/>
  <c r="I3175"/>
  <c r="K3175" s="1"/>
  <c r="K587" i="13"/>
  <c r="I587"/>
  <c r="R1403" i="1"/>
  <c r="V1402"/>
  <c r="X1402" s="1"/>
  <c r="I54"/>
  <c r="K54" s="1"/>
  <c r="K58" s="1"/>
  <c r="K45"/>
  <c r="K49" s="1"/>
  <c r="R1178"/>
  <c r="T1177" s="1"/>
  <c r="P1200"/>
  <c r="R1195"/>
  <c r="V1194"/>
  <c r="X1194" s="1"/>
  <c r="I3163"/>
  <c r="I3132"/>
  <c r="K3118"/>
  <c r="K3121" s="1"/>
  <c r="K3123" s="1"/>
  <c r="C307" i="9" s="1"/>
  <c r="J307" s="1"/>
  <c r="K4022" i="13"/>
  <c r="C290" i="9"/>
  <c r="J290" s="1"/>
  <c r="C166"/>
  <c r="K3997" i="13"/>
  <c r="R1246" i="1"/>
  <c r="R1251" s="1"/>
  <c r="R1253" s="1"/>
  <c r="R1254" s="1"/>
  <c r="R1255" s="1"/>
  <c r="R1256" s="1"/>
  <c r="R1257" s="1"/>
  <c r="R1258" s="1"/>
  <c r="Q1254" s="1"/>
  <c r="Q1255" s="1"/>
  <c r="P1286"/>
  <c r="R1286" s="1"/>
  <c r="P1170"/>
  <c r="K1167"/>
  <c r="K1185" s="1"/>
  <c r="K1188" s="1"/>
  <c r="H79" i="9"/>
  <c r="D308" i="5"/>
  <c r="F308" s="1"/>
  <c r="L79" i="9"/>
  <c r="F79"/>
  <c r="P79"/>
  <c r="J79"/>
  <c r="C230"/>
  <c r="I1909" i="1"/>
  <c r="K1909" s="1"/>
  <c r="C80" i="9"/>
  <c r="I1284" i="1"/>
  <c r="K1284" s="1"/>
  <c r="I1306"/>
  <c r="K1306" s="1"/>
  <c r="K1314" s="1"/>
  <c r="K1316" s="1"/>
  <c r="D299" i="5"/>
  <c r="F299" s="1"/>
  <c r="P70" i="9"/>
  <c r="L70"/>
  <c r="J70"/>
  <c r="H70"/>
  <c r="F70"/>
  <c r="J18"/>
  <c r="D38" i="5"/>
  <c r="F38" s="1"/>
  <c r="P18" i="9"/>
  <c r="H18"/>
  <c r="F18"/>
  <c r="L18"/>
  <c r="H163"/>
  <c r="P163"/>
  <c r="T163" s="1"/>
  <c r="J163"/>
  <c r="D407" i="5"/>
  <c r="F407" s="1"/>
  <c r="L163" i="9"/>
  <c r="F163"/>
  <c r="C246"/>
  <c r="J246" s="1"/>
  <c r="K4000" i="13"/>
  <c r="C177" i="9"/>
  <c r="I3903" i="11"/>
  <c r="K3903" s="1"/>
  <c r="K3913" s="1"/>
  <c r="K3914" s="1"/>
  <c r="K2954"/>
  <c r="AC380" i="1"/>
  <c r="AE381" s="1"/>
  <c r="V411"/>
  <c r="X380"/>
  <c r="C165" i="9"/>
  <c r="K3996" i="13"/>
  <c r="C282" i="9"/>
  <c r="J282" s="1"/>
  <c r="K4008" i="13"/>
  <c r="K2890"/>
  <c r="K2898" s="1"/>
  <c r="K2899" s="1"/>
  <c r="K2186" s="1"/>
  <c r="K2883"/>
  <c r="K2884" s="1"/>
  <c r="K2185" s="1"/>
  <c r="K509" i="1"/>
  <c r="K511" s="1"/>
  <c r="I534"/>
  <c r="K534" s="1"/>
  <c r="K539" s="1"/>
  <c r="K541" s="1"/>
  <c r="I518"/>
  <c r="K518" s="1"/>
  <c r="K523" s="1"/>
  <c r="K525" s="1"/>
  <c r="I527" s="1"/>
  <c r="K527" s="1"/>
  <c r="I528" s="1"/>
  <c r="K528" s="1"/>
  <c r="I529" s="1"/>
  <c r="K529" s="1"/>
  <c r="I530" s="1"/>
  <c r="K530" s="1"/>
  <c r="I531" s="1"/>
  <c r="K531" s="1"/>
  <c r="P2768"/>
  <c r="R2768" s="1"/>
  <c r="R2735"/>
  <c r="P3309"/>
  <c r="R3309" s="1"/>
  <c r="P3275"/>
  <c r="R3275" s="1"/>
  <c r="R3206"/>
  <c r="R3136"/>
  <c r="P3238"/>
  <c r="R3238" s="1"/>
  <c r="P3350"/>
  <c r="C264" i="9"/>
  <c r="J264" s="1"/>
  <c r="K3976" i="13"/>
  <c r="V110" i="9"/>
  <c r="H9"/>
  <c r="F9"/>
  <c r="D11" i="5"/>
  <c r="F11" s="1"/>
  <c r="P106" i="9"/>
  <c r="D336" i="5"/>
  <c r="F336" s="1"/>
  <c r="J106" i="9"/>
  <c r="H106"/>
  <c r="F106"/>
  <c r="L106"/>
  <c r="I3547" i="1"/>
  <c r="K3547" s="1"/>
  <c r="K3550" s="1"/>
  <c r="K3552" s="1"/>
  <c r="C25" i="9"/>
  <c r="K286" i="1"/>
  <c r="P590"/>
  <c r="R590" s="1"/>
  <c r="I619"/>
  <c r="K619" s="1"/>
  <c r="K625" s="1"/>
  <c r="K627" s="1"/>
  <c r="I629" s="1"/>
  <c r="K629" s="1"/>
  <c r="I630" s="1"/>
  <c r="K630" s="1"/>
  <c r="I631" s="1"/>
  <c r="K631" s="1"/>
  <c r="I632" s="1"/>
  <c r="K632" s="1"/>
  <c r="I633" s="1"/>
  <c r="K633" s="1"/>
  <c r="P576"/>
  <c r="R576" s="1"/>
  <c r="P607"/>
  <c r="R607" s="1"/>
  <c r="J186" i="9"/>
  <c r="D438" i="5"/>
  <c r="F438" s="1"/>
  <c r="F186" i="9"/>
  <c r="L186"/>
  <c r="H186"/>
  <c r="P186"/>
  <c r="T186" s="1"/>
  <c r="V186" s="1"/>
  <c r="K585" i="11"/>
  <c r="I585"/>
  <c r="L178" i="9"/>
  <c r="H178"/>
  <c r="P178"/>
  <c r="F178"/>
  <c r="D419" i="5"/>
  <c r="F419" s="1"/>
  <c r="J178" i="9"/>
  <c r="K3893" i="13"/>
  <c r="C268" i="9"/>
  <c r="J268" s="1"/>
  <c r="K3982" i="13"/>
  <c r="C169" i="9"/>
  <c r="C203"/>
  <c r="K3983" i="13"/>
  <c r="C270" i="9"/>
  <c r="J270" s="1"/>
  <c r="K2197" i="1"/>
  <c r="K2199" i="11"/>
  <c r="K3229"/>
  <c r="K3233" s="1"/>
  <c r="T167" i="9"/>
  <c r="V167" s="1"/>
  <c r="R1179" i="1"/>
  <c r="T1178" s="1"/>
  <c r="P1201"/>
  <c r="V1195"/>
  <c r="X1195" s="1"/>
  <c r="R1196"/>
  <c r="L3021" i="11"/>
  <c r="K3023"/>
  <c r="C258" i="9"/>
  <c r="J258" s="1"/>
  <c r="K3969" i="13"/>
  <c r="K3523" i="1"/>
  <c r="K3525" s="1"/>
  <c r="C90" i="9" s="1"/>
  <c r="L3519" i="1"/>
  <c r="K3520" s="1"/>
  <c r="V1192"/>
  <c r="X1192" s="1"/>
  <c r="R1193"/>
  <c r="T20" i="9"/>
  <c r="V20" s="1"/>
  <c r="K3483" i="13"/>
  <c r="I3477" s="1"/>
  <c r="K3477" s="1"/>
  <c r="K3481" s="1"/>
  <c r="L3481" s="1"/>
  <c r="I3628"/>
  <c r="T86" i="9"/>
  <c r="V86" s="1"/>
  <c r="I2396" i="11"/>
  <c r="I2378"/>
  <c r="K2378" s="1"/>
  <c r="I2354" s="1"/>
  <c r="K2354" s="1"/>
  <c r="I2395"/>
  <c r="K3912" i="13"/>
  <c r="K3913" s="1"/>
  <c r="R2077" i="1"/>
  <c r="R2079" s="1"/>
  <c r="R1175"/>
  <c r="T1174" s="1"/>
  <c r="P1197"/>
  <c r="P587"/>
  <c r="R587" s="1"/>
  <c r="I2026"/>
  <c r="K2026" s="1"/>
  <c r="K2032" s="1"/>
  <c r="C127" i="9" s="1"/>
  <c r="P600" i="1"/>
  <c r="R600" s="1"/>
  <c r="P573"/>
  <c r="R573" s="1"/>
  <c r="I1891"/>
  <c r="K1891" s="1"/>
  <c r="K1897" s="1"/>
  <c r="C122" i="9" s="1"/>
  <c r="I1911" i="1"/>
  <c r="K1911" s="1"/>
  <c r="V2558"/>
  <c r="P3108"/>
  <c r="K2559"/>
  <c r="P2559"/>
  <c r="P2773"/>
  <c r="R2773" s="1"/>
  <c r="R2740"/>
  <c r="P16" i="9"/>
  <c r="D21" i="5"/>
  <c r="F21" s="1"/>
  <c r="J16" i="9"/>
  <c r="F16"/>
  <c r="H16"/>
  <c r="L16"/>
  <c r="L156"/>
  <c r="J156"/>
  <c r="D401" i="5"/>
  <c r="F401" s="1"/>
  <c r="P156" i="9"/>
  <c r="H156"/>
  <c r="F156"/>
  <c r="K3087" i="11"/>
  <c r="K3091" s="1"/>
  <c r="K3079"/>
  <c r="K3080" s="1"/>
  <c r="K3938"/>
  <c r="K3944"/>
  <c r="K3948" s="1"/>
  <c r="K3949" s="1"/>
  <c r="P3356" i="1"/>
  <c r="P3243"/>
  <c r="R3243" s="1"/>
  <c r="R3142"/>
  <c r="P3209"/>
  <c r="I3243"/>
  <c r="K3243" s="1"/>
  <c r="R3176"/>
  <c r="V787"/>
  <c r="X787" s="1"/>
  <c r="X772"/>
  <c r="K3384"/>
  <c r="P3383"/>
  <c r="R3383" s="1"/>
  <c r="P2560"/>
  <c r="R2560" s="1"/>
  <c r="V2559"/>
  <c r="K2560"/>
  <c r="P2774"/>
  <c r="R2774" s="1"/>
  <c r="R2779" s="1"/>
  <c r="R2781" s="1"/>
  <c r="R2741"/>
  <c r="D527" i="5"/>
  <c r="J216" i="9"/>
  <c r="I2382" i="13"/>
  <c r="I2383" s="1"/>
  <c r="I2355" s="1"/>
  <c r="K2355" s="1"/>
  <c r="K3868" i="11"/>
  <c r="K3832"/>
  <c r="K3811"/>
  <c r="L3810"/>
  <c r="L3816"/>
  <c r="J120" i="9"/>
  <c r="L120"/>
  <c r="D350" i="5"/>
  <c r="F350" s="1"/>
  <c r="P120" i="9"/>
  <c r="F120"/>
  <c r="H120"/>
  <c r="X2554" i="1"/>
  <c r="Z2554"/>
  <c r="AC2554"/>
  <c r="AE2555" s="1"/>
  <c r="L101" i="9"/>
  <c r="P101"/>
  <c r="F101"/>
  <c r="J101"/>
  <c r="D325" i="5"/>
  <c r="F325" s="1"/>
  <c r="H101" i="9"/>
  <c r="P1073" i="1"/>
  <c r="R1073" s="1"/>
  <c r="R1051"/>
  <c r="T105" i="9"/>
  <c r="V105" s="1"/>
  <c r="K2455" i="13"/>
  <c r="K2453"/>
  <c r="D436" i="5"/>
  <c r="F436" s="1"/>
  <c r="D50" i="16"/>
  <c r="F50" s="1"/>
  <c r="H184" i="9"/>
  <c r="J184"/>
  <c r="P184"/>
  <c r="L184"/>
  <c r="F184"/>
  <c r="D507" i="5"/>
  <c r="F507" s="1"/>
  <c r="F198" i="9"/>
  <c r="J198"/>
  <c r="L198"/>
  <c r="H198"/>
  <c r="P198"/>
  <c r="K2455" i="11"/>
  <c r="K2453"/>
  <c r="K2964"/>
  <c r="K2965" s="1"/>
  <c r="I3089" i="13"/>
  <c r="K3089" s="1"/>
  <c r="I3932"/>
  <c r="K3932" s="1"/>
  <c r="K3075"/>
  <c r="C265" i="9"/>
  <c r="J265" s="1"/>
  <c r="K3979" i="13"/>
  <c r="K2196" i="11"/>
  <c r="K2194" i="1"/>
  <c r="C150" i="9" s="1"/>
  <c r="K3978" i="13"/>
  <c r="K3332" i="11"/>
  <c r="K3333" s="1"/>
  <c r="K3365"/>
  <c r="K3366" s="1"/>
  <c r="R1406" i="1"/>
  <c r="V1405"/>
  <c r="X1405" s="1"/>
  <c r="V1388"/>
  <c r="X1388" s="1"/>
  <c r="X1390" s="1"/>
  <c r="X1391" s="1"/>
  <c r="R1389"/>
  <c r="R1391" s="1"/>
  <c r="R1392" s="1"/>
  <c r="P1396"/>
  <c r="R1413"/>
  <c r="V1412"/>
  <c r="X1412" s="1"/>
  <c r="R1390"/>
  <c r="V1389"/>
  <c r="X1389" s="1"/>
  <c r="P1397"/>
  <c r="AE411"/>
  <c r="AC425"/>
  <c r="AE426" s="1"/>
  <c r="P1071"/>
  <c r="R1071" s="1"/>
  <c r="R1049"/>
  <c r="I2858"/>
  <c r="K2858" s="1"/>
  <c r="I831"/>
  <c r="K831" s="1"/>
  <c r="C97" i="9"/>
  <c r="I847" i="1"/>
  <c r="K847" s="1"/>
  <c r="I813"/>
  <c r="I2849"/>
  <c r="K3108"/>
  <c r="K3109" s="1"/>
  <c r="C305" i="9" s="1"/>
  <c r="J305" s="1"/>
  <c r="T145"/>
  <c r="V145" s="1"/>
  <c r="C193"/>
  <c r="K4023" i="13"/>
  <c r="V130" i="9"/>
  <c r="X771" i="1"/>
  <c r="V786"/>
  <c r="X786" s="1"/>
  <c r="P632"/>
  <c r="R632" s="1"/>
  <c r="P575"/>
  <c r="R575" s="1"/>
  <c r="P589"/>
  <c r="R589" s="1"/>
  <c r="P3375"/>
  <c r="R3375" s="1"/>
  <c r="R3388" s="1"/>
  <c r="R3390" s="1"/>
  <c r="K3376"/>
  <c r="K3389" s="1"/>
  <c r="K3391" s="1"/>
  <c r="K2345"/>
  <c r="K2354" s="1"/>
  <c r="K2356" s="1"/>
  <c r="C225" i="9" s="1"/>
  <c r="J225" s="1"/>
  <c r="P2345" i="1"/>
  <c r="R2345" s="1"/>
  <c r="R2354" s="1"/>
  <c r="R2356" s="1"/>
  <c r="C228" i="9" s="1"/>
  <c r="J228" s="1"/>
  <c r="D298" i="5"/>
  <c r="F298" s="1"/>
  <c r="J69" i="9"/>
  <c r="C71"/>
  <c r="H69"/>
  <c r="L69"/>
  <c r="P69"/>
  <c r="F69"/>
  <c r="J72"/>
  <c r="H72"/>
  <c r="P72"/>
  <c r="L72"/>
  <c r="F72"/>
  <c r="K1292" i="1"/>
  <c r="K1294" s="1"/>
  <c r="C75" i="9" s="1"/>
  <c r="P66"/>
  <c r="F66"/>
  <c r="H66"/>
  <c r="L66"/>
  <c r="J66"/>
  <c r="K2979" i="1"/>
  <c r="K2985" s="1"/>
  <c r="K2987" s="1"/>
  <c r="C251" i="9" s="1"/>
  <c r="J251" s="1"/>
  <c r="I2998" i="1"/>
  <c r="K2998" s="1"/>
  <c r="K3004" s="1"/>
  <c r="K3006" s="1"/>
  <c r="C250" i="9" s="1"/>
  <c r="J250" s="1"/>
  <c r="P2979" i="1"/>
  <c r="R2979" s="1"/>
  <c r="R2985" s="1"/>
  <c r="R2987" s="1"/>
  <c r="C252" i="9" s="1"/>
  <c r="J252" s="1"/>
  <c r="T13"/>
  <c r="V13" s="1"/>
  <c r="V1394" i="1"/>
  <c r="R1395"/>
  <c r="K2944" i="11"/>
  <c r="K2945" s="1"/>
  <c r="K3052"/>
  <c r="K3062" s="1"/>
  <c r="I3884"/>
  <c r="K3884" s="1"/>
  <c r="K3894" s="1"/>
  <c r="R1172" i="1"/>
  <c r="T1171" s="1"/>
  <c r="P1177"/>
  <c r="P1194"/>
  <c r="X356"/>
  <c r="AC356"/>
  <c r="AE357" s="1"/>
  <c r="X312"/>
  <c r="AC312"/>
  <c r="AE313" s="1"/>
  <c r="T85" i="9"/>
  <c r="V85" s="1"/>
  <c r="T191"/>
  <c r="V191" s="1"/>
  <c r="T220"/>
  <c r="V220" s="1"/>
  <c r="R220"/>
  <c r="L3021" i="13"/>
  <c r="K3023"/>
  <c r="K3074"/>
  <c r="K3077" s="1"/>
  <c r="I3100"/>
  <c r="I3931"/>
  <c r="K3931" s="1"/>
  <c r="M3398" i="11"/>
  <c r="L3400"/>
  <c r="P3147" i="1"/>
  <c r="R3112"/>
  <c r="P3181"/>
  <c r="X2562"/>
  <c r="AC2562"/>
  <c r="AE2563" s="1"/>
  <c r="Z2562"/>
  <c r="V1411"/>
  <c r="X1411" s="1"/>
  <c r="R1412"/>
  <c r="F213" i="9"/>
  <c r="E6" i="14" s="1"/>
  <c r="V6" i="9"/>
  <c r="V213" s="1"/>
  <c r="H10"/>
  <c r="T10" s="1"/>
  <c r="D12" i="5"/>
  <c r="F12" s="1"/>
  <c r="F10" i="9"/>
  <c r="T87"/>
  <c r="V87" s="1"/>
  <c r="K2264" i="1"/>
  <c r="T187" i="9"/>
  <c r="V187" s="1"/>
  <c r="K2850" i="1"/>
  <c r="I2869"/>
  <c r="C267" i="9"/>
  <c r="J267" s="1"/>
  <c r="K3981" i="13"/>
  <c r="C284" i="9"/>
  <c r="J284" s="1"/>
  <c r="I3636" i="11"/>
  <c r="K3636" s="1"/>
  <c r="K3638" s="1"/>
  <c r="P1405" i="1"/>
  <c r="R1374"/>
  <c r="R1384" s="1"/>
  <c r="K584"/>
  <c r="I584"/>
  <c r="R2746"/>
  <c r="R2748" s="1"/>
  <c r="V785"/>
  <c r="X785" s="1"/>
  <c r="X794" s="1"/>
  <c r="Z783" s="1"/>
  <c r="Z784" s="1"/>
  <c r="Z785" s="1"/>
  <c r="Z786" s="1"/>
  <c r="Z787" s="1"/>
  <c r="Z788" s="1"/>
  <c r="Z789" s="1"/>
  <c r="Z790" s="1"/>
  <c r="Z791" s="1"/>
  <c r="Z792" s="1"/>
  <c r="X770"/>
  <c r="X779" s="1"/>
  <c r="I2382" i="11"/>
  <c r="I2383" s="1"/>
  <c r="I2355" s="1"/>
  <c r="K2355" s="1"/>
  <c r="T179" i="9"/>
  <c r="V179" s="1"/>
  <c r="K2077" i="1"/>
  <c r="K2079" s="1"/>
  <c r="C131" i="9" s="1"/>
  <c r="K231" i="1"/>
  <c r="K233" s="1"/>
  <c r="C24" i="9" s="1"/>
  <c r="P15"/>
  <c r="J15"/>
  <c r="H15"/>
  <c r="L15"/>
  <c r="D20" i="5"/>
  <c r="F20" s="1"/>
  <c r="F15" i="9"/>
  <c r="T12"/>
  <c r="V12" s="1"/>
  <c r="K2213" i="11"/>
  <c r="K3999" i="13"/>
  <c r="K2211" i="1"/>
  <c r="C176" i="9" s="1"/>
  <c r="P3099" i="11"/>
  <c r="R3099" s="1"/>
  <c r="R3104" s="1"/>
  <c r="R3105" s="1"/>
  <c r="K3099"/>
  <c r="K3104" s="1"/>
  <c r="K3105" s="1"/>
  <c r="R404" i="1"/>
  <c r="R406" s="1"/>
  <c r="P413" s="1"/>
  <c r="R413" s="1"/>
  <c r="R415" s="1"/>
  <c r="R417" s="1"/>
  <c r="C300" i="9"/>
  <c r="J300" s="1"/>
  <c r="J299"/>
  <c r="X336" i="1"/>
  <c r="AC336"/>
  <c r="AE337" s="1"/>
  <c r="I2999"/>
  <c r="K2999" s="1"/>
  <c r="K2980"/>
  <c r="P2980"/>
  <c r="R2980" s="1"/>
  <c r="I2396" i="13"/>
  <c r="I2378"/>
  <c r="K2378" s="1"/>
  <c r="I2354" s="1"/>
  <c r="K2354" s="1"/>
  <c r="K2356" s="1"/>
  <c r="K2357" s="1"/>
  <c r="I2395"/>
  <c r="K2331" i="1"/>
  <c r="K2336" s="1"/>
  <c r="C121" i="9" s="1"/>
  <c r="I2364" i="1"/>
  <c r="K2364" s="1"/>
  <c r="R1410"/>
  <c r="V1409"/>
  <c r="X1409" s="1"/>
  <c r="K1055"/>
  <c r="K1063" s="1"/>
  <c r="K1065" s="1"/>
  <c r="I3201"/>
  <c r="AC1006"/>
  <c r="AE1007" s="1"/>
  <c r="P1050"/>
  <c r="P1025"/>
  <c r="R1025" s="1"/>
  <c r="R1035" s="1"/>
  <c r="R1037" s="1"/>
  <c r="K1007"/>
  <c r="K1017" s="1"/>
  <c r="K1019" s="1"/>
  <c r="D322" i="5"/>
  <c r="F322" s="1"/>
  <c r="J98" i="9"/>
  <c r="H98"/>
  <c r="F98"/>
  <c r="P98"/>
  <c r="T98" s="1"/>
  <c r="V98" s="1"/>
  <c r="L98"/>
  <c r="L73"/>
  <c r="D301" i="5"/>
  <c r="F301" s="1"/>
  <c r="J73" i="9"/>
  <c r="P73"/>
  <c r="H73"/>
  <c r="F73"/>
  <c r="I2311" i="13"/>
  <c r="K2311" s="1"/>
  <c r="I2468"/>
  <c r="K2468" s="1"/>
  <c r="K3964"/>
  <c r="K2187" i="11"/>
  <c r="K2185" i="1"/>
  <c r="C140" i="9" s="1"/>
  <c r="I1913" i="13"/>
  <c r="K1913" s="1"/>
  <c r="P601"/>
  <c r="R601" s="1"/>
  <c r="R612" s="1"/>
  <c r="I1893"/>
  <c r="K1893" s="1"/>
  <c r="K1899" s="1"/>
  <c r="P588"/>
  <c r="R588" s="1"/>
  <c r="R595" s="1"/>
  <c r="I311"/>
  <c r="K311" s="1"/>
  <c r="P603" s="1"/>
  <c r="R603" s="1"/>
  <c r="P80"/>
  <c r="R80" s="1"/>
  <c r="I1396"/>
  <c r="K1396" s="1"/>
  <c r="K1401" s="1"/>
  <c r="K1403" s="1"/>
  <c r="I296"/>
  <c r="K296" s="1"/>
  <c r="I1221"/>
  <c r="K1221" s="1"/>
  <c r="K1226" s="1"/>
  <c r="K1228" s="1"/>
  <c r="P318"/>
  <c r="R318" s="1"/>
  <c r="R324" s="1"/>
  <c r="R326" s="1"/>
  <c r="I210"/>
  <c r="K210" s="1"/>
  <c r="P66"/>
  <c r="R66" s="1"/>
  <c r="P306"/>
  <c r="R306" s="1"/>
  <c r="R312" s="1"/>
  <c r="R314" s="1"/>
  <c r="I225"/>
  <c r="K225" s="1"/>
  <c r="P51"/>
  <c r="R51" s="1"/>
  <c r="I195"/>
  <c r="K195" s="1"/>
  <c r="P335"/>
  <c r="R335" s="1"/>
  <c r="R341" s="1"/>
  <c r="R343" s="1"/>
  <c r="I1384"/>
  <c r="K1384" s="1"/>
  <c r="K1389" s="1"/>
  <c r="K1391" s="1"/>
  <c r="P179"/>
  <c r="R179" s="1"/>
  <c r="I335"/>
  <c r="K335" s="1"/>
  <c r="I1637"/>
  <c r="K1637" s="1"/>
  <c r="I1268"/>
  <c r="K1268" s="1"/>
  <c r="K1274" s="1"/>
  <c r="K1276" s="1"/>
  <c r="I1364"/>
  <c r="K1364" s="1"/>
  <c r="K1371" s="1"/>
  <c r="K1373" s="1"/>
  <c r="I1911" s="1"/>
  <c r="K1911" s="1"/>
  <c r="I1308"/>
  <c r="K1308" s="1"/>
  <c r="K1317" s="1"/>
  <c r="K1319" s="1"/>
  <c r="I1170"/>
  <c r="K1170" s="1"/>
  <c r="K1188" s="1"/>
  <c r="K1191" s="1"/>
  <c r="P283" s="1"/>
  <c r="R283" s="1"/>
  <c r="R288" s="1"/>
  <c r="R290" s="1"/>
  <c r="I1199"/>
  <c r="K1199" s="1"/>
  <c r="K1212" s="1"/>
  <c r="K1214" s="1"/>
  <c r="P347"/>
  <c r="R347" s="1"/>
  <c r="R353" s="1"/>
  <c r="R355" s="1"/>
  <c r="I1349"/>
  <c r="K1349" s="1"/>
  <c r="K1355" s="1"/>
  <c r="K1357" s="1"/>
  <c r="I591"/>
  <c r="K591" s="1"/>
  <c r="K596" s="1"/>
  <c r="K598" s="1"/>
  <c r="K599" s="1"/>
  <c r="K600" s="1"/>
  <c r="K601" s="1"/>
  <c r="K602" s="1"/>
  <c r="K603" s="1"/>
  <c r="P295"/>
  <c r="R295" s="1"/>
  <c r="R301" s="1"/>
  <c r="R303" s="1"/>
  <c r="I1286"/>
  <c r="K1286" s="1"/>
  <c r="K1295" s="1"/>
  <c r="K1297" s="1"/>
  <c r="K14"/>
  <c r="N14"/>
  <c r="I210" i="11"/>
  <c r="K210" s="1"/>
  <c r="I1221"/>
  <c r="K1221" s="1"/>
  <c r="K1226" s="1"/>
  <c r="K1228" s="1"/>
  <c r="P66"/>
  <c r="R66" s="1"/>
  <c r="P306"/>
  <c r="R306" s="1"/>
  <c r="R312" s="1"/>
  <c r="R314" s="1"/>
  <c r="P318"/>
  <c r="R318" s="1"/>
  <c r="R324" s="1"/>
  <c r="R326" s="1"/>
  <c r="I355"/>
  <c r="K355" s="1"/>
  <c r="I410"/>
  <c r="K410" s="1"/>
  <c r="I479"/>
  <c r="K479" s="1"/>
  <c r="K487" s="1"/>
  <c r="K489" s="1"/>
  <c r="I1337"/>
  <c r="K1337" s="1"/>
  <c r="K1343" s="1"/>
  <c r="K1345" s="1"/>
  <c r="P361"/>
  <c r="R361" s="1"/>
  <c r="R369" s="1"/>
  <c r="R371" s="1"/>
  <c r="I444"/>
  <c r="K444" s="1"/>
  <c r="I379"/>
  <c r="K379" s="1"/>
  <c r="I1155"/>
  <c r="K1155" s="1"/>
  <c r="K1161" s="1"/>
  <c r="K1163" s="1"/>
  <c r="I335"/>
  <c r="K335" s="1"/>
  <c r="P179"/>
  <c r="R179" s="1"/>
  <c r="P80"/>
  <c r="R80" s="1"/>
  <c r="I1396"/>
  <c r="K1396" s="1"/>
  <c r="K1401" s="1"/>
  <c r="K1403" s="1"/>
  <c r="I311"/>
  <c r="K311" s="1"/>
  <c r="P603" s="1"/>
  <c r="R603" s="1"/>
  <c r="I1324"/>
  <c r="K1324" s="1"/>
  <c r="K1330" s="1"/>
  <c r="K1332" s="1"/>
  <c r="P606" s="1"/>
  <c r="R606" s="1"/>
  <c r="P335"/>
  <c r="R335" s="1"/>
  <c r="R341" s="1"/>
  <c r="R343" s="1"/>
  <c r="I296"/>
  <c r="K296" s="1"/>
  <c r="I1409"/>
  <c r="K1409" s="1"/>
  <c r="K1414" s="1"/>
  <c r="K1416" s="1"/>
  <c r="I195"/>
  <c r="K195" s="1"/>
  <c r="I1384"/>
  <c r="K1384" s="1"/>
  <c r="K1389" s="1"/>
  <c r="K1391" s="1"/>
  <c r="P51"/>
  <c r="R51" s="1"/>
  <c r="I225"/>
  <c r="K225" s="1"/>
  <c r="P295"/>
  <c r="R295" s="1"/>
  <c r="R301" s="1"/>
  <c r="R303" s="1"/>
  <c r="I1286"/>
  <c r="K1286" s="1"/>
  <c r="K1295" s="1"/>
  <c r="K1297" s="1"/>
  <c r="I591"/>
  <c r="K591" s="1"/>
  <c r="K596" s="1"/>
  <c r="K598" s="1"/>
  <c r="K599" s="1"/>
  <c r="K600" s="1"/>
  <c r="K601" s="1"/>
  <c r="K602" s="1"/>
  <c r="K603" s="1"/>
  <c r="I1637"/>
  <c r="K1637" s="1"/>
  <c r="P347"/>
  <c r="R347" s="1"/>
  <c r="R353" s="1"/>
  <c r="R355" s="1"/>
  <c r="I1364"/>
  <c r="K1364" s="1"/>
  <c r="K1371" s="1"/>
  <c r="K1373" s="1"/>
  <c r="I1911" s="1"/>
  <c r="K1911" s="1"/>
  <c r="I1199"/>
  <c r="K1199" s="1"/>
  <c r="K1212" s="1"/>
  <c r="K1214" s="1"/>
  <c r="I1308"/>
  <c r="K1308" s="1"/>
  <c r="K1317" s="1"/>
  <c r="K1319" s="1"/>
  <c r="I1268"/>
  <c r="K1268" s="1"/>
  <c r="K1274" s="1"/>
  <c r="K1276" s="1"/>
  <c r="I1170"/>
  <c r="K1170" s="1"/>
  <c r="K1188" s="1"/>
  <c r="K1191" s="1"/>
  <c r="P283" s="1"/>
  <c r="R283" s="1"/>
  <c r="R288" s="1"/>
  <c r="R290" s="1"/>
  <c r="I1349"/>
  <c r="K1349" s="1"/>
  <c r="K1355" s="1"/>
  <c r="K1357" s="1"/>
  <c r="K14"/>
  <c r="N14"/>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I534" i="13"/>
  <c r="K534" s="1"/>
  <c r="K539" s="1"/>
  <c r="K541" s="1"/>
  <c r="I543" s="1"/>
  <c r="K543" s="1"/>
  <c r="I544" s="1"/>
  <c r="K544" s="1"/>
  <c r="I545" s="1"/>
  <c r="K545" s="1"/>
  <c r="I546" s="1"/>
  <c r="K546" s="1"/>
  <c r="I547" s="1"/>
  <c r="K547" s="1"/>
  <c r="I518"/>
  <c r="K518" s="1"/>
  <c r="K523" s="1"/>
  <c r="K525" s="1"/>
  <c r="I527" s="1"/>
  <c r="K527" s="1"/>
  <c r="I528" s="1"/>
  <c r="K528" s="1"/>
  <c r="I529" s="1"/>
  <c r="K529" s="1"/>
  <c r="I530" s="1"/>
  <c r="K530" s="1"/>
  <c r="I531" s="1"/>
  <c r="K531" s="1"/>
  <c r="K509"/>
  <c r="K511" s="1"/>
  <c r="K512" s="1"/>
  <c r="K513" s="1"/>
  <c r="K514" s="1"/>
  <c r="Z37" i="11"/>
  <c r="AC37" s="1"/>
  <c r="I241" s="1"/>
  <c r="K241" s="1"/>
  <c r="K246" s="1"/>
  <c r="K248" s="1"/>
  <c r="AC13"/>
  <c r="C72" s="1"/>
  <c r="Z14"/>
  <c r="Z37" i="13"/>
  <c r="AC37" s="1"/>
  <c r="I241" s="1"/>
  <c r="K241" s="1"/>
  <c r="K246" s="1"/>
  <c r="K248" s="1"/>
  <c r="AC13"/>
  <c r="C72" s="1"/>
  <c r="Z14"/>
  <c r="F17" i="10" l="1"/>
  <c r="F18" s="1"/>
  <c r="H16"/>
  <c r="L3062" i="11"/>
  <c r="K3063"/>
  <c r="K3087" i="13"/>
  <c r="K3091" s="1"/>
  <c r="K3079"/>
  <c r="K3080" s="1"/>
  <c r="K2205" s="1"/>
  <c r="C296" i="9"/>
  <c r="J296" s="1"/>
  <c r="K4030" i="13"/>
  <c r="H140" i="9"/>
  <c r="D384" i="5"/>
  <c r="F384" s="1"/>
  <c r="P140" i="9"/>
  <c r="F140"/>
  <c r="J140"/>
  <c r="L140"/>
  <c r="R1050" i="1"/>
  <c r="P1072"/>
  <c r="R1072" s="1"/>
  <c r="K3201"/>
  <c r="K3212" s="1"/>
  <c r="K3214" s="1"/>
  <c r="C222" i="9" s="1"/>
  <c r="J222" s="1"/>
  <c r="V3200" i="1"/>
  <c r="X3200" s="1"/>
  <c r="X3211" s="1"/>
  <c r="X3213" s="1"/>
  <c r="C223" i="9" s="1"/>
  <c r="J223" s="1"/>
  <c r="D47" i="5"/>
  <c r="F47" s="1"/>
  <c r="P24" i="9"/>
  <c r="L24"/>
  <c r="H24"/>
  <c r="J24"/>
  <c r="F24"/>
  <c r="I585" i="1"/>
  <c r="K585"/>
  <c r="R1405"/>
  <c r="R1415" s="1"/>
  <c r="V1404"/>
  <c r="X1404" s="1"/>
  <c r="X1414" s="1"/>
  <c r="I2878"/>
  <c r="K2878" s="1"/>
  <c r="K2869"/>
  <c r="I3248"/>
  <c r="K3248" s="1"/>
  <c r="R3181"/>
  <c r="P3214"/>
  <c r="R3147"/>
  <c r="P3361"/>
  <c r="P3248"/>
  <c r="R3248" s="1"/>
  <c r="N3398" i="11"/>
  <c r="N3400" s="1"/>
  <c r="M3400"/>
  <c r="K3100" i="13"/>
  <c r="K3104" s="1"/>
  <c r="K3105" s="1"/>
  <c r="K2206" s="1"/>
  <c r="I3114"/>
  <c r="K3114" s="1"/>
  <c r="K3118" s="1"/>
  <c r="V1193" i="1"/>
  <c r="X1193" s="1"/>
  <c r="R1194"/>
  <c r="J75" i="9"/>
  <c r="H75"/>
  <c r="P75"/>
  <c r="F75"/>
  <c r="D304" i="5"/>
  <c r="F304" s="1"/>
  <c r="L75" i="9"/>
  <c r="D300" i="5"/>
  <c r="F300" s="1"/>
  <c r="F71" i="9"/>
  <c r="P71"/>
  <c r="L71"/>
  <c r="J71"/>
  <c r="H71"/>
  <c r="P193"/>
  <c r="H193"/>
  <c r="J193"/>
  <c r="D502" i="5"/>
  <c r="F502" s="1"/>
  <c r="F193" i="9"/>
  <c r="D20" i="20"/>
  <c r="F20" s="1"/>
  <c r="L193" i="9"/>
  <c r="I3221" i="1"/>
  <c r="K3221" s="1"/>
  <c r="P813"/>
  <c r="R813" s="1"/>
  <c r="K813"/>
  <c r="L97" i="9"/>
  <c r="D321" i="5"/>
  <c r="F321" s="1"/>
  <c r="J97" i="9"/>
  <c r="F97"/>
  <c r="H97"/>
  <c r="P97"/>
  <c r="T97" s="1"/>
  <c r="V97" s="1"/>
  <c r="R1082" i="1"/>
  <c r="R1084" s="1"/>
  <c r="C233" i="9" s="1"/>
  <c r="R1396" i="1"/>
  <c r="R1398" s="1"/>
  <c r="R1399" s="1"/>
  <c r="V1395"/>
  <c r="K3990" i="13"/>
  <c r="C273" i="9"/>
  <c r="J273" s="1"/>
  <c r="H150"/>
  <c r="L150"/>
  <c r="F150"/>
  <c r="P150"/>
  <c r="D393" i="5"/>
  <c r="F393" s="1"/>
  <c r="J150" i="9"/>
  <c r="K2188" i="1"/>
  <c r="C143" i="9" s="1"/>
  <c r="K2190" i="11"/>
  <c r="K3966" i="13"/>
  <c r="T101" i="9"/>
  <c r="V101" s="1"/>
  <c r="K3844" i="11"/>
  <c r="K3852" s="1"/>
  <c r="K3853" s="1"/>
  <c r="K3836"/>
  <c r="K3837" s="1"/>
  <c r="X2559" i="1"/>
  <c r="AC2559"/>
  <c r="AE2560" s="1"/>
  <c r="Z2559"/>
  <c r="C297" i="9"/>
  <c r="J297" s="1"/>
  <c r="K4031" i="13"/>
  <c r="K3092" i="11"/>
  <c r="L3091"/>
  <c r="R2559" i="1"/>
  <c r="R2566" s="1"/>
  <c r="R2568" s="1"/>
  <c r="C232" i="9" s="1"/>
  <c r="P3143" i="1"/>
  <c r="P3177"/>
  <c r="R3108"/>
  <c r="R3115" s="1"/>
  <c r="R3117" s="1"/>
  <c r="C234" i="9" s="1"/>
  <c r="L127"/>
  <c r="J127"/>
  <c r="D361" i="5"/>
  <c r="F361" s="1"/>
  <c r="H127" i="9"/>
  <c r="F127"/>
  <c r="P127"/>
  <c r="V1196" i="1"/>
  <c r="X1196" s="1"/>
  <c r="R1197"/>
  <c r="I3673" i="13"/>
  <c r="K3673" s="1"/>
  <c r="K3628"/>
  <c r="I3615" s="1"/>
  <c r="H90" i="9"/>
  <c r="P90"/>
  <c r="F90"/>
  <c r="J90"/>
  <c r="L90"/>
  <c r="K2198" i="11"/>
  <c r="K2196" i="1"/>
  <c r="K3984" i="13"/>
  <c r="C269" i="9"/>
  <c r="J269" s="1"/>
  <c r="H169"/>
  <c r="L169"/>
  <c r="P169"/>
  <c r="F169"/>
  <c r="J169"/>
  <c r="C32"/>
  <c r="K287" i="1"/>
  <c r="T106" i="9"/>
  <c r="V106" s="1"/>
  <c r="K512" i="1"/>
  <c r="K513" s="1"/>
  <c r="K514" s="1"/>
  <c r="L511"/>
  <c r="D409" i="5"/>
  <c r="F409" s="1"/>
  <c r="P165" i="9"/>
  <c r="L165"/>
  <c r="F165"/>
  <c r="H165"/>
  <c r="J165"/>
  <c r="X411" i="1"/>
  <c r="AC411"/>
  <c r="AE412" s="1"/>
  <c r="V163" i="9"/>
  <c r="T70"/>
  <c r="V70" s="1"/>
  <c r="H80"/>
  <c r="L80"/>
  <c r="F80"/>
  <c r="J80"/>
  <c r="P80"/>
  <c r="J230"/>
  <c r="D533" i="5"/>
  <c r="P283" i="1"/>
  <c r="R283" s="1"/>
  <c r="R288" s="1"/>
  <c r="R290" s="1"/>
  <c r="C68" i="9"/>
  <c r="I3188" i="1"/>
  <c r="K3188" s="1"/>
  <c r="K3163"/>
  <c r="I335"/>
  <c r="P179"/>
  <c r="R179" s="1"/>
  <c r="J152" i="9"/>
  <c r="D397" i="5"/>
  <c r="F397" s="1"/>
  <c r="L152" i="9"/>
  <c r="F152"/>
  <c r="P152"/>
  <c r="H152"/>
  <c r="K3934" i="13"/>
  <c r="K3936" s="1"/>
  <c r="L3910" i="11"/>
  <c r="L3911" s="1"/>
  <c r="K3835" i="13"/>
  <c r="K3836" s="1"/>
  <c r="K3843"/>
  <c r="K3851" s="1"/>
  <c r="K3852" s="1"/>
  <c r="K2184" i="11"/>
  <c r="K2182" i="1"/>
  <c r="C137" i="9" s="1"/>
  <c r="K3961" i="13"/>
  <c r="I2857" i="1"/>
  <c r="K2857" s="1"/>
  <c r="K2860" s="1"/>
  <c r="K2861" s="1"/>
  <c r="K2836"/>
  <c r="P104" i="9"/>
  <c r="H104"/>
  <c r="J104"/>
  <c r="D334" i="5"/>
  <c r="F334" s="1"/>
  <c r="F104" i="9"/>
  <c r="L104"/>
  <c r="D46" i="5"/>
  <c r="F46" s="1"/>
  <c r="L23" i="9"/>
  <c r="J23"/>
  <c r="F23"/>
  <c r="P23"/>
  <c r="T23" s="1"/>
  <c r="V23" s="1"/>
  <c r="H23"/>
  <c r="K842" i="1"/>
  <c r="K858"/>
  <c r="K467"/>
  <c r="K468" s="1"/>
  <c r="K469" s="1"/>
  <c r="K470" s="1"/>
  <c r="P634"/>
  <c r="R634" s="1"/>
  <c r="P30" i="9"/>
  <c r="F30"/>
  <c r="D63" i="5"/>
  <c r="F63" s="1"/>
  <c r="J30" i="9"/>
  <c r="H30"/>
  <c r="L30"/>
  <c r="L78"/>
  <c r="D307" i="5"/>
  <c r="F307" s="1"/>
  <c r="H78" i="9"/>
  <c r="F78"/>
  <c r="P78"/>
  <c r="T78" s="1"/>
  <c r="V78" s="1"/>
  <c r="J78"/>
  <c r="T73"/>
  <c r="V73" s="1"/>
  <c r="P121"/>
  <c r="D351" i="5"/>
  <c r="F351" s="1"/>
  <c r="J121" i="9"/>
  <c r="L121"/>
  <c r="F121"/>
  <c r="H121"/>
  <c r="K3975" i="13"/>
  <c r="K2206" i="11"/>
  <c r="C263" i="9"/>
  <c r="J263" s="1"/>
  <c r="K2204" i="1"/>
  <c r="P176" i="9"/>
  <c r="F176"/>
  <c r="J176"/>
  <c r="H176"/>
  <c r="L176"/>
  <c r="D418" i="5"/>
  <c r="F418" s="1"/>
  <c r="T15" i="9"/>
  <c r="V15" s="1"/>
  <c r="P131"/>
  <c r="J131"/>
  <c r="D369" i="5"/>
  <c r="F369" s="1"/>
  <c r="L131" i="9"/>
  <c r="H131"/>
  <c r="F131"/>
  <c r="K2210" i="1"/>
  <c r="C171" i="9" s="1"/>
  <c r="K4010" i="13"/>
  <c r="K4011"/>
  <c r="K2212" i="11"/>
  <c r="V10" i="9"/>
  <c r="V221"/>
  <c r="E9" i="14"/>
  <c r="F9" s="1"/>
  <c r="G9" s="1"/>
  <c r="F525" i="5"/>
  <c r="P1199" i="1"/>
  <c r="R1177"/>
  <c r="T1176" s="1"/>
  <c r="K3895" i="11"/>
  <c r="L3895"/>
  <c r="K2186" i="1"/>
  <c r="C141" i="9" s="1"/>
  <c r="K2188" i="11"/>
  <c r="K3965" i="13"/>
  <c r="X1394" i="1"/>
  <c r="V1418"/>
  <c r="X1418" s="1"/>
  <c r="T66" i="9"/>
  <c r="V66" s="1"/>
  <c r="T72"/>
  <c r="V72" s="1"/>
  <c r="T69"/>
  <c r="V69" s="1"/>
  <c r="I2868" i="1"/>
  <c r="K2849"/>
  <c r="R1061"/>
  <c r="R1063" s="1"/>
  <c r="V1396"/>
  <c r="R1397"/>
  <c r="L3366" i="11"/>
  <c r="K3992" i="13"/>
  <c r="C275" i="9"/>
  <c r="J275" s="1"/>
  <c r="T198"/>
  <c r="V198" s="1"/>
  <c r="T184"/>
  <c r="V184" s="1"/>
  <c r="T120"/>
  <c r="V120" s="1"/>
  <c r="C291"/>
  <c r="J291" s="1"/>
  <c r="K4025" i="13"/>
  <c r="K3874" i="11"/>
  <c r="K3875" s="1"/>
  <c r="L3873"/>
  <c r="M3873" s="1"/>
  <c r="P3278" i="1"/>
  <c r="R3278" s="1"/>
  <c r="P3312"/>
  <c r="R3312" s="1"/>
  <c r="R3209"/>
  <c r="C298" i="9"/>
  <c r="J298" s="1"/>
  <c r="K4032" i="13"/>
  <c r="K2203" i="1"/>
  <c r="K3973" i="13"/>
  <c r="K2205" i="11"/>
  <c r="T156" i="9"/>
  <c r="V156" s="1"/>
  <c r="T16"/>
  <c r="V16" s="1"/>
  <c r="K2566" i="1"/>
  <c r="K2568" s="1"/>
  <c r="X2558"/>
  <c r="X2565" s="1"/>
  <c r="X2567" s="1"/>
  <c r="C221" i="9" s="1"/>
  <c r="AC2558" i="1"/>
  <c r="AE2559" s="1"/>
  <c r="Z2558"/>
  <c r="Z2564" s="1"/>
  <c r="Z2565" s="1"/>
  <c r="L122" i="9"/>
  <c r="J122"/>
  <c r="F122"/>
  <c r="P122"/>
  <c r="H122"/>
  <c r="D352" i="5"/>
  <c r="F352" s="1"/>
  <c r="K2356" i="11"/>
  <c r="K2357" s="1"/>
  <c r="C259" i="9"/>
  <c r="J259" s="1"/>
  <c r="K3970" i="13"/>
  <c r="V1200" i="1"/>
  <c r="X1200" s="1"/>
  <c r="P1296"/>
  <c r="R1296" s="1"/>
  <c r="R1201"/>
  <c r="P203" i="9"/>
  <c r="L203"/>
  <c r="F203"/>
  <c r="H203"/>
  <c r="J203"/>
  <c r="L3894" i="13"/>
  <c r="K3894"/>
  <c r="T178" i="9"/>
  <c r="V178" s="1"/>
  <c r="I586" i="11"/>
  <c r="K586"/>
  <c r="H25" i="9"/>
  <c r="D10" i="20"/>
  <c r="F10" s="1"/>
  <c r="F25" i="9"/>
  <c r="L25"/>
  <c r="D13" i="16"/>
  <c r="F13" s="1"/>
  <c r="P25" i="9"/>
  <c r="D52" i="5"/>
  <c r="F52" s="1"/>
  <c r="J25" i="9"/>
  <c r="T9"/>
  <c r="P2261" i="1"/>
  <c r="R2261" s="1"/>
  <c r="R2264" s="1"/>
  <c r="I543"/>
  <c r="K543" s="1"/>
  <c r="C54" i="9"/>
  <c r="H177"/>
  <c r="L177"/>
  <c r="J177"/>
  <c r="P177"/>
  <c r="T177" s="1"/>
  <c r="V177" s="1"/>
  <c r="F177"/>
  <c r="T18"/>
  <c r="V18" s="1"/>
  <c r="L1291" i="1"/>
  <c r="L1289"/>
  <c r="K1918"/>
  <c r="C123" i="9" s="1"/>
  <c r="T79"/>
  <c r="V79" s="1"/>
  <c r="R1170" i="1"/>
  <c r="P1192"/>
  <c r="D410" i="5"/>
  <c r="F410" s="1"/>
  <c r="P166" i="9"/>
  <c r="L166"/>
  <c r="F166"/>
  <c r="H166"/>
  <c r="J166"/>
  <c r="I3147" i="1"/>
  <c r="K3147" s="1"/>
  <c r="K3132"/>
  <c r="P1295"/>
  <c r="R1295" s="1"/>
  <c r="V1199"/>
  <c r="X1199" s="1"/>
  <c r="R1200"/>
  <c r="I296"/>
  <c r="K296" s="1"/>
  <c r="K303" s="1"/>
  <c r="K305" s="1"/>
  <c r="C27" i="9" s="1"/>
  <c r="I1321" i="1"/>
  <c r="K1321" s="1"/>
  <c r="K1327" s="1"/>
  <c r="K1329" s="1"/>
  <c r="AC310"/>
  <c r="AE311" s="1"/>
  <c r="P335"/>
  <c r="R335" s="1"/>
  <c r="R341" s="1"/>
  <c r="R343" s="1"/>
  <c r="P80"/>
  <c r="R80" s="1"/>
  <c r="R87" s="1"/>
  <c r="R89" s="1"/>
  <c r="V310"/>
  <c r="X310" s="1"/>
  <c r="X317" s="1"/>
  <c r="X319" s="1"/>
  <c r="X321" s="1"/>
  <c r="I1394"/>
  <c r="K1394" s="1"/>
  <c r="K1399" s="1"/>
  <c r="K1401" s="1"/>
  <c r="C83" i="9" s="1"/>
  <c r="I1407" i="1"/>
  <c r="K1407" s="1"/>
  <c r="K1412" s="1"/>
  <c r="K1414" s="1"/>
  <c r="C84" i="9" s="1"/>
  <c r="I3173" i="1"/>
  <c r="K3173" s="1"/>
  <c r="K3179" s="1"/>
  <c r="K3181" s="1"/>
  <c r="I1382"/>
  <c r="K1382" s="1"/>
  <c r="K1387" s="1"/>
  <c r="K1389" s="1"/>
  <c r="C82" i="9" s="1"/>
  <c r="I3458" i="1"/>
  <c r="K3458" s="1"/>
  <c r="K3464" s="1"/>
  <c r="K3466" s="1"/>
  <c r="C77" i="9" s="1"/>
  <c r="I311" i="1"/>
  <c r="K311" s="1"/>
  <c r="K318" s="1"/>
  <c r="K320" s="1"/>
  <c r="I195"/>
  <c r="K195" s="1"/>
  <c r="K201" s="1"/>
  <c r="K203" s="1"/>
  <c r="T142" i="9"/>
  <c r="V142" s="1"/>
  <c r="T188"/>
  <c r="V188" s="1"/>
  <c r="K2883" i="11"/>
  <c r="K2884" s="1"/>
  <c r="K2890"/>
  <c r="K2898" s="1"/>
  <c r="K2899" s="1"/>
  <c r="K2851" i="1"/>
  <c r="K2852" s="1"/>
  <c r="I2710"/>
  <c r="K2710" s="1"/>
  <c r="K2717" s="1"/>
  <c r="K2719" s="1"/>
  <c r="C257" i="9" s="1"/>
  <c r="J257" s="1"/>
  <c r="K2913" i="1"/>
  <c r="K2920" s="1"/>
  <c r="K2922" s="1"/>
  <c r="C26" i="9"/>
  <c r="K785" i="1"/>
  <c r="K786" s="1"/>
  <c r="K787" s="1"/>
  <c r="K788" s="1"/>
  <c r="K789" s="1"/>
  <c r="K812"/>
  <c r="K824" s="1"/>
  <c r="P812"/>
  <c r="R812" s="1"/>
  <c r="R824" s="1"/>
  <c r="I3220"/>
  <c r="K3220" s="1"/>
  <c r="K3232" s="1"/>
  <c r="C65" i="9"/>
  <c r="I2362" i="1"/>
  <c r="K2362" s="1"/>
  <c r="K2367" s="1"/>
  <c r="K2369" s="1"/>
  <c r="C256" i="9" s="1"/>
  <c r="J256" s="1"/>
  <c r="K355" i="1"/>
  <c r="K362" s="1"/>
  <c r="K364" s="1"/>
  <c r="K366" s="1"/>
  <c r="V354"/>
  <c r="H182" i="9"/>
  <c r="D425" i="5"/>
  <c r="F425" s="1"/>
  <c r="P182" i="9"/>
  <c r="L182"/>
  <c r="F182"/>
  <c r="J182"/>
  <c r="P266" i="1"/>
  <c r="R266" s="1"/>
  <c r="R270" s="1"/>
  <c r="R272" s="1"/>
  <c r="R274" s="1"/>
  <c r="R275" s="1"/>
  <c r="R276" s="1"/>
  <c r="R277" s="1"/>
  <c r="I425"/>
  <c r="K425" s="1"/>
  <c r="K429" s="1"/>
  <c r="K431" s="1"/>
  <c r="K433" s="1"/>
  <c r="K434" s="1"/>
  <c r="K435" s="1"/>
  <c r="K436" s="1"/>
  <c r="K437" s="1"/>
  <c r="V378"/>
  <c r="K379"/>
  <c r="K386" s="1"/>
  <c r="K388" s="1"/>
  <c r="I393" s="1"/>
  <c r="K393" s="1"/>
  <c r="K397" s="1"/>
  <c r="K399" s="1"/>
  <c r="K3971" i="13"/>
  <c r="C260" i="9"/>
  <c r="J260" s="1"/>
  <c r="P633" i="13"/>
  <c r="R633" s="1"/>
  <c r="P590"/>
  <c r="R590" s="1"/>
  <c r="P576"/>
  <c r="R576" s="1"/>
  <c r="I1287"/>
  <c r="K1287" s="1"/>
  <c r="I1309"/>
  <c r="K1309" s="1"/>
  <c r="I1287" i="11"/>
  <c r="K1287" s="1"/>
  <c r="I1309"/>
  <c r="K1309" s="1"/>
  <c r="P590"/>
  <c r="R590" s="1"/>
  <c r="P576"/>
  <c r="R576" s="1"/>
  <c r="P633"/>
  <c r="R633" s="1"/>
  <c r="Z15" i="13"/>
  <c r="AC15" s="1"/>
  <c r="AC14"/>
  <c r="AC14" i="11"/>
  <c r="Z15"/>
  <c r="AC15" s="1"/>
  <c r="H17" i="10" l="1"/>
  <c r="F21"/>
  <c r="F19"/>
  <c r="F20"/>
  <c r="D529" i="5"/>
  <c r="J221" i="9"/>
  <c r="X354" i="1"/>
  <c r="X361" s="1"/>
  <c r="X363" s="1"/>
  <c r="AC354"/>
  <c r="AE355" s="1"/>
  <c r="X378"/>
  <c r="X385" s="1"/>
  <c r="X387" s="1"/>
  <c r="V392" s="1"/>
  <c r="X392" s="1"/>
  <c r="X396" s="1"/>
  <c r="X398" s="1"/>
  <c r="X400" s="1"/>
  <c r="X401" s="1"/>
  <c r="X402" s="1"/>
  <c r="X403" s="1"/>
  <c r="X404" s="1"/>
  <c r="AC378"/>
  <c r="AE379" s="1"/>
  <c r="V409"/>
  <c r="T182" i="9"/>
  <c r="V182" s="1"/>
  <c r="K367" i="1"/>
  <c r="L367" s="1"/>
  <c r="J366"/>
  <c r="L65" i="9"/>
  <c r="F65"/>
  <c r="P65"/>
  <c r="D295" i="5"/>
  <c r="F295" s="1"/>
  <c r="J65" i="9"/>
  <c r="H65"/>
  <c r="K2185" i="11"/>
  <c r="K3962" i="13"/>
  <c r="K2183" i="1"/>
  <c r="C138" i="9" s="1"/>
  <c r="C28"/>
  <c r="K322" i="1"/>
  <c r="P602"/>
  <c r="R602" s="1"/>
  <c r="P601"/>
  <c r="R601" s="1"/>
  <c r="P82" i="9"/>
  <c r="D310" i="5"/>
  <c r="F310" s="1"/>
  <c r="H82" i="9"/>
  <c r="L82"/>
  <c r="J82"/>
  <c r="F82"/>
  <c r="L84"/>
  <c r="F84"/>
  <c r="H84"/>
  <c r="D312" i="5"/>
  <c r="F312" s="1"/>
  <c r="J84" i="9"/>
  <c r="P84"/>
  <c r="T84" s="1"/>
  <c r="V84" s="1"/>
  <c r="X322" i="1"/>
  <c r="Y321"/>
  <c r="D24" i="16"/>
  <c r="F24" s="1"/>
  <c r="P605" i="1"/>
  <c r="R605" s="1"/>
  <c r="C76" i="9"/>
  <c r="L3147" i="1"/>
  <c r="L3150" s="1"/>
  <c r="L3152" s="1"/>
  <c r="K3150"/>
  <c r="K3152" s="1"/>
  <c r="R1182"/>
  <c r="R1184" s="1"/>
  <c r="T1169"/>
  <c r="T1181" s="1"/>
  <c r="T1183" s="1"/>
  <c r="F123" i="9"/>
  <c r="H123"/>
  <c r="L123"/>
  <c r="P123"/>
  <c r="D353" i="5"/>
  <c r="F353" s="1"/>
  <c r="J123" i="9"/>
  <c r="C55"/>
  <c r="I544" i="1"/>
  <c r="K544" s="1"/>
  <c r="V9" i="9"/>
  <c r="T25"/>
  <c r="V25" s="1"/>
  <c r="K587" i="11"/>
  <c r="I587"/>
  <c r="T122" i="9"/>
  <c r="V122" s="1"/>
  <c r="C197"/>
  <c r="C157"/>
  <c r="C294"/>
  <c r="J294" s="1"/>
  <c r="K4028" i="13"/>
  <c r="V1420" i="1"/>
  <c r="X1420" s="1"/>
  <c r="X1396"/>
  <c r="T176" i="9"/>
  <c r="V176" s="1"/>
  <c r="T121"/>
  <c r="V121" s="1"/>
  <c r="I2867" i="1"/>
  <c r="K2867" s="1"/>
  <c r="K2837"/>
  <c r="I2876" s="1"/>
  <c r="K2876" s="1"/>
  <c r="K3937" i="13"/>
  <c r="K3943"/>
  <c r="K3947" s="1"/>
  <c r="K3948" s="1"/>
  <c r="T152" i="9"/>
  <c r="V152" s="1"/>
  <c r="K335" i="1"/>
  <c r="K342" s="1"/>
  <c r="K344" s="1"/>
  <c r="K346" s="1"/>
  <c r="V334"/>
  <c r="K3194"/>
  <c r="K3196" s="1"/>
  <c r="C311" i="9" s="1"/>
  <c r="J311" s="1"/>
  <c r="L3188" i="1"/>
  <c r="L3194" s="1"/>
  <c r="L3196" s="1"/>
  <c r="D297" i="5"/>
  <c r="F297" s="1"/>
  <c r="P68" i="9"/>
  <c r="F68"/>
  <c r="L68"/>
  <c r="J68"/>
  <c r="H68"/>
  <c r="T80"/>
  <c r="V80" s="1"/>
  <c r="C33"/>
  <c r="K288" i="1"/>
  <c r="T169" i="9"/>
  <c r="V169" s="1"/>
  <c r="T90"/>
  <c r="V90" s="1"/>
  <c r="K3615" i="13"/>
  <c r="K3619" s="1"/>
  <c r="I3636" s="1"/>
  <c r="K3636" s="1"/>
  <c r="K3637" s="1"/>
  <c r="K2212" s="1"/>
  <c r="I3645"/>
  <c r="K3645" s="1"/>
  <c r="K3649" s="1"/>
  <c r="T127" i="9"/>
  <c r="V127" s="1"/>
  <c r="I3244" i="1"/>
  <c r="K3244" s="1"/>
  <c r="K3250" s="1"/>
  <c r="K3252" s="1"/>
  <c r="C236" i="9" s="1"/>
  <c r="R3177" i="1"/>
  <c r="R3184" s="1"/>
  <c r="R3186" s="1"/>
  <c r="C235" i="9" s="1"/>
  <c r="J232"/>
  <c r="D535" i="5"/>
  <c r="C262" i="9"/>
  <c r="J262" s="1"/>
  <c r="K3974" i="13"/>
  <c r="K4026"/>
  <c r="C292" i="9"/>
  <c r="J292" s="1"/>
  <c r="T150"/>
  <c r="V150" s="1"/>
  <c r="X1395" i="1"/>
  <c r="X1397" s="1"/>
  <c r="X1398" s="1"/>
  <c r="V1419"/>
  <c r="X1419" s="1"/>
  <c r="J233" i="9"/>
  <c r="D536" i="5"/>
  <c r="T193" i="9"/>
  <c r="V193" s="1"/>
  <c r="T71"/>
  <c r="V71" s="1"/>
  <c r="T75"/>
  <c r="V75" s="1"/>
  <c r="L3119" i="13"/>
  <c r="K3119"/>
  <c r="I586" i="1"/>
  <c r="K586"/>
  <c r="T24" i="9"/>
  <c r="V24" s="1"/>
  <c r="T140"/>
  <c r="V140" s="1"/>
  <c r="K401" i="1"/>
  <c r="C45" i="9"/>
  <c r="P26"/>
  <c r="J26"/>
  <c r="H26"/>
  <c r="D53" i="5"/>
  <c r="F53" s="1"/>
  <c r="F26" i="9"/>
  <c r="L26"/>
  <c r="K2186" i="11"/>
  <c r="K2184" i="1"/>
  <c r="C139" i="9" s="1"/>
  <c r="K3963" i="13"/>
  <c r="C22" i="9"/>
  <c r="I1710" i="1"/>
  <c r="K1710" s="1"/>
  <c r="K1719" s="1"/>
  <c r="C63" i="9"/>
  <c r="H77"/>
  <c r="J77"/>
  <c r="F77"/>
  <c r="P77"/>
  <c r="T77" s="1"/>
  <c r="V77" s="1"/>
  <c r="L77"/>
  <c r="J83"/>
  <c r="L83"/>
  <c r="D33" i="16"/>
  <c r="F33" s="1"/>
  <c r="P83" i="9"/>
  <c r="D311" i="5"/>
  <c r="F311" s="1"/>
  <c r="H83" i="9"/>
  <c r="F83"/>
  <c r="P631" i="1"/>
  <c r="R631" s="1"/>
  <c r="R641" s="1"/>
  <c r="P574"/>
  <c r="R574" s="1"/>
  <c r="R580" s="1"/>
  <c r="P588"/>
  <c r="R588" s="1"/>
  <c r="R594" s="1"/>
  <c r="D54" i="5"/>
  <c r="F54" s="1"/>
  <c r="J27" i="9"/>
  <c r="H27"/>
  <c r="F27"/>
  <c r="P27"/>
  <c r="T27" s="1"/>
  <c r="V27" s="1"/>
  <c r="L27"/>
  <c r="L3132" i="1"/>
  <c r="L3135" s="1"/>
  <c r="L3137" s="1"/>
  <c r="K3135"/>
  <c r="K3137" s="1"/>
  <c r="C309" i="9" s="1"/>
  <c r="J309" s="1"/>
  <c r="T166"/>
  <c r="V166" s="1"/>
  <c r="V1191" i="1"/>
  <c r="X1191" s="1"/>
  <c r="R1192"/>
  <c r="L54" i="9"/>
  <c r="P54"/>
  <c r="T54" s="1"/>
  <c r="H54"/>
  <c r="F54"/>
  <c r="J54"/>
  <c r="T203"/>
  <c r="V203" s="1"/>
  <c r="K2868" i="1"/>
  <c r="I2877"/>
  <c r="K2877" s="1"/>
  <c r="X1421"/>
  <c r="X1422" s="1"/>
  <c r="P141" i="9"/>
  <c r="T141" s="1"/>
  <c r="H141"/>
  <c r="F141"/>
  <c r="J141"/>
  <c r="D385" i="5"/>
  <c r="F385" s="1"/>
  <c r="L141" i="9"/>
  <c r="C295"/>
  <c r="J295" s="1"/>
  <c r="K4029" i="13"/>
  <c r="V1198" i="1"/>
  <c r="X1198" s="1"/>
  <c r="R1199"/>
  <c r="P1294"/>
  <c r="R1294" s="1"/>
  <c r="R1299" s="1"/>
  <c r="R1301" s="1"/>
  <c r="H171" i="9"/>
  <c r="J171"/>
  <c r="D413" i="5"/>
  <c r="F413" s="1"/>
  <c r="P171" i="9"/>
  <c r="F171"/>
  <c r="L171"/>
  <c r="T131"/>
  <c r="V131" s="1"/>
  <c r="C158"/>
  <c r="C196"/>
  <c r="T30"/>
  <c r="V30" s="1"/>
  <c r="T104"/>
  <c r="V104" s="1"/>
  <c r="P137"/>
  <c r="D381" i="5"/>
  <c r="F381" s="1"/>
  <c r="J137" i="9"/>
  <c r="F137"/>
  <c r="H137"/>
  <c r="L137"/>
  <c r="L3163" i="1"/>
  <c r="L3166" s="1"/>
  <c r="K3166"/>
  <c r="K3168" s="1"/>
  <c r="C308" i="9" s="1"/>
  <c r="J308" s="1"/>
  <c r="T165"/>
  <c r="V165" s="1"/>
  <c r="D65" i="5"/>
  <c r="F65" s="1"/>
  <c r="H32" i="9"/>
  <c r="F32"/>
  <c r="D14" i="16"/>
  <c r="F14" s="1"/>
  <c r="L32" i="9"/>
  <c r="P32"/>
  <c r="T32" s="1"/>
  <c r="V32" s="1"/>
  <c r="J32"/>
  <c r="I3659" i="13"/>
  <c r="K3659" s="1"/>
  <c r="K3672" s="1"/>
  <c r="I3669"/>
  <c r="K3669" s="1"/>
  <c r="J234" i="9"/>
  <c r="D537" i="5"/>
  <c r="P3244" i="1"/>
  <c r="R3244" s="1"/>
  <c r="R3251" s="1"/>
  <c r="R3253" s="1"/>
  <c r="P3357"/>
  <c r="R3143"/>
  <c r="R3150" s="1"/>
  <c r="R3152" s="1"/>
  <c r="P3210"/>
  <c r="K4027" i="13"/>
  <c r="C293" i="9"/>
  <c r="J293" s="1"/>
  <c r="J143"/>
  <c r="P143"/>
  <c r="L143"/>
  <c r="D387" i="5"/>
  <c r="F387" s="1"/>
  <c r="H143" i="9"/>
  <c r="F143"/>
  <c r="P3317" i="1"/>
  <c r="R3317" s="1"/>
  <c r="R3214"/>
  <c r="P3283"/>
  <c r="R3283" s="1"/>
  <c r="L3091" i="13"/>
  <c r="K3092"/>
  <c r="C261" i="9"/>
  <c r="J261" s="1"/>
  <c r="K3972" i="13"/>
  <c r="I2682" i="11"/>
  <c r="K2682" s="1"/>
  <c r="I174"/>
  <c r="K174" s="1"/>
  <c r="K178" s="1"/>
  <c r="C73"/>
  <c r="I166" i="13"/>
  <c r="K166" s="1"/>
  <c r="K170" s="1"/>
  <c r="I2615"/>
  <c r="K2615" s="1"/>
  <c r="K2620" s="1"/>
  <c r="C74"/>
  <c r="I194" s="1"/>
  <c r="K194" s="1"/>
  <c r="K201" s="1"/>
  <c r="K203" s="1"/>
  <c r="I1712" s="1"/>
  <c r="K1712" s="1"/>
  <c r="K1721" s="1"/>
  <c r="I2681"/>
  <c r="K2681" s="1"/>
  <c r="K2685" s="1"/>
  <c r="K2687" s="1"/>
  <c r="I2692"/>
  <c r="K2692" s="1"/>
  <c r="K2696" s="1"/>
  <c r="C74" i="11"/>
  <c r="I194" s="1"/>
  <c r="K194" s="1"/>
  <c r="K201" s="1"/>
  <c r="K203" s="1"/>
  <c r="I1712" s="1"/>
  <c r="K1712" s="1"/>
  <c r="K1721" s="1"/>
  <c r="I2615"/>
  <c r="K2615" s="1"/>
  <c r="K2620" s="1"/>
  <c r="I2692"/>
  <c r="K2692" s="1"/>
  <c r="K2696" s="1"/>
  <c r="I2681"/>
  <c r="K2681" s="1"/>
  <c r="K2685" s="1"/>
  <c r="K2687" s="1"/>
  <c r="I166"/>
  <c r="K166" s="1"/>
  <c r="K170" s="1"/>
  <c r="I2682" i="13"/>
  <c r="K2682" s="1"/>
  <c r="C73"/>
  <c r="I174"/>
  <c r="K174" s="1"/>
  <c r="K178" s="1"/>
  <c r="F23" i="10" l="1"/>
  <c r="F24" s="1"/>
  <c r="H19"/>
  <c r="H18"/>
  <c r="H21"/>
  <c r="H20"/>
  <c r="T143" i="9"/>
  <c r="V143" s="1"/>
  <c r="P3313" i="1"/>
  <c r="R3313" s="1"/>
  <c r="R3320" s="1"/>
  <c r="R3322" s="1"/>
  <c r="C241" i="9" s="1"/>
  <c r="R3210" i="1"/>
  <c r="R3217" s="1"/>
  <c r="R3219" s="1"/>
  <c r="C242" i="9" s="1"/>
  <c r="P3279" i="1"/>
  <c r="R3279" s="1"/>
  <c r="R3286" s="1"/>
  <c r="R3288" s="1"/>
  <c r="C240" i="9" s="1"/>
  <c r="L196"/>
  <c r="F196"/>
  <c r="P196"/>
  <c r="D505" i="5"/>
  <c r="F505" s="1"/>
  <c r="J196" i="9"/>
  <c r="H196"/>
  <c r="X1203" i="1"/>
  <c r="X1205" s="1"/>
  <c r="T83" i="9"/>
  <c r="V83" s="1"/>
  <c r="T26"/>
  <c r="V26" s="1"/>
  <c r="K402" i="1"/>
  <c r="J401"/>
  <c r="D22" i="16"/>
  <c r="C46" i="9"/>
  <c r="J236"/>
  <c r="D539" i="5"/>
  <c r="K289" i="1"/>
  <c r="C34" i="9"/>
  <c r="C38"/>
  <c r="L346" i="1"/>
  <c r="K347"/>
  <c r="K2879"/>
  <c r="K2880" s="1"/>
  <c r="P157" i="9"/>
  <c r="L157"/>
  <c r="H157"/>
  <c r="D402" i="5"/>
  <c r="F402" s="1"/>
  <c r="F157" i="9"/>
  <c r="J157"/>
  <c r="C56"/>
  <c r="I545" i="1"/>
  <c r="K545" s="1"/>
  <c r="T123" i="9"/>
  <c r="V123" s="1"/>
  <c r="C310"/>
  <c r="J310" s="1"/>
  <c r="C93"/>
  <c r="J76"/>
  <c r="D306" i="5"/>
  <c r="F306" s="1"/>
  <c r="P76" i="9"/>
  <c r="L76"/>
  <c r="H76"/>
  <c r="F76"/>
  <c r="X323" i="1"/>
  <c r="X324" s="1"/>
  <c r="X325" s="1"/>
  <c r="Y322"/>
  <c r="T82" i="9"/>
  <c r="V82" s="1"/>
  <c r="H28"/>
  <c r="L28"/>
  <c r="P28"/>
  <c r="D56" i="5"/>
  <c r="F56" s="1"/>
  <c r="F28" i="9"/>
  <c r="J28"/>
  <c r="C237"/>
  <c r="J237" s="1"/>
  <c r="C243"/>
  <c r="J243" s="1"/>
  <c r="T137"/>
  <c r="V137" s="1"/>
  <c r="P158"/>
  <c r="H158"/>
  <c r="F158"/>
  <c r="J158"/>
  <c r="D403" i="5"/>
  <c r="F403" s="1"/>
  <c r="L158" i="9"/>
  <c r="T171"/>
  <c r="V171" s="1"/>
  <c r="V141"/>
  <c r="V54"/>
  <c r="R1204" i="1"/>
  <c r="R1206" s="1"/>
  <c r="C227" i="9" s="1"/>
  <c r="J227" s="1"/>
  <c r="L63"/>
  <c r="D12" i="20"/>
  <c r="H63" i="9"/>
  <c r="F63"/>
  <c r="P63"/>
  <c r="J63"/>
  <c r="D288" i="5"/>
  <c r="F288" s="1"/>
  <c r="D9" i="20"/>
  <c r="F9" s="1"/>
  <c r="D45" i="5"/>
  <c r="F45" s="1"/>
  <c r="D10" i="16"/>
  <c r="F10" s="1"/>
  <c r="J22" i="9"/>
  <c r="P22"/>
  <c r="F22"/>
  <c r="H22"/>
  <c r="L22"/>
  <c r="J139"/>
  <c r="L139"/>
  <c r="F139"/>
  <c r="H139"/>
  <c r="P139"/>
  <c r="T139" s="1"/>
  <c r="V139" s="1"/>
  <c r="D383" i="5"/>
  <c r="F383" s="1"/>
  <c r="J45" i="9"/>
  <c r="D120" i="5"/>
  <c r="F120" s="1"/>
  <c r="F45" i="9"/>
  <c r="H45"/>
  <c r="L45"/>
  <c r="P45"/>
  <c r="J235"/>
  <c r="D538" i="5"/>
  <c r="P33" i="9"/>
  <c r="D66" i="5"/>
  <c r="F66" s="1"/>
  <c r="J33" i="9"/>
  <c r="L33"/>
  <c r="F33"/>
  <c r="H33"/>
  <c r="T68"/>
  <c r="V68" s="1"/>
  <c r="X334" i="1"/>
  <c r="X341" s="1"/>
  <c r="X343" s="1"/>
  <c r="X345" s="1"/>
  <c r="X346" s="1"/>
  <c r="X347" s="1"/>
  <c r="X348" s="1"/>
  <c r="X349" s="1"/>
  <c r="AC334"/>
  <c r="AE335" s="1"/>
  <c r="K2870"/>
  <c r="K2871" s="1"/>
  <c r="L197" i="9"/>
  <c r="J197"/>
  <c r="D506" i="5"/>
  <c r="F506" s="1"/>
  <c r="H197" i="9"/>
  <c r="P197"/>
  <c r="T197" s="1"/>
  <c r="D43" i="16"/>
  <c r="F197" i="9"/>
  <c r="L55"/>
  <c r="P55"/>
  <c r="J55"/>
  <c r="H55"/>
  <c r="F55"/>
  <c r="C226"/>
  <c r="S1184" i="1"/>
  <c r="R611"/>
  <c r="K323"/>
  <c r="D16" i="16"/>
  <c r="L322" i="1"/>
  <c r="J138" i="9"/>
  <c r="D382" i="5"/>
  <c r="F382" s="1"/>
  <c r="H138" i="9"/>
  <c r="L138"/>
  <c r="F138"/>
  <c r="P138"/>
  <c r="T138" s="1"/>
  <c r="V138" s="1"/>
  <c r="T65"/>
  <c r="V65" s="1"/>
  <c r="K368" i="1"/>
  <c r="J367"/>
  <c r="AC409"/>
  <c r="AE410" s="1"/>
  <c r="X409"/>
  <c r="X416" s="1"/>
  <c r="X418" s="1"/>
  <c r="V424" s="1"/>
  <c r="X424" s="1"/>
  <c r="X428" s="1"/>
  <c r="X430" s="1"/>
  <c r="X432" s="1"/>
  <c r="X433" s="1"/>
  <c r="X434" s="1"/>
  <c r="X435" s="1"/>
  <c r="X436" s="1"/>
  <c r="X365"/>
  <c r="I771" i="13"/>
  <c r="K771" s="1"/>
  <c r="K779" s="1"/>
  <c r="K781" s="1"/>
  <c r="P604"/>
  <c r="R604" s="1"/>
  <c r="I1636"/>
  <c r="K1636" s="1"/>
  <c r="K1642" s="1"/>
  <c r="K1644" s="1"/>
  <c r="I269"/>
  <c r="K269" s="1"/>
  <c r="K277" s="1"/>
  <c r="K279" s="1"/>
  <c r="I209"/>
  <c r="K209" s="1"/>
  <c r="K216" s="1"/>
  <c r="K218" s="1"/>
  <c r="P65"/>
  <c r="R65" s="1"/>
  <c r="R72" s="1"/>
  <c r="R74" s="1"/>
  <c r="P631" s="1"/>
  <c r="R631" s="1"/>
  <c r="R642" s="1"/>
  <c r="I269" i="11"/>
  <c r="K269" s="1"/>
  <c r="K277" s="1"/>
  <c r="K279" s="1"/>
  <c r="I209"/>
  <c r="K209" s="1"/>
  <c r="K216" s="1"/>
  <c r="K218" s="1"/>
  <c r="P604"/>
  <c r="R604" s="1"/>
  <c r="I1636"/>
  <c r="K1636" s="1"/>
  <c r="K1642" s="1"/>
  <c r="K1644" s="1"/>
  <c r="I771"/>
  <c r="K771" s="1"/>
  <c r="K779" s="1"/>
  <c r="K781" s="1"/>
  <c r="P65"/>
  <c r="R65" s="1"/>
  <c r="R72" s="1"/>
  <c r="R74" s="1"/>
  <c r="P631" s="1"/>
  <c r="R631" s="1"/>
  <c r="R642" s="1"/>
  <c r="G28" i="10" l="1"/>
  <c r="H27"/>
  <c r="K369" i="1"/>
  <c r="K370" s="1"/>
  <c r="L368"/>
  <c r="J371"/>
  <c r="L323"/>
  <c r="K324"/>
  <c r="K325" s="1"/>
  <c r="K326" s="1"/>
  <c r="D17" i="20"/>
  <c r="F17" s="1"/>
  <c r="F43" i="16"/>
  <c r="T45" i="9"/>
  <c r="V45" s="1"/>
  <c r="T63"/>
  <c r="V63" s="1"/>
  <c r="T158"/>
  <c r="V158" s="1"/>
  <c r="K371" i="1"/>
  <c r="T28" i="9"/>
  <c r="V28" s="1"/>
  <c r="H93"/>
  <c r="F93"/>
  <c r="P93"/>
  <c r="J93"/>
  <c r="L93"/>
  <c r="H56"/>
  <c r="F56"/>
  <c r="P56"/>
  <c r="L56"/>
  <c r="J56"/>
  <c r="T157"/>
  <c r="V157" s="1"/>
  <c r="K348" i="1"/>
  <c r="C39" i="9"/>
  <c r="L347" i="1"/>
  <c r="H38" i="9"/>
  <c r="F38"/>
  <c r="P38"/>
  <c r="D83" i="5"/>
  <c r="F83" s="1"/>
  <c r="J38" i="9"/>
  <c r="D19" i="16"/>
  <c r="F19" s="1"/>
  <c r="L38" i="9"/>
  <c r="K290" i="1"/>
  <c r="C36" i="9" s="1"/>
  <c r="C35"/>
  <c r="J402" i="1"/>
  <c r="C47" i="9"/>
  <c r="K403" i="1"/>
  <c r="J240" i="9"/>
  <c r="D540" i="5"/>
  <c r="J241" i="9"/>
  <c r="D541" i="5"/>
  <c r="X366" i="1"/>
  <c r="X367" s="1"/>
  <c r="X368" s="1"/>
  <c r="X369" s="1"/>
  <c r="Y366"/>
  <c r="C64" i="9" s="1"/>
  <c r="D11" i="20"/>
  <c r="F11" s="1"/>
  <c r="F22" s="1"/>
  <c r="D8" i="21" s="1"/>
  <c r="F8" s="1"/>
  <c r="F16" i="16"/>
  <c r="D531" i="5"/>
  <c r="J226" i="9"/>
  <c r="T55"/>
  <c r="V55" s="1"/>
  <c r="V197"/>
  <c r="T33"/>
  <c r="V33" s="1"/>
  <c r="T22"/>
  <c r="F52" i="16"/>
  <c r="D6" i="21" s="1"/>
  <c r="T76" i="9"/>
  <c r="V76" s="1"/>
  <c r="I546" i="1"/>
  <c r="K546" s="1"/>
  <c r="C57" i="9"/>
  <c r="J34"/>
  <c r="H34"/>
  <c r="D67" i="5"/>
  <c r="F67" s="1"/>
  <c r="L34" i="9"/>
  <c r="F34"/>
  <c r="P34"/>
  <c r="T34" s="1"/>
  <c r="V34" s="1"/>
  <c r="J46"/>
  <c r="L46"/>
  <c r="H46"/>
  <c r="P46"/>
  <c r="T46" s="1"/>
  <c r="D121" i="5"/>
  <c r="F121" s="1"/>
  <c r="F46" i="9"/>
  <c r="T196"/>
  <c r="V196" s="1"/>
  <c r="D542" i="5"/>
  <c r="J242" i="9"/>
  <c r="I833" i="11"/>
  <c r="K833" s="1"/>
  <c r="K846" s="1"/>
  <c r="K785"/>
  <c r="K788" s="1"/>
  <c r="K789" s="1"/>
  <c r="K790" s="1"/>
  <c r="K791" s="1"/>
  <c r="K792" s="1"/>
  <c r="I815"/>
  <c r="K815" s="1"/>
  <c r="K827" s="1"/>
  <c r="I850"/>
  <c r="K850" s="1"/>
  <c r="K863" s="1"/>
  <c r="P634"/>
  <c r="R634" s="1"/>
  <c r="I608"/>
  <c r="K608" s="1"/>
  <c r="K612" s="1"/>
  <c r="K614" s="1"/>
  <c r="K284"/>
  <c r="K286" s="1"/>
  <c r="K287" s="1"/>
  <c r="K288" s="1"/>
  <c r="K289" s="1"/>
  <c r="K290" s="1"/>
  <c r="I2465" i="13"/>
  <c r="K2465" s="1"/>
  <c r="K2472" s="1"/>
  <c r="K2474" s="1"/>
  <c r="I2306"/>
  <c r="K2306" s="1"/>
  <c r="K2313" s="1"/>
  <c r="K2316" s="1"/>
  <c r="I1651"/>
  <c r="K1651" s="1"/>
  <c r="K1656" s="1"/>
  <c r="K1658" s="1"/>
  <c r="I1662"/>
  <c r="K1662" s="1"/>
  <c r="K1665" s="1"/>
  <c r="K1667" s="1"/>
  <c r="I1672" s="1"/>
  <c r="K1672" s="1"/>
  <c r="K1675" s="1"/>
  <c r="K1677" s="1"/>
  <c r="I2465" i="11"/>
  <c r="K2465" s="1"/>
  <c r="K2472" s="1"/>
  <c r="K2474" s="1"/>
  <c r="I2306"/>
  <c r="K2306" s="1"/>
  <c r="K2313" s="1"/>
  <c r="K2316" s="1"/>
  <c r="I1662"/>
  <c r="K1662" s="1"/>
  <c r="K1665" s="1"/>
  <c r="K1667" s="1"/>
  <c r="I1672" s="1"/>
  <c r="K1672" s="1"/>
  <c r="K1675" s="1"/>
  <c r="K1677" s="1"/>
  <c r="I1651"/>
  <c r="K1651" s="1"/>
  <c r="K1656" s="1"/>
  <c r="K1658" s="1"/>
  <c r="P634" i="13"/>
  <c r="R634" s="1"/>
  <c r="I608"/>
  <c r="K608" s="1"/>
  <c r="K612" s="1"/>
  <c r="K614" s="1"/>
  <c r="K284"/>
  <c r="K286" s="1"/>
  <c r="K287" s="1"/>
  <c r="K288" s="1"/>
  <c r="K289" s="1"/>
  <c r="K290" s="1"/>
  <c r="I833"/>
  <c r="K833" s="1"/>
  <c r="K846" s="1"/>
  <c r="I815"/>
  <c r="K815" s="1"/>
  <c r="K827" s="1"/>
  <c r="K785"/>
  <c r="K788" s="1"/>
  <c r="K789" s="1"/>
  <c r="K790" s="1"/>
  <c r="K791" s="1"/>
  <c r="K792" s="1"/>
  <c r="I850"/>
  <c r="K850" s="1"/>
  <c r="K863" s="1"/>
  <c r="H23" i="10" l="1"/>
  <c r="H24"/>
  <c r="V46" i="9"/>
  <c r="P57"/>
  <c r="H57"/>
  <c r="L57"/>
  <c r="J57"/>
  <c r="F57"/>
  <c r="F6" i="21"/>
  <c r="F9" s="1"/>
  <c r="G6"/>
  <c r="V22" i="9"/>
  <c r="P64"/>
  <c r="D289" i="5"/>
  <c r="F289" s="1"/>
  <c r="F64" i="9"/>
  <c r="L64"/>
  <c r="H64"/>
  <c r="J64"/>
  <c r="J47"/>
  <c r="D122" i="5"/>
  <c r="F122" s="1"/>
  <c r="F47" i="9"/>
  <c r="P47"/>
  <c r="H47"/>
  <c r="L47"/>
  <c r="F35"/>
  <c r="H35"/>
  <c r="J35"/>
  <c r="D68" i="5"/>
  <c r="F68" s="1"/>
  <c r="L35" i="9"/>
  <c r="P35"/>
  <c r="T35" s="1"/>
  <c r="V35" s="1"/>
  <c r="T38"/>
  <c r="V38" s="1"/>
  <c r="H39"/>
  <c r="F39"/>
  <c r="L39"/>
  <c r="J39"/>
  <c r="D84" i="5"/>
  <c r="F84" s="1"/>
  <c r="P39" i="9"/>
  <c r="T93"/>
  <c r="V93" s="1"/>
  <c r="I547" i="1"/>
  <c r="K547" s="1"/>
  <c r="C59" i="9" s="1"/>
  <c r="C58"/>
  <c r="X370" i="1"/>
  <c r="Y367"/>
  <c r="C48" i="9"/>
  <c r="K404" i="1"/>
  <c r="F36" i="9"/>
  <c r="D69" i="5"/>
  <c r="F69" s="1"/>
  <c r="J36" i="9"/>
  <c r="H36"/>
  <c r="P36"/>
  <c r="T36" s="1"/>
  <c r="V36" s="1"/>
  <c r="L36"/>
  <c r="L348" i="1"/>
  <c r="K349"/>
  <c r="C40" i="9"/>
  <c r="T56"/>
  <c r="V56" s="1"/>
  <c r="Y365" i="1"/>
  <c r="Z365" s="1"/>
  <c r="P608" i="13"/>
  <c r="R608" s="1"/>
  <c r="P591"/>
  <c r="R591" s="1"/>
  <c r="I620"/>
  <c r="K620" s="1"/>
  <c r="K626" s="1"/>
  <c r="K628" s="1"/>
  <c r="K630" s="1"/>
  <c r="I2693"/>
  <c r="K2693" s="1"/>
  <c r="P577"/>
  <c r="R577" s="1"/>
  <c r="P591" i="11"/>
  <c r="R591" s="1"/>
  <c r="P577"/>
  <c r="R577" s="1"/>
  <c r="P608"/>
  <c r="R608" s="1"/>
  <c r="I2693"/>
  <c r="K2693" s="1"/>
  <c r="I620"/>
  <c r="K620" s="1"/>
  <c r="K626" s="1"/>
  <c r="K628" s="1"/>
  <c r="K630" s="1"/>
  <c r="F25" i="10" l="1"/>
  <c r="F26" s="1"/>
  <c r="F27" s="1"/>
  <c r="C41" i="9"/>
  <c r="K350" i="1"/>
  <c r="C49" i="9"/>
  <c r="K405" i="1"/>
  <c r="H59" i="9"/>
  <c r="J59"/>
  <c r="F59"/>
  <c r="P59"/>
  <c r="L59"/>
  <c r="T39"/>
  <c r="V39" s="1"/>
  <c r="T64"/>
  <c r="V64" s="1"/>
  <c r="F10" i="21"/>
  <c r="F11"/>
  <c r="F13"/>
  <c r="F12"/>
  <c r="D85" i="5"/>
  <c r="F85" s="1"/>
  <c r="F40" i="9"/>
  <c r="H40"/>
  <c r="L40"/>
  <c r="P40"/>
  <c r="T40" s="1"/>
  <c r="V40" s="1"/>
  <c r="J40"/>
  <c r="P48"/>
  <c r="J48"/>
  <c r="H48"/>
  <c r="D123" i="5"/>
  <c r="F123" s="1"/>
  <c r="L48" i="9"/>
  <c r="F48"/>
  <c r="P58"/>
  <c r="J58"/>
  <c r="L58"/>
  <c r="F58"/>
  <c r="H58"/>
  <c r="T47"/>
  <c r="V47" s="1"/>
  <c r="G11" i="21"/>
  <c r="G8"/>
  <c r="G9"/>
  <c r="G7"/>
  <c r="G10"/>
  <c r="T57" i="9"/>
  <c r="V57" s="1"/>
  <c r="I2616" i="11"/>
  <c r="K2616" s="1"/>
  <c r="K631"/>
  <c r="K632" s="1"/>
  <c r="K633" s="1"/>
  <c r="K634" s="1"/>
  <c r="K631" i="13"/>
  <c r="K632" s="1"/>
  <c r="K633" s="1"/>
  <c r="K634" s="1"/>
  <c r="I2616"/>
  <c r="K2616" s="1"/>
  <c r="T58" i="9" l="1"/>
  <c r="V58" s="1"/>
  <c r="T48"/>
  <c r="V48" s="1"/>
  <c r="F15" i="21"/>
  <c r="F16" s="1"/>
  <c r="F14"/>
  <c r="T59" i="9"/>
  <c r="V59" s="1"/>
  <c r="J49"/>
  <c r="D124" i="5"/>
  <c r="F124" s="1"/>
  <c r="P49" i="9"/>
  <c r="H49"/>
  <c r="F49"/>
  <c r="L49"/>
  <c r="J41"/>
  <c r="D86" i="5"/>
  <c r="F86" s="1"/>
  <c r="L41" i="9"/>
  <c r="P41"/>
  <c r="T41" s="1"/>
  <c r="H41"/>
  <c r="F41"/>
  <c r="C50"/>
  <c r="L405" i="1"/>
  <c r="L406" s="1"/>
  <c r="L351"/>
  <c r="L352" s="1"/>
  <c r="L350"/>
  <c r="C42" i="9"/>
  <c r="L50" l="1"/>
  <c r="P50"/>
  <c r="D125" i="5"/>
  <c r="F125" s="1"/>
  <c r="H50" i="9"/>
  <c r="H213" s="1"/>
  <c r="F50"/>
  <c r="J50"/>
  <c r="J213" s="1"/>
  <c r="T49"/>
  <c r="V49" s="1"/>
  <c r="L42"/>
  <c r="D87" i="5"/>
  <c r="F87" s="1"/>
  <c r="P42" i="9"/>
  <c r="H42"/>
  <c r="J42"/>
  <c r="F42"/>
  <c r="V41"/>
  <c r="T42" l="1"/>
  <c r="T50"/>
  <c r="V50" s="1"/>
  <c r="P213"/>
  <c r="L213"/>
  <c r="T217" l="1"/>
  <c r="R217"/>
  <c r="V42"/>
  <c r="T213"/>
  <c r="T216" l="1"/>
  <c r="T221"/>
  <c r="R221"/>
  <c r="V217"/>
  <c r="U216" l="1"/>
  <c r="B527" i="5" s="1"/>
  <c r="V216" i="9"/>
</calcChain>
</file>

<file path=xl/sharedStrings.xml><?xml version="1.0" encoding="utf-8"?>
<sst xmlns="http://schemas.openxmlformats.org/spreadsheetml/2006/main" count="38489" uniqueCount="4847">
  <si>
    <t>(1Cum)</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</si>
  <si>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</si>
  <si>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</si>
  <si>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</si>
  <si>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</si>
  <si>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</si>
  <si>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</si>
  <si>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</si>
  <si>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</si>
  <si>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</si>
  <si>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</si>
  <si>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</si>
  <si>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</si>
  <si>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</si>
  <si>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</si>
  <si>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</si>
  <si>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</si>
  <si>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</si>
  <si>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</si>
  <si>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</si>
  <si>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</si>
  <si>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</si>
  <si>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</si>
  <si>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</si>
  <si>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</si>
  <si>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</si>
  <si>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</si>
  <si>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</si>
  <si>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</si>
  <si>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Estimate Value based on the SR 2010-11</t>
  </si>
  <si>
    <t>(Rates as per SR 2011-12)</t>
  </si>
  <si>
    <t>Difference in Amount</t>
  </si>
  <si>
    <t>Difference in %age.</t>
  </si>
  <si>
    <t>Moffusil area with Country bricks</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</si>
  <si>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</si>
  <si>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</si>
  <si>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</si>
  <si>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</si>
  <si>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</si>
  <si>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</si>
  <si>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</si>
  <si>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</si>
  <si>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</si>
  <si>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</si>
  <si>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</si>
  <si>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</si>
  <si>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</si>
  <si>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</si>
  <si>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</si>
  <si>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</si>
  <si>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</si>
  <si>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</si>
  <si>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</si>
  <si>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</si>
  <si>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</si>
  <si>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</si>
  <si>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</si>
  <si>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</si>
  <si>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</si>
  <si>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</si>
  <si>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</si>
  <si>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</si>
  <si>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</si>
  <si>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</si>
  <si>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</si>
  <si>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</si>
  <si>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</si>
  <si>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</si>
  <si>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</si>
  <si>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</si>
  <si>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</si>
  <si>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</si>
  <si>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</si>
  <si>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</si>
  <si>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</si>
  <si>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</si>
  <si>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</si>
  <si>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</si>
  <si>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</si>
  <si>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</si>
  <si>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</si>
  <si>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</si>
  <si>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</si>
  <si>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</si>
  <si>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</si>
  <si>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</si>
  <si>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</si>
  <si>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</si>
  <si>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</si>
  <si>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</si>
  <si>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</si>
  <si>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</si>
  <si>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</si>
  <si>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</si>
  <si>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</si>
  <si>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</si>
  <si>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</si>
  <si>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</si>
  <si>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</si>
  <si>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</si>
  <si>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</si>
  <si>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</si>
  <si>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</si>
  <si>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</si>
  <si>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</si>
  <si>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</si>
  <si>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r>
      <t>Run of 2 Wires of 4 sqmm PVC insulated single core multi strand fire retardant flexible copper cable with ISI mark confirming IS: 694:1990</t>
    </r>
    <r>
      <rPr>
        <sz val="11"/>
        <rFont val="Arial"/>
        <family val="2"/>
      </rPr>
      <t>.</t>
    </r>
  </si>
  <si>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</si>
  <si>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</si>
  <si>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</si>
  <si>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</si>
  <si>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</si>
  <si>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</si>
  <si>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</si>
  <si>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</si>
  <si>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</si>
  <si>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</si>
  <si>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</si>
  <si>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</si>
  <si>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</si>
  <si>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</si>
  <si>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</si>
  <si>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</si>
  <si>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</si>
  <si>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</si>
  <si>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</si>
  <si>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</si>
  <si>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</si>
  <si>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</si>
  <si>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</si>
  <si>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</si>
  <si>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</si>
  <si>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</si>
  <si>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</si>
  <si>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</si>
  <si>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</si>
  <si>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</si>
  <si>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</si>
  <si>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</si>
  <si>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</si>
  <si>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</si>
  <si>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</si>
  <si>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</si>
  <si>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</si>
  <si>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</si>
  <si>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</si>
  <si>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</si>
  <si>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A.C. sheet 6mm thick</t>
  </si>
  <si>
    <t>U' bolts and nuts</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</si>
  <si>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</si>
  <si>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</si>
  <si>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</si>
  <si>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</si>
  <si>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</si>
  <si>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</si>
  <si>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</si>
  <si>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</si>
  <si>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</si>
  <si>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</si>
  <si>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</si>
  <si>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</si>
  <si>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</si>
  <si>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</si>
  <si>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</si>
  <si>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</si>
  <si>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</si>
  <si>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</si>
  <si>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</si>
  <si>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</si>
  <si>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</si>
  <si>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</si>
  <si>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Shutter(MDF Board)      -2X2X.85X0.4=1.36m2</t>
  </si>
  <si>
    <t>TOTAL FOR 1.5 CUM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</si>
  <si>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</si>
  <si>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</si>
  <si>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</si>
  <si>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</si>
  <si>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</si>
  <si>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</si>
  <si>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</si>
  <si>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</si>
  <si>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</si>
  <si>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</si>
  <si>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</si>
  <si>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</si>
  <si>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</si>
  <si>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</si>
  <si>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</si>
  <si>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</si>
  <si>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</si>
  <si>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</si>
  <si>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</si>
  <si>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</si>
  <si>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</si>
  <si>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</si>
  <si>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</si>
  <si>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</si>
  <si>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</si>
  <si>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r>
      <t>Floor plastering</t>
    </r>
    <r>
      <rPr>
        <sz val="13"/>
        <rFont val="Arial"/>
        <family val="2"/>
      </rPr>
      <t xml:space="preserve"> in C.M. 1:4, 20 mm tk.</t>
    </r>
  </si>
  <si>
    <t>Formwork using M.S.Sheet</t>
  </si>
  <si>
    <t>MASON-II Brick / Stone work</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</si>
  <si>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</si>
  <si>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</si>
  <si>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</si>
  <si>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</si>
  <si>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</si>
  <si>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</si>
  <si>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</si>
  <si>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</si>
  <si>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</si>
  <si>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</si>
  <si>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</si>
  <si>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</si>
  <si>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</si>
  <si>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</si>
  <si>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</si>
  <si>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</si>
  <si>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</si>
  <si>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</si>
  <si>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Painting / lettering charges</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</si>
  <si>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</si>
  <si>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</si>
  <si>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</si>
  <si>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</si>
  <si>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</si>
  <si>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</si>
  <si>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</si>
  <si>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</si>
  <si>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</si>
  <si>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</si>
  <si>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</si>
  <si>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r>
      <t xml:space="preserve">R.C.C. 1:2:4 </t>
    </r>
    <r>
      <rPr>
        <sz val="13"/>
        <rFont val="Arial"/>
        <family val="2"/>
      </rPr>
      <t>Foundation and Basement</t>
    </r>
  </si>
  <si>
    <t>TOTAL</t>
  </si>
  <si>
    <t>Sand Gravel Mix</t>
  </si>
  <si>
    <t>sqm</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</si>
  <si>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</si>
  <si>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</si>
  <si>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</si>
  <si>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</si>
  <si>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</si>
  <si>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</si>
  <si>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</si>
  <si>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</si>
  <si>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</si>
  <si>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</si>
  <si>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</si>
  <si>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</si>
  <si>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</si>
  <si>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</si>
  <si>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</si>
  <si>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</si>
  <si>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</si>
  <si>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ALU  HINGS 3" (PWD LR)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</si>
  <si>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</si>
  <si>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</si>
  <si>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</si>
  <si>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</si>
  <si>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</si>
  <si>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</si>
  <si>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</si>
  <si>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</si>
  <si>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</si>
  <si>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</si>
  <si>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</si>
  <si>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</si>
  <si>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</si>
  <si>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</si>
  <si>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</si>
  <si>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</si>
  <si>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Supplying and fixing B.I.C.W.Meter cupboard with</t>
  </si>
  <si>
    <t>Wiring with 1.5 sqmm PVC insulated single core multi strand fire retardant flexible copper cable with ISI mark confirming IS: 694:1990.</t>
  </si>
  <si>
    <t>Carpenter I class</t>
  </si>
  <si>
    <t>S/F OF 6 WAY D.B</t>
  </si>
  <si>
    <t>FOR LINTEL &amp; BEAMS</t>
  </si>
  <si>
    <t>ALU  HINGS 2" (PWD LR)</t>
  </si>
  <si>
    <t>ALU TOWER BOLT 6"X1/2" (PWD LR)</t>
  </si>
  <si>
    <t>ALU TOWER BOLT 3"X5/10"/4"x5/10"</t>
  </si>
  <si>
    <t>CERAMIC-FLOOR TILES WHITE/PLAINCOLOUR-6MM 
T.K (PWD LR)</t>
  </si>
  <si>
    <t>COLOUR CEMENT (PWD LR)</t>
  </si>
  <si>
    <t>SURFACES FOR PLINTH BEAM ETC.</t>
  </si>
  <si>
    <t>POSTION COMPLETE IN ALL RESPECT</t>
  </si>
  <si>
    <t>AND AS DIRECTED BY THE DEPT,</t>
  </si>
  <si>
    <t>OFFICERS</t>
  </si>
  <si>
    <t xml:space="preserve"> 2omm alu. hanger rod</t>
  </si>
  <si>
    <t>Set</t>
  </si>
  <si>
    <t>Labour Welfare fund @ 0.3%</t>
  </si>
  <si>
    <t>TOTAL FOR 1 NO</t>
  </si>
  <si>
    <t>B.</t>
  </si>
  <si>
    <t>LIFT CHARGES FOR CONCRETE IN F.F  *</t>
  </si>
  <si>
    <t>COST OF LIME</t>
  </si>
  <si>
    <t>(50mmT.K PCC SLAB)</t>
  </si>
  <si>
    <t>S/F OF SLIM TUBELIGHT FITTING WITH ELECTRONICS BALLAST.</t>
  </si>
  <si>
    <r>
      <t xml:space="preserve">Fabrication of </t>
    </r>
    <r>
      <rPr>
        <b/>
        <sz val="13"/>
        <rFont val="Arial"/>
        <family val="2"/>
      </rPr>
      <t xml:space="preserve">Mild steel / RTS grills
</t>
    </r>
    <r>
      <rPr>
        <sz val="13"/>
        <rFont val="Arial"/>
        <family val="2"/>
      </rPr>
      <t>(with cement slurry wash)</t>
    </r>
  </si>
  <si>
    <t xml:space="preserve">Providing precast Kerb stone in C.C. 1:3:6,  450 x 300 x 150 mm </t>
  </si>
  <si>
    <t>S &amp; F of A/C metal clad switch</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</si>
  <si>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</si>
  <si>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</si>
  <si>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</si>
  <si>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</si>
  <si>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</si>
  <si>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</si>
  <si>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</si>
  <si>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</si>
  <si>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</si>
  <si>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</si>
  <si>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</si>
  <si>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</si>
  <si>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</si>
  <si>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</si>
  <si>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</si>
  <si>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r>
      <t xml:space="preserve">PVC SWR 110 mm dia with ISI mark type- A 
for </t>
    </r>
    <r>
      <rPr>
        <b/>
        <sz val="11"/>
        <rFont val="Arial"/>
        <family val="2"/>
      </rPr>
      <t>Rain water down fall pipe</t>
    </r>
  </si>
  <si>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</si>
  <si>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</si>
  <si>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</si>
  <si>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</si>
  <si>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</si>
  <si>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</si>
  <si>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</si>
  <si>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</si>
  <si>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</si>
  <si>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</si>
  <si>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</si>
  <si>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</si>
  <si>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</si>
  <si>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</si>
  <si>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</si>
  <si>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</si>
  <si>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</si>
  <si>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</si>
  <si>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</si>
  <si>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</si>
  <si>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</si>
  <si>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</si>
  <si>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</si>
  <si>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C.W PLANKS 25mm thick, 30cm WIDE(Padak)</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</si>
  <si>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</si>
  <si>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</si>
  <si>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</si>
  <si>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</si>
  <si>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</si>
  <si>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</si>
  <si>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</si>
  <si>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</si>
  <si>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</si>
  <si>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</si>
  <si>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</si>
  <si>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</si>
  <si>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</si>
  <si>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 xml:space="preserve">              Providing shahabad stone grey colour of 20mm thick in C.M 1:3</t>
  </si>
  <si>
    <t>COST OF Shahabad stone grey colour (Polished Shahabad stone 20mm thick with machine cut edges of size 2' x 2' below)</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</si>
  <si>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</si>
  <si>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</si>
  <si>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</si>
  <si>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</si>
  <si>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</si>
  <si>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</si>
  <si>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</si>
  <si>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</si>
  <si>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</si>
  <si>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</si>
  <si>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</si>
  <si>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</si>
  <si>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</si>
  <si>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</si>
  <si>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</si>
  <si>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</si>
  <si>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</si>
  <si>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SHUTTER SIZE-1.4X2.35   =3.29M2</t>
  </si>
  <si>
    <t>TOTAL FOR 3.29 SQM</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</si>
  <si>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</si>
  <si>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</si>
  <si>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</si>
  <si>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</si>
  <si>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</si>
  <si>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</si>
  <si>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</si>
  <si>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</si>
  <si>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</si>
  <si>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</si>
  <si>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</si>
  <si>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</si>
  <si>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</si>
  <si>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</si>
  <si>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</si>
  <si>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</si>
  <si>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</si>
  <si>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</si>
  <si>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</si>
  <si>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</si>
  <si>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</si>
  <si>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</si>
  <si>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Cement</t>
  </si>
  <si>
    <t>S &amp; F of E.W.C.(white)</t>
  </si>
  <si>
    <t>S &amp; F of E.W.C.(colour)</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</si>
  <si>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</si>
  <si>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</si>
  <si>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</si>
  <si>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</si>
  <si>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</si>
  <si>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</si>
  <si>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</si>
  <si>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</si>
  <si>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</si>
  <si>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</si>
  <si>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</si>
  <si>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</si>
  <si>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</si>
  <si>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</si>
  <si>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</si>
  <si>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</si>
  <si>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</si>
  <si>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</si>
  <si>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</si>
  <si>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</si>
  <si>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</si>
  <si>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</si>
  <si>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</si>
  <si>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</si>
  <si>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 xml:space="preserve">                  2 X 1 X 0.575 X 0.30 X 0.01875     = 0.0065</t>
  </si>
  <si>
    <r>
      <t xml:space="preserve">Anticorrosive treatment for </t>
    </r>
    <r>
      <rPr>
        <b/>
        <sz val="11"/>
        <rFont val="Arial"/>
        <family val="2"/>
      </rPr>
      <t>steel grills</t>
    </r>
  </si>
  <si>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</si>
  <si>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</si>
  <si>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</si>
  <si>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</si>
  <si>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</si>
  <si>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</si>
  <si>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</si>
  <si>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</si>
  <si>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</si>
  <si>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</si>
  <si>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</si>
  <si>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</si>
  <si>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</si>
  <si>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</si>
  <si>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</si>
  <si>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</si>
  <si>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</si>
  <si>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</si>
  <si>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</si>
  <si>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</si>
  <si>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</si>
  <si>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</si>
  <si>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</si>
  <si>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</si>
  <si>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</si>
  <si>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</si>
  <si>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</si>
  <si>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</si>
  <si>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</si>
  <si>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</si>
  <si>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</si>
  <si>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 xml:space="preserve">DOOR HANDLE </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</si>
  <si>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</si>
  <si>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</si>
  <si>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</si>
  <si>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</si>
  <si>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</si>
  <si>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</si>
  <si>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</si>
  <si>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</si>
  <si>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</si>
  <si>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</si>
  <si>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</si>
  <si>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</si>
  <si>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</si>
  <si>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</si>
  <si>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</si>
  <si>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</si>
  <si>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</si>
  <si>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</si>
  <si>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</si>
  <si>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</si>
  <si>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</si>
  <si>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</si>
  <si>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</si>
  <si>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Supply and filling of 40 mm HBSJ</t>
  </si>
  <si>
    <t>S.F OF A.C.SPOUT PIPE OF100mm DIA</t>
  </si>
  <si>
    <t>C.I. GREATING 100mmDIA</t>
  </si>
  <si>
    <t>C.I. GREATING 75mmDIA</t>
  </si>
  <si>
    <t>G.I PIPE "A"CLASS 80mmDIA</t>
  </si>
  <si>
    <t>SPOUT PIPE OF 100mm DIA</t>
  </si>
  <si>
    <t>C.W SCANTLING UPTO 4M LONG (Padak)</t>
  </si>
  <si>
    <t>C.W SCANTLING  UPTO 4M LONG (Padak)</t>
  </si>
  <si>
    <t>C.W.SCANTLING upto 4m long (Padak)</t>
  </si>
  <si>
    <t>COST OF SAND,GRAVEL,STACKING,LABOUR FOR</t>
  </si>
  <si>
    <t>Forth floor</t>
  </si>
  <si>
    <t>ALU HOOKS &amp; EYES6"</t>
  </si>
  <si>
    <t>ALU HOOKS &amp; EYES3"</t>
  </si>
  <si>
    <t>RANDUM RABBLE MASONRY IN CM 1:5</t>
  </si>
  <si>
    <t>I.O. HINGES 4"</t>
  </si>
  <si>
    <t>Fibre (125g/packet)</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</si>
  <si>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</si>
  <si>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</si>
  <si>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</si>
  <si>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</si>
  <si>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</si>
  <si>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</si>
  <si>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</si>
  <si>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</si>
  <si>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</si>
  <si>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</si>
  <si>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</si>
  <si>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</si>
  <si>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</si>
  <si>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</si>
  <si>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</si>
  <si>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</si>
  <si>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</si>
  <si>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</si>
  <si>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</si>
  <si>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</si>
  <si>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</si>
  <si>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</si>
  <si>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</si>
  <si>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</si>
  <si>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</si>
  <si>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</si>
  <si>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</si>
  <si>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</si>
  <si>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</si>
  <si>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</si>
  <si>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</si>
  <si>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 xml:space="preserve"> Gravel</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</si>
  <si>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</si>
  <si>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</si>
  <si>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</si>
  <si>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</si>
  <si>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</si>
  <si>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</si>
  <si>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</si>
  <si>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</si>
  <si>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</si>
  <si>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</si>
  <si>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</si>
  <si>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</si>
  <si>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</si>
  <si>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</si>
  <si>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</si>
  <si>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</si>
  <si>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</si>
  <si>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</si>
  <si>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</si>
  <si>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</si>
  <si>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</si>
  <si>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</si>
  <si>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</si>
  <si>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</si>
  <si>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</si>
  <si>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</si>
  <si>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</si>
  <si>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</si>
  <si>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</si>
  <si>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</si>
  <si>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</si>
  <si>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</si>
  <si>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</si>
  <si>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</si>
  <si>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</si>
  <si>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</si>
  <si>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</si>
  <si>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</si>
  <si>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</si>
  <si>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</si>
  <si>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</si>
  <si>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</si>
  <si>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P.C.C. 1:4:8</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</si>
  <si>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</si>
  <si>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</si>
  <si>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</si>
  <si>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</si>
  <si>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</si>
  <si>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</si>
  <si>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</si>
  <si>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</si>
  <si>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</si>
  <si>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</si>
  <si>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</si>
  <si>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</si>
  <si>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</si>
  <si>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</si>
  <si>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</si>
  <si>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</si>
  <si>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</si>
  <si>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</si>
  <si>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</si>
  <si>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</si>
  <si>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</si>
  <si>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</si>
  <si>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</si>
  <si>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</si>
  <si>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</si>
  <si>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</si>
  <si>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</si>
  <si>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</si>
  <si>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</si>
  <si>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</si>
  <si>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</si>
  <si>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</si>
  <si>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</si>
  <si>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</si>
  <si>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</si>
  <si>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</si>
  <si>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</si>
  <si>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</si>
  <si>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</si>
  <si>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</si>
  <si>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</si>
  <si>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</si>
  <si>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</si>
  <si>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</si>
  <si>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</si>
  <si>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</si>
  <si>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</si>
  <si>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</si>
  <si>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WHITE CEMENT (PWD LR)</t>
  </si>
  <si>
    <t xml:space="preserve"> ---DO---FOR STAIR CASE LIGHT POINT </t>
  </si>
  <si>
    <t>Acid proof  tile flooring (as perKrishnagiri DPO)</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</si>
  <si>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</si>
  <si>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</si>
  <si>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</si>
  <si>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</si>
  <si>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</si>
  <si>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</si>
  <si>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</si>
  <si>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</si>
  <si>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BEST GOPALVARNISH REDY MIX (PWD LR)</t>
  </si>
  <si>
    <t>S.W.PIPE 150mm DIAWITH ISI MARK</t>
  </si>
  <si>
    <t>GLASS 4mmTHICK</t>
  </si>
  <si>
    <t>ALU  HINGS 5" (PWD LR)</t>
  </si>
  <si>
    <t>ALU  HINGS 4" (PWD LR)</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</si>
  <si>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</si>
  <si>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</si>
  <si>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</si>
  <si>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</si>
  <si>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</si>
  <si>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</si>
  <si>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</si>
  <si>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</si>
  <si>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</si>
  <si>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</si>
  <si>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</si>
  <si>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</si>
  <si>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</si>
  <si>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</si>
  <si>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</si>
  <si>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</si>
  <si>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</si>
  <si>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</si>
  <si>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</si>
  <si>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</si>
  <si>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</si>
  <si>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</si>
  <si>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</si>
  <si>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</si>
  <si>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</si>
  <si>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</si>
  <si>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</si>
  <si>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</si>
  <si>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</si>
  <si>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</si>
  <si>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</si>
  <si>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</si>
  <si>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</si>
  <si>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</si>
  <si>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Vertified tile flooring (as per CER-112/2007-08)</t>
  </si>
  <si>
    <t>COST OF Vertified TILES</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</si>
  <si>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</si>
  <si>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</si>
  <si>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</si>
  <si>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</si>
  <si>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</si>
  <si>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</si>
  <si>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</si>
  <si>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</si>
  <si>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</si>
  <si>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</si>
  <si>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</si>
  <si>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</si>
  <si>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</si>
  <si>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</si>
  <si>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</si>
  <si>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</si>
  <si>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</si>
  <si>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</si>
  <si>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</si>
  <si>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</si>
  <si>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</si>
  <si>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</si>
  <si>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</si>
  <si>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</si>
  <si>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</si>
  <si>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</si>
  <si>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</si>
  <si>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</si>
  <si>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</si>
  <si>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</si>
  <si>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</si>
  <si>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</si>
  <si>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</si>
  <si>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</si>
  <si>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</si>
  <si>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</si>
  <si>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</si>
  <si>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</si>
  <si>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</si>
  <si>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</si>
  <si>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</si>
  <si>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</si>
  <si>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</si>
  <si>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</si>
  <si>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</si>
  <si>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</si>
  <si>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</si>
  <si>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</si>
  <si>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</si>
  <si>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</si>
  <si>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</si>
  <si>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</si>
  <si>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</si>
  <si>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</si>
  <si>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</si>
  <si>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</si>
  <si>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</si>
  <si>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</si>
  <si>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</si>
  <si>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</si>
  <si>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</si>
  <si>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</si>
  <si>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</si>
  <si>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</si>
  <si>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</si>
  <si>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 xml:space="preserve">Abstract Estimate </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</si>
  <si>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</si>
  <si>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</si>
  <si>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</si>
  <si>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</si>
  <si>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</si>
  <si>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</si>
  <si>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</si>
  <si>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</si>
  <si>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</si>
  <si>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</si>
  <si>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</si>
  <si>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</si>
  <si>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</si>
  <si>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</si>
  <si>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</si>
  <si>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</si>
  <si>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</si>
  <si>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</si>
  <si>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</si>
  <si>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250mmDIA S.W.PIPE WITH ISI MARK</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</si>
  <si>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</si>
  <si>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</si>
  <si>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</si>
  <si>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</si>
  <si>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</si>
  <si>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</si>
  <si>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</si>
  <si>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</si>
  <si>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</si>
  <si>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</si>
  <si>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</si>
  <si>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</si>
  <si>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</si>
  <si>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</si>
  <si>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</si>
  <si>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</si>
  <si>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</si>
  <si>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</si>
  <si>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</si>
  <si>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</si>
  <si>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</si>
  <si>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</si>
  <si>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</si>
  <si>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</si>
  <si>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</si>
  <si>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</si>
  <si>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</si>
  <si>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</si>
  <si>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</si>
  <si>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</si>
  <si>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</si>
  <si>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</si>
  <si>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</si>
  <si>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</si>
  <si>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</si>
  <si>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</si>
  <si>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</si>
  <si>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</si>
  <si>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Supply and fixing of 3 no of 63amphs 500 volts Grade/well porceling fuse on suitable teakwood and plank/to be varnished fixed on the top of pole/EB street poles with a necessary clamps including cost of all materials etc., all complete 
3 Nos. of Fuse uni</t>
  </si>
  <si>
    <t xml:space="preserve">Charges for fixing single phase RCCB/ELCB ( to be supplied by the department free of cost ) on suitable well varnished teak wood plank with a necessary inter   connection and earth connections using copper cable including cost of all materials, etc., all </t>
  </si>
  <si>
    <t>Run off mains with 2 wires of 1.5 Sqmm copper PVC insulated unsheathed single core 1.1KV cable wire contuinuous earth by means of 1.5 Sqmm copper PVC insulated unsheathed single core 1.1 KV grade cable in fully concealed 19 mm / 20 mm dia rigid PVC condui</t>
  </si>
  <si>
    <t>Run off mains with 2 wires of 2.5 Sqmm copper PVC insulated unsheathed single core 1.1KV cable wire contuinuous earth by means of 1.5 Sqmm copper PVC insulated unsheathed single core 1.1 KV grade cable in fully concealed 19 mm / 20 mm dia rigid PVC condui</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</si>
  <si>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</si>
  <si>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</si>
  <si>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</si>
  <si>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</si>
  <si>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</si>
  <si>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</si>
  <si>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</si>
  <si>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</si>
  <si>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</si>
  <si>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</si>
  <si>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</si>
  <si>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</si>
  <si>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</si>
  <si>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</si>
  <si>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</si>
  <si>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</si>
  <si>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</si>
  <si>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</si>
  <si>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</si>
  <si>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</si>
  <si>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</si>
  <si>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</si>
  <si>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</si>
  <si>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</si>
  <si>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</si>
  <si>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</si>
  <si>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</si>
  <si>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</si>
  <si>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</si>
  <si>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</si>
  <si>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</si>
  <si>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</si>
  <si>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</si>
  <si>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</si>
  <si>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</si>
  <si>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</si>
  <si>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</si>
  <si>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</si>
  <si>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</si>
  <si>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</si>
  <si>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</si>
  <si>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</si>
  <si>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</si>
  <si>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C.I..BRACKET FOR W.B.</t>
  </si>
  <si>
    <t>Mazdoor Ist</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</si>
  <si>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</si>
  <si>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</si>
  <si>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</si>
  <si>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</si>
  <si>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</si>
  <si>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</si>
  <si>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</si>
  <si>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</si>
  <si>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</si>
  <si>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</si>
  <si>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</si>
  <si>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</si>
  <si>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</si>
  <si>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Barbed wire 10 gauge 2 ply and four pronged ( Galvanised)</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</si>
  <si>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</si>
  <si>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</si>
  <si>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</si>
  <si>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</si>
  <si>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</si>
  <si>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</si>
  <si>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</si>
  <si>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</si>
  <si>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</si>
  <si>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</si>
  <si>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</si>
  <si>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 and delivery of Single/ twin flurescent tubular lamp street light fittings complete with heavy gauge aluminium sheet fabricated canopy, treated premered and painted with stove enamelled CRCA sheet steel control gear cum reflection tray duly finishe</t>
  </si>
  <si>
    <t>Supplying and fixing of 2 Nos ( two ) of MS box of size not less than 600 x 225, 16 g with door and lock and key arrangements for obtaining EB service connection for street lights with one box comprising off 1 No 30 Amps 500 V fuse units, 1 No copper eart</t>
  </si>
  <si>
    <t>Wirng with 1.5 sqmm copper PVC insulated unsheathed single core 1.1 KV grade cable with continuous earth by means of 1.5 sqmm copper PVC insulated unsheathed single core 1.1 KV grade cable confirming to IS 694 / 1980 with ISI mark in PVC rigid conduit pip</t>
  </si>
  <si>
    <r>
      <t xml:space="preserve">Supplying and fixing </t>
    </r>
    <r>
      <rPr>
        <b/>
        <sz val="12"/>
        <rFont val="Helv"/>
      </rPr>
      <t>4mm thick pin</t>
    </r>
  </si>
  <si>
    <t>Metal</t>
  </si>
  <si>
    <t>Pressed tiles (23cmx23cmx20mm) mixed with Water proofing compound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</si>
  <si>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</si>
  <si>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</si>
  <si>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</si>
  <si>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</si>
  <si>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</si>
  <si>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</si>
  <si>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</si>
  <si>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</si>
  <si>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</si>
  <si>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</si>
  <si>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</si>
  <si>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</si>
  <si>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</si>
  <si>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</si>
  <si>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</si>
  <si>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</si>
  <si>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</si>
  <si>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</si>
  <si>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</si>
  <si>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</si>
  <si>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</si>
  <si>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</si>
  <si>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</si>
  <si>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</si>
  <si>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</si>
  <si>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</si>
  <si>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</si>
  <si>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</si>
  <si>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</si>
  <si>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DOOR HANDLE</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</si>
  <si>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</si>
  <si>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</si>
  <si>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</si>
  <si>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</si>
  <si>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</si>
  <si>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</si>
  <si>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</si>
  <si>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</si>
  <si>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</si>
  <si>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</si>
  <si>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</si>
  <si>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Wirng with 1.5 sqmm copper PVC insulated unsheathed single core 1.1 KV grade cable with continuous earth by means of 1.5 sqmm copper PVC insulated unsheathed single core 1.1 KV grade cable confirming to IS 694 / 1980 with ISI mark in fully concealed PVC r</t>
  </si>
  <si>
    <t>Wirng with 1.5 sqmm copper PVC insulated unsheathed single core 1.1 KV grade cable with continuous earth by means of 1.5 sqmm copper PVC insulated unsheathed single core 1.1 KV grade cable confirming to IS 694 / 1980 with ISI mark in  PVC rigid conduit pi</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</si>
  <si>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</si>
  <si>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</si>
  <si>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</si>
  <si>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</si>
  <si>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</si>
  <si>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</si>
  <si>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</si>
  <si>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</si>
  <si>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</si>
  <si>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</si>
  <si>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</si>
  <si>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</si>
  <si>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</si>
  <si>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</si>
  <si>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</si>
  <si>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</si>
  <si>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</si>
  <si>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</si>
  <si>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</si>
  <si>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</si>
  <si>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</si>
  <si>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</si>
  <si>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Chain link fencing data for 15sqm</t>
  </si>
  <si>
    <t>10%</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</si>
  <si>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</si>
  <si>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</si>
  <si>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</si>
  <si>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</si>
  <si>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</si>
  <si>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</si>
  <si>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</si>
  <si>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</si>
  <si>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</si>
  <si>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</si>
  <si>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</si>
  <si>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</si>
  <si>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</si>
  <si>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</si>
  <si>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</si>
  <si>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</si>
  <si>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</si>
  <si>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</si>
  <si>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</si>
  <si>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</si>
  <si>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 xml:space="preserve">Vetrified Tiles flooring </t>
  </si>
  <si>
    <t>Charges for conveying and layind=g of U.G.Cable below ground level including earth work excavation and refilling and providing sand cushion, brick layer protection, etc., all complete for UG cable of sizes 4 to 25 mm and 2'/3/31/2/4 core</t>
  </si>
  <si>
    <t>Supplying and concealing TV/Telephone socket with top pin with suitable TW box fully concealed and covered with 3 mm thick Hylem sheet etc., all complete.</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</si>
  <si>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</si>
  <si>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</si>
  <si>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</si>
  <si>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</si>
  <si>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</si>
  <si>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</si>
  <si>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</si>
  <si>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</si>
  <si>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</si>
  <si>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</si>
  <si>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</si>
  <si>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</si>
  <si>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</si>
  <si>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</si>
  <si>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</si>
  <si>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</si>
  <si>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</si>
  <si>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</si>
  <si>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</si>
  <si>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</si>
  <si>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</si>
  <si>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</si>
  <si>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</si>
  <si>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</si>
  <si>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</si>
  <si>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</si>
  <si>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</si>
  <si>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Zite Zinc primer</t>
  </si>
  <si>
    <t>litre</t>
  </si>
  <si>
    <t>A.C. SOIL  DOUBLE YEE WITHDOOR</t>
  </si>
  <si>
    <t>no.</t>
  </si>
  <si>
    <t>mason for polishing</t>
  </si>
  <si>
    <t>A.C. SOIL DOUBLE YEE</t>
  </si>
  <si>
    <t>A.C. SOIL COWL</t>
  </si>
  <si>
    <t>Amount</t>
  </si>
  <si>
    <t xml:space="preserve"> </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</si>
  <si>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</si>
  <si>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</si>
  <si>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</si>
  <si>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</si>
  <si>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</si>
  <si>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</si>
  <si>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</si>
  <si>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</si>
  <si>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</si>
  <si>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</si>
  <si>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</si>
  <si>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</si>
  <si>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</si>
  <si>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</si>
  <si>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</si>
  <si>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</si>
  <si>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</si>
  <si>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</si>
  <si>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</si>
  <si>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</si>
  <si>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</si>
  <si>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</si>
  <si>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</si>
  <si>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</si>
  <si>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</si>
  <si>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</si>
  <si>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</si>
  <si>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</si>
  <si>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</si>
  <si>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</si>
  <si>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</si>
  <si>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</si>
  <si>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</si>
  <si>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</si>
  <si>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</si>
  <si>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 xml:space="preserve">CI MANHOLE COVER 60CMX60CMX50KG </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</si>
  <si>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</si>
  <si>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</si>
  <si>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</si>
  <si>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</si>
  <si>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</si>
  <si>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</si>
  <si>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</si>
  <si>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</si>
  <si>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</si>
  <si>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</si>
  <si>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</si>
  <si>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</si>
  <si>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</si>
  <si>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Wirng with 1.5 sqmm copper PVC insulated unsheathed single core 1.1 KV grade cable with continuous earth by means of 1.5 sqmm copper PVC insulated unsheathed single core 1.1 KV grade cable confirming to IS 694 / 1980 with ISI mark in  PVC rigid conduit pi</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</si>
  <si>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t>
    </r>
  </si>
  <si>
    <t xml:space="preserve">POINT WIRING FOR CALLING BELL / BUZZER </t>
  </si>
  <si>
    <t>Supplying and fixing of 32 amps triple pole main switch with fuse and neutral link on a suitable well varnished teak wood board including necessary interconnection and earth connection cost of all materials, etc., all complete.</t>
  </si>
  <si>
    <t>Supplying and fixing 1 No of 450 x 375 x 20 m   thick TW plank well varnished with 3 No 30 amps 500 volts fuse unit and 1 No of copper earth plate of suitable size bolts and nuta on walls for EB service connections including cost of all materials, etc., all complete.</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</si>
  <si>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</si>
  <si>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</si>
  <si>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</si>
  <si>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</si>
  <si>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</si>
  <si>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</si>
  <si>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</si>
  <si>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</si>
  <si>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</si>
  <si>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</si>
  <si>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</si>
  <si>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complete,(Open wiring)</t>
  </si>
  <si>
    <t>LIME SAND MIX 1:1 RATIO</t>
  </si>
  <si>
    <t>9.</t>
  </si>
  <si>
    <t>SAND FOR FILLING</t>
  </si>
  <si>
    <t>FITTER-I</t>
  </si>
  <si>
    <t>MIXING OF MORTAR*</t>
  </si>
  <si>
    <t>CUM*</t>
  </si>
  <si>
    <t>GENERAL ABSTRACT</t>
  </si>
  <si>
    <t>Sl.No.</t>
  </si>
  <si>
    <t>Qty</t>
  </si>
  <si>
    <t>BUILDING WORKS</t>
  </si>
  <si>
    <t>1 Unit</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</si>
  <si>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</si>
  <si>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</si>
  <si>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</si>
  <si>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</si>
  <si>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</si>
  <si>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</si>
  <si>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</si>
  <si>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</si>
  <si>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</si>
  <si>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</si>
  <si>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</si>
  <si>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</si>
  <si>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</si>
  <si>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</si>
  <si>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</si>
  <si>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</si>
  <si>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</si>
  <si>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BRASS TAP 15mm / 12 mm dia (HEAVY)</t>
  </si>
  <si>
    <t>PILE DRIVING CHARGES FOR 500mmDIA/600mm DIA</t>
  </si>
  <si>
    <t>C.P.WASTE PLUGE WITH ALU CHAIN 32mm DIA</t>
  </si>
  <si>
    <t>Total for Ten sqm</t>
  </si>
  <si>
    <t>G.M.GATE VALUE (Heavy Duty)</t>
  </si>
  <si>
    <t>G.M.WHEELVALUE  (Heavy Duty)</t>
  </si>
  <si>
    <t>150mm AL.HANDLE WITH CP SCREWS/DOOR STOPPER (PWD LR)</t>
  </si>
  <si>
    <t>WHITE / Colour CEMENT (PWD LR) average</t>
  </si>
  <si>
    <t>PORCELIN FOOT REST</t>
  </si>
  <si>
    <t>GRANITE SLAB 20mm THICK OF BEST QUALITY Synthetic Grey</t>
  </si>
  <si>
    <t>Rate for Each</t>
  </si>
  <si>
    <t>Filling with Excavated Earth</t>
  </si>
  <si>
    <t>f. In Fourth Floor</t>
  </si>
  <si>
    <t>Sand</t>
  </si>
  <si>
    <t>STACKING GHARGES</t>
  </si>
  <si>
    <t xml:space="preserve">CUTTING CHARGE OF PVC pipe32mm </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</si>
  <si>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</si>
  <si>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</si>
  <si>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</si>
  <si>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</si>
  <si>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</si>
  <si>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</si>
  <si>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</si>
  <si>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</si>
  <si>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</si>
  <si>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</si>
  <si>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</si>
  <si>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d.For vertical walls (sump)</t>
  </si>
  <si>
    <t>e.  In Fourth floor</t>
  </si>
  <si>
    <t>WASHING PLASTERED AREA WITH SOAP&amp;SODA WATER *</t>
  </si>
  <si>
    <t>PILE DRIVING CHARGES FOR 330mmDIA/375mm DIA</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</si>
  <si>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</si>
  <si>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</si>
  <si>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</si>
  <si>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</si>
  <si>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</si>
  <si>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</si>
  <si>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</si>
  <si>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</si>
  <si>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</si>
  <si>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</si>
  <si>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</si>
  <si>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</si>
  <si>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</si>
  <si>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</si>
  <si>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</si>
  <si>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</si>
  <si>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</si>
  <si>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</si>
  <si>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</si>
  <si>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</si>
  <si>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</si>
  <si>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</si>
  <si>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</si>
  <si>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r>
      <t>S &amp; F of Exsaust Fan</t>
    </r>
    <r>
      <rPr>
        <sz val="13"/>
        <color indexed="10"/>
        <rFont val="Arial"/>
        <family val="2"/>
      </rPr>
      <t xml:space="preserve"> 300 mm</t>
    </r>
    <r>
      <rPr>
        <sz val="13"/>
        <rFont val="Arial"/>
        <family val="2"/>
      </rPr>
      <t xml:space="preserve"> dia</t>
    </r>
  </si>
  <si>
    <t>ALUMINUM END BRACKETS INCLUDING</t>
  </si>
  <si>
    <t>S &amp; F TNEB Meter Board made up of MS box 600 x 225 mm with door and lock and key arrangements</t>
  </si>
  <si>
    <r>
      <t>Open wiring</t>
    </r>
    <r>
      <rPr>
        <sz val="12"/>
        <rFont val="Helv"/>
      </rPr>
      <t xml:space="preserve"> POINT WIRING FOR CALLING BELL / BUZZER WITH PUSH SWITCH FOR ALL TYPE OF BUILDING (OPEN WIRING)</t>
    </r>
  </si>
  <si>
    <r>
      <t>Open wiring</t>
    </r>
    <r>
      <rPr>
        <sz val="12"/>
        <rFont val="Helv"/>
      </rPr>
      <t xml:space="preserve"> FAN POINT FOR ADMINISTRATIVE BLOCKS AND COMMUNITY CENTRE</t>
    </r>
  </si>
  <si>
    <r>
      <t xml:space="preserve">Open wiring </t>
    </r>
    <r>
      <rPr>
        <sz val="12"/>
        <rFont val="Helv"/>
      </rPr>
      <t>STAIRCASE LIGHT POINT FOR ADMINISTRATIVE BLOCKS AND COMMUNITY CENTRE (Open wiring)</t>
    </r>
  </si>
  <si>
    <r>
      <t>Open wiring</t>
    </r>
    <r>
      <rPr>
        <sz val="12"/>
        <rFont val="Helv"/>
      </rPr>
      <t xml:space="preserve"> 5 AMPS 5 PIN PLUG SOCKET POINT AT CONVENIENT PLACES (OPEN WIRING)</t>
    </r>
  </si>
  <si>
    <r>
      <t>Open wiring</t>
    </r>
    <r>
      <rPr>
        <sz val="12"/>
        <rFont val="Helv"/>
      </rPr>
      <t xml:space="preserve"> 2 X1.5 Sqmm in fully concealed PVC conduit</t>
    </r>
  </si>
  <si>
    <r>
      <t xml:space="preserve">R.C.C. 1: 11/2: 3 </t>
    </r>
    <r>
      <rPr>
        <sz val="13"/>
        <rFont val="Arial"/>
        <family val="2"/>
      </rPr>
      <t>Foundation and Basement</t>
    </r>
  </si>
  <si>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</si>
  <si>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</si>
  <si>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</si>
  <si>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</si>
  <si>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</si>
  <si>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</si>
  <si>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</si>
  <si>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</si>
  <si>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</si>
  <si>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</si>
  <si>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</si>
  <si>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</si>
  <si>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</si>
  <si>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</si>
  <si>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</si>
  <si>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</si>
  <si>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</si>
  <si>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</si>
  <si>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</si>
  <si>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</si>
  <si>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</si>
  <si>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</si>
  <si>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</si>
  <si>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</si>
  <si>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</si>
  <si>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</si>
  <si>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</si>
  <si>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</si>
  <si>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</si>
  <si>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Steel grill for Verandah Enclousure PWD SR</t>
  </si>
  <si>
    <t>RATE AS PER  PWD LR For Window</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</si>
  <si>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</si>
  <si>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</si>
  <si>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</si>
  <si>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</si>
  <si>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</si>
  <si>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</si>
  <si>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</si>
  <si>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</si>
  <si>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</si>
  <si>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</si>
  <si>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</si>
  <si>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</si>
  <si>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</si>
  <si>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</si>
  <si>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</si>
  <si>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</si>
  <si>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</si>
  <si>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</si>
  <si>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</si>
  <si>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</si>
  <si>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</si>
  <si>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</si>
  <si>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</si>
  <si>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</si>
  <si>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</si>
  <si>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</si>
  <si>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</si>
  <si>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</si>
  <si>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</si>
  <si>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</si>
  <si>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</si>
  <si>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</si>
  <si>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Supply &amp; Fixing of Exhaust fan of 300 mm  dia ( 12 ") sweep</t>
  </si>
  <si>
    <t>Supply &amp; Fixing of Exhaust fan of 225 mm  dia ( 9 ") sweep</t>
  </si>
  <si>
    <t xml:space="preserve">kota stone  flooring </t>
  </si>
  <si>
    <t xml:space="preserve">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</si>
  <si>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</si>
  <si>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</si>
  <si>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</si>
  <si>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</si>
  <si>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</si>
  <si>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</si>
  <si>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</si>
  <si>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</si>
  <si>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</si>
  <si>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</si>
  <si>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</si>
  <si>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</si>
  <si>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</si>
  <si>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 xml:space="preserve">C.P tap long body </t>
  </si>
  <si>
    <t xml:space="preserve">C.P tap short body </t>
  </si>
  <si>
    <t>HANGER BRACKET</t>
  </si>
  <si>
    <t>ALU.SLEEVES</t>
  </si>
  <si>
    <t>TOWER BOLT RECEIVER</t>
  </si>
  <si>
    <t>M.S Angle</t>
  </si>
  <si>
    <t>Run of 2 wires of 4 sqmm</t>
  </si>
  <si>
    <t>Supply of G.I pipe 25mm dia</t>
  </si>
  <si>
    <t>MASON Ist</t>
  </si>
  <si>
    <t>MAZDOOR Ist</t>
  </si>
  <si>
    <t>MOULDING CHARGES</t>
  </si>
  <si>
    <t>HANDLING CHARGES MAZDOOR-II</t>
  </si>
  <si>
    <t>Cum.</t>
  </si>
  <si>
    <t>CENTERING C.W BOARDING 40mmT.K ( Silver oakplank 40mm thick)</t>
  </si>
  <si>
    <t>CENTERING C.W. JOIST ( Silver oak scantling)</t>
  </si>
  <si>
    <t>COST OF PAINT</t>
  </si>
  <si>
    <t>PRIMER</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</si>
  <si>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</si>
  <si>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</si>
  <si>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</si>
  <si>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</si>
  <si>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r>
      <t xml:space="preserve">Granite slab </t>
    </r>
    <r>
      <rPr>
        <b/>
        <sz val="12"/>
        <rFont val="Helv"/>
      </rPr>
      <t>(Ruby red)</t>
    </r>
  </si>
  <si>
    <t>Two legged scaffolding</t>
  </si>
  <si>
    <t>15cm dia casurina post</t>
  </si>
  <si>
    <t>Country wood planks</t>
  </si>
  <si>
    <t>Total for 10 times</t>
  </si>
  <si>
    <t>For one operation</t>
  </si>
  <si>
    <t>Coir, nails etc.</t>
  </si>
  <si>
    <t>Total for 6 Rmt.</t>
  </si>
  <si>
    <t>Total for1 Rmt.</t>
  </si>
  <si>
    <t>Providing Granite slab flooring of</t>
  </si>
  <si>
    <t>COST OF Granite  tile 20mm tk(Ruby red/raw silk) polished</t>
  </si>
  <si>
    <t>Plastic Emulsion PAINT  (LMR item 113)</t>
  </si>
  <si>
    <t>Primer     (LMR item 112)</t>
  </si>
  <si>
    <r>
      <t xml:space="preserve"> </t>
    </r>
    <r>
      <rPr>
        <b/>
        <sz val="12"/>
        <rFont val="Helv"/>
      </rPr>
      <t>Open wiring</t>
    </r>
    <r>
      <rPr>
        <sz val="12"/>
        <rFont val="Helv"/>
      </rPr>
      <t xml:space="preserve"> 2 X 2.5 Sq mm in fully concealed PVC conduit (open wiring)</t>
    </r>
  </si>
  <si>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</si>
  <si>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</si>
  <si>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</si>
  <si>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</si>
  <si>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</si>
  <si>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</si>
  <si>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</si>
  <si>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</si>
  <si>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</si>
  <si>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</si>
  <si>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</si>
  <si>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</si>
  <si>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</si>
  <si>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T.W DOOR SHUTTER TWO LEAVES(1200 X 2100 mm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</si>
  <si>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</si>
  <si>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</si>
  <si>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</si>
  <si>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</si>
  <si>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</si>
  <si>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</si>
  <si>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</si>
  <si>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</si>
  <si>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</si>
  <si>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</si>
  <si>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</si>
  <si>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</si>
  <si>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</si>
  <si>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</si>
  <si>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</si>
  <si>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</si>
  <si>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</si>
  <si>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</si>
  <si>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</si>
  <si>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</si>
  <si>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</si>
  <si>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</si>
  <si>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</si>
  <si>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</si>
  <si>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fixing in position etc., all complete</t>
  </si>
  <si>
    <t xml:space="preserve"> 40mmDIAX32mmDIA</t>
  </si>
  <si>
    <t xml:space="preserve"> 50mmDIAX40mmDIA</t>
  </si>
  <si>
    <t>TO PROPER GRADE AND</t>
  </si>
  <si>
    <t>a. In Ground floor</t>
  </si>
  <si>
    <t>C.I. TEE JUNCTION WITH DOOR  100mmDIA</t>
  </si>
  <si>
    <t>C.I. TEE JUNCTION WITH DOOR  75mmDIA</t>
  </si>
  <si>
    <r>
      <t>Supply and fixing of</t>
    </r>
    <r>
      <rPr>
        <b/>
        <sz val="13"/>
        <rFont val="Arial"/>
        <family val="2"/>
      </rPr>
      <t xml:space="preserve"> Bituminous filler pad,</t>
    </r>
    <r>
      <rPr>
        <sz val="13"/>
        <rFont val="Arial"/>
        <family val="2"/>
      </rPr>
      <t xml:space="preserve"> 20 mm tk. for expansion joint</t>
    </r>
  </si>
  <si>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</si>
  <si>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</si>
  <si>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</si>
  <si>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</si>
  <si>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</si>
  <si>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</si>
  <si>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</si>
  <si>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</si>
  <si>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</si>
  <si>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 xml:space="preserve"> TOTAL Rs.</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</si>
  <si>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</si>
  <si>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</si>
  <si>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</si>
  <si>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</si>
  <si>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</si>
  <si>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</si>
  <si>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</si>
  <si>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</si>
  <si>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</si>
  <si>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</si>
  <si>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and eyes T.W.plugs screws etc complete and as</t>
  </si>
  <si>
    <t>directed by the Departmental Officers as per</t>
  </si>
  <si>
    <t>Drawings</t>
  </si>
  <si>
    <t>C.W.Scantling for Shutter</t>
  </si>
  <si>
    <t>C.W.Planks</t>
  </si>
  <si>
    <t>Weldmesh</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</si>
  <si>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</si>
  <si>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</si>
  <si>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</si>
  <si>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</si>
  <si>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</si>
  <si>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</si>
  <si>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</si>
  <si>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</si>
  <si>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</si>
  <si>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</si>
  <si>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</si>
  <si>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</si>
  <si>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</si>
  <si>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</si>
  <si>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</si>
  <si>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</si>
  <si>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</si>
  <si>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Labour for petty iron works</t>
  </si>
  <si>
    <t xml:space="preserve">RATE PER CUM </t>
  </si>
  <si>
    <t>RAILS(BELOW 2M)- 1X4X0.9X0.15X0.0375=      0.02025</t>
  </si>
  <si>
    <t xml:space="preserve">               - 1X2X0.731X0.125X0.0375 =0.00685</t>
  </si>
  <si>
    <t>PLANKS      -1X4X0.60625X02825X0.01875=</t>
  </si>
  <si>
    <t>S &amp; F of Tube light fitting  (patty  type ) with Electronic ballast and 36 W slim tube light</t>
  </si>
  <si>
    <t>…</t>
  </si>
  <si>
    <t>CEMENT MORTAR(1:4)</t>
  </si>
  <si>
    <t>Stoneware pipe</t>
  </si>
  <si>
    <t xml:space="preserve"> --------------------</t>
  </si>
  <si>
    <t>Augering 30 cm dia</t>
  </si>
  <si>
    <t>MASON II CLASS</t>
  </si>
  <si>
    <t>MAZDOORI CLASS</t>
  </si>
  <si>
    <t>Hire charges for O2296TOOLS PLANTS at 10% of labour</t>
  </si>
  <si>
    <r>
      <t xml:space="preserve">Earth work excavation for </t>
    </r>
    <r>
      <rPr>
        <b/>
        <sz val="13"/>
        <rFont val="Arial"/>
        <family val="2"/>
      </rPr>
      <t xml:space="preserve">Open foundation </t>
    </r>
    <r>
      <rPr>
        <sz val="13"/>
        <rFont val="Arial"/>
        <family val="2"/>
      </rPr>
      <t>(excluding refilling)</t>
    </r>
  </si>
  <si>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</si>
  <si>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</si>
  <si>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</si>
  <si>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</si>
  <si>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</si>
  <si>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</si>
  <si>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</si>
  <si>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</si>
  <si>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</si>
  <si>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</si>
  <si>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</si>
  <si>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</si>
  <si>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</si>
  <si>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 xml:space="preserve"> with ISI mark confirming to 13952:1992-type 'B'</t>
  </si>
  <si>
    <t>50 mm dia PVC (SWR) pipe</t>
  </si>
  <si>
    <t>PVC bend</t>
  </si>
  <si>
    <t>51. 1</t>
  </si>
  <si>
    <t>A.C. RIDGE FOR FULLYCORRUGATED AC SHEET (PWD LR)</t>
  </si>
  <si>
    <t>A.C. RIDGE FOR SEMI CORRUGATED AC SHEET (PWD LR)</t>
  </si>
  <si>
    <t>Strutting to centering of R.C.C plain surface, 3.00m height wall.</t>
  </si>
  <si>
    <t>R.C.C(1:2:4)USING 20mmHBS</t>
  </si>
  <si>
    <t>16.2</t>
  </si>
  <si>
    <t>SUNDRIES FOR NAILS,PLUGS &amp; Brass screws ETC.</t>
  </si>
  <si>
    <t>Sundries for brass scrwew</t>
  </si>
  <si>
    <t>22.1 (c)</t>
  </si>
  <si>
    <t>22.1 (b)</t>
  </si>
  <si>
    <t>GI wire 2" x 2" using 10 gauge (of all sizes)</t>
  </si>
  <si>
    <r>
      <t xml:space="preserve">COST OF Eurocon TILES </t>
    </r>
    <r>
      <rPr>
        <b/>
        <sz val="12"/>
        <rFont val="Helv"/>
      </rPr>
      <t>(SR 2012-13)</t>
    </r>
  </si>
  <si>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</si>
  <si>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</si>
  <si>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</si>
  <si>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</si>
  <si>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</si>
  <si>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</si>
  <si>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</si>
  <si>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</si>
  <si>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</si>
  <si>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</si>
  <si>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</si>
  <si>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</si>
  <si>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</si>
  <si>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</si>
  <si>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</si>
  <si>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</si>
  <si>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</si>
  <si>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</si>
  <si>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</si>
  <si>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</si>
  <si>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</si>
  <si>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</si>
  <si>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</si>
  <si>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</si>
  <si>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t>
  </si>
  <si>
    <t>2 TO 3M</t>
  </si>
  <si>
    <t>C.I. YEE JUNCTION WITH  DOOR  50mmDIA</t>
  </si>
  <si>
    <t>FOURTH FLOOR</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</si>
  <si>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</si>
  <si>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</si>
  <si>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</si>
  <si>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</si>
  <si>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</si>
  <si>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</si>
  <si>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</si>
  <si>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</si>
  <si>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</si>
  <si>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</si>
  <si>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</si>
  <si>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</si>
  <si>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</si>
  <si>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</si>
  <si>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</si>
  <si>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</si>
  <si>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</si>
  <si>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</si>
  <si>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</si>
  <si>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</si>
  <si>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</si>
  <si>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</si>
  <si>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</si>
  <si>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</si>
  <si>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</si>
  <si>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</si>
  <si>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</si>
  <si>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</si>
  <si>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</si>
  <si>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</si>
  <si>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</si>
  <si>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</si>
  <si>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</si>
  <si>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</si>
  <si>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</si>
  <si>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</si>
  <si>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</si>
  <si>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</si>
  <si>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</si>
  <si>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</si>
  <si>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</si>
  <si>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</si>
  <si>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</si>
  <si>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</si>
  <si>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</si>
  <si>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</si>
  <si>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</si>
  <si>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</si>
  <si>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</si>
  <si>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</si>
  <si>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</si>
  <si>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</si>
  <si>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</si>
  <si>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</si>
  <si>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</si>
  <si>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</si>
  <si>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</si>
  <si>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</si>
  <si>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</si>
  <si>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</si>
  <si>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</si>
  <si>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</si>
  <si>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</si>
  <si>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</si>
  <si>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</si>
  <si>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MASON-I Brick / Stone work</t>
  </si>
  <si>
    <t>ITEM NO 1:-MANUFACTURING AND</t>
  </si>
  <si>
    <t>c. In Second floor</t>
  </si>
  <si>
    <t>b. 18w bulb for Bulk Head fittings</t>
  </si>
  <si>
    <t>a. 14W bulb for Bath &amp; WC</t>
  </si>
  <si>
    <t>P.V.C. SOIL TEE 110mm DIA</t>
  </si>
  <si>
    <t>LABOUR FOR FIXING JALLY</t>
  </si>
  <si>
    <t>MISCELLANCEOUS ITEMS</t>
  </si>
  <si>
    <t>Flat back urinal including all accesseries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</si>
  <si>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</si>
  <si>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</si>
  <si>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</si>
  <si>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</si>
  <si>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</si>
  <si>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</si>
  <si>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</si>
  <si>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</si>
  <si>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</si>
  <si>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</si>
  <si>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</si>
  <si>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</si>
  <si>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</si>
  <si>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</si>
  <si>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</si>
  <si>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</si>
  <si>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</si>
  <si>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</si>
  <si>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</si>
  <si>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</si>
  <si>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</si>
  <si>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</si>
  <si>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</si>
  <si>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</si>
  <si>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</si>
  <si>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</si>
  <si>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</si>
  <si>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</si>
  <si>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</si>
  <si>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</si>
  <si>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</si>
  <si>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</si>
  <si>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</si>
  <si>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</si>
  <si>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</si>
  <si>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</si>
  <si>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</si>
  <si>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</si>
  <si>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</si>
  <si>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</si>
  <si>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</si>
  <si>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</si>
  <si>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</si>
  <si>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</si>
  <si>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</si>
  <si>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</si>
  <si>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</si>
  <si>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</si>
  <si>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</si>
  <si>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</si>
  <si>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</si>
  <si>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</si>
  <si>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</si>
  <si>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</si>
  <si>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</si>
  <si>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</si>
  <si>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</si>
  <si>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</si>
  <si>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</si>
  <si>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</si>
  <si>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</si>
  <si>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</si>
  <si>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</si>
  <si>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</si>
  <si>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</si>
  <si>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</si>
  <si>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</si>
  <si>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</si>
  <si>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</si>
  <si>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</si>
  <si>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</si>
  <si>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</si>
  <si>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</si>
  <si>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</si>
  <si>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</si>
  <si>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</si>
  <si>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</si>
  <si>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</si>
  <si>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</si>
  <si>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</si>
  <si>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</si>
  <si>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</si>
  <si>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</si>
  <si>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</si>
  <si>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</si>
  <si>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</si>
  <si>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</si>
  <si>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</si>
  <si>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</si>
  <si>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</si>
  <si>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</si>
  <si>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</si>
  <si>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</si>
  <si>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</si>
  <si>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</si>
  <si>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</si>
  <si>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</si>
  <si>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</si>
  <si>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</si>
  <si>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</si>
  <si>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</si>
  <si>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</si>
  <si>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</si>
  <si>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Squat urinal including all accesseries (LSR new Item -4)p61</t>
  </si>
  <si>
    <t>Cement &amp; Steel</t>
  </si>
  <si>
    <t>(1MT)</t>
  </si>
  <si>
    <t>Pigment (20.95 + 24.25)/2 =22.60</t>
  </si>
  <si>
    <t>LABOUR CHARGE FOR SHUTTER (Double leaf) p/33</t>
  </si>
  <si>
    <t>Supply and fixing of Mirror of size 600x450mm size (p-50)</t>
  </si>
  <si>
    <t>Supply and fixing of Mirror of size500x400mm size (p-51)</t>
  </si>
  <si>
    <t>Thorouh scrapping (p-30 slno.114)</t>
  </si>
  <si>
    <t>Thorouh scrapping (p-30 slno.112)</t>
  </si>
  <si>
    <t>COST OF Vertified TILES (LSR New It-1)p61</t>
  </si>
  <si>
    <t>Add cost of Bakelite battern type holders 10 Nos @ Rs 18.90 / Each</t>
  </si>
  <si>
    <t>Add the cost of 10 Nos Buzer/Bell @ 47.25/Each</t>
  </si>
  <si>
    <t>Add the cost of 10 nos  15 x 10 x 7.5 cm TW box @ Rs 18.90/Each</t>
  </si>
  <si>
    <t>Add cost of Bakelite battern type holders 6 nos @ 18.90/Each</t>
  </si>
  <si>
    <t>( 1.5  x  3475 ) - ( ( 522 + 724 ) / 2)</t>
  </si>
  <si>
    <t>TW plank of size 750 x 450 x 12 mm thick(69410+4450)</t>
  </si>
  <si>
    <t>TOTAL FOR 30M</t>
  </si>
  <si>
    <t>RATE PER RMT</t>
  </si>
  <si>
    <t>GRAVEL</t>
  </si>
  <si>
    <t>GRINDING MORTAR *</t>
  </si>
  <si>
    <t>MOSIC TILES GREY 25X25X2cm</t>
  </si>
  <si>
    <t>CEMENT PAINT/matt paint</t>
  </si>
  <si>
    <t>S/F OF STREET LIGHTS.</t>
  </si>
  <si>
    <t xml:space="preserve">POISHED CUDDAPAH SLAB 20mm/40 mm THICK WELL POISHED </t>
  </si>
  <si>
    <t>KILN BURNT COUNTRY G.M(2D) BRICK 8-3/4"X4-1/4"X2"</t>
  </si>
  <si>
    <t>COUNTRY BRICK-ISORT(2B)T.M SIZE 9"x4-3/8"X2-3/4"</t>
  </si>
  <si>
    <t>NAHANI TRAP 63mm/75mmPVC TYP,4 way/3way</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</si>
  <si>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</si>
  <si>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</si>
  <si>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</si>
  <si>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</si>
  <si>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</si>
  <si>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</si>
  <si>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</si>
  <si>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</si>
  <si>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</si>
  <si>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</si>
  <si>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</si>
  <si>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</si>
  <si>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</si>
  <si>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</si>
  <si>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</si>
  <si>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</si>
  <si>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</si>
  <si>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</si>
  <si>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</si>
  <si>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</si>
  <si>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</si>
  <si>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</si>
  <si>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 xml:space="preserve"> 20mm HBS Jelly</t>
  </si>
  <si>
    <t>C.M. 1:3</t>
  </si>
  <si>
    <t>Mason IInd</t>
  </si>
  <si>
    <t>Total for 10  cum</t>
  </si>
  <si>
    <t>Rate per  cum</t>
  </si>
  <si>
    <t>WATER PROOF COMPOUND ( PWD LR)</t>
  </si>
  <si>
    <t>A.C. SHEETFULLY CORRUGATED 6mmT.K (PWD LR)</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</si>
  <si>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</si>
  <si>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</si>
  <si>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</si>
  <si>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</si>
  <si>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</si>
  <si>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</si>
  <si>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</si>
  <si>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</si>
  <si>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</si>
  <si>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</si>
  <si>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</si>
  <si>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</si>
  <si>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</si>
  <si>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</si>
  <si>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</si>
  <si>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</si>
  <si>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</si>
  <si>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</si>
  <si>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</si>
  <si>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</si>
  <si>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</si>
  <si>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</si>
  <si>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</si>
  <si>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</si>
  <si>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</si>
  <si>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</si>
  <si>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</si>
  <si>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</si>
  <si>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</si>
  <si>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</si>
  <si>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MARINE PLYWOOD OF 9mm THICK OF BWR GRADE L.R</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</si>
  <si>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</si>
  <si>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</si>
  <si>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</si>
  <si>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</si>
  <si>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</si>
  <si>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</si>
  <si>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</si>
  <si>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</si>
  <si>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</si>
  <si>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</si>
  <si>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</si>
  <si>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</si>
  <si>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FOR DOORS OF ALL SIZE (Qtn. For syntex.)</t>
  </si>
  <si>
    <t xml:space="preserve"> ORNAMENTAL; HANDLE WITH SCREWS(100mm)</t>
  </si>
  <si>
    <t>DOOR OF SIZE 75X200Cm</t>
  </si>
  <si>
    <t>P.V.C. DOUBLE TEE WITH OUT DOOR 75mm DIA</t>
  </si>
  <si>
    <t>MAIN DATA</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</si>
  <si>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</si>
  <si>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</si>
  <si>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</si>
  <si>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</si>
  <si>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</si>
  <si>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</si>
  <si>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</si>
  <si>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</si>
  <si>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</si>
  <si>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</si>
  <si>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</si>
  <si>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</si>
  <si>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</si>
  <si>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</si>
  <si>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</si>
  <si>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</si>
  <si>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</si>
  <si>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</si>
  <si>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</si>
  <si>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</si>
  <si>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</si>
  <si>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</si>
  <si>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</si>
  <si>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</si>
  <si>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</si>
  <si>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</si>
  <si>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</si>
  <si>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</si>
  <si>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</si>
  <si>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</si>
  <si>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</si>
  <si>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</si>
  <si>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T.W DOOR SHUTTER TWO LEAVES(1500 X 2100 mm</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</si>
  <si>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</si>
  <si>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</si>
  <si>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</si>
  <si>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</si>
  <si>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</si>
  <si>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</si>
  <si>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</si>
  <si>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</si>
  <si>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</si>
  <si>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</si>
  <si>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</si>
  <si>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</si>
  <si>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</si>
  <si>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</si>
  <si>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</si>
  <si>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</si>
  <si>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</si>
  <si>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</si>
  <si>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</si>
  <si>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</si>
  <si>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</si>
  <si>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</si>
  <si>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</si>
  <si>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</si>
  <si>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</si>
  <si>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</si>
  <si>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</si>
  <si>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</si>
  <si>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</si>
  <si>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</si>
  <si>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</si>
  <si>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</si>
  <si>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</si>
  <si>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</si>
  <si>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</si>
  <si>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</si>
  <si>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Total for 0.5334 Sqm</t>
  </si>
  <si>
    <t>Rate for one Sqm.</t>
  </si>
  <si>
    <t>1285 x 600mm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</si>
  <si>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</si>
  <si>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</si>
  <si>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</si>
  <si>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</si>
  <si>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</si>
  <si>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</si>
  <si>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</si>
  <si>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</si>
  <si>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</si>
  <si>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</si>
  <si>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</si>
  <si>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</si>
  <si>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with 32mm GI waste pipe and 32mm CP waste coupling</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</si>
  <si>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</si>
  <si>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</si>
  <si>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</si>
  <si>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</si>
  <si>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</si>
  <si>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</si>
  <si>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</si>
  <si>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</si>
  <si>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</si>
  <si>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</si>
  <si>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</si>
  <si>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 xml:space="preserve"> 40MM DIA PVC PIPE ABOVE G.L:-</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</si>
  <si>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</si>
  <si>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</si>
  <si>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</si>
  <si>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</si>
  <si>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</si>
  <si>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</si>
  <si>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</si>
  <si>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</si>
  <si>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</si>
  <si>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</si>
  <si>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</si>
  <si>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</si>
  <si>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</si>
  <si>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</si>
  <si>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</si>
  <si>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</si>
  <si>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</si>
  <si>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</si>
  <si>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</si>
  <si>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</si>
  <si>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</si>
  <si>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</si>
  <si>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</si>
  <si>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</si>
  <si>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</si>
  <si>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</si>
  <si>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</si>
  <si>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</si>
  <si>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</si>
  <si>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</si>
  <si>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</si>
  <si>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</si>
  <si>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</si>
  <si>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</si>
  <si>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</si>
  <si>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</si>
  <si>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</si>
  <si>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</si>
  <si>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</si>
  <si>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</si>
  <si>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</si>
  <si>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</si>
  <si>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</si>
  <si>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</si>
  <si>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</si>
  <si>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</si>
  <si>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</si>
  <si>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</si>
  <si>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</si>
  <si>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</si>
  <si>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</si>
  <si>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</si>
  <si>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</si>
  <si>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</si>
  <si>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</si>
  <si>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</si>
  <si>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</si>
  <si>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</si>
  <si>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</si>
  <si>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</si>
  <si>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</si>
  <si>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</si>
  <si>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</si>
  <si>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</si>
  <si>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</si>
  <si>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</si>
  <si>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</si>
  <si>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</si>
  <si>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</si>
  <si>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</si>
  <si>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</si>
  <si>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</si>
  <si>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</si>
  <si>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</si>
  <si>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</si>
  <si>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</si>
  <si>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</si>
  <si>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62.2.b.</t>
  </si>
  <si>
    <t>NYLON BUSH FOR D</t>
  </si>
  <si>
    <t>d. In Second Floor</t>
  </si>
  <si>
    <t xml:space="preserve">RUN OF 2 WIRES OF 4 SQMM WITH CONTINUOUS EARTHING BY MEANS OF 2.5SQMM FOR A/C </t>
  </si>
  <si>
    <t>SUPPLYING AND FIXING OF A/C METAL CLAD</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</si>
  <si>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</si>
  <si>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</si>
  <si>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</si>
  <si>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</si>
  <si>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</si>
  <si>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</si>
  <si>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</si>
  <si>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</si>
  <si>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</si>
  <si>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</si>
  <si>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</si>
  <si>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</si>
  <si>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</si>
  <si>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</si>
  <si>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</si>
  <si>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</si>
  <si>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</si>
  <si>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</si>
  <si>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</si>
  <si>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</si>
  <si>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</si>
  <si>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</si>
  <si>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</si>
  <si>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</si>
  <si>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</si>
  <si>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</si>
  <si>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</si>
  <si>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</si>
  <si>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chromium plated 8 guage Picture Hook</t>
  </si>
  <si>
    <t>Precast slab 50 mm tk.in C.C. 1:3:6</t>
  </si>
  <si>
    <t>Sqm.</t>
  </si>
  <si>
    <t>ROUND RING</t>
  </si>
  <si>
    <r>
      <t>White washing 3 coats</t>
    </r>
    <r>
      <rPr>
        <b/>
        <sz val="13"/>
        <rFont val="Arial"/>
        <family val="2"/>
      </rPr>
      <t xml:space="preserve">  (slaked)</t>
    </r>
  </si>
  <si>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</si>
  <si>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</si>
  <si>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</si>
  <si>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</si>
  <si>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</si>
  <si>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</si>
  <si>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</si>
  <si>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</si>
  <si>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</si>
  <si>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</si>
  <si>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</si>
  <si>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</si>
  <si>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</si>
  <si>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</si>
  <si>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</si>
  <si>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</si>
  <si>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</si>
  <si>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</si>
  <si>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</si>
  <si>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</si>
  <si>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</si>
  <si>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</si>
  <si>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</si>
  <si>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</si>
  <si>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</si>
  <si>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</si>
  <si>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</si>
  <si>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</si>
  <si>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</si>
  <si>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</si>
  <si>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</si>
  <si>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</si>
  <si>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</si>
  <si>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</si>
  <si>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</si>
  <si>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</si>
  <si>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</si>
  <si>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</si>
  <si>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</si>
  <si>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</si>
  <si>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</si>
  <si>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</si>
  <si>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</si>
  <si>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</si>
  <si>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</si>
  <si>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</si>
  <si>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</si>
  <si>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</si>
  <si>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</si>
  <si>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</si>
  <si>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</si>
  <si>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</si>
  <si>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</si>
  <si>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</si>
  <si>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T.W PLANKS (12.25 CM) (30 TO 45CM THICK)</t>
  </si>
  <si>
    <t>Brassscrews</t>
  </si>
  <si>
    <t>MS Ventilator of Size 600 x 600mm</t>
  </si>
  <si>
    <t>LABOUR FOR THREADING 32mm DIA /100mm Dia *</t>
  </si>
  <si>
    <t>MAZDOOR I</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</si>
  <si>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</si>
  <si>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</si>
  <si>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</si>
  <si>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</si>
  <si>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</si>
  <si>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</si>
  <si>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</si>
  <si>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</si>
  <si>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</si>
  <si>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</si>
  <si>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</si>
  <si>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</si>
  <si>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</si>
  <si>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r>
      <t>Run of 2 Wires of 1.5 sqmm PVC insulated single core multi strand fire retardant flexible copper cable with ISI mark confirming IS: 694:1990</t>
    </r>
    <r>
      <rPr>
        <sz val="11"/>
        <rFont val="Arial"/>
        <family val="2"/>
      </rPr>
      <t>.</t>
    </r>
  </si>
  <si>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</si>
  <si>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</si>
  <si>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</si>
  <si>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</si>
  <si>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</si>
  <si>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</si>
  <si>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</si>
  <si>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</si>
  <si>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</si>
  <si>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</si>
  <si>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</si>
  <si>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</si>
  <si>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</si>
  <si>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</si>
  <si>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</si>
  <si>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</si>
  <si>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</si>
  <si>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</si>
  <si>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</si>
  <si>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</si>
  <si>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</si>
  <si>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</si>
  <si>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</si>
  <si>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</si>
  <si>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</si>
  <si>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</si>
  <si>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</si>
  <si>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</si>
  <si>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</si>
  <si>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</si>
  <si>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</si>
  <si>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</si>
  <si>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</si>
  <si>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</si>
  <si>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</si>
  <si>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</si>
  <si>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</si>
  <si>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</si>
  <si>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</si>
  <si>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</si>
  <si>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</si>
  <si>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</si>
  <si>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</si>
  <si>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</si>
  <si>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</si>
  <si>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</si>
  <si>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</si>
  <si>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</si>
  <si>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Adjustable ridges</t>
  </si>
  <si>
    <t>Pairs</t>
  </si>
  <si>
    <t>12mmTHICK MIXED WITH WATER PROOF COMPOUND</t>
  </si>
  <si>
    <t>Matt paint Two coats</t>
  </si>
  <si>
    <t>SYNTHETIC ENAMEL PAINT INCL.PRIMER COAT.</t>
  </si>
  <si>
    <t>FABRICATION  (RCC WORKS)</t>
  </si>
  <si>
    <t>12.</t>
  </si>
  <si>
    <t>BRICK JELLY 20mmGAUGE</t>
  </si>
  <si>
    <t>CARPENTER-II</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</si>
  <si>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</si>
  <si>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</si>
  <si>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</si>
  <si>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</si>
  <si>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</si>
  <si>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</si>
  <si>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</si>
  <si>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</si>
  <si>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</si>
  <si>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</si>
  <si>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</si>
  <si>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</si>
  <si>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SUPERCEM PAINTING TWO COATS</t>
  </si>
  <si>
    <t>SUPERCEM</t>
  </si>
  <si>
    <t>SUPLLYING AND FILLING WITH 20MM HBSJ</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</si>
  <si>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</si>
  <si>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</si>
  <si>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</si>
  <si>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</si>
  <si>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</si>
  <si>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</si>
  <si>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</si>
  <si>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</si>
  <si>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</si>
  <si>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</si>
  <si>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</si>
  <si>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</si>
  <si>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</si>
  <si>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</si>
  <si>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</si>
  <si>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</si>
  <si>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</si>
  <si>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</si>
  <si>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</si>
  <si>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</si>
  <si>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</si>
  <si>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</si>
  <si>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</si>
  <si>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</si>
  <si>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</si>
  <si>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</si>
  <si>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</si>
  <si>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T.W DOOR SHUTTER TWO LEAVES(2000 X 2100 mm</t>
  </si>
  <si>
    <t xml:space="preserve">              2X 3 X 0.95 X 0.075 X 0.0375     </t>
  </si>
  <si>
    <t>Sump</t>
  </si>
  <si>
    <t>Septic Tank</t>
  </si>
  <si>
    <t>Cement Concrete Road</t>
  </si>
  <si>
    <t xml:space="preserve">Plinth Protection </t>
  </si>
  <si>
    <t>Total Dev. Qty.</t>
  </si>
  <si>
    <t>Rate for 2.44m</t>
  </si>
  <si>
    <t>C.I. TEE JUNCTION WITHOUT DOOR  75mmDIA</t>
  </si>
  <si>
    <t>Pre cast slab 50mm thick in c.c. 1:3:6 mixed with fibre of size .28 x .28 m , 50mm thick</t>
  </si>
  <si>
    <t xml:space="preserve">   </t>
  </si>
  <si>
    <t>Pcc slab - 500 x .28 x .28 = 39.2 Sq.m</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</si>
  <si>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</si>
  <si>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</si>
  <si>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</si>
  <si>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</si>
  <si>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SUB - TOTAL - I Rs.</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</si>
  <si>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</si>
  <si>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</si>
  <si>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</si>
  <si>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</si>
  <si>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</si>
  <si>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</si>
  <si>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</si>
  <si>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</si>
  <si>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</si>
  <si>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G.I. SHEET SR157 / 114 1.6mmT.K,30cmWIDE</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</si>
  <si>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</si>
  <si>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</si>
  <si>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</si>
  <si>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</si>
  <si>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</si>
  <si>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</si>
  <si>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</si>
  <si>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</si>
  <si>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INCLUDING MOULDING INSTEEL MOULD PRECASTING</t>
  </si>
  <si>
    <t>Tamil Nadu Police Housing Corparation Ltd.</t>
  </si>
  <si>
    <t>=</t>
  </si>
  <si>
    <t>PROVIDING ANTI-TERMITE TREATMENT</t>
  </si>
  <si>
    <t>a. upto 16mm dia rods</t>
  </si>
  <si>
    <t>b. above 16mm dia rods</t>
  </si>
  <si>
    <t>Plumber I class</t>
  </si>
  <si>
    <t>P.V.C. SOIL BENDWITH DOOR 110mm DIA</t>
  </si>
  <si>
    <t>C.C(1:8:16)USING 40mm HBS</t>
  </si>
  <si>
    <t>I.W.C. 18" WITH P OR S TRAP WITH FOOT REST</t>
  </si>
  <si>
    <r>
      <t xml:space="preserve">Earth work excavation in all soils </t>
    </r>
    <r>
      <rPr>
        <b/>
        <sz val="13"/>
        <rFont val="Arial"/>
        <family val="2"/>
      </rPr>
      <t>(excluding refilling)</t>
    </r>
  </si>
  <si>
    <r>
      <t xml:space="preserve">Earth work excavation in all soils </t>
    </r>
    <r>
      <rPr>
        <b/>
        <sz val="13"/>
        <rFont val="Arial"/>
        <family val="2"/>
      </rPr>
      <t>(including refilling)</t>
    </r>
  </si>
  <si>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</si>
  <si>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</si>
  <si>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</si>
  <si>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</si>
  <si>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</si>
  <si>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</si>
  <si>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</si>
  <si>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</si>
  <si>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</si>
  <si>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</si>
  <si>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</si>
  <si>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</si>
  <si>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</si>
  <si>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</si>
  <si>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</si>
  <si>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</si>
  <si>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</si>
  <si>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Total Qty.
(Buildg.+ Dev.)</t>
  </si>
  <si>
    <t>=================</t>
  </si>
  <si>
    <t>S&amp; F of MS angle of size 35 x35 x 5 mm for stair case steps (.95m)</t>
  </si>
  <si>
    <t>RATE FOR 3.8475 SQM</t>
  </si>
  <si>
    <t>glass panels of 3mm thick for</t>
  </si>
  <si>
    <t>steel window and ventilaters.</t>
  </si>
  <si>
    <t>Phenol bonded BWR Plywood 9mm</t>
  </si>
  <si>
    <t>LABOUR CHARGE</t>
  </si>
  <si>
    <t xml:space="preserve"> 6"X1/2"ALU.TOWER BOLT</t>
  </si>
  <si>
    <t xml:space="preserve"> 5" ALU.BUTT HINGS</t>
  </si>
  <si>
    <t xml:space="preserve"> 4mm glass frosted </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</si>
  <si>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</si>
  <si>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</si>
  <si>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</si>
  <si>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</si>
  <si>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</si>
  <si>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</si>
  <si>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</si>
  <si>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</si>
  <si>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</si>
  <si>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</si>
  <si>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</si>
  <si>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</si>
  <si>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</si>
  <si>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</si>
  <si>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</si>
  <si>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</si>
  <si>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</si>
  <si>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</si>
  <si>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</si>
  <si>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</si>
  <si>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</si>
  <si>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</si>
  <si>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</si>
  <si>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</si>
  <si>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</si>
  <si>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</si>
  <si>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</si>
  <si>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</si>
  <si>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</si>
  <si>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</si>
  <si>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</si>
  <si>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</si>
  <si>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</si>
  <si>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</si>
  <si>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r>
      <t xml:space="preserve">Mosaic tiles </t>
    </r>
    <r>
      <rPr>
        <sz val="13"/>
        <rFont val="Arial"/>
        <family val="2"/>
      </rPr>
      <t>20 cm x 20 cm x 2 cm.</t>
    </r>
  </si>
  <si>
    <r>
      <t xml:space="preserve">Mosaic tiles </t>
    </r>
    <r>
      <rPr>
        <sz val="13"/>
        <rFont val="Arial"/>
        <family val="2"/>
      </rPr>
      <t>25 cm x 25 cm x 2 cm.</t>
    </r>
  </si>
  <si>
    <r>
      <t xml:space="preserve">Earth work excavation for Open foundation </t>
    </r>
    <r>
      <rPr>
        <b/>
        <sz val="13"/>
        <rFont val="Arial"/>
        <family val="2"/>
      </rPr>
      <t>(including refilling)</t>
    </r>
  </si>
  <si>
    <r>
      <t xml:space="preserve">Damp Proof Course </t>
    </r>
    <r>
      <rPr>
        <sz val="13"/>
        <rFont val="Arial"/>
        <family val="2"/>
      </rPr>
      <t>in C.M. 1:4, 12 MM thick mixed with Water proofing compound</t>
    </r>
  </si>
  <si>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</si>
  <si>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</si>
  <si>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</si>
  <si>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</si>
  <si>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</si>
  <si>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</si>
  <si>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</si>
  <si>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</si>
  <si>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</si>
  <si>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</si>
  <si>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</si>
  <si>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</si>
  <si>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</si>
  <si>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</si>
  <si>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</si>
  <si>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</si>
  <si>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</si>
  <si>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</si>
  <si>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</si>
  <si>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</si>
  <si>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</si>
  <si>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</si>
  <si>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</si>
  <si>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</si>
  <si>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</si>
  <si>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</si>
  <si>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</si>
  <si>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</si>
  <si>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</si>
  <si>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</si>
  <si>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</si>
  <si>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</si>
  <si>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</si>
  <si>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</si>
  <si>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</si>
  <si>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</si>
  <si>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</si>
  <si>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</si>
  <si>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</si>
  <si>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</si>
  <si>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</si>
  <si>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</si>
  <si>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</si>
  <si>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Supply and delivery of Fan with ISI mark with Eletronic Dimmer</t>
  </si>
  <si>
    <t>Culvert</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</si>
  <si>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</si>
  <si>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</si>
  <si>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</si>
  <si>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</si>
  <si>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</si>
  <si>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</si>
  <si>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</si>
  <si>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</si>
  <si>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</si>
  <si>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</si>
  <si>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</si>
  <si>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</si>
  <si>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</si>
  <si>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</si>
  <si>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</si>
  <si>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</si>
  <si>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</si>
  <si>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</si>
  <si>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</si>
  <si>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</si>
  <si>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</si>
  <si>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</si>
  <si>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</si>
  <si>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</si>
  <si>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</si>
  <si>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</si>
  <si>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</si>
  <si>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</si>
  <si>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</si>
  <si>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 xml:space="preserve">Run off mains with 2 wires of 4 Sqmm copper PVC insulated unsheathed single core 1.1KV cable wire contuinuous earth by means of 2.5 Sqmm copper PVC insulated unsheathed single core 1.1 KV grade cable in fully concealed 19 mm / 20 mm dia rigid PVC conduit </t>
  </si>
  <si>
    <t xml:space="preserve">Run off mains with 4 wires of 4 Sqmm copper PVC insulated unsheathed single core 1.1KV cable wire contuinuous earth by means of 2.5 Sqmm copper PVC insulated unsheathed single core 1.1 KV grade cable in fully concealed 19 mm / 20 mm dia rigid PVC conduit </t>
  </si>
  <si>
    <t>Charges for assembling and fixing of flouresent tubular lamp fittings of different types ( supplied by the department at free of cost ) with necessary teak wood round block of 75 mm dia 40 mm deep on walls/ ceiling including cost of materials, etc., all c</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</si>
  <si>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</si>
  <si>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</si>
  <si>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</si>
  <si>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</si>
  <si>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</si>
  <si>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</si>
  <si>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</si>
  <si>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</si>
  <si>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</si>
  <si>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</si>
  <si>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</si>
  <si>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</si>
  <si>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</si>
  <si>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</si>
  <si>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Charges for fixing single phase RCCB/ELCB ( to be supplied by the department at free of cost ) on fully concealed suitable MS BOX with a necessary inter connection and earth connections using copper cable including cost of all materials, re- doing the dis</t>
  </si>
  <si>
    <t xml:space="preserve"> 40mm HBS JELLY</t>
  </si>
  <si>
    <t>SUPPLYING AND FIXING</t>
  </si>
  <si>
    <t>TAILNUT FOR BOLT</t>
  </si>
  <si>
    <t xml:space="preserve"> 150mm DIA</t>
  </si>
  <si>
    <t>C.I. SOIL BEND</t>
  </si>
  <si>
    <t>PLASTERING C.M(1:2) 10mmTHICK</t>
  </si>
  <si>
    <r>
      <t xml:space="preserve">Fabrication of </t>
    </r>
    <r>
      <rPr>
        <b/>
        <sz val="13"/>
        <rFont val="Arial"/>
        <family val="2"/>
      </rPr>
      <t xml:space="preserve">Mild steel / RTS grills </t>
    </r>
    <r>
      <rPr>
        <sz val="13"/>
        <rFont val="Arial"/>
        <family val="2"/>
      </rPr>
      <t xml:space="preserve">
</t>
    </r>
  </si>
  <si>
    <t xml:space="preserve">SUPPLY AND FIXING OF P.V.C. </t>
  </si>
  <si>
    <t xml:space="preserve"> PVC NAHANI TRAP (4WAY/2WAY)</t>
  </si>
  <si>
    <t>POLISHING STONE (average of rough, medium, fine) 35 p-41</t>
  </si>
  <si>
    <t>CASURINA POST 10cm TO 13cm DIA *</t>
  </si>
  <si>
    <t>G.I. PIPE B  CLASS</t>
  </si>
  <si>
    <t>Charges for fixing three phase RCCB/ ELCB ( to be supplied by the department to free of cost ) on suitable well varnished teak wood plank on the wall s ( Surface ) with necessary inter connecteion and earth connections using copper cable including cost of</t>
  </si>
  <si>
    <t>Charges for fixing Three  phase RCCB/ELCB ( to be supplied by the department at free of cost ) on fully concealed suitable MS BOX with a necessary inter connection and earth connections using copper cable including cost of all materials, re- doing the dis</t>
  </si>
  <si>
    <t>Supplying and fixing 1 No of 375 x 300 x 20 m   thick TW plank well varnished with 1 No 15 amps 250 volts fuse unit and 1 No of copper earth plate of suitable size bolts and nuta on walls for EB service connections including cost of all materials, etc., a</t>
  </si>
  <si>
    <t>Run of 4 wires of 4 Sqmm copper PVC insulated unsheathed single cosre/ 1.1 KV grade cable with one run of 7/20 GI stay wire suspended with porcelin reel insulater at 1.0 m C/C for support of phase and neautral cable from the top of street pole to the hous</t>
  </si>
  <si>
    <t>Charges for assembling and fixing of flouresent tubular lampfittings of different types ( to be supplied by the departmental at free of cost ) with necessary heavy gauge conduit pipe with ball and socket arrangement on teak wood round block of 75 mm dia 4</t>
  </si>
  <si>
    <t xml:space="preserve">Supply and delivery of integral HP sodium/Mercury of aluminium sheet deep drawn, treated, prewired stove enamelled painting and inside brightended and anodised for optimum reflection and die cast aluminium control gear near compartments complete with all </t>
  </si>
  <si>
    <t>Labour Charges for barbed wire fencing for 8.16 kg</t>
  </si>
  <si>
    <t>TOTAL FOR 8.16 kg</t>
  </si>
  <si>
    <t xml:space="preserve">M.S SQUARE BAR 20 X 20mm    = 1.00 X .02 X .02 X 7850 Kg/CUM </t>
  </si>
  <si>
    <t>S.F</t>
  </si>
  <si>
    <t>Cuddappah slab (One side polised).</t>
  </si>
  <si>
    <t>WITH C.M(1:3)20mm THICK</t>
  </si>
  <si>
    <t>RCC 1:2:4 for earth quake resistance arrangements for door/window james.</t>
  </si>
  <si>
    <t xml:space="preserve">B.W IN C.M(1:6) USING Chamber  </t>
  </si>
  <si>
    <t xml:space="preserve">B.W IN C.M(1:5) USING Chamber </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</si>
  <si>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</si>
  <si>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</si>
  <si>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</si>
  <si>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</si>
  <si>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</si>
  <si>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</si>
  <si>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</si>
  <si>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</si>
  <si>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</si>
  <si>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</si>
  <si>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</si>
  <si>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</si>
  <si>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</si>
  <si>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</si>
  <si>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</si>
  <si>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</si>
  <si>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</si>
  <si>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</si>
  <si>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</si>
  <si>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</si>
  <si>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</si>
  <si>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</si>
  <si>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</si>
  <si>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</si>
  <si>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</si>
  <si>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</si>
  <si>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</si>
  <si>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</si>
  <si>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</si>
  <si>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</si>
  <si>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</si>
  <si>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</si>
  <si>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T.W.PLANKS 15TO30cm WIDTH &amp; 12to25mm Thick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</si>
  <si>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</si>
  <si>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</si>
  <si>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</si>
  <si>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</si>
  <si>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</si>
  <si>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</si>
  <si>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</si>
  <si>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</si>
  <si>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</si>
  <si>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</si>
  <si>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</si>
  <si>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</si>
  <si>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</si>
  <si>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</si>
  <si>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</si>
  <si>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</si>
  <si>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</si>
  <si>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</si>
  <si>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</si>
  <si>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</si>
  <si>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</si>
  <si>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r>
      <t xml:space="preserve">LIGHT POINT WITH CEILING ROSE FOR </t>
    </r>
    <r>
      <rPr>
        <b/>
        <sz val="12"/>
        <rFont val="Helv"/>
      </rPr>
      <t>ADMINISTRATIVE BLOCKS A</t>
    </r>
    <r>
      <rPr>
        <sz val="12"/>
        <rFont val="Helv"/>
      </rPr>
      <t>ND COMMUNITY CENTRE</t>
    </r>
  </si>
  <si>
    <r>
      <t xml:space="preserve">LIGHT POINT WITH BAKELITE BATTERN TYPE HOLDER FOR </t>
    </r>
    <r>
      <rPr>
        <b/>
        <sz val="12"/>
        <rFont val="Helv"/>
      </rPr>
      <t>ADMINISTRATIVE BLOCKS</t>
    </r>
    <r>
      <rPr>
        <sz val="12"/>
        <rFont val="Helv"/>
      </rPr>
      <t xml:space="preserve"> AND COMMUNITY CENTRE</t>
    </r>
  </si>
  <si>
    <r>
      <t xml:space="preserve">FAN POINT FOR </t>
    </r>
    <r>
      <rPr>
        <b/>
        <sz val="12"/>
        <rFont val="Helv"/>
      </rPr>
      <t>ADMINISTRATIVE BLOCKS</t>
    </r>
    <r>
      <rPr>
        <sz val="12"/>
        <rFont val="Helv"/>
      </rPr>
      <t xml:space="preserve"> AND COMMUNITY CENTRE</t>
    </r>
  </si>
  <si>
    <r>
      <t xml:space="preserve">STAIRCASE LIGHT POINT FOR </t>
    </r>
    <r>
      <rPr>
        <b/>
        <sz val="12"/>
        <rFont val="Helv"/>
      </rPr>
      <t>ADMINISTRATIVE BLOCKS</t>
    </r>
    <r>
      <rPr>
        <sz val="12"/>
        <rFont val="Helv"/>
      </rPr>
      <t xml:space="preserve"> AND COMMUNITY CENTRE</t>
    </r>
  </si>
  <si>
    <t>Open wiring for Light point with ceiling rose for flats/ houses</t>
  </si>
  <si>
    <r>
      <t>Open wiring</t>
    </r>
    <r>
      <rPr>
        <sz val="12"/>
        <rFont val="Helv"/>
      </rPr>
      <t xml:space="preserve"> for Light point with ceiling rose for flats/ houses</t>
    </r>
  </si>
  <si>
    <r>
      <t>Open wiring Light point with bakelite batern type holder for flats/ houses</t>
    </r>
    <r>
      <rPr>
        <b/>
        <sz val="12"/>
        <rFont val="Helv"/>
      </rPr>
      <t>(Open wiring)</t>
    </r>
  </si>
  <si>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</si>
  <si>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</si>
  <si>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</si>
  <si>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</si>
  <si>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r>
      <t xml:space="preserve">2 x 4 Sqmm Copper PVC insulated unsheathed single core 1 KV grade cable for </t>
    </r>
    <r>
      <rPr>
        <b/>
        <sz val="12"/>
        <rFont val="Helv"/>
      </rPr>
      <t>EB service single phase.</t>
    </r>
  </si>
  <si>
    <r>
      <t>4 x 4  Sq mm copper PVC insulated unsheathed single core cable for</t>
    </r>
    <r>
      <rPr>
        <b/>
        <sz val="12"/>
        <rFont val="Helv"/>
      </rPr>
      <t xml:space="preserve"> 3 phase EB service</t>
    </r>
    <r>
      <rPr>
        <sz val="12"/>
        <rFont val="Helv"/>
      </rPr>
      <t xml:space="preserve"> connection</t>
    </r>
  </si>
  <si>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</si>
  <si>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</si>
  <si>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</si>
  <si>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Supply and erection of Tubular lamp, using 65 mm dia GI pipe 'B' class pipe with ISI mark of 6 mt length and 20 mm dia GI pipe 'B' class upto 2 mt with necessary reducer couplings and pipe firmly fixed with MS plate of 45 cm x 45 cm x 6 mm thick at the  b</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</si>
  <si>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</si>
  <si>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</si>
  <si>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</si>
  <si>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</si>
  <si>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</si>
  <si>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</si>
  <si>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</si>
  <si>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</si>
  <si>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</si>
  <si>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GI pipe of 40 mm dia</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</si>
  <si>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</si>
  <si>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</si>
  <si>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</si>
  <si>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</si>
  <si>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</si>
  <si>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</si>
  <si>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</si>
  <si>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</si>
  <si>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</si>
  <si>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</si>
  <si>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</si>
  <si>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</si>
  <si>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</si>
  <si>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</si>
  <si>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</si>
  <si>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</si>
  <si>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TW round block</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</si>
  <si>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</si>
  <si>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</si>
  <si>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</si>
  <si>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</si>
  <si>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</si>
  <si>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</si>
  <si>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</si>
  <si>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</si>
  <si>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</si>
  <si>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</si>
  <si>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</si>
  <si>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</si>
  <si>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</si>
  <si>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</si>
  <si>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</si>
  <si>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</si>
  <si>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</si>
  <si>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</si>
  <si>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</si>
  <si>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</si>
  <si>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</si>
  <si>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</si>
  <si>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</si>
  <si>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</si>
  <si>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</si>
  <si>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</si>
  <si>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</si>
  <si>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</si>
  <si>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Bulk head fittings</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</si>
  <si>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</si>
  <si>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</si>
  <si>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</si>
  <si>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</si>
  <si>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</si>
  <si>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</si>
  <si>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0.60x0.60m</t>
  </si>
  <si>
    <t>Aluminium Ventilator 0.75x0.60m</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</si>
  <si>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</si>
  <si>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</si>
  <si>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</si>
  <si>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</si>
  <si>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</si>
  <si>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</si>
  <si>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</si>
  <si>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</si>
  <si>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</si>
  <si>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</si>
  <si>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15 Amps 260 Volts fuse unit</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</si>
  <si>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</si>
  <si>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</si>
  <si>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</si>
  <si>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</si>
  <si>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</si>
  <si>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</si>
  <si>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</si>
  <si>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</si>
  <si>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</si>
  <si>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Earth work excavation and refilling</t>
  </si>
  <si>
    <t>Bricks</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</si>
  <si>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</si>
  <si>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</si>
  <si>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</si>
  <si>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</si>
  <si>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</si>
  <si>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</si>
  <si>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</si>
  <si>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</si>
  <si>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</si>
  <si>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</si>
  <si>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</si>
  <si>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</si>
  <si>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</si>
  <si>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</si>
  <si>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</si>
  <si>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</si>
  <si>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</si>
  <si>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</si>
  <si>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</si>
  <si>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</si>
  <si>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</si>
  <si>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</si>
  <si>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</si>
  <si>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</si>
  <si>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</si>
  <si>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</si>
  <si>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</si>
  <si>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</si>
  <si>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</si>
  <si>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</si>
  <si>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4 way 16 amps, way 250 volts single phase and neutral link metalic distribution board</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</si>
  <si>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</si>
  <si>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</si>
  <si>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</si>
  <si>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</si>
  <si>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</si>
  <si>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</si>
  <si>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</si>
  <si>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</si>
  <si>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25 Amps rating single phase ELCB with 10 to 25 MA sensitivity (ISI make ) (DP)</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</si>
  <si>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</si>
  <si>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</si>
  <si>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</si>
  <si>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</si>
  <si>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</si>
  <si>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</si>
  <si>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</si>
  <si>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</si>
  <si>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</si>
  <si>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</si>
  <si>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</si>
  <si>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</si>
  <si>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</si>
  <si>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</si>
  <si>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</si>
  <si>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</si>
  <si>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</si>
  <si>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</si>
  <si>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</si>
  <si>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</si>
  <si>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</si>
  <si>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</si>
  <si>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</si>
  <si>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1200mm AcC ceiling fan (without regulator)</t>
  </si>
  <si>
    <t>Cost of electronic regulator</t>
  </si>
  <si>
    <t>Tube light -  Box type</t>
  </si>
  <si>
    <t>4' tube light fitting with \electronic ballast</t>
  </si>
  <si>
    <t>slim tube light 36 w</t>
  </si>
  <si>
    <t>Labour charges (as per Data 22 )</t>
  </si>
  <si>
    <t>Tube light -  Patty type</t>
  </si>
  <si>
    <t>1200 x 2100mm</t>
  </si>
  <si>
    <t>STYLES(OVER 2M) -1X4X2.05X0.075X0.0375</t>
  </si>
  <si>
    <t xml:space="preserve">SHUTTER SIZE0-1.1 X 2.05  </t>
  </si>
  <si>
    <t>Plywood      -1X2X0.625X0.425</t>
  </si>
  <si>
    <t>RAILS(BELOW 2M)- 2X3X0.55X0.15X0.0375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</si>
  <si>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</si>
  <si>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</si>
  <si>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</si>
  <si>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</si>
  <si>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</si>
  <si>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</si>
  <si>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</si>
  <si>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</si>
  <si>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</si>
  <si>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</si>
  <si>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</si>
  <si>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</si>
  <si>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</si>
  <si>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</si>
  <si>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</si>
  <si>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</si>
  <si>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</si>
  <si>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</si>
  <si>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</si>
  <si>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</si>
  <si>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</si>
  <si>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Glass 5.5mm thick</t>
  </si>
  <si>
    <t>Alu.DOOR HANDLE WITH CP SCREWS (150mm long)</t>
  </si>
  <si>
    <t>Exhaust Fan 9" Swep ( 225 mm )</t>
  </si>
  <si>
    <t>----------------------------------------------</t>
  </si>
  <si>
    <t>Provision of hole in the wall and making good of the wall</t>
  </si>
  <si>
    <t>M.S. Clamps/ Saddles 32mm It-III d p-77</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</si>
  <si>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</si>
  <si>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</si>
  <si>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</si>
  <si>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</si>
  <si>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</si>
  <si>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</si>
  <si>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</si>
  <si>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</si>
  <si>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</si>
  <si>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</si>
  <si>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</si>
  <si>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</si>
  <si>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</si>
  <si>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</si>
  <si>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</si>
  <si>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</si>
  <si>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</si>
  <si>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</si>
  <si>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</si>
  <si>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T.W DOOR SHUTTER TWO LEAVES(1800 X 2100 mm</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</si>
  <si>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</si>
  <si>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</si>
  <si>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</si>
  <si>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</si>
  <si>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</si>
  <si>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</si>
  <si>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</si>
  <si>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</si>
  <si>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</si>
  <si>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</si>
  <si>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</si>
  <si>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</si>
  <si>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 xml:space="preserve">3 No of 30 amps MCB </t>
  </si>
  <si>
    <t>Labour charges ( as per data No:28)</t>
  </si>
  <si>
    <t>Rate for Single  phase ELCB</t>
  </si>
  <si>
    <t>Supplying and fixing of Three phase ELCB</t>
  </si>
  <si>
    <t>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</si>
  <si>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</si>
  <si>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</si>
  <si>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</si>
  <si>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</si>
  <si>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</si>
  <si>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</si>
  <si>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</si>
  <si>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</si>
  <si>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</si>
  <si>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</si>
  <si>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</si>
  <si>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</si>
  <si>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</si>
  <si>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</si>
  <si>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</si>
  <si>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</si>
  <si>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</si>
  <si>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</si>
  <si>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</si>
  <si>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</si>
  <si>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</si>
  <si>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</si>
  <si>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</si>
  <si>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</si>
  <si>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</si>
  <si>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</si>
  <si>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</si>
  <si>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</si>
  <si>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</si>
  <si>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</si>
  <si>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</si>
  <si>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</si>
  <si>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</si>
  <si>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</si>
  <si>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</si>
  <si>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</si>
  <si>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</si>
  <si>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</si>
  <si>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</si>
  <si>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</si>
  <si>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</si>
  <si>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</si>
  <si>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</si>
  <si>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</si>
  <si>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</si>
  <si>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</si>
  <si>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</si>
  <si>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</si>
  <si>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</si>
  <si>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</si>
  <si>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</si>
  <si>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</si>
  <si>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</si>
  <si>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</si>
  <si>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</si>
  <si>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</si>
  <si>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</si>
  <si>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</si>
  <si>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</si>
  <si>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</si>
  <si>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</si>
  <si>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</si>
  <si>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</si>
  <si>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</si>
  <si>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</si>
  <si>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</si>
  <si>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</si>
  <si>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</si>
  <si>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</si>
  <si>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</si>
  <si>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</si>
  <si>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</si>
  <si>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</si>
  <si>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WELD MESH  75X25X10G / Fly proof mesh</t>
  </si>
  <si>
    <t>Lit</t>
  </si>
  <si>
    <t>PAINTING TWO COATS OVER OLD</t>
  </si>
  <si>
    <t>WITH C.M(1:5)20mm THICK</t>
  </si>
  <si>
    <t>Removal of old cement mortor racking out joints 20mm deep</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</si>
  <si>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</si>
  <si>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</si>
  <si>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</si>
  <si>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</si>
  <si>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</si>
  <si>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</si>
  <si>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</si>
  <si>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</si>
  <si>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</si>
  <si>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</si>
  <si>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</si>
  <si>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</si>
  <si>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</si>
  <si>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</si>
  <si>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</si>
  <si>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</si>
  <si>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</si>
  <si>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</si>
  <si>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</si>
  <si>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</si>
  <si>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</si>
  <si>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</si>
  <si>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</si>
  <si>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</si>
  <si>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</si>
  <si>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</si>
  <si>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</si>
  <si>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</si>
  <si>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</si>
  <si>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</si>
  <si>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</si>
  <si>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</si>
  <si>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</si>
  <si>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</si>
  <si>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</si>
  <si>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</si>
  <si>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</si>
  <si>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</si>
  <si>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</si>
  <si>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</si>
  <si>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</si>
  <si>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</si>
  <si>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</si>
  <si>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</si>
  <si>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</si>
  <si>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</si>
  <si>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</si>
  <si>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</si>
  <si>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</si>
  <si>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</si>
  <si>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</si>
  <si>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</si>
  <si>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</si>
  <si>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Add cost of 25 mm dia PVC pipe heavy duty</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</si>
  <si>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</si>
  <si>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</si>
  <si>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</si>
  <si>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</si>
  <si>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</si>
  <si>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</si>
  <si>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</si>
  <si>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</si>
  <si>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</si>
  <si>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</si>
  <si>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</si>
  <si>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</si>
  <si>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</si>
  <si>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</si>
  <si>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</si>
  <si>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</si>
  <si>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</si>
  <si>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</si>
  <si>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</si>
  <si>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</si>
  <si>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</si>
  <si>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</si>
  <si>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</si>
  <si>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</si>
  <si>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</si>
  <si>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GI reducer 40x20mm</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</si>
  <si>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</si>
  <si>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</si>
  <si>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</si>
  <si>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</si>
  <si>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</si>
  <si>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</si>
  <si>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</si>
  <si>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</si>
  <si>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</si>
  <si>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</si>
  <si>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</si>
  <si>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</si>
  <si>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</si>
  <si>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</si>
  <si>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</si>
  <si>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</si>
  <si>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2011-12 RATE</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</si>
  <si>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</si>
  <si>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</si>
  <si>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</si>
  <si>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</si>
  <si>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</si>
  <si>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</si>
  <si>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</si>
  <si>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</si>
  <si>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</si>
  <si>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</si>
  <si>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</si>
  <si>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</si>
  <si>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</si>
  <si>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</si>
  <si>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</si>
  <si>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</si>
  <si>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</si>
  <si>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</si>
  <si>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</si>
  <si>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</si>
  <si>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</si>
  <si>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</si>
  <si>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</si>
  <si>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</si>
  <si>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</si>
  <si>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</si>
  <si>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</si>
  <si>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</si>
  <si>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</si>
  <si>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</si>
  <si>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</si>
  <si>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</si>
  <si>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</si>
  <si>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</si>
  <si>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</si>
  <si>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</si>
  <si>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</si>
  <si>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</si>
  <si>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</si>
  <si>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</si>
  <si>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</si>
  <si>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</si>
  <si>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</si>
  <si>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</si>
  <si>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</si>
  <si>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</si>
  <si>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</si>
  <si>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</si>
  <si>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</si>
  <si>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Exhaust fan of 300 mm dia</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</si>
  <si>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</si>
  <si>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</si>
  <si>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</si>
  <si>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</si>
  <si>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</si>
  <si>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</si>
  <si>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</si>
  <si>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</si>
  <si>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</si>
  <si>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</si>
  <si>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</si>
  <si>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</si>
  <si>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</si>
  <si>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S.W.BEND 100/150mm DIAWITH ISI MARK</t>
  </si>
  <si>
    <t>S.W.TEE 100/150mm DIA WITH ISI MARK</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</si>
  <si>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</si>
  <si>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</si>
  <si>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</si>
  <si>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</si>
  <si>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</si>
  <si>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</si>
  <si>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</si>
  <si>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</si>
  <si>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</si>
  <si>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</si>
  <si>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</si>
  <si>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</si>
  <si>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</si>
  <si>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Conduit pipe 19 mm (MS)</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</si>
  <si>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</si>
  <si>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</si>
  <si>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</si>
  <si>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</si>
  <si>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</si>
  <si>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</si>
  <si>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</si>
  <si>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</si>
  <si>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Brass screws  ( 40 mm x 6 no)</t>
  </si>
  <si>
    <t>TW plugs</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</si>
  <si>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</si>
  <si>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</si>
  <si>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</si>
  <si>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</si>
  <si>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</si>
  <si>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</si>
  <si>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</si>
  <si>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</si>
  <si>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</si>
  <si>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</si>
  <si>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</si>
  <si>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</si>
  <si>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</si>
  <si>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</si>
  <si>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</si>
  <si>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</si>
  <si>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</si>
  <si>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</si>
  <si>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</si>
  <si>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</si>
  <si>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r>
      <t>Partly glazed and partly TW</t>
    </r>
    <r>
      <rPr>
        <sz val="13"/>
        <rFont val="Arial"/>
        <family val="2"/>
      </rPr>
      <t xml:space="preserve"> panelled door shutter (Double leaves) with brass screws.
</t>
    </r>
    <r>
      <rPr>
        <b/>
        <sz val="13"/>
        <rFont val="Arial"/>
        <family val="2"/>
      </rPr>
      <t>a. 1200x2400mm</t>
    </r>
  </si>
  <si>
    <r>
      <t>Partly glazed and partly BWR</t>
    </r>
    <r>
      <rPr>
        <sz val="13"/>
        <rFont val="Arial"/>
        <family val="2"/>
      </rPr>
      <t xml:space="preserve"> panelled door shutter (Double leaves) with brass screws.
</t>
    </r>
    <r>
      <rPr>
        <b/>
        <sz val="13"/>
        <rFont val="Arial"/>
        <family val="2"/>
      </rPr>
      <t>a. 1500x2400mm</t>
    </r>
  </si>
  <si>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</si>
  <si>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</si>
  <si>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</si>
  <si>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</si>
  <si>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</si>
  <si>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</si>
  <si>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</si>
  <si>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</si>
  <si>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</si>
  <si>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</si>
  <si>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</si>
  <si>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</si>
  <si>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</si>
  <si>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</si>
  <si>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</si>
  <si>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</si>
  <si>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</si>
  <si>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</si>
  <si>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</si>
  <si>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</si>
  <si>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</si>
  <si>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</si>
  <si>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</si>
  <si>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</si>
  <si>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</si>
  <si>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</si>
  <si>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</si>
  <si>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</si>
  <si>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</si>
  <si>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</si>
  <si>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r>
      <t xml:space="preserve">Brick partition work in C.M. 1:4 </t>
    </r>
    <r>
      <rPr>
        <sz val="13"/>
        <rFont val="Arial"/>
        <family val="2"/>
      </rPr>
      <t xml:space="preserve">using chamber Burnt bricks of size 23 x 11.4 x 7.5 cm (9" x 4 1/2"x 3") </t>
    </r>
    <r>
      <rPr>
        <b/>
        <sz val="13"/>
        <rFont val="Arial"/>
        <family val="2"/>
      </rPr>
      <t>114 mm tk (B.P.)</t>
    </r>
  </si>
  <si>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</si>
  <si>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</si>
  <si>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</si>
  <si>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</si>
  <si>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</si>
  <si>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</si>
  <si>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</si>
  <si>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</si>
  <si>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</si>
  <si>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</si>
  <si>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</si>
  <si>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</si>
  <si>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</si>
  <si>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TW Box 10X10 @ 15.00/each</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</si>
  <si>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</si>
  <si>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</si>
  <si>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</si>
  <si>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</si>
  <si>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</si>
  <si>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</si>
  <si>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</si>
  <si>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MV/SV lamps</t>
  </si>
  <si>
    <t>Total Rs</t>
  </si>
  <si>
    <t>DATA   - 48</t>
  </si>
  <si>
    <t>Fixing of Tube light street light fitting</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</si>
  <si>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</si>
  <si>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</si>
  <si>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</si>
  <si>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</si>
  <si>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</si>
  <si>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</si>
  <si>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</si>
  <si>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</si>
  <si>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</si>
  <si>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r>
      <t>Brick work in C.M. 1:6</t>
    </r>
    <r>
      <rPr>
        <sz val="13"/>
        <rFont val="Arial"/>
        <family val="2"/>
      </rPr>
      <t xml:space="preserve"> using chamber Burnt bricks of size 23 x 11.4 x 7.5 cm (9" x 4 1/2"x 3")</t>
    </r>
  </si>
  <si>
    <t>FITTER-II (Pipe &amp; Bar Bend) 16/20a p-11</t>
  </si>
  <si>
    <t>FITTER-I (Pipe &amp; Bar Bend) 15/20 p-11</t>
  </si>
  <si>
    <t>T.W SCANTLING 2M TO 3M LONG 108/73 p-21</t>
  </si>
  <si>
    <t>T.W.SCANTLING BELOW 2M LONG 109/74 p-21</t>
  </si>
  <si>
    <t>549A</t>
  </si>
  <si>
    <t>CUDDAPAH SLAB SINK 60X60cm,20mmT.K</t>
  </si>
  <si>
    <t>Solid panel PVC door with frame (Rajeshree)</t>
  </si>
  <si>
    <t>M.S.WINDOW GRILLS / Special extruded sections for Steel Windows *</t>
  </si>
  <si>
    <t>conrete 1:2:4 using 20 mm HBSJ ( 0.45 x 1.5 mt)</t>
  </si>
  <si>
    <t>For TNEB Meter</t>
  </si>
  <si>
    <t>MS box 600 x 225 mm with door and lock and key arrangements with necessary MS clamps to bolts &amp; nuts with washers.</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</si>
  <si>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</si>
  <si>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</si>
  <si>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</si>
  <si>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</si>
  <si>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</si>
  <si>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</si>
  <si>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</si>
  <si>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</si>
  <si>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</si>
  <si>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 xml:space="preserve">32 Amps rating </t>
    </r>
    <r>
      <rPr>
        <b/>
        <sz val="12"/>
        <rFont val="Helv"/>
      </rPr>
      <t xml:space="preserve">Three phase </t>
    </r>
    <r>
      <rPr>
        <sz val="12"/>
        <rFont val="Helv"/>
      </rPr>
      <t>ELCB with 20 to 30 MA sensitivity</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</si>
  <si>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</si>
  <si>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</si>
  <si>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</si>
  <si>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</si>
  <si>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</si>
  <si>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</si>
  <si>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</si>
  <si>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</si>
  <si>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</si>
  <si>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</si>
  <si>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</si>
  <si>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</si>
  <si>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</si>
  <si>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</si>
  <si>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</si>
  <si>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</si>
  <si>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</si>
  <si>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</si>
  <si>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</si>
  <si>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</si>
  <si>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</si>
  <si>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</si>
  <si>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</si>
  <si>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</si>
  <si>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</si>
  <si>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</si>
  <si>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</si>
  <si>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</si>
  <si>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</si>
  <si>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Exhaust fan of 225 mm dia</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</si>
  <si>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</si>
  <si>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</si>
  <si>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20 mm dia GI 'B' class pipe</t>
  </si>
  <si>
    <t>Back lamp with bolts &amp; nuts</t>
  </si>
  <si>
    <t>15 Amps 500 v fuse unit</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</si>
  <si>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</si>
  <si>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</si>
  <si>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</si>
  <si>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</si>
  <si>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</si>
  <si>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</si>
  <si>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</si>
  <si>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</si>
  <si>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</si>
  <si>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</si>
  <si>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</si>
  <si>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</si>
  <si>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</si>
  <si>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</si>
  <si>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TNHB ELECTRICAL DATA</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</si>
  <si>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</si>
  <si>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</si>
  <si>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</si>
  <si>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</si>
  <si>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</si>
  <si>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</si>
  <si>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</si>
  <si>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</si>
  <si>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</si>
  <si>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</si>
  <si>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</si>
  <si>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painting two coat for old wood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</si>
  <si>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</si>
  <si>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</si>
  <si>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</si>
  <si>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</si>
  <si>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</si>
  <si>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</si>
  <si>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</si>
  <si>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</si>
  <si>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</si>
  <si>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</si>
  <si>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</si>
  <si>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</si>
  <si>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</si>
  <si>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</si>
  <si>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</si>
  <si>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</si>
  <si>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</si>
  <si>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</si>
  <si>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</si>
  <si>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</si>
  <si>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</si>
  <si>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</si>
  <si>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</si>
  <si>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</si>
  <si>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</si>
  <si>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</si>
  <si>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CUTTING CHARGE OF PVC pipe20mm,25mm / 32 mm dia</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</si>
  <si>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</si>
  <si>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</si>
  <si>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</si>
  <si>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</si>
  <si>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</si>
  <si>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</si>
  <si>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</si>
  <si>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</si>
  <si>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</si>
  <si>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</si>
  <si>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</si>
  <si>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</si>
  <si>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</si>
  <si>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</si>
  <si>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</si>
  <si>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</si>
  <si>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</si>
  <si>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</si>
  <si>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</si>
  <si>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</si>
  <si>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</si>
  <si>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</si>
  <si>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</si>
  <si>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</si>
  <si>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</si>
  <si>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</si>
  <si>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</si>
  <si>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</si>
  <si>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</si>
  <si>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</si>
  <si>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</si>
  <si>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</si>
  <si>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</si>
  <si>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</si>
  <si>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</si>
  <si>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</si>
  <si>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</si>
  <si>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</si>
  <si>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</si>
  <si>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</si>
  <si>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</si>
  <si>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</si>
  <si>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</si>
  <si>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</si>
  <si>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</si>
  <si>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</si>
  <si>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</si>
  <si>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</si>
  <si>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</si>
  <si>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</si>
  <si>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</si>
  <si>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</si>
  <si>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</si>
  <si>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</si>
  <si>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</si>
  <si>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</si>
  <si>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</si>
  <si>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</si>
  <si>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</si>
  <si>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</si>
  <si>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</si>
  <si>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</si>
  <si>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</si>
  <si>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</si>
  <si>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</si>
  <si>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</si>
  <si>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Buzer/Bell @ 45.00/Each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</si>
  <si>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</si>
  <si>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</si>
  <si>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</si>
  <si>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</si>
  <si>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</si>
  <si>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</si>
  <si>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</si>
  <si>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</si>
  <si>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</si>
  <si>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</si>
  <si>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</si>
  <si>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</si>
  <si>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</si>
  <si>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</si>
  <si>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</si>
  <si>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</si>
  <si>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</si>
  <si>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</si>
  <si>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</si>
  <si>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</si>
  <si>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</si>
  <si>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</si>
  <si>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</si>
  <si>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</si>
  <si>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</si>
  <si>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</si>
  <si>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</si>
  <si>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</si>
  <si>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</si>
  <si>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</si>
  <si>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</si>
  <si>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</si>
  <si>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</si>
  <si>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</si>
  <si>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</si>
  <si>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</si>
  <si>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</si>
  <si>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</si>
  <si>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</si>
  <si>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</si>
  <si>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Paint</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</si>
  <si>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</si>
  <si>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</si>
  <si>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</si>
  <si>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</si>
  <si>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</si>
  <si>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</si>
  <si>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</si>
  <si>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</si>
  <si>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</si>
  <si>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</si>
  <si>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</si>
  <si>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</si>
  <si>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</si>
  <si>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</si>
  <si>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</si>
  <si>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</si>
  <si>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</si>
  <si>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</si>
  <si>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</si>
  <si>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</si>
  <si>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</si>
  <si>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</si>
  <si>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Cement Paint two coat</t>
  </si>
  <si>
    <t>Cemant paint</t>
  </si>
  <si>
    <t>painter I</t>
  </si>
  <si>
    <t>Thorouh scrapping</t>
  </si>
  <si>
    <t xml:space="preserve">SUNDRIES </t>
  </si>
  <si>
    <t>Cement Paint one coat</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</si>
  <si>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</si>
  <si>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</si>
  <si>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</si>
  <si>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</si>
  <si>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</si>
  <si>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</si>
  <si>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</si>
  <si>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Add cost of TW box 12" x 8" x3" for switch and regulator 10 nos  @ Rs 78.70 / Each</t>
  </si>
  <si>
    <t>Hylem sheet 0.60 Sq m@ 640/Sq m</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</si>
  <si>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</si>
  <si>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</si>
  <si>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</si>
  <si>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</si>
  <si>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</si>
  <si>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</si>
  <si>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</si>
  <si>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</si>
  <si>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</si>
  <si>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</si>
  <si>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</si>
  <si>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</si>
  <si>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</si>
  <si>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</si>
  <si>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</si>
  <si>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</si>
  <si>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</si>
  <si>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</si>
  <si>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</si>
  <si>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</si>
  <si>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</si>
  <si>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</si>
  <si>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</si>
  <si>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</si>
  <si>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</si>
  <si>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</si>
  <si>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</si>
  <si>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</si>
  <si>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</si>
  <si>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</si>
  <si>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</si>
  <si>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</si>
  <si>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</si>
  <si>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Tubular lamp</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</si>
  <si>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</si>
  <si>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</si>
  <si>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</si>
  <si>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</si>
  <si>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</si>
  <si>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r>
      <t xml:space="preserve">Glazed-WALL TILES PLAINCOLOUR-6MM T.K (PWD LR) 100x200x6mm 
</t>
    </r>
    <r>
      <rPr>
        <b/>
        <sz val="12"/>
        <color indexed="8"/>
        <rFont val="Helv"/>
      </rPr>
      <t>item no. 7(ii)</t>
    </r>
  </si>
  <si>
    <t>Specification for Flurescent Tubular lamp street light fittings</t>
  </si>
  <si>
    <t>Squre Rod ( 2x.5x1.13 Kg/m )</t>
  </si>
  <si>
    <t>Cost of Clamp 10mm</t>
  </si>
  <si>
    <t>Labour Charges for welding</t>
  </si>
  <si>
    <t>Cost of fixed hooks</t>
  </si>
  <si>
    <t>Rate for 2 Nos</t>
  </si>
  <si>
    <t>50 mm dia GI pipe 'B' class</t>
  </si>
  <si>
    <t>Pair</t>
  </si>
  <si>
    <t>Back clamps with bolts and nuts</t>
  </si>
  <si>
    <t>Street light Fittings (single)</t>
  </si>
  <si>
    <t>Tube light fittinhs</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</si>
  <si>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</si>
  <si>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</si>
  <si>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</si>
  <si>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</si>
  <si>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</si>
  <si>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</si>
  <si>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</si>
  <si>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</si>
  <si>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</si>
  <si>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</si>
  <si>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</si>
  <si>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</si>
  <si>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</si>
  <si>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</si>
  <si>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</si>
  <si>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</si>
  <si>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</si>
  <si>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</si>
  <si>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</si>
  <si>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</si>
  <si>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</si>
  <si>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</si>
  <si>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</si>
  <si>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</si>
  <si>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</si>
  <si>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</si>
  <si>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</si>
  <si>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</si>
  <si>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</si>
  <si>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</si>
  <si>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</si>
  <si>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r>
      <t>Brick work in C.M. 1:5 (F&amp; B)</t>
    </r>
    <r>
      <rPr>
        <sz val="13"/>
        <rFont val="Arial"/>
        <family val="2"/>
      </rPr>
      <t xml:space="preserve"> using chamber Burnt bricks of size 23 x 11.4 x 7.5 cm (9" x 4 1/2"x 3")</t>
    </r>
  </si>
  <si>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</si>
  <si>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</si>
  <si>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</si>
  <si>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</si>
  <si>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</si>
  <si>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</si>
  <si>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</si>
  <si>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</si>
  <si>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</si>
  <si>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</si>
  <si>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</si>
  <si>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</si>
  <si>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</si>
  <si>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</si>
  <si>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</si>
  <si>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</si>
  <si>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</si>
  <si>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</si>
  <si>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</si>
  <si>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</si>
  <si>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Name of work : Construction of 8 Nos. of PC/HC Quarters at Uthukottai in Thiruvallur District.under Phase-XVII for the year 2010-11</t>
  </si>
  <si>
    <t>Supervision Charges @ 7.5%</t>
  </si>
  <si>
    <t>SUB - TOTAL - II Rs.</t>
  </si>
  <si>
    <t xml:space="preserve"> 15a</t>
  </si>
  <si>
    <t>CENTERING C.W. JOIST</t>
  </si>
  <si>
    <t>CASURINA POST 10mmMTO 13mm DIA *</t>
  </si>
  <si>
    <t>Add the cost of 10 nos  15 x 10 x 7.5 cm TW box @ Rs 18.00/Each</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</si>
  <si>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</si>
  <si>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</si>
  <si>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</si>
  <si>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</si>
  <si>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</si>
  <si>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</si>
  <si>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</si>
  <si>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</si>
  <si>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</si>
  <si>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</si>
  <si>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</si>
  <si>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</si>
  <si>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</si>
  <si>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</si>
  <si>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</si>
  <si>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</si>
  <si>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</si>
  <si>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</si>
  <si>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</si>
  <si>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</si>
  <si>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</si>
  <si>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</si>
  <si>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</si>
  <si>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</si>
  <si>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</si>
  <si>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</si>
  <si>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</si>
  <si>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</si>
  <si>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</si>
  <si>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</si>
  <si>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</si>
  <si>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</si>
  <si>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</si>
  <si>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</si>
  <si>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</si>
  <si>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</si>
  <si>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</si>
  <si>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</si>
  <si>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</si>
  <si>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</si>
  <si>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</si>
  <si>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</si>
  <si>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</si>
  <si>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</si>
  <si>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PARTITION WALL OF 75mm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</si>
  <si>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</si>
  <si>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</si>
  <si>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</si>
  <si>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</si>
  <si>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</si>
  <si>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</si>
  <si>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</si>
  <si>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</si>
  <si>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</si>
  <si>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</si>
  <si>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</si>
  <si>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</si>
  <si>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</si>
  <si>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</si>
  <si>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</si>
  <si>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</si>
  <si>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</si>
  <si>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</si>
  <si>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</si>
  <si>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</si>
  <si>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</si>
  <si>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</si>
  <si>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</si>
  <si>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</si>
  <si>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</si>
  <si>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</si>
  <si>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</si>
  <si>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</si>
  <si>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</si>
  <si>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</si>
  <si>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</si>
  <si>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</si>
  <si>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</si>
  <si>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</si>
  <si>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</si>
  <si>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</si>
  <si>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</si>
  <si>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</si>
  <si>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</si>
  <si>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</si>
  <si>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</si>
  <si>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</si>
  <si>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</si>
  <si>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</si>
  <si>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</si>
  <si>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</si>
  <si>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</si>
  <si>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</si>
  <si>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</si>
  <si>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</si>
  <si>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</si>
  <si>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</si>
  <si>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</si>
  <si>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</si>
  <si>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32 A DPIC switch</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</si>
  <si>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</si>
  <si>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</si>
  <si>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</si>
  <si>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</si>
  <si>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</si>
  <si>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</si>
  <si>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</si>
  <si>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</si>
  <si>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</si>
  <si>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</si>
  <si>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</si>
  <si>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</si>
  <si>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</si>
  <si>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</si>
  <si>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</si>
  <si>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</si>
  <si>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</si>
  <si>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</si>
  <si>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</si>
  <si>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</si>
  <si>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</si>
  <si>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</si>
  <si>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</si>
  <si>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</si>
  <si>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</si>
  <si>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</si>
  <si>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</si>
  <si>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</si>
  <si>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</si>
  <si>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</si>
  <si>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</si>
  <si>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</si>
  <si>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</si>
  <si>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</si>
  <si>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</si>
  <si>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</si>
  <si>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</si>
  <si>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</si>
  <si>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</si>
  <si>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</si>
  <si>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</si>
  <si>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</si>
  <si>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</si>
  <si>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</si>
  <si>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</si>
  <si>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</si>
  <si>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</si>
  <si>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</si>
  <si>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</si>
  <si>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</si>
  <si>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</si>
  <si>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</si>
  <si>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</si>
  <si>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</si>
  <si>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</si>
  <si>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</si>
  <si>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</si>
  <si>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</si>
  <si>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</si>
  <si>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</si>
  <si>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</si>
  <si>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</si>
  <si>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</si>
  <si>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</si>
  <si>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</si>
  <si>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</si>
  <si>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</si>
  <si>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</si>
  <si>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</si>
  <si>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</si>
  <si>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</si>
  <si>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</si>
  <si>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</si>
  <si>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</si>
  <si>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</si>
  <si>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</si>
  <si>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</si>
  <si>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</si>
  <si>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</si>
  <si>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</si>
  <si>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</si>
  <si>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</si>
  <si>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</si>
  <si>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</si>
  <si>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</si>
  <si>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</si>
  <si>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</si>
  <si>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</si>
  <si>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</si>
  <si>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</si>
  <si>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</si>
  <si>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</si>
  <si>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</si>
  <si>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</si>
  <si>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</si>
  <si>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</si>
  <si>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</si>
  <si>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</si>
  <si>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</si>
  <si>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</si>
  <si>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</si>
  <si>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</si>
  <si>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</si>
  <si>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</si>
  <si>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</si>
  <si>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</si>
  <si>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</si>
  <si>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</si>
  <si>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</si>
  <si>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</si>
  <si>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</si>
  <si>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</si>
  <si>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</si>
  <si>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</si>
  <si>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</si>
  <si>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 xml:space="preserve"> 'U' nails</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</si>
  <si>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</si>
  <si>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</si>
  <si>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</si>
  <si>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GI pipe of 25 mm dia</t>
  </si>
  <si>
    <t>Rate Each Rmt</t>
  </si>
  <si>
    <t>DATA   - 39</t>
  </si>
  <si>
    <t>Supply of MS angle for EB service ( single phase )</t>
  </si>
  <si>
    <t>Supply of MS angles 40 x 40 x 6 mm for above data to support the above GI pipe and fixing the GI stay wire service connection wires for above data</t>
  </si>
  <si>
    <t>40 x 40 x 6 mm MS angle</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</si>
  <si>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</si>
  <si>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</si>
  <si>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</si>
  <si>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</si>
  <si>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</si>
  <si>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</si>
  <si>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</si>
  <si>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</si>
  <si>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</si>
  <si>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</si>
  <si>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</si>
  <si>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</si>
  <si>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</si>
  <si>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</si>
  <si>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</si>
  <si>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</si>
  <si>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</si>
  <si>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</si>
  <si>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</si>
  <si>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65 mm dia GI pipe ' B' class</t>
  </si>
  <si>
    <t>20 mm dia GI pipe ' B' class</t>
  </si>
  <si>
    <t>Base plate 45 cm x45 cm x 6mm thick</t>
  </si>
  <si>
    <t>MS box 8" x 6" with cover</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</si>
  <si>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</si>
  <si>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</si>
  <si>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</si>
  <si>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Three phase distribution board with 4 way/phase and 32 A / Way with fuse and neutral link.</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</si>
  <si>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</si>
  <si>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</si>
  <si>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</si>
  <si>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</si>
  <si>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</si>
  <si>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</si>
  <si>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</si>
  <si>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</si>
  <si>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</si>
  <si>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</si>
  <si>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</si>
  <si>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SullageDrain &amp; Storm water drain</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</si>
  <si>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</si>
  <si>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</si>
  <si>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</si>
  <si>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</si>
  <si>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</si>
  <si>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</si>
  <si>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</si>
  <si>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</si>
  <si>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</si>
  <si>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</si>
  <si>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</si>
  <si>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</si>
  <si>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</si>
  <si>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</si>
  <si>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</si>
  <si>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</si>
  <si>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</si>
  <si>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</si>
  <si>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</si>
  <si>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</si>
  <si>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</si>
  <si>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</si>
  <si>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</si>
  <si>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</si>
  <si>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</si>
  <si>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Add for 6 way TPDB 32A/way</t>
  </si>
  <si>
    <t xml:space="preserve">25 sq mm (7/2.14) cable 1100V Grade </t>
  </si>
  <si>
    <t>frosted glass 3mmthick</t>
  </si>
  <si>
    <t xml:space="preserve">PVC SHEATHED CABLE SC ALUMINIUM  CONDUCTOR </t>
  </si>
  <si>
    <t xml:space="preserve">1.5 sq mm 1/1.4 or equivalent multi core cable 1100V Grade </t>
  </si>
  <si>
    <t>Less 4 way TPDB 32 A/way</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</si>
  <si>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</si>
  <si>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</si>
  <si>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</si>
  <si>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</si>
  <si>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</si>
  <si>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</si>
  <si>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</si>
  <si>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</si>
  <si>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</si>
  <si>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</si>
  <si>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</si>
  <si>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</si>
  <si>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</si>
  <si>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</si>
  <si>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</si>
  <si>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8 SWG GI wire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</si>
  <si>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</si>
  <si>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</si>
  <si>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</si>
  <si>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</si>
  <si>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</si>
  <si>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</si>
  <si>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</si>
  <si>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TW box 4" x4"</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</si>
  <si>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</si>
  <si>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</si>
  <si>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</si>
  <si>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</si>
  <si>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</si>
  <si>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</si>
  <si>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</si>
  <si>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</si>
  <si>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TW board 8" x6" 41/2"</t>
  </si>
  <si>
    <t>Hylem sheet</t>
  </si>
  <si>
    <t>4 Ft 40 W single type suitable for 1 No tube</t>
  </si>
  <si>
    <t>63 Amps 500 V fuse units</t>
  </si>
  <si>
    <t>16 Amps 500 V fuse units</t>
  </si>
  <si>
    <t>Estimate for Special Repair works for Deputy Commissioner Lobby in Second Floor and Additional Construction works for Store Room in Fourth Floor of existing Commissioner of Police Building at COP Campus in Coimbatore city.</t>
  </si>
  <si>
    <t>1 No.</t>
  </si>
  <si>
    <t>Special repair works for Deputy Commissioner lobby in Second floor at COP building in Coimbatore City.</t>
  </si>
  <si>
    <t>Additional Construction for Store Room in fourth floor at COP building in Coimbatore City.</t>
  </si>
  <si>
    <t>L.S Provision for Electrical arrangements</t>
  </si>
  <si>
    <t>L.S Provision for Plumping arrangements</t>
  </si>
  <si>
    <t>Contingencies charges at 2.5%</t>
  </si>
  <si>
    <t>Escalation Charges @ 12.5%</t>
  </si>
  <si>
    <t>Say</t>
  </si>
  <si>
    <t>1.04 Lakhs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</si>
  <si>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</si>
  <si>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</si>
  <si>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</si>
  <si>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</si>
  <si>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</si>
  <si>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</si>
  <si>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</si>
  <si>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</si>
  <si>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</si>
  <si>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</si>
  <si>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</si>
  <si>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1.20x1.35m  (Four leaves)</t>
  </si>
  <si>
    <t>Aluminium window openable 0.90x1.35m  (Four leaves)</t>
  </si>
  <si>
    <t>Aluminium window openable 0.45x1.35m (Two leaves)</t>
  </si>
  <si>
    <t>Aluminium window openable 1.35x1.35m (Six leaves)</t>
  </si>
  <si>
    <t>Aluminium window openable 1.35x1.05m  (Six leaves)</t>
  </si>
  <si>
    <t>Aluminium window openable 1.50x1.35m  (Six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</si>
  <si>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</si>
  <si>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</si>
  <si>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</si>
  <si>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</si>
  <si>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</si>
  <si>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</si>
  <si>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</si>
  <si>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</si>
  <si>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</si>
  <si>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</si>
  <si>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</si>
  <si>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</si>
  <si>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Forpower rolling as per PWD SR 2012-13 as per P.26</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</si>
  <si>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</si>
  <si>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</si>
  <si>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</si>
  <si>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</si>
  <si>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</si>
  <si>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</si>
  <si>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</si>
  <si>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</si>
  <si>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</si>
  <si>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E.W.  61/62 p-25</t>
  </si>
  <si>
    <t>L.C.T.W.Door- 144/2 p-30</t>
  </si>
  <si>
    <t>L.C.marine doors-145/3 p-30</t>
  </si>
  <si>
    <t>TW glazed window 149/8 p-31</t>
  </si>
  <si>
    <t>Wrought&amp;putup 143/1 p-30</t>
  </si>
  <si>
    <t>Ventilator 153/14 p-31</t>
  </si>
  <si>
    <t>Meter- Cupboard Weldmesh 158/23 p-32</t>
  </si>
  <si>
    <t>E.W (SDR) 62/67 p-25</t>
  </si>
  <si>
    <t>Add the cost of 10 Nos Buzer/Bell @ 49.50/Each</t>
  </si>
  <si>
    <t>Add the cost of 10 nos  15 x 10 x 7.5 cm TW box @ Rs 19.80/Each</t>
  </si>
  <si>
    <r>
      <t>Add cost of Bakelite battern type holders 6 nos @</t>
    </r>
    <r>
      <rPr>
        <sz val="12"/>
        <color indexed="10"/>
        <rFont val="Helv"/>
      </rPr>
      <t xml:space="preserve"> 19.80/E</t>
    </r>
    <r>
      <rPr>
        <sz val="12"/>
        <rFont val="Helv"/>
      </rPr>
      <t>ach</t>
    </r>
  </si>
  <si>
    <t>( 1.5  x  4340) - ( (652 + 904 ) / 2)</t>
  </si>
  <si>
    <t>TW plank of size 750 x 450 x 12 mm thick(76350+5117)</t>
  </si>
  <si>
    <t>Add cost of Bakelite battern type holders 10 Nos @ Rs 19.80 / Each</t>
  </si>
  <si>
    <t>Add the cost of 10 nos 5A type push switch @ Rs 16.92/ Each</t>
  </si>
  <si>
    <t>Add cost of TW box 12" x 8" x3" for switch and regulator 10 nos  @ Rs 82.60 / Each</t>
  </si>
  <si>
    <t>Hylem sheet 0.60 Sq m@ 672/Sq m</t>
  </si>
  <si>
    <t xml:space="preserve"> 2omm alu. hanger rod </t>
  </si>
  <si>
    <t>Hollow type PVC door with frame</t>
  </si>
  <si>
    <t>Props 10 to 13 m dia @ 75m c/c cost for 1 operation 21.1/5=4.22</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</si>
  <si>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</si>
  <si>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</si>
  <si>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</si>
  <si>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</si>
  <si>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</si>
  <si>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15 Amps 250 Volts fuse unit</t>
  </si>
  <si>
    <t>5 A 5 pin non - inter locking switch and plug ( flush type ) part - c (I a) + part - d (I a)( Rs. 203/12 + 27.7)</t>
  </si>
  <si>
    <t>Detailed Estimate</t>
  </si>
  <si>
    <t>Sl.No</t>
  </si>
  <si>
    <t xml:space="preserve">Description of work </t>
  </si>
  <si>
    <t xml:space="preserve">Measurement in Mtrs </t>
  </si>
  <si>
    <t>Contents</t>
  </si>
  <si>
    <t xml:space="preserve">Length </t>
  </si>
  <si>
    <t>Breath</t>
  </si>
  <si>
    <t>Depth</t>
  </si>
  <si>
    <t>say</t>
  </si>
  <si>
    <t>Brick partition wall in CM1:4, 114mm thick</t>
  </si>
  <si>
    <t>Plastering in CM 1:5, 12mm thick</t>
  </si>
  <si>
    <t xml:space="preserve"> one coat of white cement for primer coat.</t>
  </si>
  <si>
    <t>pillar sides</t>
  </si>
  <si>
    <t>cement paint two coats over existing primer coat ect..,</t>
  </si>
  <si>
    <t>Qty as per itme number 6</t>
  </si>
  <si>
    <t xml:space="preserve">Abstract </t>
  </si>
  <si>
    <t xml:space="preserve">Qty </t>
  </si>
  <si>
    <t xml:space="preserve">Description </t>
  </si>
  <si>
    <t>Per</t>
  </si>
  <si>
    <t xml:space="preserve">Brick work in CM 1:5 chmber burnt  bricks of size 23x11.4x7.5 cm </t>
  </si>
  <si>
    <t>one coat of white cement for primer coat.</t>
  </si>
  <si>
    <t>Earthwork excavation in all soils and subsoils for foundation and basement</t>
  </si>
  <si>
    <t>PCC 1:5:10 using 40mm HBS jelly</t>
  </si>
  <si>
    <t>Brick work in C.M. 1:5 (F&amp; B) using Chamber Burnt brick of size 23 x 11.4 x 7.5 cm (9" x 4 1/2" x 3")</t>
  </si>
  <si>
    <t>a)</t>
  </si>
  <si>
    <t>Light point with ceiling rose</t>
  </si>
  <si>
    <t>S &amp; F of Tube light fitting  box type with Electronic ballast and 36 W slim tube light</t>
  </si>
  <si>
    <t>rear wall</t>
  </si>
  <si>
    <t>Granolithic floor finshing 25 mm thick</t>
  </si>
  <si>
    <t>supplying and fadricating roof trusses with sheet</t>
  </si>
  <si>
    <t>co-eff</t>
  </si>
  <si>
    <t>SUB - TOTAL - I Rs</t>
  </si>
  <si>
    <t>contingencies, P.Scharges @ 2.5%</t>
  </si>
  <si>
    <t>unforeseen item @ 2.5%</t>
  </si>
  <si>
    <t xml:space="preserve"> TOTAL Rs :</t>
  </si>
  <si>
    <t>for the year 2013-14</t>
  </si>
  <si>
    <t>Pettapalayam</t>
  </si>
  <si>
    <t>Omalur</t>
  </si>
  <si>
    <t>Valapadi</t>
  </si>
  <si>
    <t>2013-14</t>
  </si>
  <si>
    <t>Chamber Burnt Bricks of size 23x11.2x7.5Cm</t>
  </si>
  <si>
    <t xml:space="preserve">B.W IN C.M(1:6) USING Chamber </t>
  </si>
  <si>
    <t xml:space="preserve">B.W IN C.M(1:4) USING Chamber </t>
  </si>
  <si>
    <t>Foundation and Basement</t>
  </si>
  <si>
    <t xml:space="preserve">for pipe post </t>
  </si>
  <si>
    <t>for  retating wall</t>
  </si>
  <si>
    <t>sloped portion</t>
  </si>
  <si>
    <t>d/f for pipe post</t>
  </si>
  <si>
    <t>For pipe post footing</t>
  </si>
  <si>
    <t>for stub column</t>
  </si>
  <si>
    <t>for plinth beam</t>
  </si>
  <si>
    <t xml:space="preserve">wall alround </t>
  </si>
  <si>
    <t xml:space="preserve"> side sloped wall</t>
  </si>
  <si>
    <t xml:space="preserve">below ground level wall </t>
  </si>
  <si>
    <t>Flloring 1:5:10 using 40mm HBS jelly</t>
  </si>
  <si>
    <t>for shed portion</t>
  </si>
  <si>
    <t>for wall top</t>
  </si>
  <si>
    <t>Allround</t>
  </si>
  <si>
    <t>Sloped portion</t>
  </si>
  <si>
    <t>Rear side</t>
  </si>
  <si>
    <t xml:space="preserve">Painting new iron work </t>
  </si>
  <si>
    <t>pipe</t>
  </si>
  <si>
    <t>truss</t>
  </si>
  <si>
    <t>rear truss</t>
  </si>
  <si>
    <t>purling</t>
  </si>
  <si>
    <t>L</t>
  </si>
  <si>
    <t>D</t>
  </si>
  <si>
    <t>Providing 6" dia bore well</t>
  </si>
  <si>
    <t>a. up to 100m</t>
  </si>
  <si>
    <t xml:space="preserve">b. adove 100m </t>
  </si>
  <si>
    <t xml:space="preserve">Supplying and erection of 6" dia casing pipe </t>
  </si>
  <si>
    <t xml:space="preserve">for well </t>
  </si>
  <si>
    <t>mtr</t>
  </si>
  <si>
    <t>rmt</t>
  </si>
  <si>
    <t>Supplying &amp; fixing  of bore well sumericable moter 5HP 52 satage</t>
  </si>
  <si>
    <t>for bore well</t>
  </si>
  <si>
    <t>Supplying and deliveryand fixing of panel board  with ISI specificatin</t>
  </si>
  <si>
    <t>Supplying and laying 2.54sqmm 3 core copper flat cable as per ISI specification</t>
  </si>
  <si>
    <t xml:space="preserve">in bore well </t>
  </si>
  <si>
    <t>bore well to panel board</t>
  </si>
  <si>
    <t>Suppliying and delivery and fixing of following dia GI/GM/PVC pipes and specials</t>
  </si>
  <si>
    <t>a) MS end cap</t>
  </si>
  <si>
    <t>d) 32mm dia GI bend</t>
  </si>
  <si>
    <t>c) 32mm dia GI pipe</t>
  </si>
  <si>
    <t>f) 32mm dia PVC MTA</t>
  </si>
  <si>
    <t>e) 32mmdia pvc FTA</t>
  </si>
  <si>
    <t>g) 32mm GI coupler</t>
  </si>
  <si>
    <t>h) 40mm OD PVC pipe</t>
  </si>
  <si>
    <t>i) 20mm OD PVCpipe for  cable</t>
  </si>
  <si>
    <t>j) 40 mm PVC bend</t>
  </si>
  <si>
    <t>b) 32 mm MS clapm set</t>
  </si>
  <si>
    <t>N/W: Providing bore well and extrnal water supply arrangement at sooramangalam SBCID in  Salem city.</t>
  </si>
  <si>
    <t>Supplying and delivery of wet type libricates submersible motor with multistarge pumpest sutiable for bore well                                                                                                                HP;5HP,moter</t>
  </si>
  <si>
    <t xml:space="preserve">for column footing </t>
  </si>
  <si>
    <t>for gate column footing</t>
  </si>
  <si>
    <t>for grade beam</t>
  </si>
  <si>
    <t>R.C.C. 1:2:4 Foundation and Basement</t>
  </si>
  <si>
    <t xml:space="preserve">for gate column </t>
  </si>
  <si>
    <t>D/F column</t>
  </si>
  <si>
    <t>d/f column</t>
  </si>
  <si>
    <t>d/f gate column</t>
  </si>
  <si>
    <t>for allround wall</t>
  </si>
  <si>
    <t>for column to column</t>
  </si>
  <si>
    <t>D/F gate</t>
  </si>
  <si>
    <t xml:space="preserve">for walls allround </t>
  </si>
  <si>
    <t xml:space="preserve">top </t>
  </si>
  <si>
    <t xml:space="preserve">for entrance gate pillar allround </t>
  </si>
  <si>
    <t>for entrance gate portion</t>
  </si>
  <si>
    <t>entrance gate column top portion</t>
  </si>
  <si>
    <t>a) 75mm tk wide</t>
  </si>
  <si>
    <t>for wall allrounds</t>
  </si>
  <si>
    <t>entrance gate column allround</t>
  </si>
  <si>
    <t xml:space="preserve">for entrance gate </t>
  </si>
  <si>
    <t>13.50 x 40  kg/m2</t>
  </si>
  <si>
    <t xml:space="preserve">for grade beam allround </t>
  </si>
  <si>
    <t xml:space="preserve">d/f entrance column </t>
  </si>
  <si>
    <t xml:space="preserve">for entrance gate column </t>
  </si>
  <si>
    <t xml:space="preserve">for  column </t>
  </si>
  <si>
    <t>supplying MS grills for doors and windows</t>
  </si>
  <si>
    <t>R.C.C. 1:2:4 ground floor</t>
  </si>
  <si>
    <t>for gate column</t>
  </si>
  <si>
    <t>for border</t>
  </si>
  <si>
    <t>for plastering 75mm wide</t>
  </si>
  <si>
    <t>for support pillars</t>
  </si>
  <si>
    <t xml:space="preserve">frount side </t>
  </si>
  <si>
    <t>fornt side</t>
  </si>
  <si>
    <t>in GF</t>
  </si>
  <si>
    <t>IN GF</t>
  </si>
  <si>
    <r>
      <t xml:space="preserve">Earth work excavation in all soils </t>
    </r>
    <r>
      <rPr>
        <b/>
        <sz val="13"/>
        <rFont val="Comic Sans MS"/>
        <family val="4"/>
      </rPr>
      <t>(including refilling)</t>
    </r>
  </si>
  <si>
    <r>
      <t xml:space="preserve">R.C.C. 1:2:4 </t>
    </r>
    <r>
      <rPr>
        <sz val="13"/>
        <color indexed="8"/>
        <rFont val="Comic Sans MS"/>
        <family val="4"/>
      </rPr>
      <t>Foundation and Basement</t>
    </r>
  </si>
  <si>
    <r>
      <t xml:space="preserve">Brick work in C.M. 1:6 </t>
    </r>
    <r>
      <rPr>
        <sz val="13"/>
        <color indexed="8"/>
        <rFont val="Comic Sans MS"/>
        <family val="4"/>
      </rPr>
      <t xml:space="preserve"> using Chamber Burnt brick of size 23 x 11.4 x 7.5 cm 
(9" x 4 1/2" x 3")</t>
    </r>
  </si>
  <si>
    <r>
      <t xml:space="preserve">Brick partition work in C.M. 1:4 </t>
    </r>
    <r>
      <rPr>
        <sz val="13"/>
        <color indexed="8"/>
        <rFont val="Comic Sans MS"/>
        <family val="4"/>
      </rPr>
      <t xml:space="preserve">Kiln Burnt Country bricks of size 22 x 11 x 7 cm (8 3/4" x 4 1/4" x 2 3/4") </t>
    </r>
    <r>
      <rPr>
        <b/>
        <sz val="13"/>
        <color indexed="8"/>
        <rFont val="Comic Sans MS"/>
        <family val="4"/>
      </rPr>
      <t>110 mm tk (B.P.)</t>
    </r>
  </si>
  <si>
    <r>
      <t>Run of 2 Wires of 1.5 sqmm PVC insulated single core multi strand fire retardant flexible copper cable with ISI mark confirming IS: 694:1990</t>
    </r>
    <r>
      <rPr>
        <sz val="11"/>
        <rFont val="Comic Sans MS"/>
        <family val="4"/>
      </rPr>
      <t>.</t>
    </r>
  </si>
  <si>
    <r>
      <t>Stucco</t>
    </r>
    <r>
      <rPr>
        <sz val="13"/>
        <rFont val="Comic Sans MS"/>
        <family val="4"/>
      </rPr>
      <t xml:space="preserve"> plastering 12 mm tk.</t>
    </r>
  </si>
  <si>
    <r>
      <t xml:space="preserve">Fabrication of </t>
    </r>
    <r>
      <rPr>
        <b/>
        <sz val="13"/>
        <color indexed="8"/>
        <rFont val="Comic Sans MS"/>
        <family val="4"/>
      </rPr>
      <t xml:space="preserve">Mild steel / RTS grills
</t>
    </r>
    <r>
      <rPr>
        <sz val="13"/>
        <color indexed="8"/>
        <rFont val="Comic Sans MS"/>
        <family val="4"/>
      </rPr>
      <t>(with cement slurry wash) for all sizes of rods.</t>
    </r>
  </si>
  <si>
    <t xml:space="preserve">N/W: Construction of comound wall to SBCID office in salem city. </t>
  </si>
  <si>
    <t>g) 32mm GI coupling</t>
  </si>
  <si>
    <t>k)32 mm UPVC pipe</t>
  </si>
  <si>
    <t>Flooring1:5:10</t>
  </si>
  <si>
    <t>Two wheller  shed</t>
  </si>
  <si>
    <t>Bore well &amp; extrnal water supply</t>
  </si>
  <si>
    <t>Construction of  compound wall</t>
  </si>
  <si>
    <t>For vetical post</t>
  </si>
  <si>
    <t>S&amp;F 90mm GiI PIPE</t>
  </si>
  <si>
    <t>f&amp;b</t>
  </si>
  <si>
    <r>
      <t xml:space="preserve">Earth work excavation in all soils </t>
    </r>
    <r>
      <rPr>
        <b/>
        <sz val="13"/>
        <color indexed="8"/>
        <rFont val="Comic Sans MS"/>
        <family val="4"/>
      </rPr>
      <t>(including refilling)</t>
    </r>
  </si>
  <si>
    <r>
      <t xml:space="preserve">Brick work in C.M. 1:5 </t>
    </r>
    <r>
      <rPr>
        <sz val="13"/>
        <color indexed="8"/>
        <rFont val="Comic Sans MS"/>
        <family val="4"/>
      </rPr>
      <t xml:space="preserve"> using Chamber Burnt brick of size 23 x 11.4 x 7.5 cm 
(9" x 4 1/2" x 3")</t>
    </r>
  </si>
  <si>
    <r>
      <t>Run of 2 Wires of 1.5 sqmm PVC insulated single core multi strand fire retardant flexible copper cable with ISI mark confirming IS: 694:1990</t>
    </r>
    <r>
      <rPr>
        <sz val="11"/>
        <color indexed="8"/>
        <rFont val="Comic Sans MS"/>
        <family val="4"/>
      </rPr>
      <t>.</t>
    </r>
  </si>
  <si>
    <t xml:space="preserve">LS </t>
  </si>
  <si>
    <t>N/W: Providing ext. water supply, compound wall and two wheeler shed to SBCID building at Sooramangalam in salem city</t>
  </si>
  <si>
    <t>N/W:Constructoin of twowheeler shed for SBCID at SOORAMANGALAM in  Salem city.</t>
  </si>
  <si>
    <r>
      <rPr>
        <b/>
        <sz val="11"/>
        <color indexed="8"/>
        <rFont val="Comic Sans MS"/>
        <family val="4"/>
      </rPr>
      <t>Run off 2 Wires of1.5sqmm</t>
    </r>
    <r>
      <rPr>
        <sz val="11"/>
        <color indexed="8"/>
        <rFont val="Comic Sans MS"/>
        <family val="4"/>
      </rPr>
      <t xml:space="preserve"> PVC insulated single core multi strand fire retardant flexible copper cable with ISI mark confirming IS: 694:1990.</t>
    </r>
  </si>
  <si>
    <r>
      <t>qty as per</t>
    </r>
    <r>
      <rPr>
        <b/>
        <sz val="11"/>
        <color indexed="8"/>
        <rFont val="Comic Sans MS"/>
        <family val="4"/>
      </rPr>
      <t xml:space="preserve"> item no.3</t>
    </r>
  </si>
  <si>
    <r>
      <t>Brick work in C.M. 1:6</t>
    </r>
    <r>
      <rPr>
        <sz val="13"/>
        <rFont val="Comic Sans MS"/>
        <family val="4"/>
      </rPr>
      <t xml:space="preserve"> using chamber Burnt bricks of size 23 x 11.4 x 7.5 cm (9" x 4 1/2"x 3")</t>
    </r>
  </si>
  <si>
    <t>salem city</t>
  </si>
  <si>
    <t>S.NO</t>
  </si>
  <si>
    <t>Cu.M</t>
  </si>
  <si>
    <t>Plastering with CM 1:5, 12mm thick finished with neat cement including provisions band cornice, ceiling cornice, curing, scaffolding etc.., all complete</t>
  </si>
  <si>
    <t>Supplying and fixing Mild steel grills as per verrandah encloser approved or gate including one coat of primer and labour for fixing in position etc.., all complete</t>
  </si>
  <si>
    <t>Painting the new iron works and other similar works such as PVC/ASTM pipes , kerb stone and grills with two coats of approved Ist class synthetic Enamel Ready mixed Paint of approved quality and brand , The paint should be cost etc.., all complete</t>
  </si>
  <si>
    <t xml:space="preserve">DESCRIPTION OF WORK </t>
  </si>
  <si>
    <t>SAY</t>
  </si>
  <si>
    <t>Plain Cement Concrete 1:5:10 using 40mm HBS jelly for foundation etc..,</t>
  </si>
  <si>
    <t>Brick work partition wall in CM 1:4, 114mm thick etc..,</t>
  </si>
  <si>
    <t>PROVIDING 3000mm DIA OF AUGAR PILE FOUNDATION IN CC 1:2:4 INCLUDING COST OF CONVEYANCE OF STEEL REINFOCEMENT</t>
  </si>
  <si>
    <t>(OBSERVED DATA)</t>
  </si>
  <si>
    <t>Earth work excavation for 300mm dia in augar pile including cost of labour and materials etc..,</t>
  </si>
  <si>
    <t>CC 1:2:4 using 20mm HBS Jelly for all RCC works etc..,</t>
  </si>
  <si>
    <t>Rate for 3 RMt =&gt;</t>
  </si>
  <si>
    <t>Rate for 1 RMt =&gt;</t>
  </si>
  <si>
    <t>DETAILED ESTIMATE</t>
  </si>
  <si>
    <t>Supplying and fixing Mild steel grills for window ,ventilators etc..,</t>
  </si>
  <si>
    <t>PWD SR P21</t>
  </si>
  <si>
    <t>Fixing position of mild steel grills windows ventilators etc..,</t>
  </si>
  <si>
    <t>PWD SR P32</t>
  </si>
  <si>
    <t>Rate for 1kg</t>
  </si>
  <si>
    <t>(b) Plain surface such as Roof slab , Floor Slab ,beam lintelsl, loft sill slab ,staircase waist etc..,</t>
  </si>
  <si>
    <t>Finishing the top of flooring with cement concrete 1:2:4 20mm tk for granolithic Flooring and surface rendared smooyh etc..,</t>
  </si>
  <si>
    <t>Plastering the Top of Flooring in Cm 1:4 , 20mm tk including surface rendered smooth including providing proper slopes etc..,</t>
  </si>
  <si>
    <t>Supplying. Fabrication and Placing in position of MS/RTS Grill of all diameter for Reinforced for all Floors etc..,</t>
  </si>
  <si>
    <t>a)In Foundation &amp; Basement</t>
  </si>
  <si>
    <t xml:space="preserve"> -do- pillars</t>
  </si>
  <si>
    <t>Cement Concrete 1:2:4 using 20mm gauge HBS jelly for all RCC works namely Tee,Ell (or) Rectangular works lintel parapet cum drops etc..,</t>
  </si>
  <si>
    <t>In Foundation &amp; Basement</t>
  </si>
  <si>
    <t>Supplying and Filling in Foundation &amp; Basement with Filling Sand in Layer of 150mm tk etc..,</t>
  </si>
  <si>
    <t>Plastering with CM 1:5, 12mm thick  Border finished with neat cement including provisions band cornice, ceiling cornice, curing, scaffolding etc.., all complete</t>
  </si>
  <si>
    <t>Providing form work and centering for RCC works including supports and strutting upto 3.30m height for plain surfaces etc.., all complete</t>
  </si>
  <si>
    <t xml:space="preserve"> -do- allround sides</t>
  </si>
  <si>
    <t xml:space="preserve"> -do- sides</t>
  </si>
  <si>
    <t xml:space="preserve"> -do- top portion</t>
  </si>
  <si>
    <t>Earth work Excavation for open foundation in all soils and sub soils to the required depth etc..,(Excluding Refilling)</t>
  </si>
  <si>
    <t>for Septic tank</t>
  </si>
  <si>
    <t>for I/C</t>
  </si>
  <si>
    <t>for Dispersion Trench</t>
  </si>
  <si>
    <t>Plain Cement Concrete 1:2:4 using 20mm HBS jelly for foundation etc..,</t>
  </si>
  <si>
    <t>Supplying and Filling in Foundation &amp; Basement with 40mm HBS Jelly etc..,</t>
  </si>
  <si>
    <t>Supplying and Filling in Foundation &amp; Basement with 20mm HBS Jelly etc..,</t>
  </si>
  <si>
    <t>Supplying and Filling in Foundation &amp; Basement with Filling Sand in Layer of 200mm tk etc..,</t>
  </si>
  <si>
    <t>Brick work in cement mortar 1:5 using chamber burnt bricks of size 9"x4.5"x3" for superstructure in the following floors including labour for fixing doors windows and ventilator frames in position fixing the hold fasts, scaffoldings, curing etc.., all complete</t>
  </si>
  <si>
    <t>(a) In Foundation and Basement</t>
  </si>
  <si>
    <t>for Septic tank Ist Footing</t>
  </si>
  <si>
    <t xml:space="preserve"> -do- Iind Footing</t>
  </si>
  <si>
    <t xml:space="preserve"> -do- IIIrd Footing</t>
  </si>
  <si>
    <t>for I/c Benching chaneling</t>
  </si>
  <si>
    <t>Plastering with CM 1:4, 12mm thick finished with neat cement including provisions band cornice, ceiling cornice, curing, scaffolding etc.., all complete</t>
  </si>
  <si>
    <t>for Septic Tank allround Inner</t>
  </si>
  <si>
    <t>for I/C sides</t>
  </si>
  <si>
    <t>for Septic Tank allround Inner Bottom</t>
  </si>
  <si>
    <t>for I/C Bottom</t>
  </si>
  <si>
    <t>for septic tank cover slab</t>
  </si>
  <si>
    <t>for Septic tank bottom</t>
  </si>
  <si>
    <t>D/F man hole Bottom</t>
  </si>
  <si>
    <t>D/F man hole sides</t>
  </si>
  <si>
    <t>Providing  Precast Slab in C.C 1:2:4, 40 mm th in F&amp;B etc.</t>
  </si>
  <si>
    <t>for Spectic tank  I/C</t>
  </si>
  <si>
    <t xml:space="preserve"> -do- septic tank manhole</t>
  </si>
  <si>
    <t>for septic tank I/C top</t>
  </si>
  <si>
    <t xml:space="preserve"> for septic tank allround</t>
  </si>
  <si>
    <t>As Per Item No:10</t>
  </si>
  <si>
    <t>for man hole I/C</t>
  </si>
  <si>
    <t>Mild Steel Grills= 125.00kg/cu.m x 1.75 cu.m=218.75 .00kg</t>
  </si>
  <si>
    <t>for top of septic tank</t>
  </si>
  <si>
    <t>D/F man hole</t>
  </si>
  <si>
    <t>SEPTIC TANK</t>
  </si>
  <si>
    <t>Earth work Excavation for open foundation in all soils and sub soils to the required depth etc..,(Including Refilling)</t>
  </si>
  <si>
    <t>CEMENT CONCRETE ROAD</t>
  </si>
  <si>
    <t>for main road to office connecting</t>
  </si>
  <si>
    <t xml:space="preserve"> -do- kerb stone</t>
  </si>
  <si>
    <t>Supplying and fixing of Bituminous tar pad 20mm thick etc..,</t>
  </si>
  <si>
    <t>Providing pre cast Kerb stone CC 1:3:6 , of size 450x300x150mm thick etc..,</t>
  </si>
  <si>
    <t>SULLAGE DRAIN</t>
  </si>
  <si>
    <t>for QRT &amp; library building drains</t>
  </si>
  <si>
    <t>2x14</t>
  </si>
  <si>
    <t>Brick work in cement mortar 1:5 using chamber burnt bricks of size 9"x4.5"x3" for superstructure in the following floors including labour for fixing doors windows and ventilator frames in position fixing the hold fasts, scaffoldings, curing etc.., all complete.</t>
  </si>
  <si>
    <t>Plain Cement Concrete 1:8:16 using 40mm HBS jelly for foundation etc..,</t>
  </si>
  <si>
    <t>for QRT &amp; library building drains bottom</t>
  </si>
  <si>
    <t>for QRT &amp; library building drains sides</t>
  </si>
  <si>
    <t>for QRT &amp; library building drains outer sides</t>
  </si>
  <si>
    <t xml:space="preserve"> -do- pillar</t>
  </si>
  <si>
    <t>2x2x14</t>
  </si>
  <si>
    <t>Main Work</t>
  </si>
  <si>
    <t>primer coat</t>
  </si>
  <si>
    <t>1 No.of 32Amps - Fuse Unit</t>
  </si>
  <si>
    <t>3 Nos.of 32Amps - Fuse Unit</t>
  </si>
  <si>
    <t>Supplying and Fixing of mild steel grill verandah encloser or Gate</t>
  </si>
  <si>
    <t>Spl. Ceiling plastering in C.M. 1:3,
 12 mm tk.</t>
  </si>
  <si>
    <t>Plastering in C.M. 1:5, 20 mm tk.</t>
  </si>
  <si>
    <t>Marbonite tiles</t>
  </si>
  <si>
    <t>MARBONITE TILES FOR FLOORING</t>
  </si>
  <si>
    <t>Cm1:3</t>
  </si>
  <si>
    <t>colour cement</t>
  </si>
  <si>
    <t>mason I class</t>
  </si>
  <si>
    <t>Stone cutter I class</t>
  </si>
  <si>
    <t>Add 10% Labour charges</t>
  </si>
  <si>
    <t>cotton waste</t>
  </si>
  <si>
    <t>Gronolithic Floor Finishing</t>
  </si>
  <si>
    <t>Sub Data</t>
  </si>
  <si>
    <t>HBG stone chips 10mm</t>
  </si>
  <si>
    <t>CM1:2</t>
  </si>
  <si>
    <t>For 20MM Thick</t>
  </si>
  <si>
    <t xml:space="preserve">CC1:2:4 </t>
  </si>
  <si>
    <t xml:space="preserve">Labour Charges for rubbing the top smooth surface and thread lining </t>
  </si>
  <si>
    <t>Gronolithic Flooring cc1:2:4, 20mm tk</t>
  </si>
  <si>
    <t>Emulsion Paint</t>
  </si>
  <si>
    <t>Distember</t>
  </si>
  <si>
    <t>primer</t>
  </si>
  <si>
    <t>Painter I class</t>
  </si>
  <si>
    <t>Add 10% on labour Charges</t>
  </si>
  <si>
    <t>Sundrises</t>
  </si>
  <si>
    <t>lit</t>
  </si>
  <si>
    <t>Two Coats of oil bound Disternber new surface</t>
  </si>
  <si>
    <t>Oil bound Distember</t>
  </si>
  <si>
    <t>painter I class</t>
  </si>
  <si>
    <t>Kg\</t>
  </si>
  <si>
    <t>Marbonite tiles 600x 600x80mm</t>
  </si>
  <si>
    <t xml:space="preserve"> exterior Emulsion Paint (first Quality)</t>
  </si>
  <si>
    <t xml:space="preserve">Run of 4 wires of 4 sqmm with 7/20 GI wire </t>
  </si>
  <si>
    <t>Dismantling and Clearing away Weathering course &amp; pressed tiles</t>
  </si>
  <si>
    <t>Dismantling and Clearing away Brick Work in Cm Under 3m height</t>
  </si>
  <si>
    <t>Dismantling and Clearing away RCC</t>
  </si>
  <si>
    <t>Dismantling and Clearing away PCC</t>
  </si>
  <si>
    <t>Dismantling and Clearing away Doors &amp; Windows</t>
  </si>
  <si>
    <t>Chipping Concrete and Roughening the surface etc..,</t>
  </si>
  <si>
    <t>Sq.m</t>
  </si>
  <si>
    <t>Paver Block 60mm tk</t>
  </si>
  <si>
    <t>e.For circular surface  (sump)</t>
  </si>
  <si>
    <t>S &amp; F  of  C.I. Manhole cover 60 x 60 cm
 (50 kg. weight)</t>
  </si>
  <si>
    <t>Bare Galvalume Sheet</t>
  </si>
  <si>
    <t>GRAND TOTAL Rs.</t>
  </si>
  <si>
    <t>M.SAND</t>
  </si>
  <si>
    <t>SUPPLYING AND FIXING WITH 10 TO 12MM HBS JELLY CHIPPS ETC..,</t>
  </si>
  <si>
    <t>Cu.m</t>
  </si>
  <si>
    <t xml:space="preserve"> -------------------</t>
  </si>
  <si>
    <t>Rate per 1 Sq.m</t>
  </si>
  <si>
    <t>Rate per 0.743Sq.m</t>
  </si>
  <si>
    <t>PROVIDING RCC PRECAST SLAB 75MM THICK IN CC 1:2:4 ETC..,</t>
  </si>
  <si>
    <t xml:space="preserve">Cost of 10 to 12mm HBS J.chipps </t>
  </si>
  <si>
    <t xml:space="preserve">Labour charges for filling </t>
  </si>
  <si>
    <t>Rate per 1 Cu.M</t>
  </si>
  <si>
    <t xml:space="preserve">Earth work excavation and refilling </t>
  </si>
  <si>
    <t>Rate per 1Rmt</t>
  </si>
  <si>
    <t>SUPPLYING, LAYING AND JOINTING OF PVC PIPE LABOUR CHARGES FOR 25MM DIA 6KG/SQ.CM</t>
  </si>
  <si>
    <t>Cost of pipe 25mm dia 6kg/Sq.cm</t>
  </si>
  <si>
    <t>SUPPLYING, LAYING AND JOINTING OF PVC PIPE LABOUR CHARGES FOR 110MM DIA 6KG/SQ.CM</t>
  </si>
  <si>
    <t>Cost of pipe110mm dia 6kg/Sq.cm</t>
  </si>
  <si>
    <t xml:space="preserve">70% of specials </t>
  </si>
  <si>
    <t>SUPPLYING AND LAYING 4 CORE 10SQ.MM ALUMINIUM CABLE (BELOW GL)</t>
  </si>
  <si>
    <t xml:space="preserve">Cost of cable 4 core 10sq.mm </t>
  </si>
  <si>
    <t>earth work excavation</t>
  </si>
  <si>
    <t>sand filling</t>
  </si>
  <si>
    <t>Cost of cable 3 core 2.5 sq.mm</t>
  </si>
  <si>
    <t>cost of PVC pipe 40mm dia</t>
  </si>
  <si>
    <t>SUPPLYING, LAYING AND JOINTING OF PVC PIPE LABOUR CHARGES FOR 63MM DIA 6KG/SQ.CM</t>
  </si>
  <si>
    <t>Cost of pipe 63mm dia pvc pipe</t>
  </si>
  <si>
    <t>Earth work excavaton</t>
  </si>
  <si>
    <t>SUPPLYING AND LAYING OF 3 CORE 2.5SQ.MM PVC FLAT CABLE (below GL)</t>
  </si>
  <si>
    <t>Cost of pipe 160mm dia PVC</t>
  </si>
  <si>
    <t>SUPPLYING, LAYING AND JOINTING OF PVC PIPE LABOUR CHARGES FOR 160MM DIA 6KG/SQ.CM</t>
  </si>
  <si>
    <t>Laboour charges</t>
  </si>
  <si>
    <t>1000nos</t>
  </si>
  <si>
    <t>Providing T.W Single leaf individual shutters with locking arrangements for rest rooms cupboard/ward robes with 9mm thick BWR plywood for shutters etc..,</t>
  </si>
  <si>
    <t>Cub-board size/ Shutter size = 2.82x2.10m = 5.922Sq.M for 1no</t>
  </si>
  <si>
    <t xml:space="preserve">                                                                2nos        = 11.844Sq.m</t>
  </si>
  <si>
    <t>Teakwood scantling(over 2m)= 4x2.82x0.075x0.0375                  = 0.31725Cu.M</t>
  </si>
  <si>
    <t>Teakwood scantling(over 2m)=2x 4x2.10xx0.075x0.0375            = 0.04725Cu.M</t>
  </si>
  <si>
    <t>CC 1:2:4 using 20mm HBG</t>
  </si>
  <si>
    <t>Allround Shutter size= 2x9x2.88x0.075x0.0375                                = 0.1458Cu.M</t>
  </si>
  <si>
    <t>Teakwood scantling(below 2m)= 2x6x0.89x0.075x0.075             = 0.0300375Cu.M</t>
  </si>
  <si>
    <t>.=0.1758375Cu.M</t>
  </si>
  <si>
    <t>Name of materials</t>
  </si>
  <si>
    <t>T.W scantling above 2m</t>
  </si>
  <si>
    <t>T.W scantling below 2m</t>
  </si>
  <si>
    <t>Labour for wrought &amp; Putup</t>
  </si>
  <si>
    <t>Phenol bonded BWR plywood 9mm thick</t>
  </si>
  <si>
    <t>Labour charges for shutter</t>
  </si>
  <si>
    <t>4"x5/8" aluminium tower bolt</t>
  </si>
  <si>
    <t>3" aluminium butt hinges</t>
  </si>
  <si>
    <t>arnamental handle with screw 100mm</t>
  </si>
  <si>
    <t>lock key</t>
  </si>
  <si>
    <t>varnish2 coat</t>
  </si>
  <si>
    <t>for sundries</t>
  </si>
  <si>
    <t>.=0.078975Cu.M</t>
  </si>
  <si>
    <t>Rate per 11.84Sq.M</t>
  </si>
  <si>
    <t>Rate per 1Sq.M</t>
  </si>
  <si>
    <t>BWR Plywood DATA</t>
  </si>
  <si>
    <t>Gajjelnaickenpatti</t>
  </si>
  <si>
    <t xml:space="preserve">Brick work in cement mortar 1: 5 (One of cement and five of sand) using Chamber burnt bricks of size 9"x4 1/2" x3" in foundation and basement </t>
  </si>
  <si>
    <t>a. 0 to 2m depth</t>
  </si>
  <si>
    <t>Plain cement concrete 1:5:10 (One of cement five of sand and ten of HBS jelly) for foundation and Basement and other similar works using 40mm gauge  hard broken stone jelly Etc..,</t>
  </si>
  <si>
    <t>R.C.C 1:2:4 for all RCC works using  20 mm size hard broken stone  Jelly in Foundation and Basement  including laying , curing elc.,all  complete .</t>
  </si>
  <si>
    <t>Brick Partition Wall  in CM 1:4 using Chamber burnt  bricks 114 mm thick in following  floors  etc..,</t>
  </si>
  <si>
    <t xml:space="preserve">PAINTING TWO COATS OVER NEW         </t>
  </si>
  <si>
    <t>PLASTERED SURFACE WITH OLD Walls</t>
  </si>
  <si>
    <t>Two coat of Emulsion Paint Old wall surface</t>
  </si>
  <si>
    <t>Plasterinbg with C.M(1:5)20mm THICK etc..,</t>
  </si>
  <si>
    <t>Cost of pipe 40mm dia 6kg/Sq.cm</t>
  </si>
  <si>
    <t>SUPPLYING, LAYING AND JOINTING OF PVC PIPE LABOUR CHARGES FOR 40MM DIA 10KG/SQ.CM</t>
  </si>
  <si>
    <t>Labour charges 20%</t>
  </si>
  <si>
    <t>Trough Scrapping of old surface</t>
  </si>
  <si>
    <t>Valasaiur</t>
  </si>
  <si>
    <t>External Water supply Abstract Estimate</t>
  </si>
  <si>
    <t>a. up to casing pipe</t>
  </si>
  <si>
    <t>b. above casing pipe</t>
  </si>
  <si>
    <t>Supplying and delivery and fixing of panel board with ISI specification etc..,</t>
  </si>
  <si>
    <t>Supplying and laying 2.5Sq.mm 3core copper flat cable as per ISI specification etc..,</t>
  </si>
  <si>
    <t>Supplying and delivery and fixing of following dia GI/GM/PVC pipes and specials etc..,</t>
  </si>
  <si>
    <t>b. MS clamp set</t>
  </si>
  <si>
    <t>c. 32mm dia GI pipe</t>
  </si>
  <si>
    <t>d. 32mm dia GI bend</t>
  </si>
  <si>
    <t>g. 32mm dia GI coupling</t>
  </si>
  <si>
    <t>h. 40mm OD PVC pipe</t>
  </si>
  <si>
    <t>i. 20mm OD PVC pipe for cable</t>
  </si>
  <si>
    <t>j. 40mm dia PVC bend</t>
  </si>
  <si>
    <t>k. 32mm dia HDPE pipe</t>
  </si>
  <si>
    <t>Providing formwork and centering for all RCC works, etc all complete</t>
  </si>
  <si>
    <t>Sq.M</t>
  </si>
  <si>
    <t>COMPARATIVE STATEMENT</t>
  </si>
  <si>
    <t>S. NO</t>
  </si>
  <si>
    <t>Providing compound wall to SBCID at Salem City.</t>
  </si>
  <si>
    <t>AS PER R.R. MASONRY</t>
  </si>
  <si>
    <t>AS PER PLINTH AREA WITH 2014-15</t>
  </si>
  <si>
    <t>REMARKS</t>
  </si>
  <si>
    <t>AS PER STUB COLUMN</t>
  </si>
  <si>
    <t>Rs.3,95,835.51/-</t>
  </si>
  <si>
    <t>Rs.3,43,100.00/-</t>
  </si>
  <si>
    <t>Through stub column estimate works out to higher value minimum size RCC members as per design requirement are provided. Due to non availability of RR stone and skilled RR masons. The stub column foundation is proposed and hence the same may be approved by the competent authority.</t>
  </si>
  <si>
    <t>(1). Load Bearing foundation           70.90 x 2525.00 =Rs.179022.50/- (2). Stub Column foundation        70.90 x 1730.00 =Rs.122657.00/-</t>
  </si>
  <si>
    <t>N/W:PROVIDING EXTERNAL WATER SUPPLY, COMPOUND WALL AND TWO WHEELER SHED TO SBCID BULDING AT SOORAMANGALAM IN SALEM CITY.</t>
  </si>
  <si>
    <t xml:space="preserve"> 1unit</t>
  </si>
  <si>
    <t>Labour Welfare fund @ 1%</t>
  </si>
  <si>
    <t>a. 160mm dia PVC end cape</t>
  </si>
  <si>
    <t>Providing 150mm dia bore well etc..,</t>
  </si>
  <si>
    <t>Supplying and errection of 150mm dia casing pipe etc.., DR No:02/2015-16</t>
  </si>
  <si>
    <t>Supplying ans delivery of wet type libricant 3.0HP submersible motor with multistage pumpset suitable for bore well etc.., DR No:02/2015-16</t>
  </si>
  <si>
    <t>e. 32mm dia PVC FTA (DR No:115/2014-15)</t>
  </si>
  <si>
    <t>f. 32mm dia PVC MTA (DR No:115/2014-15)</t>
  </si>
  <si>
    <t>Earth work excavation for Open foundation in all soils and sub-soils  to the required depth as  may be directed except in hard rock requiring blasting but inclusive of shoring, strutting, and bailing etc..Excluding Refilling</t>
  </si>
  <si>
    <t>for road</t>
  </si>
  <si>
    <t>for kerb stone</t>
  </si>
  <si>
    <t>CC Road Detailed Estimate</t>
  </si>
  <si>
    <t>P.C.C 1:2:4 for all RCC works using  20 mm size hard broken stone  Jelly in Foundation and Basement  including laying , curing elc.,all  complete .</t>
  </si>
  <si>
    <t>Supplying and fixing of Bituminous filler pad 20mm thick etc..,</t>
  </si>
  <si>
    <t>Providing Precast CC 1:3:6 mix Kerb Stone of size 450 x 300 x 150mm thick etc..,</t>
  </si>
  <si>
    <t>for road sides</t>
  </si>
  <si>
    <t>Painting the new iron works using first class enamel paint, etc all complete</t>
  </si>
  <si>
    <t xml:space="preserve"> Detailed Estimate</t>
  </si>
  <si>
    <t>for sump</t>
  </si>
  <si>
    <t>Earth work excavation for Soft disintegrated rock etc..Excluding Refilling</t>
  </si>
  <si>
    <t>a. 0 to 2m</t>
  </si>
  <si>
    <t>RCC 1:1.5:3 mix using 20mm metal in foundation and basement  etc..,</t>
  </si>
  <si>
    <t>for side walls</t>
  </si>
  <si>
    <t>for cover slab</t>
  </si>
  <si>
    <t>D/F man hole cover</t>
  </si>
  <si>
    <t>b) Plain surfaces such as roof slab, lintel, etc all complete</t>
  </si>
  <si>
    <t>a) for column footing, plinth beam, grade beam, raft slab etc..,</t>
  </si>
  <si>
    <t>for sump base slab sides</t>
  </si>
  <si>
    <t>for cover slab sides</t>
  </si>
  <si>
    <t>add man hole cover</t>
  </si>
  <si>
    <t>for cover slab bottom</t>
  </si>
  <si>
    <t>a. Foundation and basement</t>
  </si>
  <si>
    <t>for inner wall</t>
  </si>
  <si>
    <t>for outer wall</t>
  </si>
  <si>
    <t>for inner wall at sump</t>
  </si>
  <si>
    <t>Supplying,manufacturing and fabricating MS RTS bars including all costs, etc complete</t>
  </si>
  <si>
    <t>As per item no:</t>
  </si>
  <si>
    <t xml:space="preserve"> = 4.60Cu.M x 100Kg/Cu.M</t>
  </si>
  <si>
    <t>Supplying and fixing og CI manhole cover of size 0.60 x 0.60m etc..,</t>
  </si>
  <si>
    <t xml:space="preserve">for UG sump </t>
  </si>
  <si>
    <t>Supplying and fixing of CI steps (5Kg/each) etc..,</t>
  </si>
  <si>
    <t>for UG sump inner</t>
  </si>
  <si>
    <t>Sullage Detailed Estimate</t>
  </si>
  <si>
    <t>Earth work excavation for open foundation forr drains in all soils and sub-soils  to the required depth as  may be directed except in hard rock requiring blasting but inclusive of shoring, strutting, and bailing etc..</t>
  </si>
  <si>
    <t>for drain</t>
  </si>
  <si>
    <t>a., In foundation and basement</t>
  </si>
  <si>
    <t>add pillars</t>
  </si>
  <si>
    <t>D/F pillars</t>
  </si>
  <si>
    <t>Plastering the top of Flooring in CM 1:4 , 20mm thick. Including surface rendered smooth etc..,</t>
  </si>
  <si>
    <t>for drain bottom</t>
  </si>
  <si>
    <t>for drain sides</t>
  </si>
  <si>
    <t>P.C.C. 1:8:16 for foundation using brick Jelly including all charges, etc complete</t>
  </si>
  <si>
    <t>for drain outer</t>
  </si>
  <si>
    <t>for drain top</t>
  </si>
  <si>
    <t xml:space="preserve"> -do pillars</t>
  </si>
  <si>
    <t>Road Abstract Estimate</t>
  </si>
  <si>
    <t>Sullage Abstract Estimate</t>
  </si>
  <si>
    <t>Filling with excavated earth etc..,</t>
  </si>
  <si>
    <t xml:space="preserve">for outer area </t>
  </si>
  <si>
    <t>N/W:CONSTRUCTION OF URBAN POLICE STATION BUILDING WITH DEVELOPMENT WORKS AT VALAPDY INSTEAD OF CHENGALPATTU IN SALEM DISTRICT.</t>
  </si>
  <si>
    <t>Supplying and fixing of following size aluminium powder coated letters including cost of materials and labour etc..,</t>
  </si>
  <si>
    <t xml:space="preserve">a) 9" size letters </t>
  </si>
  <si>
    <t>b) 6" size letters</t>
  </si>
  <si>
    <t>for police station</t>
  </si>
  <si>
    <t>for valapady</t>
  </si>
  <si>
    <t>for salem district</t>
  </si>
  <si>
    <t>Earth work excavation in all soils and subsoils, etc all complete</t>
  </si>
  <si>
    <t>a) 0 to 2 m Depth</t>
  </si>
  <si>
    <t>for RWH allround walls</t>
  </si>
  <si>
    <t xml:space="preserve"> -do- inner</t>
  </si>
  <si>
    <t>C.C.1:5:10 for Foundation &amp; Basement using 40 mm HBG metal etc..,</t>
  </si>
  <si>
    <t>Brick work in cm 1:5 using chamber burnt bricks of size 9"x4.5"x3" (23x11.4x7.5cm) in Foundation and Basement. Including cost of materials etc..,</t>
  </si>
  <si>
    <t>Supplying and filling in foundation and Basement with Filling Sand in layers of 150mm thickness. Including cost of supplying filling sand etc..,</t>
  </si>
  <si>
    <t>for RWH pit inner</t>
  </si>
  <si>
    <t>Supplying and filling in foundation and Basement with 20mm HBS jelly etc..,</t>
  </si>
  <si>
    <t>Supplying and filling in foundation and Basement with 40mm HBS jelly etc..,</t>
  </si>
  <si>
    <t>Plastering with CM 1:5, 12mm tk including all costs, etc complete</t>
  </si>
  <si>
    <t>for RWH allround inner</t>
  </si>
  <si>
    <t xml:space="preserve"> -do- outer</t>
  </si>
  <si>
    <t>Providing RCC Precast slab 75mm thick made in Cement concrete 1:2:4 (One of cement, two of sand and four of hard broken stone jelly) using 3mm to 10mm size hard broken stone jelly for foundation and Basement including the cost of slab, moulding, etc..,</t>
  </si>
  <si>
    <t>for RWH pit cover slab</t>
  </si>
  <si>
    <t>RWH Detailed Estimate</t>
  </si>
  <si>
    <t>for dispersion trench</t>
  </si>
  <si>
    <t>Supplying and fixing of 100mm dia stone ware pipe with loose joint etc..,</t>
  </si>
  <si>
    <t>Abstract Estimate</t>
  </si>
  <si>
    <t>Providing TW double leaf shutters for cupboard/Ward robes with 9mm tk phenol bonded BWR grade plywood etc..,</t>
  </si>
  <si>
    <t>for Ins &amp; SI(3) writer room &amp; SI(women)</t>
  </si>
  <si>
    <t>for Rest room (Men&amp;Women)</t>
  </si>
  <si>
    <t>RWH Abstract Estimate</t>
  </si>
  <si>
    <t>Contigencies and Petty supervision charges @ 2.5%</t>
  </si>
  <si>
    <t>TAMIL NADU POLICE HOUSING CORPORATION LTD.</t>
  </si>
  <si>
    <t>SALEM  DIVISION.</t>
  </si>
  <si>
    <t>Numbers</t>
  </si>
  <si>
    <t>Measurements</t>
  </si>
  <si>
    <t>Quantity</t>
  </si>
  <si>
    <t>Length</t>
  </si>
  <si>
    <t>Breadth</t>
  </si>
  <si>
    <t>x</t>
  </si>
  <si>
    <t>BARBENDING SCHEDULE</t>
  </si>
  <si>
    <t>S.No</t>
  </si>
  <si>
    <t>Size</t>
  </si>
  <si>
    <t>Mesurement</t>
  </si>
  <si>
    <t>Total Length</t>
  </si>
  <si>
    <t>8#</t>
  </si>
  <si>
    <t>10#</t>
  </si>
  <si>
    <t>12#</t>
  </si>
  <si>
    <t>16#</t>
  </si>
  <si>
    <t>20#</t>
  </si>
  <si>
    <t>SUMP</t>
  </si>
  <si>
    <t xml:space="preserve">Bot matt Main   rod </t>
  </si>
  <si>
    <t xml:space="preserve">Bot matt Dist rod </t>
  </si>
  <si>
    <t xml:space="preserve">Chair rod </t>
  </si>
  <si>
    <t xml:space="preserve">Top matt Dist  rod </t>
  </si>
  <si>
    <t xml:space="preserve">Top matt main rod </t>
  </si>
  <si>
    <t xml:space="preserve">Hanch rod </t>
  </si>
  <si>
    <t xml:space="preserve">Inner   wall main rod </t>
  </si>
  <si>
    <t xml:space="preserve">Outer  wall main rod </t>
  </si>
  <si>
    <t xml:space="preserve"> wall Dist</t>
  </si>
  <si>
    <t>chair rod</t>
  </si>
  <si>
    <t>SUMP COVER SLAB</t>
  </si>
  <si>
    <t>P.67/21228A</t>
  </si>
  <si>
    <t xml:space="preserve">Sump Cover slab  main rod </t>
  </si>
  <si>
    <t xml:space="preserve">Sump Cover slab Dist rod </t>
  </si>
  <si>
    <t xml:space="preserve">Concealed beam </t>
  </si>
  <si>
    <t xml:space="preserve">Stirrups </t>
  </si>
  <si>
    <t xml:space="preserve">Manhole side extra rod </t>
  </si>
  <si>
    <t xml:space="preserve">Top extra road </t>
  </si>
  <si>
    <t>Total Length in metre</t>
  </si>
  <si>
    <t>Section Weight Kg / Metre.</t>
  </si>
  <si>
    <t>Total Weight in Kg</t>
  </si>
  <si>
    <t>Total Weight in MT</t>
  </si>
  <si>
    <t>Septic tank</t>
  </si>
  <si>
    <t>Earth work excavation in all soils for open foundation (Excluding refilling)</t>
  </si>
  <si>
    <t>a.) 0 to 2 mt.</t>
  </si>
  <si>
    <t xml:space="preserve">Septic tank </t>
  </si>
  <si>
    <t xml:space="preserve">Dispersion  trench </t>
  </si>
  <si>
    <t xml:space="preserve">Inspection chamber Inlet &amp; outlet </t>
  </si>
  <si>
    <t xml:space="preserve">Supplying and filling with 40 mm HBG jelly </t>
  </si>
  <si>
    <t xml:space="preserve">For Dispersion trench </t>
  </si>
  <si>
    <t xml:space="preserve">Supplying and filling with 20mm HBG jelly </t>
  </si>
  <si>
    <t>C.C.1:5:10 for Foundation &amp; Basement using 40 mm HBG metal</t>
  </si>
  <si>
    <t xml:space="preserve">PCC 1:2:4 mix using 20 mm HBG F &amp; B </t>
  </si>
  <si>
    <t>Septic tank bottom</t>
  </si>
  <si>
    <t xml:space="preserve">P.C.C 1:8:16 mix using 20mm brick jelly F &amp; B </t>
  </si>
  <si>
    <t xml:space="preserve">Inspection chamber Inlet &amp; out let </t>
  </si>
  <si>
    <t>M 20 grade concrete for F &amp; B</t>
  </si>
  <si>
    <t>Septic tank cover slab</t>
  </si>
  <si>
    <t xml:space="preserve">D/f  Man hole </t>
  </si>
  <si>
    <t xml:space="preserve">Baffle wall  beam </t>
  </si>
  <si>
    <t>Brick work in CM 1:5 country bricks of size 22x11x7 cm in Foundation &amp; basement</t>
  </si>
  <si>
    <t>I st footing main wall alr</t>
  </si>
  <si>
    <t>II nd  footing main wall alr</t>
  </si>
  <si>
    <t>IIIrd  footing main wall alr</t>
  </si>
  <si>
    <t xml:space="preserve">cross wall of baffle wall </t>
  </si>
  <si>
    <t>Providing precast slab in M20 mix 40mm tk  using 10mm tk in F&amp;B</t>
  </si>
  <si>
    <t>Man Hole cover slab</t>
  </si>
  <si>
    <t>Man  Hole cover slab for in let &amp; out let</t>
  </si>
  <si>
    <t>Plastering with CM 1:4 , 20 mm thick for floor plastering.</t>
  </si>
  <si>
    <t xml:space="preserve">Septic Tank Top </t>
  </si>
  <si>
    <t>Manhole Cover slab</t>
  </si>
  <si>
    <t>Plastering in C.M 1:5, 12mm tk.</t>
  </si>
  <si>
    <t xml:space="preserve">Septic tank outer alr Ist footing </t>
  </si>
  <si>
    <t xml:space="preserve">Septic tank outer alr IInd footing </t>
  </si>
  <si>
    <t xml:space="preserve">Septic tank outer alr 3rd footing </t>
  </si>
  <si>
    <t xml:space="preserve">Offset at Ist footing </t>
  </si>
  <si>
    <t xml:space="preserve">Offset at II nd footing </t>
  </si>
  <si>
    <t xml:space="preserve">Chamber out side </t>
  </si>
  <si>
    <t>Plastering in C.M 1:4, 12mm tk.</t>
  </si>
  <si>
    <t xml:space="preserve">Inner side of septic tank </t>
  </si>
  <si>
    <t xml:space="preserve">Chamber inside </t>
  </si>
  <si>
    <t>Baffle wall both sides</t>
  </si>
  <si>
    <t>Supply and fabricating placing position of MS/RTS steel</t>
  </si>
  <si>
    <t>1.40x100Kg = 140 Kg</t>
  </si>
  <si>
    <t>Supplying and fixing of PVC 110 mm dia ventilator shaft</t>
  </si>
  <si>
    <t xml:space="preserve">For Septic tank </t>
  </si>
  <si>
    <t xml:space="preserve">UPVC Non Pressure pipe </t>
  </si>
  <si>
    <t xml:space="preserve">a.) 110 mm </t>
  </si>
  <si>
    <t xml:space="preserve">From out let chamber to dispersion trench </t>
  </si>
  <si>
    <t xml:space="preserve">Providing form work for plain surfaces </t>
  </si>
  <si>
    <t>Slab alround</t>
  </si>
  <si>
    <t>A/f  Man hole cover slab</t>
  </si>
  <si>
    <t>b.) Form work for plain surfaces</t>
  </si>
  <si>
    <t xml:space="preserve">Septic tank bottom </t>
  </si>
  <si>
    <t>D/f  Man hole cover</t>
  </si>
  <si>
    <t>`</t>
  </si>
  <si>
    <t>Supplying and fixing of PVC 110 mm dia ventilator shaft cowl etc..,</t>
  </si>
  <si>
    <t>Earth work excavation for Open foundation in all soils and sub-soils  to the required depth as  may be directed except in hard rock requiring blasting but inclusive of shoring, strutting, and bailing etc..Excluding Refilling                                          a. 0 to 2m depth</t>
  </si>
  <si>
    <t>Supplying and fixing of 4' 18W LED light fittings including allmaterials and labour charges etc..,</t>
  </si>
  <si>
    <t>Supplying and fixing of 25W LED Street Light Fitting including labour charges and materials etc..,</t>
  </si>
  <si>
    <t>Supplying and fixing of water tight Bulk head fittings suitable for 12wLED lamp. including necessary- connections, cost of materials etc., all complete.</t>
  </si>
  <si>
    <t>for Head room</t>
  </si>
  <si>
    <t>Supplying and fixing of LED bulbs suitable for fixing etc..,</t>
  </si>
  <si>
    <t>a) 12 watts LED bulb for Bulk head fittings</t>
  </si>
  <si>
    <t xml:space="preserve">b) 9 watts LED lamp </t>
  </si>
  <si>
    <t>2020-21</t>
  </si>
  <si>
    <t xml:space="preserve">Unit </t>
  </si>
  <si>
    <t>Supply and Fixing Aluminium letters with approved colour powder coat in finishing matt including cost of materials, necessary  drilling holes packing cement mortar, supporting the letter cement base bolds and fixing charges etc, complete as directed by the departmental officers.</t>
  </si>
  <si>
    <t xml:space="preserve"> Sub Total - I</t>
  </si>
  <si>
    <t>GST @ 12%</t>
  </si>
  <si>
    <t>Labour Welfare 1%</t>
  </si>
  <si>
    <t>Supervision Charges 7.5%</t>
  </si>
  <si>
    <t>For borewell</t>
  </si>
  <si>
    <r>
      <t>Labour charges for the erection of submersible/  Air comporessor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r>
    <r>
      <rPr>
        <b/>
        <sz val="16"/>
        <rFont val="Times New Roman"/>
        <family val="1"/>
      </rPr>
      <t xml:space="preserve"> Up to 5 HP</t>
    </r>
  </si>
  <si>
    <t>Supplying and fixing of 32mm dia (UPVC) " ASHIRVAD" pipe approved quantity having ISI mark inluding cost of all materials specials conveyance to work site and labour charges etc., completed and as directed by the deparmental officers.</t>
  </si>
  <si>
    <t xml:space="preserve">Inside bore well </t>
  </si>
  <si>
    <r>
      <t xml:space="preserve">Supplying and  laying of  following  Dia GI pipe of best  and  approved  quality  having  ISI  mark including  cost  of  coveyance and delivery  at  site of work etc., all complete and as directed by the  departmental  officers. </t>
    </r>
    <r>
      <rPr>
        <b/>
        <sz val="16"/>
        <rFont val="Times New Roman"/>
        <family val="1"/>
      </rPr>
      <t xml:space="preserve"> (below GL)</t>
    </r>
  </si>
  <si>
    <t>a.) 50 Dia GI Pipe 'B' Class</t>
  </si>
  <si>
    <t>Supplying and  Delivery  of  following  Dia GI , GM , CI , PVC  and  MS  SpecIals  of best  and  approved  quality  having  ISI  mark  including  cost  of  specials  and  delivery  at  site of work etc., all complete and as directed by the  departmental  officers.</t>
  </si>
  <si>
    <t>a.) 40mm Dia GI  Bend</t>
  </si>
  <si>
    <t>Delivery line (Bore well)</t>
  </si>
  <si>
    <t>b.) 40mm Dia GI X Nipple</t>
  </si>
  <si>
    <t xml:space="preserve">Delivery line </t>
  </si>
  <si>
    <t>c.) 40mm Dia GM Gate valve</t>
  </si>
  <si>
    <t>f.) 50mm Dia GI  Bend</t>
  </si>
  <si>
    <t>g.) 50mm Dia GI  X Nipple</t>
  </si>
  <si>
    <t>h.) 50mm Dia GI Coupling</t>
  </si>
  <si>
    <t xml:space="preserve">Bore well to Sump </t>
  </si>
  <si>
    <t>Sump to OHT</t>
  </si>
  <si>
    <t>d) 40mm Dia GI Union</t>
  </si>
  <si>
    <t xml:space="preserve">Supplying, laying, fixing and jointing the following PVC pipes etc.(Below Ground level)  </t>
  </si>
  <si>
    <t xml:space="preserve">a.)40 mm dia OD PVC pipe 10kg/cm2                                  </t>
  </si>
  <si>
    <t xml:space="preserve">b.) 25mm PVC pipe 10kg/cm2  for drinking water </t>
  </si>
  <si>
    <t>b) 40mm dia GI pipe 'B' Class</t>
  </si>
  <si>
    <t>for Sump inner</t>
  </si>
  <si>
    <r>
      <t>Supplying and laying of 3 core 3X2.5 sqmm of PVC Flat copper cable conforming to is 694/1990 as per standared specification including cost of material, converyance to work site, labour for fixing etc completed and as directed by the departmental officers.</t>
    </r>
    <r>
      <rPr>
        <b/>
        <sz val="16"/>
        <rFont val="Times New Roman"/>
        <family val="1"/>
      </rPr>
      <t>(Below Ground Level)</t>
    </r>
  </si>
  <si>
    <r>
      <t>Supplying and laying of 3 core 3X2.5 sqmm of PVC Flat copper cable conforming to is 694/1990 as per standared specification including cost of material, converyance to work site, labour for fixing etc completed and as directed by the departmental officers.</t>
    </r>
    <r>
      <rPr>
        <b/>
        <sz val="16"/>
        <rFont val="Times New Roman"/>
        <family val="1"/>
      </rPr>
      <t>(Above Ground Level)</t>
    </r>
  </si>
  <si>
    <t>for Inside bore well</t>
  </si>
  <si>
    <t xml:space="preserve">for sump </t>
  </si>
  <si>
    <t>for wall</t>
  </si>
  <si>
    <t>for sump to starter</t>
  </si>
  <si>
    <t>for bore well to starter</t>
  </si>
  <si>
    <t xml:space="preserve"> for Bore well</t>
  </si>
  <si>
    <t xml:space="preserve"> for sump</t>
  </si>
  <si>
    <t xml:space="preserve">Supplying and delivery of wet type libricates open well submersible motor with multistarge pumpest sutiable for open well etc..,                                                       Motor        : 3 HP, 2.2KW. 415 Volts,50HZ                                                                                                                                                                                                  Total Head: 18 to 28m                              Discharge : 55.2/168lpm                                 delivery pipe: 50mm dia      </t>
  </si>
  <si>
    <t xml:space="preserve">Supplying and delivery of wet type libricates bore well submersible motor with multistarge pumpest sutiable for bore well etc..,                                                                                               Motor        : 5HP, 2.2KW. 415 Volts, 50HZ, 25 Stage                               Discharge : 72/24lpm     </t>
  </si>
  <si>
    <t>TNPHC  emblem &amp; Govt. Emblem</t>
  </si>
  <si>
    <t xml:space="preserve">a.) 12" Aluminium Emblem </t>
  </si>
  <si>
    <t>b)  9" Height Letters (Tamil Letters)</t>
  </si>
  <si>
    <t>Supplying and fixing of plastic Name Board for all rooms with ISI Mark etc.,all complete and as directed by the departmental officers.</t>
  </si>
  <si>
    <t>for main building</t>
  </si>
  <si>
    <t>f) 15mm dia GI pipe B Class including earth work and refilling , cost of 25mm dia pvc covering pipe etc..,(Below GL)</t>
  </si>
  <si>
    <t>AS PER ITEM NO:</t>
  </si>
  <si>
    <t>Supplying and deliveryand fixing of DOL three phase control panel board with starer including  over load protection voltmeter &amp; ammeter  make with ISI specificatin etc..,</t>
  </si>
  <si>
    <t>a) 3HP three phase control panel board</t>
  </si>
  <si>
    <t>b) 5HP three phase control panel board</t>
  </si>
  <si>
    <t>c)  6" Height Letters (Tamil Letters)</t>
  </si>
  <si>
    <t>Supplying and  laying of  following  Dia GI pipe of best  and  approved  quality  having  ISI  mark including  cost  of  coveyance and delivery  at  site of work etc., all complete and as directed by the  departmental  officers.  (below GL)</t>
  </si>
  <si>
    <t>c) 15mm dia GI pipe B Class including earth work and refilling , cost of 25mm dia pvc covering pipe etc..,(Below GL)</t>
  </si>
  <si>
    <t>BASEMENT  WITH  FILLING SAND</t>
  </si>
  <si>
    <t>Standardised concrete Mix M20 Grade Concrete</t>
  </si>
  <si>
    <t>20mm HBG Machine crushed stone jelly    (7730 Kg)</t>
  </si>
  <si>
    <t>10-12mm HBG Machine crushed stone jelly    (5156 Kg)</t>
  </si>
  <si>
    <t>Sand    (7670 Kg)</t>
  </si>
  <si>
    <t>Plasticiser /Super plasticiser @ .60% of cement (P57 item NO.198</t>
  </si>
  <si>
    <t>Total for 10 cum</t>
  </si>
  <si>
    <t>for 1 cum</t>
  </si>
  <si>
    <t>Vibrating charges p-28 /103</t>
  </si>
  <si>
    <t>Sub Total</t>
  </si>
  <si>
    <t>Add for water charges &amp; other sundries (0.5 % of sub total</t>
  </si>
  <si>
    <t>Foundation &amp; Basement</t>
  </si>
  <si>
    <t>Providing and laying in position, standardised concrete Mix M-20 Grade in accordance with IS:456;2000 etc..,                (a) In Foundation and basement</t>
  </si>
  <si>
    <t>f.</t>
  </si>
  <si>
    <t>Curved surface</t>
  </si>
  <si>
    <t>CI MANHOLE COVER 60CMX60CMX50KG p-59/216</t>
  </si>
  <si>
    <t>CEMENT CONCRETE PCC (1:2:4) USING</t>
  </si>
  <si>
    <t xml:space="preserve"> P.C.C,R.C.C SLAB OF40mm THICK using standardised concrete mix of M20 grade</t>
  </si>
  <si>
    <t xml:space="preserve">standardised concrete mix M20 </t>
  </si>
  <si>
    <t>RATE PER SQM (Foundation and basement)</t>
  </si>
  <si>
    <t>UPVC instead of Stone ware Pipe</t>
  </si>
  <si>
    <t>SUPPLYING AND  LAYING AND</t>
  </si>
  <si>
    <t>JOINTING SN8 UPVC PIPE AND SPECIALS</t>
  </si>
  <si>
    <t>110mm DIA  UPVC PIPE BELOW G.L</t>
  </si>
  <si>
    <t>Cost of UPVC SN8 Pipe (TWAD SR 18-19 P-20 1.2 1)</t>
  </si>
  <si>
    <t>JOINTING MATERIALS. (TWAD SR 17-18 11-b)</t>
  </si>
  <si>
    <t>CUTTING CHARGES ( P-32/141)</t>
  </si>
  <si>
    <t>UPVC Non Pressure pipe (a) 110mm dia</t>
  </si>
  <si>
    <t xml:space="preserve"> P.C.C,R.C.C SLAB OF75mm THICK using standardised concrete mix of M20 grade</t>
  </si>
  <si>
    <t>C.C(1:2:4)USING20mm HBG</t>
  </si>
  <si>
    <t>Providing RCC Precast slab 75mm thick made in M20 grade (One of cement, two of sand and four of hard broken stone jelly) using 3mm to 10mm size hard broken stone jelly for foundation and Basement including the cost of slab, moulding, etc..,</t>
  </si>
  <si>
    <t>SUB - TOTAL - I</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</si>
  <si>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</si>
  <si>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</si>
  <si>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 p 123 , 2  part -E</t>
  </si>
  <si>
    <t>25mm dia rigid PVC pipe heavy duty with ISI heavy duty with ISI mark part-I 1c P-82</t>
  </si>
  <si>
    <t>4 sqmm copper PVC insulated unsheathed single core cable for continuous earth connectionp-79, it- 2 c</t>
  </si>
  <si>
    <t>63 AMPS</t>
  </si>
  <si>
    <t>Supplying and fixing 3 No 63 Amps 500 volts grade/ well porcelin fuse unit on suitable teak wood plank to be fixed on the top of the  pole / EB street poles with necessary clamps and including cost of materials etc., all complete.</t>
  </si>
  <si>
    <t>Supplying and delivery of wet type libricates bore well submersible motor with multistarge pumpest sutiable for bore well etc..,                                                                                               Motor        : 5HP, 2.2KW. 415 Volts, 50HZ, 25 Stage                                                                                                                                Discharge : 75 x 100                                                                                                                           (TWAD SR P 101/2020-21)</t>
  </si>
  <si>
    <t>Supplying and delivery of wet type libricates open well submersible motor with multistarge pumpest sutiable for open well etc..,                                                                                                  Motor        : 3 HP, 2.2KW. 415 Volts,50HZ                                                                                                                                                                                                  Total Head: 18 to 28m                              Discharge : 50 x 75                                                              delivery pipe: 50mm dia                                                                                    (TWAD SR P101/2020-21)</t>
  </si>
  <si>
    <r>
      <t xml:space="preserve">Labour charges for the erection of submersible  pumpset in borewell/openwell including fixing and jointing submersible cableetc.., </t>
    </r>
    <r>
      <rPr>
        <b/>
        <sz val="16"/>
        <rFont val="Times New Roman"/>
        <family val="1"/>
      </rPr>
      <t>Up to 5 HP</t>
    </r>
    <r>
      <rPr>
        <sz val="16"/>
        <rFont val="Times New Roman"/>
        <family val="1"/>
      </rPr>
      <t xml:space="preserve">                                                                         </t>
    </r>
    <r>
      <rPr>
        <b/>
        <sz val="16"/>
        <rFont val="Times New Roman"/>
        <family val="1"/>
      </rPr>
      <t>(TWAD SR P275/2020-21)</t>
    </r>
  </si>
  <si>
    <r>
      <t xml:space="preserve">Supplying and fixing of 32mm dia (UPVC) " ASHIRVAD" pipe approved quantity having ISI mark inluding cost of all materials specials conveyance to work site and labour charges etc., completed and as directed by the deparmental officers. </t>
    </r>
    <r>
      <rPr>
        <b/>
        <sz val="16"/>
        <rFont val="Times New Roman"/>
        <family val="1"/>
      </rPr>
      <t xml:space="preserve"> (TWAD SR P20/2020-21)</t>
    </r>
  </si>
  <si>
    <r>
      <t>Supplying and deliveryand fixing of DOL three phase control panel board with starer including  over load protection voltmeter &amp; ammeter  make with ISI specificatin etc..,</t>
    </r>
    <r>
      <rPr>
        <b/>
        <sz val="16"/>
        <rFont val="Cambria"/>
        <family val="1"/>
      </rPr>
      <t xml:space="preserve"> (TWAD SR P113/2020-21)</t>
    </r>
  </si>
  <si>
    <r>
      <t>Supplying and laying of 3 core 3X2.5 sqmm of PVC Flat copper cable conforming to is 694/1990 as per standared specification including cost of material, converyance to work site, labour for fixing etc completed and as directed by the departmental officers.</t>
    </r>
    <r>
      <rPr>
        <b/>
        <sz val="16"/>
        <rFont val="Times New Roman"/>
        <family val="1"/>
      </rPr>
      <t>(Above Ground Level) (TWAD SR P20/2020-21)</t>
    </r>
  </si>
  <si>
    <t>a.) 50 Dia GI Pipe 'B' Class (PWD SR P51/2020-21)</t>
  </si>
  <si>
    <t>b) 40mm dia GI pipe 'B' Class (PWD SR P51/2020-21)</t>
  </si>
  <si>
    <t>i) 40mm dia PVC coupling</t>
  </si>
  <si>
    <t>Supplying and laying of 3 Core 2.5 Sq.mm PVC Flat Cable(BGL)</t>
  </si>
  <si>
    <t>Nod</t>
  </si>
  <si>
    <t>Electrical helper</t>
  </si>
  <si>
    <t xml:space="preserve">Cost of cable 3core 2.5Sq.mm </t>
  </si>
  <si>
    <t>cost of PVC pipe 25mm dia(PWD SR P99/2020--21)</t>
  </si>
  <si>
    <t>Supplying and laying of 15mm dia GI pipe B Class (BGL)</t>
  </si>
  <si>
    <t xml:space="preserve">Cost of 15mm dia GI pipe B Class </t>
  </si>
  <si>
    <t>Plumber -I class</t>
  </si>
  <si>
    <t>grm</t>
  </si>
  <si>
    <t>PVC Adhesive (Solution)                                              (PWD SR P68 (219))</t>
  </si>
  <si>
    <t>100grm</t>
  </si>
  <si>
    <t>Cost of pipe 40mm dia 10kg/Sq.cm (PED SR P99)</t>
  </si>
  <si>
    <t>SUPPLYING, LAYING AND JOINTING OF PVC PIPE LABOUR CHARGES FOR 25MM DIA 10KG/SQ.CM</t>
  </si>
  <si>
    <t>Cost of pipe 25mm dia 10kg/Sq.cm (PED SR P99)</t>
  </si>
  <si>
    <t>Supplying and fixing of plastic Name Board for all rooms with ISI Mark etc.,all complete and as directed by the departmental officers. (quotation)</t>
  </si>
  <si>
    <t>b)  9" Height Letters (Tamil Letters) (PWD SR)</t>
  </si>
  <si>
    <t>c)  6" Height Letters (Tamil Letters) (PWD SR)</t>
  </si>
  <si>
    <t>a.) 15"  Emblem (PWD SR)</t>
  </si>
  <si>
    <t>e) 50mm Dia  clamp set</t>
  </si>
  <si>
    <t>j) 40(11/4")mm dia Non return valve (Quotation)</t>
  </si>
  <si>
    <t>k) 50mm dia NRV</t>
  </si>
  <si>
    <t>l) 40 mm dia PVC adopter set</t>
  </si>
  <si>
    <t>m) 50 mm dia GI tee</t>
  </si>
  <si>
    <t xml:space="preserve">n) 40mm dia PVC FTA </t>
  </si>
  <si>
    <t xml:space="preserve">o) 40mm dia PVC MTA </t>
  </si>
  <si>
    <t xml:space="preserve">p) 40mm dia PVC Tee </t>
  </si>
  <si>
    <t xml:space="preserve">q) 40mm dia PVC bend </t>
  </si>
  <si>
    <t>e) 50mm Dia  clamp set (TWAD SR)</t>
  </si>
  <si>
    <t>k) 50mm dia Non return valve</t>
  </si>
  <si>
    <t>External W/S Abstract</t>
  </si>
  <si>
    <t>EXTERNAL W/S DETAILED ESTIMATE</t>
  </si>
  <si>
    <t xml:space="preserve"> =0.54 Cu.M x 110.00Kg/Cu.M </t>
  </si>
  <si>
    <t>Network Video Recorder 16 Channel, 160Mbps  Bit Rate Input Max (up to 16-ch IP video), 2 SATA interfaces, 1U case,19" 265+</t>
  </si>
  <si>
    <t xml:space="preserve">Network Switch: Supply and installation of manageable L2 PoESwitch, 24Port, 10/100/1000, 2SFP Ports with support for Auto VLANS and support features like IP4/IP6, QoS, advanced security management, PoE management along with 4U  Rack Should support 802.3af (802.3at Type 1) specification. </t>
  </si>
  <si>
    <t xml:space="preserve">Supply and installation of 2TB harddisk for the above NVR for extended recoding and as instructed </t>
  </si>
  <si>
    <t>Supply and installation of surface mounted 4u Metal Rack With Lock And Key</t>
  </si>
  <si>
    <t>Supply and Laying of HDMI cable 5mtr</t>
  </si>
  <si>
    <t>Supply and fixing of WEATHER PROOF CAMERA JUNCTION BOX for Outdoor Camera's</t>
  </si>
  <si>
    <t>Supply and installation of CAT 6 Cable</t>
  </si>
  <si>
    <t>for Women Hostel</t>
  </si>
  <si>
    <t>CCTV Detailed estimate</t>
  </si>
  <si>
    <t>CCTV Abstract Estimate</t>
  </si>
  <si>
    <t>Inverter Abstract Estimate</t>
  </si>
  <si>
    <t>Inverter Detailed estimate</t>
  </si>
  <si>
    <t>CORE-i3 10th 4gb 1tb w10 sl Ms offices NoDVD 18.5 inches 3 year warranty</t>
  </si>
  <si>
    <t>Indoor 802.11ac Wave 2 2x2:2 Wi-Fi Access Point with all Mounting Kit and POE Injector</t>
  </si>
  <si>
    <t>A4 All in one Printer ( Scan /Copy/Xerox)</t>
  </si>
  <si>
    <t xml:space="preserve">TV DISH </t>
  </si>
  <si>
    <t>Bio Matrix</t>
  </si>
  <si>
    <t>PHILIPS GC181 pack of 2 1000 W Dry Iron box  (Black)</t>
  </si>
  <si>
    <t>a) Indoor 802.11ac Wave 2 2x2:2 Wi-Fi Access Point with all Mounting Kit and POE Injector</t>
  </si>
  <si>
    <t>b) CAT6 cable</t>
  </si>
  <si>
    <t>d) 8 Port POE switch 10/100/1000</t>
  </si>
  <si>
    <t>C) 2U Wall mount Rack with Accessories</t>
  </si>
  <si>
    <t>Computer &amp; Printer &amp; WIFI &amp; LED &amp; TV and Dish Abstract Estimate</t>
  </si>
  <si>
    <t>Computer &amp; Printer &amp; WIFI &amp; LED &amp; TV and Dish Detailed estimate</t>
  </si>
  <si>
    <t>Supplying and Fixing of Wash Hand Basin of size 550mm x 400mm with all accessories such as Cast Iron Brackets, 32mm dia CP Waste Coupling, Rubber Plug and Chain, 32mm dia 'B' Class GI Waste Pipe, 15mm dia GM Wheel Valve, 15mm dia Nylon Connection, 15mm dia Brass Nipples, 15mm CP Pillar Tap etc</t>
  </si>
  <si>
    <t>for Women Hostel toilet</t>
  </si>
  <si>
    <t>Supplying and Fixing of 20mm thick CPVC pipe for Hot water including all materials and labour charges etc…,</t>
  </si>
  <si>
    <t>Supplying and Fixing of 20mm thick UVC pipes including all materials and labour charges etc…,</t>
  </si>
  <si>
    <t>Supplying and fixing of Angle cock in proper position by removing existing non functioning Angle cork etc., as directed by the department officer.</t>
  </si>
  <si>
    <t>Supplying and Fixing of 15mm dia CP Long body tap including all materials and labour charges etc..,</t>
  </si>
  <si>
    <t>Plumbing Abstract Estimate</t>
  </si>
  <si>
    <t>Plumbing Detailed estimate</t>
  </si>
  <si>
    <t>Supply and fixing of Water CO2 Stored Pressure Type 9 litres capacity Fire Extinguisher as per new IS 15683 complete with control valve, gun metal cap, pressure gauge, operation sticker, discharge hose, wall mounting bracket, safety clip, etc., as directed by the Departmental Officers.(PWD SR P 83/2020-21)</t>
  </si>
  <si>
    <t>Supply and fixing of stored pressure ABC (Mono Ammonium Phospate) Powder Type Fire Extinguisher of 6 kg. capacity as per IS:15683 with pressure gauge, discharge hose &amp; control nozzle, wall mounting
bracket, safety clip etc., including conveyance, all incidental charges, neccessary scaffolding and re-doing
the dismantled portions to its original condition wherever found neccessary etc, complete as per standard specification and as directed by the
Departmental Officers. Make: EXCELLENT / SAFETY FIRST / EQUIVALENT (PWD SR P 96/2020-21)</t>
  </si>
  <si>
    <t>Fire Extinguisher Abstract Estimate</t>
  </si>
  <si>
    <t>Fire Extinguisher Detailed estimate</t>
  </si>
  <si>
    <t>Supply and fixing of 16" Havells swing Wall Fan 400mm with suitable Vertical &amp; Horizontal oscillation controls and single phase supply complete (Quotation)</t>
  </si>
  <si>
    <t>Women hostel</t>
  </si>
  <si>
    <t>Women hostel all rooms</t>
  </si>
  <si>
    <t>Electrical Detailed Estimate</t>
  </si>
  <si>
    <t>Electrical Abstract</t>
  </si>
  <si>
    <t>Civil Works</t>
  </si>
  <si>
    <t>Electrical Works</t>
  </si>
  <si>
    <t>Plumbing Works</t>
  </si>
  <si>
    <t>Fire Extinguisher</t>
  </si>
  <si>
    <t>Computer &amp; Printer &amp; WIFI &amp; LED &amp; TV and Dish</t>
  </si>
  <si>
    <t>Rain water Harvesting</t>
  </si>
  <si>
    <t>Rate for the year 2021 - 22 with escalation charges @ 12.50%</t>
  </si>
  <si>
    <t xml:space="preserve">Sl. no </t>
  </si>
  <si>
    <t>Earth work Excavation for foundation in all soils and sub soils to the required depth etc..,(including Refilling)</t>
  </si>
  <si>
    <t xml:space="preserve">(a)0 to 2m depth </t>
  </si>
  <si>
    <t>4" dia MS pipe (post) foundation for two wheeler shed AR city</t>
  </si>
  <si>
    <t>Plain cement concrete 1:5:10 (One of cement five of sand and ten of HBS jelly) for foundation and Basement and other similar works using 40mm gauge  hard broken stone jelly etc..,</t>
  </si>
  <si>
    <t>PCC 1:2:4 for using 20mm gauge hard broken stone jelly etc...</t>
  </si>
  <si>
    <t>Vertical Post - 100mm dia</t>
  </si>
  <si>
    <t>For Two wheeler shed</t>
  </si>
  <si>
    <t>For Crosses - 75mm dia</t>
  </si>
  <si>
    <t>For Supports - 40mm dia</t>
  </si>
  <si>
    <t>1x1</t>
  </si>
  <si>
    <t>Purlins 50 x 50mm</t>
  </si>
  <si>
    <t>For vehicle shed West side of main buiilding</t>
  </si>
  <si>
    <t xml:space="preserve">Sl.no </t>
  </si>
  <si>
    <t xml:space="preserve">Rate </t>
  </si>
  <si>
    <t>unit</t>
  </si>
  <si>
    <t>PAINTING TWO COATS OVER NEW             (as per CER-112/2007-08)</t>
  </si>
  <si>
    <t>Plastic Emulsion PAINT  (LMR item 113) p-50 132( First qty</t>
  </si>
  <si>
    <t>Primer     (LMR item 112) p44</t>
  </si>
  <si>
    <t>Salem City</t>
  </si>
  <si>
    <t>M.Sand FOR MORTAR</t>
  </si>
  <si>
    <t>Panamarathupatty</t>
  </si>
  <si>
    <t>M.Sand FOR FILLING</t>
  </si>
  <si>
    <t>Kiln Burnt Country Bricks  SIZE 22x11x7Cm p-16 it-5a</t>
  </si>
  <si>
    <t>T.W SCANTLING 2M TO 3M LONG 108/73 p-19</t>
  </si>
  <si>
    <t xml:space="preserve"> Well Gravel</t>
  </si>
  <si>
    <t>Chamber Burnt Bricks of size 23x11.2x7Cm p16/4b</t>
  </si>
  <si>
    <t>LIFT CHARGES FOR B.W IN G.F  * it-94 p-29</t>
  </si>
  <si>
    <t>Chamber Burnt Bricks  of size 23x11.4x7.5Cmp16 /3a</t>
  </si>
  <si>
    <t xml:space="preserve">4" dia MS pipe (post) foundation for two wheeler shed </t>
  </si>
  <si>
    <t>6x3.14</t>
  </si>
  <si>
    <t>Two Wheeler Shed</t>
  </si>
  <si>
    <t>Two Wheeler Shed Abstract estimate</t>
  </si>
  <si>
    <t>Two Wheeler Shed Detailed Estimate</t>
  </si>
  <si>
    <t>Furniture Abstract Estimate</t>
  </si>
  <si>
    <t>Furniture Detailed estimate</t>
  </si>
  <si>
    <t xml:space="preserve">Supplying coir mattresses 75"x36"x4" with 4"coir etc as per the complete complying with standard specifications and as directed by Department Officers. </t>
  </si>
  <si>
    <t>Providing and Fixing for the paint coated mild steel double decker bunk bed size of (.91m x 1.98m)  using  all the neccesarry works complying with standard specifications and as directed by Executive Engineer.</t>
  </si>
  <si>
    <t>Providing and Fixing for the foldable study table size of (.6m x .4m)  using 10mm MDF sheets and all the neccesarry works complying with standard specifications and as directed by Executive Engineer.</t>
  </si>
  <si>
    <t>Iron Table Stand with Press Holder, Foldable &amp; Height Adjustable/Ironing Board with Multi-Function Ironing Table/Ironing Board Covers with Foam pad
IRONING SPACE: (LxB=123x38cm Total H-Min-75cm Max-Up to 90cm). IRONING REST: (LxB=20x30cm). BASE LEG: (LxB=90x36cm).</t>
  </si>
  <si>
    <t>Pillow (16"x24")</t>
  </si>
  <si>
    <t>Pillow Cover</t>
  </si>
  <si>
    <t>Bedsheet cover</t>
  </si>
  <si>
    <t>Providing sanitary napkin disposal machine (disposal capacity of 25 nos/day )</t>
  </si>
  <si>
    <t>Dining Table for Dining Room</t>
  </si>
  <si>
    <t>Supplying and  fixing of First Aid Box complete with all First Aid Medicines etc..,(PWD SR P /2020-21)</t>
  </si>
  <si>
    <t>5KVA Inverter</t>
  </si>
  <si>
    <t>Furnitures Fittings</t>
  </si>
  <si>
    <t>SUB - TOTAL - III</t>
  </si>
  <si>
    <t xml:space="preserve">Advertisement charges </t>
  </si>
  <si>
    <t>Painting Two coats of Emulsion paint for Old walls and cement plastered/ concrete wall surface, ceiling or other similar works.including cost of through scrapping&amp;labour charges etc..,</t>
  </si>
  <si>
    <t>INNER:</t>
  </si>
  <si>
    <t>GF rooms</t>
  </si>
  <si>
    <t xml:space="preserve"> -do-</t>
  </si>
  <si>
    <t>D/F Door</t>
  </si>
  <si>
    <t>D/F windows</t>
  </si>
  <si>
    <t>Add Jambs</t>
  </si>
  <si>
    <t>for toilets</t>
  </si>
  <si>
    <t>D/F door</t>
  </si>
  <si>
    <t>D/F Ventilators</t>
  </si>
  <si>
    <t>for Dining Room</t>
  </si>
  <si>
    <t>Pillar sides</t>
  </si>
  <si>
    <t>D/F Open</t>
  </si>
  <si>
    <t xml:space="preserve">for Kitchen </t>
  </si>
  <si>
    <t>for Store room</t>
  </si>
  <si>
    <t>for GF corridor</t>
  </si>
  <si>
    <t>for Lobby</t>
  </si>
  <si>
    <t xml:space="preserve">for Open wash </t>
  </si>
  <si>
    <t>FF: Rooms</t>
  </si>
  <si>
    <t>for DORM</t>
  </si>
  <si>
    <t>for FF corridor</t>
  </si>
  <si>
    <t>for S/C 3 sides</t>
  </si>
  <si>
    <t>for Hand rails</t>
  </si>
  <si>
    <t>OUTER:</t>
  </si>
  <si>
    <t>for outer allround</t>
  </si>
  <si>
    <t>for sunshades</t>
  </si>
  <si>
    <t xml:space="preserve"> -do- Kitchen sides</t>
  </si>
  <si>
    <t>add parapet</t>
  </si>
  <si>
    <t xml:space="preserve">for Portico </t>
  </si>
  <si>
    <t xml:space="preserve"> -do- columns</t>
  </si>
  <si>
    <t>for Head room outer</t>
  </si>
  <si>
    <t>for Tank</t>
  </si>
  <si>
    <t>CEILING:</t>
  </si>
  <si>
    <t xml:space="preserve"> -do- toilet</t>
  </si>
  <si>
    <t>for Head Room</t>
  </si>
  <si>
    <t>for windows</t>
  </si>
  <si>
    <t>Co-Eff</t>
  </si>
  <si>
    <t>for main door</t>
  </si>
  <si>
    <t>for Ventilators</t>
  </si>
  <si>
    <t>110mm dia pipe</t>
  </si>
  <si>
    <t>75mm dia pipe</t>
  </si>
  <si>
    <t>32mm dia pipe</t>
  </si>
  <si>
    <t>25mm dia pipe</t>
  </si>
  <si>
    <t>for Gate</t>
  </si>
  <si>
    <t>Dismantling, Floor finish and dadooing walls in cement mortor with mosaic tiles / glazed tiles / cuddapah slabs and clearing away</t>
  </si>
  <si>
    <t>for Toilets</t>
  </si>
  <si>
    <t>Supplying and fixing of colour glazed tiles including all materials and labour charges etcc..,</t>
  </si>
  <si>
    <t>Supplying and fixing of bevelled edge mirror etc..,</t>
  </si>
  <si>
    <t>Providing and fixing fly proof Mesh shutter should be provided with a SS 32 gauge fly mesh of 304 grades with 144 holes per square inch. to windows, ventilators and clerestory windows using wire gauge with average width of aperture 1.4 mm in both directions with wire of dia. 0.50 mm all complete. With 12 mm mild steel U beading</t>
  </si>
  <si>
    <t>for all windows</t>
  </si>
  <si>
    <t>for all Ventilators</t>
  </si>
  <si>
    <t>for open wash area</t>
  </si>
  <si>
    <t>Supplying and fixing of polycarbonate sheet and necessary structural steel supports on Kitchen Wash Area roof Cover Top complying with standard specifications and as directed by Executive Engineer.</t>
  </si>
  <si>
    <t>Painter I</t>
  </si>
  <si>
    <t>Thorouh scrapping p28/108</t>
  </si>
  <si>
    <t>SqM</t>
  </si>
  <si>
    <t>Supplying and fixing of bevelled edge mirror of size 600x450mm size (p-56-it-184)etc..,</t>
  </si>
  <si>
    <t>N/W: RENOVATION AND UPGRADING THE EXISTING WORKING WOMEN’S HOSTEL AT SOORAMANGALAM IN SALEM CITY UNDER SOCIAL WELFARE DEPARTMENT</t>
  </si>
  <si>
    <t>Civil Works Abstract</t>
  </si>
  <si>
    <t>Civil Works Detailed Estimate</t>
  </si>
  <si>
    <t>SALEM DIVISION</t>
  </si>
  <si>
    <t>15mm dia half turn CP tap</t>
  </si>
  <si>
    <t>Labour charge</t>
  </si>
  <si>
    <t xml:space="preserve">Nos </t>
  </si>
  <si>
    <t>gram</t>
  </si>
  <si>
    <t>Shellac p-54/156</t>
  </si>
  <si>
    <t>100 gms</t>
  </si>
  <si>
    <t>Thread ball p-54/158</t>
  </si>
  <si>
    <t>Total/1 No</t>
  </si>
  <si>
    <t>Long body</t>
  </si>
  <si>
    <t>short body</t>
  </si>
  <si>
    <t>Cost of Tap</t>
  </si>
  <si>
    <t>Supplying and fixing of Angle cock in proper position by removing existing non functioning Angle cork etc., as directed by the department officer</t>
  </si>
  <si>
    <t>removing and refixing Labour charges @ 15% of material cost</t>
  </si>
  <si>
    <t>Rate per ech</t>
  </si>
  <si>
    <t>2021-22</t>
  </si>
  <si>
    <t>Supplying and fixing of polycarbonate sheet 6mm thick and necessary fittings with standard specifications and as directed by Executive Engineer.(PWD SR P72/2021-22)</t>
  </si>
  <si>
    <t>Supply and  Fixing of 25 W  LED street light fitting</t>
  </si>
  <si>
    <t xml:space="preserve">Charges for fixing 25 W LED lamp street light fittings ( all types) in the existing street pole/wall with  required GI pipe 'B' class and accessories </t>
  </si>
  <si>
    <t>25 mm dia GI 'B' class pipe p-46 it-118 -v</t>
  </si>
  <si>
    <t>25 W LED Street light Fittings</t>
  </si>
  <si>
    <t>25 W LED Street light Fittings p-114  17A/ lower end</t>
  </si>
  <si>
    <t>4' 18w crystal glass LED tube light</t>
  </si>
  <si>
    <t>4' tube light fitting with \electronic ballast p-111 it-20 c</t>
  </si>
  <si>
    <t>Charges for fixing  (as per Data 22 )</t>
  </si>
  <si>
    <t xml:space="preserve">Supplying and fixing of 18W LED tube light fittings including all materials etc.., </t>
  </si>
  <si>
    <t>WATER TIGHT BULK HEAD FITTING suitable for 12W LED bulb</t>
  </si>
  <si>
    <t>Bulk head fittings P-114 it-25</t>
  </si>
  <si>
    <t>Supplying and Fixing of 20mm thick CPVC (Chlorinated Poly Vinyl Chloride) Pipe (Higher pressure rating with higher pipe thickness) Standard Dimension Ratio–11 for Hot water including all materials and labour charges etc…,(PWD SR P106/2021-22)</t>
  </si>
  <si>
    <t>Supplying and Fixing of 20mm thick UPVC pipes including all materials and labour charges etc…, (PWD SR P105/2021-22)</t>
  </si>
  <si>
    <t>CP Angle cock tap (PWD SR P49/2021-22)</t>
  </si>
  <si>
    <t>Supply and fixing of Water CO2 Stored Pressure Type 9 litres capacity Fire Extinguisher as per new IS 15683 complete with control valve, gun metal cap, pressure gauge, operation sticker, discharge hose, wall mounting bracket, safety clip, etc., as directed by the Departmental Officers.(PWD SR P 81/2021-22)</t>
  </si>
  <si>
    <t>Supply and fixing of stored pressure ABC (Mono Ammonium Phospate) Powder Type Fire Extinguisher of 6 kg. capacity as per IS:15683 with pressure gauge, discharge hose &amp; control nozzle, wall mounting
bracket, safety clip etc., including conveyance, all incidental charges, neccessary scaffolding and re-doing
the dismantled portions to its original condition wherever found neccessary etc, complete as per standard specification and as directed by the Departmental Officers. Make: EXCELLENT / SAFETY FIRST / EQUIVALENT (PWD SR P 97/2021-22)</t>
  </si>
  <si>
    <t>Supplying and  fixing of First Aid Box complete with all First Aid Medicines etc..,(PWD SR P 142/2021-22)</t>
  </si>
  <si>
    <t>HBG stone chips 3-10mm</t>
  </si>
  <si>
    <t>For 25MM Thick</t>
  </si>
  <si>
    <t>Mortar mix charges manual  sl.165(Ann3 p-34)</t>
  </si>
  <si>
    <t>Vibrat-charges(R.C.C) sl.103/2 p30</t>
  </si>
  <si>
    <t>Vibrat-charges(P.C.C) sl.102</t>
  </si>
  <si>
    <t>Sand filling charges sl.75 p-28</t>
  </si>
  <si>
    <t>Earth filling charges sl.76 p-28</t>
  </si>
  <si>
    <t>E.W.  61/62 p-27</t>
  </si>
  <si>
    <t>L.C.T.W.Door- 144/2 p-32</t>
  </si>
  <si>
    <t>L.C.marine doors-145/3 p-32</t>
  </si>
  <si>
    <t>TW glazed window 149/8 p-33</t>
  </si>
  <si>
    <t>Wrought&amp;putup 143/1 p-32</t>
  </si>
  <si>
    <t>Ventilator 153/14 p-33</t>
  </si>
  <si>
    <t>Meter- Cupboard Weldmesh 158/23 p-34</t>
  </si>
  <si>
    <t>E.W (SDR) 62/67 p-27</t>
  </si>
  <si>
    <t>FITTER-II (Pipe &amp; Bar Bend) 69/20a p-14</t>
  </si>
  <si>
    <t>FITTER-I (Pipe &amp; Bar Bend) 19/20 p-12</t>
  </si>
  <si>
    <t>E.W  loose soil p-26 SS20B/55/50</t>
  </si>
  <si>
    <t>LIFT CHARGES FOR CONCRETE IN G.F  *it-92 p-29</t>
  </si>
  <si>
    <t>Stone dust p20 96-58a</t>
  </si>
  <si>
    <t>6mmto 10mm HBG metal p-19 it-83+84/2</t>
  </si>
  <si>
    <t>Fly Ash Bricks  it-3A/8a p-16</t>
  </si>
  <si>
    <t>Crushed Stone SAND FOR MORTAR sl.98/58C p20</t>
  </si>
  <si>
    <t>CCTV</t>
  </si>
  <si>
    <t>Providing T.W single leaf individual shutters with locking arrangements for rest rooms cupboard/ward robes with 9mm thick BWR plywood for shutters. The all round frame made up of T.W scantling of 75mm X 37.50 and the middle 2 Nos of styles and hand rails ISI mark . 2 nos of 3" aluminium butt hinges, 1 no of 4" ornamental handle loock &amp; key arrangements 1 no magnetic catcher inclusive all labour charges etc.</t>
  </si>
  <si>
    <t>for All rooms C/B</t>
  </si>
  <si>
    <t>Notice Board on Entrance Area</t>
  </si>
  <si>
    <t>3 seater SOFA</t>
  </si>
  <si>
    <t>Supplying and fixing of Polyester curtain (ordinary Blinds) the plysurface of approved color and shade with grooves and lines and in patterns on specified area as instructed by Architect / Client and including the cost of necessary hardware's, adhesives, melamine polishing, wastages etc; as required for complete the works. Actual laid area only will be measured and paid.</t>
  </si>
  <si>
    <t>supplying and fixing of 25mm dia 1 mm thick ,MS hollow tubes for the fixing of window curtains . The quoted rate shall inclusive of MS brackets on either side and one side with threaded clamp for the fixing and removal of rod to provide the curtain.</t>
  </si>
  <si>
    <t>Providing and fixing full height solid partition ,made of Aluminium extruded sections size of  50x25mmx1.2mm thick in both horizontal and vertical direction at 600 mm c/c spacing. All the vertical frames shall be continuous and screw fixed in the flooring at bottom and the alternative vertical frames should be anchored in the ceiling RCC slab at top with additional 'Y' supports. The framework shall be covered with single layer 8mm thick BWR grade plywood of on both sides up to true ceiling and finished with 1mm thick lamination and provide the door size of 1.00x2.10m. The cost to be inlcuding all the necessary hardware's etc. as required for complete the works. Actual seen surface area.</t>
  </si>
  <si>
    <t>for Office room</t>
  </si>
  <si>
    <t>200long x 12mmdia aluminium tower bolt</t>
  </si>
  <si>
    <t>75mm x 30mm aluminium butt hinges</t>
  </si>
  <si>
    <t>oramental handle with screw 100mm</t>
  </si>
  <si>
    <t>Painting two coats for wood work</t>
  </si>
  <si>
    <t>Aluminium partition wall ( 1/3 Glass 5.5mm &amp; 2/3 novapan sheet 12mm thick</t>
  </si>
  <si>
    <t>Aluminium section 'it- 61 a( SR-16-17)</t>
  </si>
  <si>
    <t>Glass 5.5mm plain  it-137 p-44</t>
  </si>
  <si>
    <t>Novapan Sheet 12mm Thick</t>
  </si>
  <si>
    <t>Rubber beeding (An-VI -it-86</t>
  </si>
  <si>
    <t xml:space="preserve"> BRASS SCREWS ( 30x6mm)(An-VI -it-228 p-55</t>
  </si>
  <si>
    <t xml:space="preserve"> BRASS SCREWS (75x 10mm)(An-VI -it-229 p-55</t>
  </si>
  <si>
    <t xml:space="preserve"> Plug (An-VI -it-232</t>
  </si>
  <si>
    <t>Power Grapping it-173</t>
  </si>
  <si>
    <t>Labbour charges</t>
  </si>
  <si>
    <t>TOTAL FOR 6.615 SQM</t>
  </si>
  <si>
    <t>FITTER  Ist CLASS</t>
  </si>
  <si>
    <t>MAZDOOR  Ist CLASS</t>
  </si>
  <si>
    <t>CARPENTER II CLASS</t>
  </si>
  <si>
    <t xml:space="preserve"> LABOUR RATE </t>
  </si>
  <si>
    <t>Supplying and Fixing of Brass Chromium Plated Screw Down Tap 15 / 12mm dia (Heavy Type)  including all materials and labour charges etc..,</t>
  </si>
  <si>
    <t>Supplying and Fixing of Brass Chromium Plated Screw Down Tap 15 / 12mm dia (Heavy Type)  including all materials and labour charges etc.., (PWD SR P48/2021-22)</t>
  </si>
  <si>
    <t>for Women Hostel GF &amp; FF</t>
  </si>
  <si>
    <t>Supplying and fixing of 110mm dia rain water down fall pipe type A including all etc..,</t>
  </si>
  <si>
    <t>for Rain water pipe</t>
  </si>
  <si>
    <t>DOWN FALL PIPE    Type- A  SWR pipe</t>
  </si>
  <si>
    <t xml:space="preserve">Run off 2 of 2.5 sq.mm. (36/0.3) PVC insulated SC unsheathed copper conductor of 1100V grade insuitable PVC rigid pipe concealed in wall and ceiling with continuous earth wire connection 1.5 sq.mm. (22/0.3) PVC insulated SC unsheathed copper conductor of 1100V grade </t>
  </si>
  <si>
    <t>for Heater point toilet</t>
  </si>
  <si>
    <t>Supply and run of 2 of 1.5 sq.mm. (22/0.3) PVC insulated SC unsheathed copper conductor of 1100V grade insuitable PVC rigid pipe concealed in wall and ceiling with continuous earth wire connection 14SWG TC wire with painting of suitable colour</t>
  </si>
  <si>
    <t>Supplying and fixing suitable size GI box with modular plate and cover in front on surface or in recess, including providing and fixing 16 Amps modular type Single Way Switch, 1 no of 16A modular Shuttered socket outlet connections etc. as required for toilet &amp; other</t>
  </si>
  <si>
    <t>TV,WIFI, DISH, Cooler</t>
  </si>
  <si>
    <t>for wall mounting fan</t>
  </si>
  <si>
    <t>Supplying PVC casing capping  including all etc..,</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</si>
  <si>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</si>
  <si>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MS saddles 19mm p- 131 part- L 3b</t>
  </si>
  <si>
    <t>TW plugs 1.5"X1"X2" SR P.129</t>
  </si>
  <si>
    <t>(Open Wiring)</t>
  </si>
  <si>
    <t>Supplying and fixing suitable size GI box with modular plate and cover in front on surface or in recess, including providing and fixing 1 no of 6A 3pin and 2pin combined flush type wall socket with 6A flush type switch 6 Amps modular type Single Way Switch, connections etc. as required for Rooms</t>
  </si>
  <si>
    <r>
      <t xml:space="preserve">Supplying, Fabricating and fixing in position of Bare Galvalume sheet including 4" Dia Vertical post,  2" x 2" Square tube purlin and 1.5" x 1.5" dia Stiffner, cost of labour charges etc.., all complete </t>
    </r>
    <r>
      <rPr>
        <b/>
        <sz val="14"/>
        <color indexed="8"/>
        <rFont val="Times New Roman"/>
        <family val="1"/>
      </rPr>
      <t>(Quotation)</t>
    </r>
  </si>
  <si>
    <t>Supplying, Fabricating and fixing in position of Bare Galvalume sheet including 4" Dia Vertical post,  2" x 2" Square tube purlin and 1.5" x 1.5" dia Stiffner, cost of labour charges etc.., all complete (Quotation)</t>
  </si>
  <si>
    <t>Earth work excavation for foundation in all soils and sub-soils and to full depth as may be directed except in rock requiring blasting inclusive of shoring shuttering, bailing out water etc..,</t>
  </si>
  <si>
    <t>for security toilet</t>
  </si>
  <si>
    <t xml:space="preserve">Cement Concrete 1:5:10 (One Cement, Five sand and Ten hard broken stone jelly) using 40 mm gauge hard broken granite stone jelly for foundation  including dewatering wherever necessary and laid in layers of not more than 15 cm thick well rammed, consolidated and curing etc. complete complying with standard specification </t>
  </si>
  <si>
    <t xml:space="preserve"> -do- Grade beam</t>
  </si>
  <si>
    <t>for security toilet footing</t>
  </si>
  <si>
    <t>for security toilet fooring</t>
  </si>
  <si>
    <t>Supplying and filling in foundation, basement, etc with filling sand in layers of not more than 15 cm thick well watered, rammed and consolidated etc. complete complying with standard specification and as directed by the departmental officers.</t>
  </si>
  <si>
    <t>for footing</t>
  </si>
  <si>
    <t>for Security toilet allround wall</t>
  </si>
  <si>
    <t>Brick work in following Cement Mortar 1:5 (one cement and five sand) using Chamber Burnt Bricks in foundation and basement including curing, etc., complete complying with standard specifiction for foundation &amp; Basement</t>
  </si>
  <si>
    <t>Brick work in following Cement Mortar 1:6 (one cement and six sand) using Chamber Burnt Bricksfor super structure including curing, etc., complete complying with standard specifictions.
a) In Ground Floor</t>
  </si>
  <si>
    <t>D/F Ventilator</t>
  </si>
  <si>
    <t>Providing and laying in position, Standardised Concrete Mix M-20 Grade in accordance with IS:456-2000, using 20mm and down graded hard broken granite stone jelly for all RCC items of works etc..,</t>
  </si>
  <si>
    <t>a) In Foundation and Basement</t>
  </si>
  <si>
    <t>for Column upto Grade beam</t>
  </si>
  <si>
    <t>b) In Ground Floor</t>
  </si>
  <si>
    <t>for Lintel</t>
  </si>
  <si>
    <t>for GF Roof slab</t>
  </si>
  <si>
    <t>for column footing</t>
  </si>
  <si>
    <t>b.) For plane surfaces such as RCC floor slab, roof slab, beams, lintels, bed blocks, landing slab, waist slab, portico slabs and beams, etc.</t>
  </si>
  <si>
    <t>for GF Roof bottom</t>
  </si>
  <si>
    <t xml:space="preserve"> -do- Projection</t>
  </si>
  <si>
    <t xml:space="preserve"> -do- slab sides</t>
  </si>
  <si>
    <t>c) Small quantity</t>
  </si>
  <si>
    <t>for Columns</t>
  </si>
  <si>
    <t>Flooring with a bed cconcrete in CC 1:5:10 including all materials and labour charges etc..,</t>
  </si>
  <si>
    <t xml:space="preserve">for security toilet </t>
  </si>
  <si>
    <t>for Seccurrity toilet Inner</t>
  </si>
  <si>
    <t>add jambs</t>
  </si>
  <si>
    <t>for Seccurrity toilet outer</t>
  </si>
  <si>
    <t>for step sides</t>
  </si>
  <si>
    <t>for steps</t>
  </si>
  <si>
    <t>for Security toilet</t>
  </si>
  <si>
    <t>add sides</t>
  </si>
  <si>
    <t>Supplying and fixing of colour ceramic tiles (Anti-skid) including all materials and labour charges etc..,</t>
  </si>
  <si>
    <t>for Women Hostel toilet &amp; Security toilet</t>
  </si>
  <si>
    <t>security toilet</t>
  </si>
  <si>
    <t>Supplying and fixing the EWC (white colour) including all materials and labour charges etc..,</t>
  </si>
  <si>
    <t>Security toilet</t>
  </si>
  <si>
    <t>for secutrity toilet ventilator</t>
  </si>
  <si>
    <t>Plastic Emulsion PAINT two coat for old wall</t>
  </si>
  <si>
    <t>PAINTING TWO COATS OVER NEW           (as per PWD Standard Data)</t>
  </si>
  <si>
    <t>OBD p-45 sl.140</t>
  </si>
  <si>
    <t>Grout ( qtn)</t>
  </si>
  <si>
    <t>As per Item No:15 (a&amp;b)</t>
  </si>
  <si>
    <t xml:space="preserve"> = 3.20cum x 125kg/sqm =</t>
  </si>
  <si>
    <t xml:space="preserve">wiring with 1.5 sqmm PVC insulated single core multi strand fire retardant flexible copper cable with ISI mark confirming IS: 694:1990. </t>
  </si>
  <si>
    <t xml:space="preserve">b.Light point without ceiling rose </t>
  </si>
  <si>
    <t>Supplying and fixing 15amps 3 pin plug type socket on a suitable MS box 16g thick concealed and covered with 3 mm thick laminated hylem sheet inclusive of all connections and cost of all materials.</t>
  </si>
  <si>
    <t>As per item no:4</t>
  </si>
  <si>
    <t>Women hostel &amp; Security toilet</t>
  </si>
  <si>
    <t>Women hostel all rooms &amp; Security toilet</t>
  </si>
  <si>
    <t xml:space="preserve">wiring with 1.5 sqmm PVC insulated single core multi strand fire retardant flexible copper cable with ISI mark confirming IS: 694:1990. 
b.Light point without ceiling rose </t>
  </si>
  <si>
    <t>Add cost of Bakelite battern type holders 10 Nos @ Rs 16.50 / Each p-116,  it-25</t>
  </si>
  <si>
    <t>Supplying and fixing of 15 Amps 3 pin flush type plug socket on suitable MS box of 16g thick concealed and covered with 3 mm thick laminated hylem sheet inclusive of all materials, etc., all complete.</t>
  </si>
  <si>
    <t>15 Amps 3 pin flush type plug socket Part-D1 b p-123</t>
  </si>
  <si>
    <t>Supplying and laying of solar reflective cool tiles with base concrete including all etc..,</t>
  </si>
  <si>
    <t>Providing cooling tiles over terrace floor</t>
  </si>
  <si>
    <t>COST OF CERAMIC FLOOR TILES p-34 it-7 a</t>
  </si>
  <si>
    <t>Pointing with CM 1:3</t>
  </si>
  <si>
    <t>ABC plus powder</t>
  </si>
  <si>
    <t>Colour cement p-36</t>
  </si>
  <si>
    <t>ABC Grout</t>
  </si>
  <si>
    <t>Base concrete 1:2:4 (6-10mm thick metal)</t>
  </si>
  <si>
    <t>Special ceiling plastering with Cement Mortar 1:3 (One Cement and Three Sand) 10mm thick including hacking the surfaces etc..,</t>
  </si>
  <si>
    <t>kg/sqm</t>
  </si>
  <si>
    <t>for Door</t>
  </si>
  <si>
    <t>RATE AS PER  PWD LR For Window  p 38/ it 82</t>
  </si>
  <si>
    <t>Supplying and fixing steel windows and ventilators of approved design and as directed by the departmental officers</t>
  </si>
  <si>
    <t>Supplying and fixing of Solid PVC Door Shutters using 19 Gauge 19mm MS square tubes for styles and outer frames. 15mm MS square tubes for top, lock and bottom rails. The steel tubes shall be covered with 5mm thick solid PVC Sheets etc..,
a) Solid panel PVC door with frame</t>
  </si>
  <si>
    <t>Painting one coats of OBD for Old walls and cement plastered/ concrete wall surface, ceiling or other similar works.including cost of through scrapping&amp;labour charges etc..,</t>
  </si>
  <si>
    <t>for pipe line touch up</t>
  </si>
  <si>
    <t>Painting Two coats of Old iron work for old surface including cost of through scrapping&amp;labour charges etc..,</t>
  </si>
  <si>
    <t>Providing and fixing PVC moaquito net should be provided with 144 holes per square inch. to windows, ventilators and clerestory windows using wire gauge with average width of aperture 1.4 mm in both directions with wire of dia. 0.50 mm all complete. (Quotation)]</t>
  </si>
  <si>
    <t>SUPPLY AND FIXING OF E.W.C.   18" SIZE (WHITE)</t>
  </si>
  <si>
    <t>Deduct rate for "P" &amp; "S" trap</t>
  </si>
  <si>
    <t xml:space="preserve">Add rate for PVC SWR "P" &amp; "S" trap </t>
  </si>
  <si>
    <t>Supplying and fixing of Solid PVC Door Shutters using 19 Gauge 19mm MS square tubes for styles and outer frames. 15mm MS square tubes for top, lock and bottom rails. The steel tubes shall be covered with 5mm thick solid PVC Sheets etc..,
a) Solid panel PVC door with frame (PWD SR P43/2021-22)</t>
  </si>
  <si>
    <t>b) 9 watts LED lamp (PWD SR P115/2021-22)</t>
  </si>
  <si>
    <t>3 seater SOFA (Teak Wood)</t>
  </si>
  <si>
    <t>Cloth Door matt (1.0x0.45m)</t>
  </si>
  <si>
    <t>for Womens Hostel</t>
  </si>
  <si>
    <t>Garbage Bin</t>
  </si>
  <si>
    <t>Garbage Bin (Red &amp; Green Box)</t>
  </si>
  <si>
    <t>Lenovo V520 Slim Tower (10NNA01 AIH) 
4GB DDR4 RAM 1TB HDDI intel CORE-i3 4gb 1tb DOS) Desktop (with monitor) 19.5" Inch HD screen, Key board and mouse (one+Two) 3 year warranty</t>
  </si>
  <si>
    <t>TV DISH HD box</t>
  </si>
  <si>
    <t xml:space="preserve">A4 Printer ( Scan /Copy/Xerox) (HP MFP136W all in one) </t>
  </si>
  <si>
    <t>Automatic electrical water heater Puro DX 5s15Ltr SM FP white blue etc.,</t>
  </si>
  <si>
    <t>Havells Mixer Grinder ( Butterfly jet Elite mixer 750w 4jars)</t>
  </si>
  <si>
    <t>Wet Grinder (Butter fly Rhino Plus wet grinder 2litres)</t>
  </si>
  <si>
    <t xml:space="preserve">Refrigerator Samsung 255litres, 3star single door  </t>
  </si>
  <si>
    <t>Supplying and installation of Drinking water fount in with cooler Including all etc..,( USHA SP-4080)</t>
  </si>
  <si>
    <t>Supply and fixing Sign-Board ACP sheet &amp; LED board Desing work ACP sheet board size 15x3 samsung brand LED bulb, LED Transformer PVC &amp; Foam cup letters all ways work, cost of all materials, labour charges and transporting charges.</t>
  </si>
  <si>
    <t xml:space="preserve">Steel Table 4feet x 2feet, height 2.5feet for Security Cabin </t>
  </si>
  <si>
    <t>Providing and Fixing of Double Decker bunk bed size of (0.91m x 1.98m)  using MS tube size 40x40 square tube, 25x25 square tube, 16KG MS Sheet including cost of materials and labour charges, welding charges etc..,</t>
  </si>
  <si>
    <t>Network Video Recorder 16 Channel, 160Mbps  Bit Rate Input Max (up to 16-ch IP video), 2 SATA interfaces, 1U case,19" 265+
(PWD SR2021-2022 Pg.No:154)</t>
  </si>
  <si>
    <t>2MP IP CAMERA Max Resolution : 2MP
Video compression : H.265 WDR ; 120DB
LENS : 4mm / Multi streaming IR Range : 30 meter
BRAND : HIKVISION</t>
  </si>
  <si>
    <t>2MP IP CAMERA Max Resolution : 2MP Video compression : H.265 WDR ; 120DB LENS : 4mm / Multi streaming IR Range : 30 meter BRAND : HIKVISION</t>
  </si>
  <si>
    <t>Supply and installation of 2TB harddisk for the above NVR for extended recoding and as instructed 
(PWD SR 2021-2022 Pg.No:155)</t>
  </si>
  <si>
    <t>Supply and installation of surface mounted 4u Metal Rack With Lock And Key (PWD SR 2021-2022 Pg.No:155)</t>
  </si>
  <si>
    <t>Supply and installation of 25mm PVC conduit(PVC PIPES 18.MM (1") 25MM 1.8MM N PVC PIPES)</t>
  </si>
  <si>
    <t>Installation Testing and Commissioning of whole CCTV system with proper handing over &amp; with proper Documentation. (Quoation).</t>
  </si>
  <si>
    <t xml:space="preserve">LG 32LT 340 C Commercial LED TV Resolution 1366x768 (Hd) Screen size 32 inch including cost of stablizer V guard brand with multiple use  </t>
  </si>
  <si>
    <t xml:space="preserve">Installation Testing and Commissioning of whole CCTV system with proper handing over &amp; with proper Documentation. </t>
  </si>
  <si>
    <t>Network Switch: Supply and installation of manageable L2 PoESwitch, 24Port, 10/100/1000, 2SFP Ports with support for Auto VLANS and support features like IP4/IP6, QoS, advanced security management, PoE management along with 4U  Rack Should support 802.3af (802.3at Type 1) specification. (PWD SR 2021-2022 Pg.No:154)</t>
  </si>
  <si>
    <t>Supply and Laying of HDMI cable 5mtr 
(Quotation)</t>
  </si>
  <si>
    <t>UPS INVERTER PANEL
5KVA STATIC UPS without Battery
48V Static UPS to support computer
load &amp; Non computer load. Cost does
not include batteirs and battery stand
requires 4 batteries only
BRAND : EXIDE
WARRANTY : 36 MONTHS</t>
  </si>
  <si>
    <t>UPS BATTERIES
BATTERY PACK - 100AH INVERTER
tYPE BATTERY
Stand Master 100ah Flat Inverter
Batteries capable of Deep discharging
for longer back up time.
BRAND : EXIDE
WARRANTY : 36 MONTHS</t>
  </si>
  <si>
    <t>BATTERY STAND
Battery standard Battery stand for
housing 100AH SMF batteries the cost
is including battery terminal and inter
linking cables</t>
  </si>
  <si>
    <t>TRANSPORT OR CONVEYANCE
CHARGES</t>
  </si>
  <si>
    <t>WASHBASIN (White Pedastal type)  22"X16" INCLUDING</t>
  </si>
  <si>
    <t>Wash Hand Basin of size 550 x 400 mm with all accessories such as CI brackets, 32mm dia CP waste coupling, Rubber plug and chain, 32mm dia B class GI waste pipe, 15mm dia brass nipples. 15mm CP pillar tap etc.,P-55 it-169 -i</t>
  </si>
  <si>
    <t>Supply and installation of Armoured CAT 6 Cable (PWD SR 2021-2022 Pg.No:153)</t>
  </si>
  <si>
    <t>Supply and installation of 25mm PVC conduit (PWD SR 2021-2022 Pg.No:127)</t>
  </si>
  <si>
    <t>b)Supply and installation of Armoured CAT 6 Cable (PWD SR 2021-2022 Pg.No:153)</t>
  </si>
  <si>
    <t>C) 2U Wall mount Rack with Accessories (PWD SR 2021-2022 Pg.No:155)</t>
  </si>
  <si>
    <t>d) 8 Port POE switch 10/100/1000 (PWD SR 2021-2022 Pg.No:154)</t>
  </si>
  <si>
    <t>Plastic Chair Nilkamal</t>
  </si>
  <si>
    <t>Security Cabin</t>
  </si>
  <si>
    <t>Supply and installation of LG 32 LT 340 C Commerical LED TV Resolution 1366x768 HD Screen size 32 inch including all cost of .V GUARD Stabilzer (quotation)</t>
  </si>
  <si>
    <t>Supply and installation of LG 43 Smart full HD LED TV 4K Screen size 43 inch including all cost of .V GUARD Stabilzer (quotation)</t>
  </si>
  <si>
    <t>Supply and fixing of OUTDOOR CAMERA POWER
CASING (Quotation)</t>
  </si>
</sst>
</file>

<file path=xl/styles.xml><?xml version="1.0" encoding="utf-8"?>
<styleSheet xmlns="http://schemas.openxmlformats.org/spreadsheetml/2006/main">
  <numFmts count="11">
    <numFmt numFmtId="164" formatCode="0.00_)"/>
    <numFmt numFmtId="165" formatCode="0_)"/>
    <numFmt numFmtId="166" formatCode="0.000_)"/>
    <numFmt numFmtId="167" formatCode="0.0_)"/>
    <numFmt numFmtId="168" formatCode="0.00000_)"/>
    <numFmt numFmtId="169" formatCode="0.0000_)"/>
    <numFmt numFmtId="170" formatCode="0.000000_)"/>
    <numFmt numFmtId="171" formatCode="0.0"/>
    <numFmt numFmtId="172" formatCode="0.000"/>
    <numFmt numFmtId="173" formatCode="0.0000000_)"/>
    <numFmt numFmtId="174" formatCode="0.00000000_)"/>
  </numFmts>
  <fonts count="148">
    <font>
      <sz val="12"/>
      <name val="Helv"/>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3"/>
      <color indexed="10"/>
      <name val="Arial"/>
      <family val="2"/>
    </font>
    <font>
      <sz val="14"/>
      <color indexed="8"/>
      <name val="Arial"/>
      <family val="2"/>
    </font>
    <font>
      <sz val="12"/>
      <color indexed="9"/>
      <name val="Helv"/>
    </font>
    <font>
      <b/>
      <u/>
      <sz val="14"/>
      <name val="Arial"/>
      <family val="2"/>
    </font>
    <font>
      <sz val="14"/>
      <name val="Helv"/>
    </font>
    <font>
      <sz val="13"/>
      <color indexed="9"/>
      <name val="Arial"/>
      <family val="2"/>
    </font>
    <font>
      <b/>
      <sz val="16"/>
      <name val="Arial"/>
      <family val="2"/>
    </font>
    <font>
      <sz val="12"/>
      <name val="Arial"/>
      <family val="2"/>
    </font>
    <font>
      <sz val="14"/>
      <name val="Arial"/>
      <family val="2"/>
    </font>
    <font>
      <sz val="11"/>
      <name val="Arial"/>
      <family val="2"/>
    </font>
    <font>
      <b/>
      <sz val="14"/>
      <color indexed="8"/>
      <name val="Arial"/>
      <family val="2"/>
    </font>
    <font>
      <sz val="13"/>
      <name val="Helv"/>
    </font>
    <font>
      <sz val="13"/>
      <color indexed="9"/>
      <name val="Helv"/>
    </font>
    <font>
      <sz val="12"/>
      <color indexed="14"/>
      <name val="Helv"/>
    </font>
    <font>
      <sz val="12"/>
      <color indexed="12"/>
      <name val="Helv"/>
    </font>
    <font>
      <sz val="12"/>
      <color indexed="12"/>
      <name val="Arial"/>
      <family val="2"/>
    </font>
    <font>
      <b/>
      <sz val="12"/>
      <color indexed="12"/>
      <name val="Helv"/>
    </font>
    <font>
      <sz val="11"/>
      <color indexed="12"/>
      <name val="Helv"/>
    </font>
    <font>
      <sz val="13"/>
      <color indexed="14"/>
      <name val="Helv"/>
    </font>
    <font>
      <sz val="12"/>
      <color indexed="13"/>
      <name val="Helv"/>
    </font>
    <font>
      <sz val="12"/>
      <color indexed="8"/>
      <name val="Arial"/>
      <family val="2"/>
    </font>
    <font>
      <b/>
      <sz val="12"/>
      <color indexed="9"/>
      <name val="Helv"/>
    </font>
    <font>
      <b/>
      <sz val="14"/>
      <name val="Helv"/>
    </font>
    <font>
      <sz val="11"/>
      <color indexed="10"/>
      <name val="Helv"/>
    </font>
    <font>
      <sz val="12"/>
      <color indexed="8"/>
      <name val="Helv"/>
    </font>
    <font>
      <sz val="12"/>
      <color indexed="48"/>
      <name val="Helv"/>
    </font>
    <font>
      <sz val="10"/>
      <color indexed="10"/>
      <name val="Arial"/>
      <family val="2"/>
    </font>
    <font>
      <sz val="12"/>
      <color indexed="57"/>
      <name val="Helv"/>
    </font>
    <font>
      <sz val="12"/>
      <color indexed="10"/>
      <name val="Arial"/>
      <family val="2"/>
    </font>
    <font>
      <sz val="12"/>
      <color indexed="57"/>
      <name val="Arial"/>
      <family val="2"/>
    </font>
    <font>
      <sz val="11"/>
      <color indexed="57"/>
      <name val="Helv"/>
    </font>
    <font>
      <sz val="12"/>
      <color indexed="17"/>
      <name val="Helv"/>
    </font>
    <font>
      <sz val="13"/>
      <color indexed="10"/>
      <name val="Helv"/>
    </font>
    <font>
      <b/>
      <sz val="13"/>
      <name val="Helv"/>
    </font>
    <font>
      <sz val="13"/>
      <color indexed="8"/>
      <name val="Helv"/>
    </font>
    <font>
      <b/>
      <sz val="15"/>
      <name val="Arial"/>
      <family val="2"/>
    </font>
    <font>
      <sz val="12"/>
      <name val="Helv"/>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2"/>
      <color indexed="51"/>
      <name val="Helv"/>
    </font>
    <font>
      <sz val="12"/>
      <color indexed="15"/>
      <name val="Helv"/>
    </font>
    <font>
      <b/>
      <u/>
      <sz val="13"/>
      <name val="Arial"/>
      <family val="2"/>
    </font>
    <font>
      <sz val="12"/>
      <name val="Times New Roman"/>
      <family val="1"/>
    </font>
    <font>
      <b/>
      <sz val="12"/>
      <name val="Times New Roman"/>
      <family val="1"/>
    </font>
    <font>
      <b/>
      <sz val="14"/>
      <name val="Times New Roman"/>
      <family val="1"/>
    </font>
    <font>
      <b/>
      <sz val="12"/>
      <color indexed="14"/>
      <name val="Helv"/>
    </font>
    <font>
      <b/>
      <sz val="15"/>
      <color indexed="12"/>
      <name val="Helv"/>
    </font>
    <font>
      <b/>
      <sz val="15"/>
      <name val="Helv"/>
    </font>
    <font>
      <sz val="10"/>
      <name val="Arial"/>
      <family val="2"/>
    </font>
    <font>
      <b/>
      <sz val="11"/>
      <color indexed="8"/>
      <name val="Comic Sans MS"/>
      <family val="4"/>
    </font>
    <font>
      <sz val="11"/>
      <name val="Comic Sans MS"/>
      <family val="4"/>
    </font>
    <font>
      <b/>
      <sz val="11"/>
      <name val="Comic Sans MS"/>
      <family val="4"/>
    </font>
    <font>
      <b/>
      <sz val="12"/>
      <name val="Arial Unicode MS"/>
      <family val="2"/>
    </font>
    <font>
      <sz val="11"/>
      <color indexed="8"/>
      <name val="Comic Sans MS"/>
      <family val="4"/>
    </font>
    <font>
      <b/>
      <sz val="10"/>
      <name val="Comic Sans MS"/>
      <family val="4"/>
    </font>
    <font>
      <sz val="12"/>
      <name val="Comic Sans MS"/>
      <family val="4"/>
    </font>
    <font>
      <b/>
      <sz val="12"/>
      <name val="Comic Sans MS"/>
      <family val="4"/>
    </font>
    <font>
      <sz val="14"/>
      <name val="Comic Sans MS"/>
      <family val="4"/>
    </font>
    <font>
      <sz val="13"/>
      <name val="Comic Sans MS"/>
      <family val="4"/>
    </font>
    <font>
      <b/>
      <sz val="13"/>
      <name val="Comic Sans MS"/>
      <family val="4"/>
    </font>
    <font>
      <sz val="13"/>
      <color indexed="8"/>
      <name val="Comic Sans MS"/>
      <family val="4"/>
    </font>
    <font>
      <b/>
      <sz val="13"/>
      <color indexed="8"/>
      <name val="Comic Sans MS"/>
      <family val="4"/>
    </font>
    <font>
      <sz val="18"/>
      <name val="Comic Sans MS"/>
      <family val="4"/>
    </font>
    <font>
      <b/>
      <sz val="14"/>
      <name val="Comic Sans MS"/>
      <family val="4"/>
    </font>
    <font>
      <sz val="14"/>
      <color indexed="9"/>
      <name val="Comic Sans MS"/>
      <family val="4"/>
    </font>
    <font>
      <b/>
      <sz val="16"/>
      <name val="Comic Sans MS"/>
      <family val="4"/>
    </font>
    <font>
      <sz val="11"/>
      <name val="Times New Roman"/>
      <family val="1"/>
    </font>
    <font>
      <b/>
      <sz val="13"/>
      <name val="Times New Roman"/>
      <family val="1"/>
    </font>
    <font>
      <b/>
      <sz val="11"/>
      <name val="Times New Roman"/>
      <family val="1"/>
    </font>
    <font>
      <sz val="16"/>
      <name val="Times New Roman"/>
      <family val="1"/>
    </font>
    <font>
      <sz val="14"/>
      <name val="Times New Roman"/>
      <family val="1"/>
    </font>
    <font>
      <b/>
      <u/>
      <sz val="12"/>
      <name val="Times New Roman"/>
      <family val="1"/>
    </font>
    <font>
      <sz val="8"/>
      <name val="Times New Roman"/>
      <family val="1"/>
    </font>
    <font>
      <b/>
      <u val="double"/>
      <sz val="14"/>
      <name val="Times New Roman"/>
      <family val="1"/>
    </font>
    <font>
      <b/>
      <sz val="16"/>
      <name val="Times New Roman"/>
      <family val="1"/>
    </font>
    <font>
      <b/>
      <u/>
      <sz val="16"/>
      <name val="Times New Roman"/>
      <family val="1"/>
    </font>
    <font>
      <b/>
      <sz val="16"/>
      <name val="Cambria"/>
      <family val="1"/>
    </font>
    <font>
      <b/>
      <u val="double"/>
      <sz val="16"/>
      <name val="Times New Roman"/>
      <family val="1"/>
    </font>
    <font>
      <sz val="11"/>
      <color theme="1"/>
      <name val="Calibri"/>
      <family val="2"/>
      <scheme val="minor"/>
    </font>
    <font>
      <sz val="12"/>
      <color rgb="FFFF0000"/>
      <name val="Helv"/>
    </font>
    <font>
      <sz val="12"/>
      <color theme="0"/>
      <name val="Helv"/>
    </font>
    <font>
      <sz val="12"/>
      <color theme="3" tint="0.39997558519241921"/>
      <name val="Helv"/>
    </font>
    <font>
      <sz val="10"/>
      <color rgb="FFFF0000"/>
      <name val="Arial"/>
      <family val="2"/>
    </font>
    <font>
      <sz val="12"/>
      <color rgb="FFE11FD8"/>
      <name val="Helv"/>
    </font>
    <font>
      <sz val="12"/>
      <color rgb="FF00B0F0"/>
      <name val="Helv"/>
    </font>
    <font>
      <b/>
      <sz val="12"/>
      <color rgb="FFFF0000"/>
      <name val="Helv"/>
    </font>
    <font>
      <sz val="12"/>
      <color theme="7" tint="-0.249977111117893"/>
      <name val="Helv"/>
    </font>
    <font>
      <sz val="12"/>
      <color rgb="FF0070C0"/>
      <name val="Helv"/>
    </font>
    <font>
      <sz val="12"/>
      <color theme="1"/>
      <name val="Arial"/>
      <family val="2"/>
    </font>
    <font>
      <sz val="12"/>
      <color theme="1"/>
      <name val="Helv"/>
    </font>
    <font>
      <b/>
      <sz val="11"/>
      <color theme="1"/>
      <name val="Comic Sans MS"/>
      <family val="4"/>
    </font>
    <font>
      <sz val="11"/>
      <color theme="1"/>
      <name val="Comic Sans MS"/>
      <family val="4"/>
    </font>
    <font>
      <b/>
      <sz val="12"/>
      <color rgb="FFFF0000"/>
      <name val="Arial"/>
      <family val="2"/>
    </font>
    <font>
      <sz val="13"/>
      <color theme="1"/>
      <name val="Comic Sans MS"/>
      <family val="4"/>
    </font>
    <font>
      <b/>
      <sz val="13"/>
      <color theme="1"/>
      <name val="Comic Sans MS"/>
      <family val="4"/>
    </font>
    <font>
      <sz val="12"/>
      <color theme="1"/>
      <name val="Comic Sans MS"/>
      <family val="4"/>
    </font>
    <font>
      <b/>
      <sz val="10"/>
      <color theme="1"/>
      <name val="Comic Sans MS"/>
      <family val="4"/>
    </font>
    <font>
      <b/>
      <sz val="12"/>
      <color theme="1"/>
      <name val="Comic Sans MS"/>
      <family val="4"/>
    </font>
    <font>
      <sz val="11"/>
      <color theme="1"/>
      <name val="Times New Roman"/>
      <family val="1"/>
    </font>
    <font>
      <sz val="14"/>
      <color rgb="FFFF0000"/>
      <name val="Arial"/>
      <family val="2"/>
    </font>
    <font>
      <b/>
      <sz val="12"/>
      <color theme="1"/>
      <name val="Times New Roman"/>
      <family val="1"/>
    </font>
    <font>
      <sz val="14"/>
      <color theme="1"/>
      <name val="Times New Roman"/>
      <family val="1"/>
    </font>
    <font>
      <b/>
      <sz val="12"/>
      <color rgb="FFFF0000"/>
      <name val="Times New Roman"/>
      <family val="1"/>
    </font>
    <font>
      <sz val="12"/>
      <color rgb="FFFF0000"/>
      <name val="Times New Roman"/>
      <family val="1"/>
    </font>
    <font>
      <sz val="12"/>
      <color theme="1"/>
      <name val="Times New Roman"/>
      <family val="1"/>
    </font>
    <font>
      <sz val="11"/>
      <name val="Calibri"/>
      <family val="2"/>
      <scheme val="minor"/>
    </font>
    <font>
      <sz val="16"/>
      <color rgb="FFFF0000"/>
      <name val="Times New Roman"/>
      <family val="1"/>
    </font>
    <font>
      <sz val="16"/>
      <name val="Cambria"/>
      <family val="1"/>
      <scheme val="major"/>
    </font>
    <font>
      <b/>
      <u/>
      <sz val="12"/>
      <color theme="1"/>
      <name val="Times New Roman"/>
      <family val="1"/>
    </font>
    <font>
      <b/>
      <sz val="13"/>
      <color theme="1"/>
      <name val="Times New Roman"/>
      <family val="1"/>
    </font>
    <font>
      <u val="double"/>
      <sz val="13"/>
      <color theme="1"/>
      <name val="Times New Roman"/>
      <family val="1"/>
    </font>
    <font>
      <b/>
      <u/>
      <sz val="16"/>
      <color theme="1"/>
      <name val="Times New Roman"/>
      <family val="1"/>
    </font>
    <font>
      <b/>
      <sz val="14"/>
      <color theme="1"/>
      <name val="Times New Roman"/>
      <family val="1"/>
    </font>
    <font>
      <b/>
      <sz val="14"/>
      <color indexed="8"/>
      <name val="Times New Roman"/>
      <family val="1"/>
    </font>
    <font>
      <b/>
      <sz val="16"/>
      <color theme="1"/>
      <name val="Times New Roman"/>
      <family val="1"/>
    </font>
    <font>
      <b/>
      <sz val="15"/>
      <color theme="1"/>
      <name val="Times New Roman"/>
      <family val="1"/>
    </font>
  </fonts>
  <fills count="10">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53"/>
        <bgColor indexed="64"/>
      </patternFill>
    </fill>
    <fill>
      <patternFill patternType="solid">
        <fgColor indexed="46"/>
        <bgColor indexed="64"/>
      </patternFill>
    </fill>
    <fill>
      <patternFill patternType="solid">
        <fgColor indexed="10"/>
        <bgColor indexed="64"/>
      </patternFill>
    </fill>
    <fill>
      <patternFill patternType="solid">
        <fgColor indexed="15"/>
        <bgColor indexed="64"/>
      </patternFill>
    </fill>
    <fill>
      <patternFill patternType="solid">
        <fgColor rgb="FFFFFF00"/>
        <bgColor indexed="64"/>
      </patternFill>
    </fill>
    <fill>
      <patternFill patternType="solid">
        <fgColor theme="0"/>
        <bgColor indexed="64"/>
      </patternFill>
    </fill>
  </fills>
  <borders count="46">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right/>
      <top/>
      <bottom style="thin">
        <color indexed="64"/>
      </bottom>
      <diagonal/>
    </border>
    <border>
      <left/>
      <right/>
      <top style="hair">
        <color indexed="64"/>
      </top>
      <bottom/>
      <diagonal/>
    </border>
    <border>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bottom/>
      <diagonal/>
    </border>
    <border>
      <left style="hair">
        <color indexed="64"/>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top style="thin">
        <color indexed="64"/>
      </top>
      <bottom style="thin">
        <color indexed="64"/>
      </bottom>
      <diagonal/>
    </border>
    <border>
      <left style="hair">
        <color indexed="64"/>
      </left>
      <right style="hair">
        <color indexed="64"/>
      </right>
      <top style="hair">
        <color indexed="64"/>
      </top>
      <bottom/>
      <diagonal/>
    </border>
    <border>
      <left/>
      <right style="thin">
        <color indexed="23"/>
      </right>
      <top style="thin">
        <color indexed="23"/>
      </top>
      <bottom/>
      <diagonal/>
    </border>
    <border>
      <left style="thin">
        <color indexed="23"/>
      </left>
      <right style="thin">
        <color indexed="23"/>
      </right>
      <top style="thin">
        <color indexed="23"/>
      </top>
      <bottom/>
      <diagonal/>
    </border>
    <border>
      <left/>
      <right style="hair">
        <color indexed="64"/>
      </right>
      <top/>
      <bottom/>
      <diagonal/>
    </border>
    <border>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23"/>
      </left>
      <right style="thin">
        <color indexed="64"/>
      </right>
      <top style="thin">
        <color indexed="64"/>
      </top>
      <bottom style="thin">
        <color indexed="23"/>
      </bottom>
      <diagonal/>
    </border>
    <border>
      <left style="thin">
        <color indexed="23"/>
      </left>
      <right style="thin">
        <color indexed="64"/>
      </right>
      <top style="thin">
        <color indexed="23"/>
      </top>
      <bottom/>
      <diagonal/>
    </border>
    <border>
      <left style="thin">
        <color indexed="64"/>
      </left>
      <right style="thin">
        <color indexed="23"/>
      </right>
      <top style="thin">
        <color indexed="64"/>
      </top>
      <bottom style="thin">
        <color indexed="23"/>
      </bottom>
      <diagonal/>
    </border>
    <border>
      <left style="thin">
        <color indexed="64"/>
      </left>
      <right style="thin">
        <color indexed="23"/>
      </right>
      <top style="thin">
        <color indexed="23"/>
      </top>
      <bottom/>
      <diagonal/>
    </border>
    <border>
      <left style="thin">
        <color indexed="23"/>
      </left>
      <right/>
      <top style="thin">
        <color indexed="64"/>
      </top>
      <bottom style="thin">
        <color indexed="23"/>
      </bottom>
      <diagonal/>
    </border>
    <border>
      <left style="thin">
        <color indexed="23"/>
      </left>
      <right/>
      <top style="thin">
        <color indexed="23"/>
      </top>
      <bottom/>
      <diagonal/>
    </border>
    <border>
      <left/>
      <right/>
      <top style="thin">
        <color indexed="64"/>
      </top>
      <bottom style="thin">
        <color indexed="23"/>
      </bottom>
      <diagonal/>
    </border>
    <border>
      <left/>
      <right style="thin">
        <color indexed="23"/>
      </right>
      <top style="thin">
        <color indexed="64"/>
      </top>
      <bottom style="thin">
        <color indexed="23"/>
      </bottom>
      <diagonal/>
    </border>
    <border>
      <left style="thin">
        <color indexed="64"/>
      </left>
      <right style="hair">
        <color indexed="64"/>
      </right>
      <top style="thin">
        <color indexed="64"/>
      </top>
      <bottom/>
      <diagonal/>
    </border>
    <border>
      <left style="thin">
        <color indexed="64"/>
      </left>
      <right style="hair">
        <color indexed="64"/>
      </right>
      <top/>
      <bottom style="hair">
        <color indexed="64"/>
      </bottom>
      <diagonal/>
    </border>
  </borders>
  <cellStyleXfs count="14">
    <xf numFmtId="164" fontId="0" fillId="0" borderId="0"/>
    <xf numFmtId="0" fontId="110" fillId="0" borderId="0"/>
    <xf numFmtId="0" fontId="80" fillId="0" borderId="0"/>
    <xf numFmtId="0" fontId="80" fillId="0" borderId="0"/>
    <xf numFmtId="0" fontId="80" fillId="0" borderId="0"/>
    <xf numFmtId="0" fontId="80" fillId="0" borderId="0"/>
    <xf numFmtId="0" fontId="80" fillId="0" borderId="0"/>
    <xf numFmtId="0" fontId="80" fillId="0" borderId="0"/>
    <xf numFmtId="0" fontId="1" fillId="0" borderId="0"/>
    <xf numFmtId="0" fontId="1" fillId="0" borderId="0"/>
    <xf numFmtId="0" fontId="80" fillId="0" borderId="0"/>
    <xf numFmtId="0" fontId="80" fillId="0" borderId="0"/>
    <xf numFmtId="0" fontId="1" fillId="0" borderId="0"/>
    <xf numFmtId="9" fontId="1" fillId="0" borderId="0" applyFont="0" applyFill="0" applyBorder="0" applyAlignment="0" applyProtection="0"/>
  </cellStyleXfs>
  <cellXfs count="1323">
    <xf numFmtId="164" fontId="0" fillId="0" borderId="0" xfId="0"/>
    <xf numFmtId="164" fontId="0" fillId="0" borderId="0" xfId="0" applyNumberFormat="1" applyAlignment="1" applyProtection="1">
      <alignment horizontal="left"/>
    </xf>
    <xf numFmtId="164" fontId="0" fillId="0" borderId="0" xfId="0" applyNumberFormat="1" applyAlignment="1" applyProtection="1">
      <alignment horizontal="center"/>
    </xf>
    <xf numFmtId="164" fontId="0" fillId="0" borderId="0" xfId="0" applyAlignment="1"/>
    <xf numFmtId="164" fontId="0" fillId="0" borderId="0" xfId="0" applyAlignment="1">
      <alignment horizontal="center"/>
    </xf>
    <xf numFmtId="164" fontId="0" fillId="0" borderId="0" xfId="0" applyNumberFormat="1" applyAlignment="1" applyProtection="1">
      <alignment horizontal="fill"/>
    </xf>
    <xf numFmtId="164" fontId="0" fillId="0" borderId="0" xfId="0" applyNumberFormat="1" applyAlignment="1" applyProtection="1">
      <alignment horizontal="right"/>
    </xf>
    <xf numFmtId="164" fontId="0" fillId="0" borderId="0" xfId="0" applyNumberFormat="1" applyAlignment="1" applyProtection="1"/>
    <xf numFmtId="164" fontId="0" fillId="0" borderId="0" xfId="0" applyNumberFormat="1" applyProtection="1"/>
    <xf numFmtId="164" fontId="4" fillId="0" borderId="0" xfId="0" applyNumberFormat="1" applyFont="1" applyProtection="1"/>
    <xf numFmtId="165" fontId="0" fillId="0" borderId="0" xfId="0" applyNumberFormat="1" applyProtection="1"/>
    <xf numFmtId="164" fontId="0" fillId="0" borderId="0" xfId="0" applyAlignment="1">
      <alignment horizontal="left"/>
    </xf>
    <xf numFmtId="164" fontId="0" fillId="0" borderId="0" xfId="0" applyAlignment="1" applyProtection="1">
      <alignment horizontal="left"/>
    </xf>
    <xf numFmtId="165" fontId="0" fillId="0" borderId="0" xfId="0" applyNumberFormat="1" applyAlignment="1" applyProtection="1">
      <alignment horizontal="center"/>
    </xf>
    <xf numFmtId="166" fontId="0" fillId="0" borderId="0" xfId="0" applyNumberFormat="1" applyProtection="1"/>
    <xf numFmtId="167" fontId="0" fillId="0" borderId="0" xfId="0" applyNumberFormat="1" applyAlignment="1" applyProtection="1">
      <alignment horizontal="left"/>
    </xf>
    <xf numFmtId="168" fontId="0" fillId="0" borderId="0" xfId="0" applyNumberFormat="1" applyProtection="1"/>
    <xf numFmtId="169" fontId="0" fillId="0" borderId="0" xfId="0" applyNumberFormat="1" applyProtection="1"/>
    <xf numFmtId="168" fontId="0" fillId="0" borderId="0" xfId="0" applyNumberFormat="1" applyAlignment="1" applyProtection="1">
      <alignment horizontal="fill"/>
    </xf>
    <xf numFmtId="168" fontId="0" fillId="0" borderId="0" xfId="0" applyNumberFormat="1" applyAlignment="1" applyProtection="1">
      <alignment horizontal="left"/>
    </xf>
    <xf numFmtId="170" fontId="0" fillId="0" borderId="0" xfId="0" applyNumberFormat="1" applyProtection="1"/>
    <xf numFmtId="164" fontId="4" fillId="0" borderId="0" xfId="0" applyFont="1"/>
    <xf numFmtId="166" fontId="0" fillId="0" borderId="0" xfId="0" applyNumberFormat="1" applyAlignment="1" applyProtection="1">
      <alignment horizontal="center"/>
    </xf>
    <xf numFmtId="164" fontId="0" fillId="0" borderId="0" xfId="0" applyNumberFormat="1" applyAlignment="1" applyProtection="1">
      <alignment vertical="center"/>
    </xf>
    <xf numFmtId="164" fontId="0" fillId="0" borderId="0" xfId="0" applyNumberFormat="1" applyAlignment="1" applyProtection="1">
      <alignment horizontal="left" wrapText="1"/>
    </xf>
    <xf numFmtId="164" fontId="4" fillId="0" borderId="0" xfId="0" applyNumberFormat="1" applyFont="1" applyAlignment="1" applyProtection="1">
      <alignment horizontal="left"/>
    </xf>
    <xf numFmtId="167" fontId="0" fillId="0" borderId="0" xfId="0" applyNumberFormat="1" applyAlignment="1" applyProtection="1">
      <alignment horizontal="center"/>
    </xf>
    <xf numFmtId="167" fontId="0" fillId="0" borderId="0" xfId="0" applyNumberFormat="1" applyAlignment="1">
      <alignment horizontal="center" vertical="top"/>
    </xf>
    <xf numFmtId="164" fontId="0" fillId="0" borderId="0" xfId="0" applyNumberFormat="1" applyAlignment="1" applyProtection="1">
      <alignment horizontal="left" vertical="top" wrapText="1"/>
    </xf>
    <xf numFmtId="164" fontId="0" fillId="0" borderId="0" xfId="0" applyAlignment="1">
      <alignment wrapText="1"/>
    </xf>
    <xf numFmtId="167" fontId="0" fillId="0" borderId="0" xfId="0" applyNumberFormat="1"/>
    <xf numFmtId="167" fontId="0" fillId="0" borderId="0" xfId="0" applyNumberFormat="1" applyAlignment="1">
      <alignment horizontal="center" vertical="top" wrapText="1"/>
    </xf>
    <xf numFmtId="167" fontId="0" fillId="0" borderId="0" xfId="0" applyNumberFormat="1" applyAlignment="1">
      <alignment horizontal="center"/>
    </xf>
    <xf numFmtId="167" fontId="0" fillId="0" borderId="0" xfId="0" applyNumberFormat="1" applyAlignment="1" applyProtection="1">
      <alignment horizontal="center" vertical="top"/>
    </xf>
    <xf numFmtId="164" fontId="0" fillId="0" borderId="0" xfId="0" applyAlignment="1">
      <alignment horizontal="right"/>
    </xf>
    <xf numFmtId="164" fontId="8" fillId="0" borderId="0" xfId="0" applyNumberFormat="1" applyFont="1" applyAlignment="1" applyProtection="1">
      <alignment horizontal="left"/>
    </xf>
    <xf numFmtId="167" fontId="0" fillId="0" borderId="0" xfId="0" applyNumberFormat="1" applyAlignment="1" applyProtection="1">
      <alignment horizontal="center" vertical="top" wrapText="1"/>
    </xf>
    <xf numFmtId="164" fontId="0" fillId="0" borderId="0" xfId="0" applyNumberFormat="1" applyAlignment="1" applyProtection="1">
      <alignment horizontal="justify" vertical="top" wrapText="1"/>
    </xf>
    <xf numFmtId="164" fontId="8" fillId="0" borderId="0" xfId="0" applyFont="1"/>
    <xf numFmtId="164" fontId="8" fillId="0" borderId="0" xfId="0" applyNumberFormat="1" applyFont="1" applyAlignment="1" applyProtection="1">
      <alignment horizontal="left" wrapText="1"/>
    </xf>
    <xf numFmtId="164" fontId="8" fillId="0" borderId="0" xfId="0" applyNumberFormat="1" applyFont="1" applyProtection="1"/>
    <xf numFmtId="164" fontId="8" fillId="0" borderId="0" xfId="0" applyFont="1" applyAlignment="1">
      <alignment horizontal="center"/>
    </xf>
    <xf numFmtId="164" fontId="8" fillId="0" borderId="0" xfId="0" applyNumberFormat="1" applyFont="1" applyAlignment="1" applyProtection="1">
      <alignment horizontal="fill"/>
    </xf>
    <xf numFmtId="164" fontId="8" fillId="0" borderId="0" xfId="0" applyNumberFormat="1" applyFont="1" applyAlignment="1" applyProtection="1">
      <alignment horizontal="right"/>
    </xf>
    <xf numFmtId="167" fontId="9" fillId="0" borderId="0" xfId="0" applyNumberFormat="1" applyFont="1" applyAlignment="1">
      <alignment horizontal="center"/>
    </xf>
    <xf numFmtId="165" fontId="0" fillId="0" borderId="0" xfId="0" applyNumberFormat="1" applyAlignment="1">
      <alignment horizontal="center"/>
    </xf>
    <xf numFmtId="164" fontId="0" fillId="0" borderId="0" xfId="0" applyNumberFormat="1" applyFill="1" applyProtection="1"/>
    <xf numFmtId="0" fontId="1" fillId="0" borderId="0" xfId="12"/>
    <xf numFmtId="17" fontId="1" fillId="0" borderId="0" xfId="12" quotePrefix="1" applyNumberFormat="1"/>
    <xf numFmtId="0" fontId="1" fillId="0" borderId="0" xfId="12" applyAlignment="1">
      <alignment wrapText="1"/>
    </xf>
    <xf numFmtId="0" fontId="1" fillId="0" borderId="0" xfId="12" applyFont="1"/>
    <xf numFmtId="164" fontId="11" fillId="0" borderId="0" xfId="0" applyFont="1"/>
    <xf numFmtId="0" fontId="1" fillId="0" borderId="0" xfId="12" applyFont="1" applyAlignment="1">
      <alignment wrapText="1"/>
    </xf>
    <xf numFmtId="2" fontId="1" fillId="0" borderId="0" xfId="12" applyNumberFormat="1"/>
    <xf numFmtId="0" fontId="13" fillId="0" borderId="0" xfId="12" applyFont="1" applyAlignment="1">
      <alignment wrapText="1"/>
    </xf>
    <xf numFmtId="0" fontId="13" fillId="0" borderId="0" xfId="12" applyFont="1"/>
    <xf numFmtId="166" fontId="0" fillId="0" borderId="0" xfId="0" applyNumberFormat="1"/>
    <xf numFmtId="164" fontId="14" fillId="0" borderId="0" xfId="0" applyNumberFormat="1" applyFont="1" applyProtection="1"/>
    <xf numFmtId="164" fontId="8" fillId="0" borderId="0" xfId="0" applyFont="1" applyAlignment="1">
      <alignment horizontal="left" vertical="top" wrapText="1"/>
    </xf>
    <xf numFmtId="164" fontId="9" fillId="0" borderId="0" xfId="0" applyFont="1" applyAlignment="1"/>
    <xf numFmtId="164" fontId="9" fillId="0" borderId="0" xfId="0" applyFont="1"/>
    <xf numFmtId="164" fontId="0" fillId="0" borderId="0" xfId="0" quotePrefix="1"/>
    <xf numFmtId="164" fontId="9" fillId="0" borderId="0" xfId="0" quotePrefix="1" applyFont="1"/>
    <xf numFmtId="164" fontId="8" fillId="0" borderId="0" xfId="0" applyNumberFormat="1" applyFont="1" applyAlignment="1" applyProtection="1">
      <alignment horizontal="left" vertical="top" wrapText="1"/>
    </xf>
    <xf numFmtId="164" fontId="8" fillId="0" borderId="0" xfId="0" applyNumberFormat="1" applyFont="1" applyAlignment="1" applyProtection="1">
      <alignment horizontal="center"/>
    </xf>
    <xf numFmtId="164" fontId="0" fillId="0" borderId="0" xfId="0" applyAlignment="1">
      <alignment horizontal="left" wrapText="1"/>
    </xf>
    <xf numFmtId="164" fontId="9" fillId="0" borderId="0" xfId="0" applyNumberFormat="1" applyFont="1" applyAlignment="1" applyProtection="1">
      <alignment horizontal="center"/>
    </xf>
    <xf numFmtId="164" fontId="9" fillId="0" borderId="0" xfId="0" applyNumberFormat="1" applyFont="1" applyAlignment="1" applyProtection="1">
      <alignment horizontal="left"/>
    </xf>
    <xf numFmtId="164" fontId="9" fillId="0" borderId="0" xfId="0" applyNumberFormat="1" applyFont="1" applyAlignment="1" applyProtection="1">
      <alignment horizontal="fill"/>
    </xf>
    <xf numFmtId="164" fontId="9" fillId="0" borderId="0" xfId="0" applyNumberFormat="1" applyFont="1" applyProtection="1"/>
    <xf numFmtId="164" fontId="9" fillId="0" borderId="0" xfId="0" applyNumberFormat="1" applyFont="1" applyAlignment="1" applyProtection="1"/>
    <xf numFmtId="166" fontId="9" fillId="0" borderId="0" xfId="0" applyNumberFormat="1" applyFont="1" applyProtection="1"/>
    <xf numFmtId="164" fontId="9" fillId="0" borderId="0" xfId="0" quotePrefix="1" applyNumberFormat="1" applyFont="1" applyAlignment="1" applyProtection="1">
      <alignment horizontal="fill"/>
    </xf>
    <xf numFmtId="164" fontId="8" fillId="0" borderId="0" xfId="0" quotePrefix="1" applyNumberFormat="1" applyFont="1" applyProtection="1"/>
    <xf numFmtId="164" fontId="0" fillId="0" borderId="0" xfId="0" quotePrefix="1" applyNumberFormat="1" applyAlignment="1" applyProtection="1">
      <alignment horizontal="fill"/>
    </xf>
    <xf numFmtId="164" fontId="8" fillId="0" borderId="0" xfId="0" applyFont="1" applyAlignment="1">
      <alignment horizontal="left" wrapText="1"/>
    </xf>
    <xf numFmtId="164" fontId="9" fillId="0" borderId="0" xfId="0" quotePrefix="1" applyNumberFormat="1" applyFont="1" applyProtection="1"/>
    <xf numFmtId="164" fontId="9" fillId="0" borderId="0" xfId="0" applyFont="1" applyAlignment="1">
      <alignment horizontal="left"/>
    </xf>
    <xf numFmtId="164" fontId="8" fillId="0" borderId="0" xfId="0" applyFont="1" applyAlignment="1"/>
    <xf numFmtId="166" fontId="9" fillId="0" borderId="0" xfId="0" applyNumberFormat="1" applyFont="1"/>
    <xf numFmtId="164" fontId="9" fillId="0" borderId="0" xfId="0" applyNumberFormat="1" applyFont="1"/>
    <xf numFmtId="169" fontId="9" fillId="0" borderId="0" xfId="0" applyNumberFormat="1" applyFont="1"/>
    <xf numFmtId="168" fontId="9" fillId="0" borderId="0" xfId="0" applyNumberFormat="1" applyFont="1"/>
    <xf numFmtId="167" fontId="11" fillId="0" borderId="0" xfId="0" applyNumberFormat="1" applyFont="1" applyAlignment="1" applyProtection="1">
      <alignment horizontal="center"/>
    </xf>
    <xf numFmtId="164" fontId="11" fillId="0" borderId="0" xfId="0" applyFont="1" applyAlignment="1"/>
    <xf numFmtId="164" fontId="11" fillId="0" borderId="0" xfId="0" applyNumberFormat="1" applyFont="1" applyAlignment="1" applyProtection="1">
      <alignment horizontal="left"/>
    </xf>
    <xf numFmtId="164" fontId="11" fillId="0" borderId="0" xfId="0" applyNumberFormat="1" applyFont="1" applyAlignment="1" applyProtection="1">
      <alignment horizontal="fill"/>
    </xf>
    <xf numFmtId="164" fontId="11" fillId="0" borderId="0" xfId="0" applyNumberFormat="1" applyFont="1" applyAlignment="1" applyProtection="1">
      <alignment horizontal="center"/>
    </xf>
    <xf numFmtId="168" fontId="11" fillId="0" borderId="0" xfId="0" applyNumberFormat="1" applyFont="1" applyProtection="1"/>
    <xf numFmtId="168" fontId="11" fillId="0" borderId="0" xfId="0" applyNumberFormat="1" applyFont="1" applyAlignment="1" applyProtection="1">
      <alignment horizontal="left"/>
    </xf>
    <xf numFmtId="170" fontId="11" fillId="0" borderId="0" xfId="0" applyNumberFormat="1" applyFont="1" applyProtection="1"/>
    <xf numFmtId="164" fontId="11" fillId="0" borderId="0" xfId="0" applyNumberFormat="1" applyFont="1" applyAlignment="1" applyProtection="1"/>
    <xf numFmtId="164" fontId="11" fillId="0" borderId="0" xfId="0" applyNumberFormat="1" applyFont="1" applyProtection="1"/>
    <xf numFmtId="164" fontId="12" fillId="0" borderId="0" xfId="0" applyFont="1"/>
    <xf numFmtId="164" fontId="12" fillId="0" borderId="0" xfId="0" applyNumberFormat="1" applyFont="1" applyAlignment="1" applyProtection="1">
      <alignment horizontal="fill"/>
    </xf>
    <xf numFmtId="164" fontId="12" fillId="0" borderId="0" xfId="0" applyNumberFormat="1" applyFont="1" applyAlignment="1" applyProtection="1">
      <alignment horizontal="center"/>
    </xf>
    <xf numFmtId="164" fontId="12" fillId="0" borderId="0" xfId="0" applyNumberFormat="1" applyFont="1" applyProtection="1"/>
    <xf numFmtId="164" fontId="8" fillId="0" borderId="0" xfId="0" applyFont="1" applyAlignment="1">
      <alignment horizontal="right"/>
    </xf>
    <xf numFmtId="164" fontId="9" fillId="0" borderId="0" xfId="0" applyFont="1" applyAlignment="1">
      <alignment vertical="top" wrapText="1"/>
    </xf>
    <xf numFmtId="164" fontId="8" fillId="0" borderId="0" xfId="0" applyFont="1" applyAlignment="1">
      <alignment horizontal="right" vertical="top"/>
    </xf>
    <xf numFmtId="2" fontId="0" fillId="0" borderId="0" xfId="0" applyNumberFormat="1"/>
    <xf numFmtId="164" fontId="10" fillId="0" borderId="0" xfId="0" applyFont="1" applyAlignment="1">
      <alignment horizontal="right"/>
    </xf>
    <xf numFmtId="2" fontId="8" fillId="0" borderId="0" xfId="0" applyNumberFormat="1" applyFont="1"/>
    <xf numFmtId="164" fontId="0" fillId="0" borderId="0" xfId="0" applyNumberFormat="1" applyAlignment="1" applyProtection="1">
      <alignment horizontal="left" vertical="center"/>
    </xf>
    <xf numFmtId="164" fontId="8" fillId="0" borderId="0" xfId="0" applyFont="1" applyAlignment="1">
      <alignment horizontal="left"/>
    </xf>
    <xf numFmtId="164" fontId="11" fillId="0" borderId="0" xfId="0" applyFont="1" applyAlignment="1">
      <alignment horizontal="left"/>
    </xf>
    <xf numFmtId="164" fontId="12" fillId="0" borderId="0" xfId="0" applyFont="1" applyAlignment="1">
      <alignment horizontal="left"/>
    </xf>
    <xf numFmtId="164" fontId="8" fillId="0" borderId="0" xfId="0" applyFont="1" applyAlignment="1">
      <alignment horizontal="right" vertical="center"/>
    </xf>
    <xf numFmtId="0" fontId="10" fillId="0" borderId="0" xfId="12" applyFont="1"/>
    <xf numFmtId="0" fontId="10" fillId="0" borderId="0" xfId="12" applyFont="1" applyAlignment="1">
      <alignment horizontal="center"/>
    </xf>
    <xf numFmtId="0" fontId="15" fillId="0" borderId="0" xfId="12" applyFont="1" applyAlignment="1">
      <alignment horizontal="center"/>
    </xf>
    <xf numFmtId="2" fontId="16" fillId="0" borderId="1" xfId="9" applyNumberFormat="1" applyFont="1" applyBorder="1" applyAlignment="1">
      <alignment vertical="top" wrapText="1"/>
    </xf>
    <xf numFmtId="2" fontId="17" fillId="0" borderId="1" xfId="9" applyNumberFormat="1" applyFont="1" applyBorder="1" applyAlignment="1">
      <alignment vertical="top" wrapText="1"/>
    </xf>
    <xf numFmtId="2" fontId="16" fillId="0" borderId="1" xfId="9" applyNumberFormat="1" applyFont="1" applyBorder="1" applyAlignment="1">
      <alignment vertical="top"/>
    </xf>
    <xf numFmtId="2" fontId="16" fillId="0" borderId="1" xfId="9" applyNumberFormat="1" applyFont="1" applyFill="1" applyBorder="1" applyAlignment="1">
      <alignment vertical="top" wrapText="1"/>
    </xf>
    <xf numFmtId="164" fontId="7" fillId="0" borderId="0" xfId="0" applyFont="1" applyAlignment="1">
      <alignment horizontal="center" vertical="center"/>
    </xf>
    <xf numFmtId="164" fontId="6" fillId="0" borderId="0" xfId="0" applyFont="1" applyAlignment="1">
      <alignment vertical="center"/>
    </xf>
    <xf numFmtId="164" fontId="0" fillId="0" borderId="1" xfId="0" applyBorder="1"/>
    <xf numFmtId="164" fontId="20" fillId="0" borderId="1" xfId="0" applyFont="1" applyBorder="1"/>
    <xf numFmtId="164" fontId="0" fillId="0" borderId="1" xfId="0" applyBorder="1" applyAlignment="1">
      <alignment horizontal="right"/>
    </xf>
    <xf numFmtId="164" fontId="7" fillId="0" borderId="1" xfId="0" applyFont="1" applyBorder="1" applyAlignment="1">
      <alignment horizontal="center" vertical="center"/>
    </xf>
    <xf numFmtId="164" fontId="21" fillId="0" borderId="2" xfId="0" applyFont="1" applyBorder="1" applyAlignment="1">
      <alignment horizontal="center" vertical="center"/>
    </xf>
    <xf numFmtId="164" fontId="22" fillId="0" borderId="1" xfId="0" applyFont="1" applyBorder="1"/>
    <xf numFmtId="164" fontId="5" fillId="0" borderId="1" xfId="0" applyFont="1" applyBorder="1" applyAlignment="1">
      <alignment horizontal="right" vertical="center"/>
    </xf>
    <xf numFmtId="164" fontId="5" fillId="0" borderId="1" xfId="0" applyFont="1" applyBorder="1" applyAlignment="1">
      <alignment vertical="center"/>
    </xf>
    <xf numFmtId="164" fontId="21" fillId="0" borderId="0" xfId="0" applyFont="1" applyBorder="1" applyAlignment="1">
      <alignment horizontal="center" vertical="center"/>
    </xf>
    <xf numFmtId="164" fontId="7" fillId="0" borderId="3" xfId="0" applyFont="1" applyBorder="1" applyAlignment="1">
      <alignment horizontal="center" vertical="center"/>
    </xf>
    <xf numFmtId="164" fontId="0" fillId="0" borderId="3" xfId="0" applyBorder="1"/>
    <xf numFmtId="164" fontId="0" fillId="0" borderId="3" xfId="0" applyBorder="1" applyAlignment="1">
      <alignment vertical="center"/>
    </xf>
    <xf numFmtId="164" fontId="22" fillId="0" borderId="3" xfId="0" applyFont="1" applyBorder="1"/>
    <xf numFmtId="164" fontId="14" fillId="0" borderId="0" xfId="0" applyFont="1"/>
    <xf numFmtId="0" fontId="10" fillId="0" borderId="0" xfId="12" applyFont="1" applyAlignment="1">
      <alignment vertical="center" wrapText="1"/>
    </xf>
    <xf numFmtId="1" fontId="16" fillId="0" borderId="4" xfId="9" applyNumberFormat="1" applyFont="1" applyBorder="1" applyAlignment="1">
      <alignment horizontal="center" vertical="top" wrapText="1"/>
    </xf>
    <xf numFmtId="1" fontId="16" fillId="0" borderId="5" xfId="9" applyNumberFormat="1" applyFont="1" applyBorder="1" applyAlignment="1">
      <alignment horizontal="center" vertical="top" wrapText="1"/>
    </xf>
    <xf numFmtId="2" fontId="16" fillId="0" borderId="6" xfId="9" applyNumberFormat="1" applyFont="1" applyBorder="1" applyAlignment="1">
      <alignment vertical="top" wrapText="1"/>
    </xf>
    <xf numFmtId="171" fontId="16" fillId="0" borderId="6" xfId="9" applyNumberFormat="1" applyFont="1" applyBorder="1" applyAlignment="1">
      <alignment vertical="top" wrapText="1"/>
    </xf>
    <xf numFmtId="1" fontId="16" fillId="0" borderId="6" xfId="9" applyNumberFormat="1" applyFont="1" applyBorder="1" applyAlignment="1">
      <alignment vertical="top" wrapText="1"/>
    </xf>
    <xf numFmtId="171" fontId="16" fillId="0" borderId="6" xfId="9" applyNumberFormat="1" applyFont="1" applyBorder="1" applyAlignment="1">
      <alignment horizontal="right" vertical="top" wrapText="1"/>
    </xf>
    <xf numFmtId="164" fontId="6" fillId="0" borderId="0" xfId="0" applyNumberFormat="1" applyFont="1" applyAlignment="1" applyProtection="1">
      <alignment horizontal="fill"/>
    </xf>
    <xf numFmtId="164" fontId="6" fillId="0" borderId="0" xfId="0" applyNumberFormat="1" applyFont="1" applyAlignment="1" applyProtection="1">
      <alignment horizontal="left"/>
    </xf>
    <xf numFmtId="164" fontId="6" fillId="0" borderId="0" xfId="0" applyNumberFormat="1" applyFont="1" applyProtection="1"/>
    <xf numFmtId="164" fontId="24" fillId="0" borderId="0" xfId="0" applyFont="1" applyBorder="1" applyAlignment="1">
      <alignment horizontal="center" vertical="center" wrapText="1"/>
    </xf>
    <xf numFmtId="164" fontId="25" fillId="0" borderId="0" xfId="0" applyFont="1"/>
    <xf numFmtId="164" fontId="25" fillId="0" borderId="0" xfId="0" applyFont="1" applyAlignment="1"/>
    <xf numFmtId="164" fontId="6" fillId="0" borderId="7" xfId="0" applyFont="1" applyBorder="1"/>
    <xf numFmtId="164" fontId="25" fillId="0" borderId="0" xfId="0" applyFont="1" applyAlignment="1">
      <alignment horizontal="center"/>
    </xf>
    <xf numFmtId="164" fontId="25" fillId="0" borderId="0" xfId="0" applyFont="1" applyAlignment="1">
      <alignment horizontal="right"/>
    </xf>
    <xf numFmtId="164" fontId="6" fillId="0" borderId="0" xfId="0" applyFont="1" applyAlignment="1">
      <alignment horizontal="right"/>
    </xf>
    <xf numFmtId="164" fontId="6" fillId="0" borderId="0" xfId="0" applyFont="1"/>
    <xf numFmtId="164" fontId="25" fillId="0" borderId="0" xfId="0" applyNumberFormat="1" applyFont="1" applyAlignment="1" applyProtection="1">
      <alignment horizontal="center"/>
    </xf>
    <xf numFmtId="164" fontId="25" fillId="0" borderId="0" xfId="0" applyNumberFormat="1" applyFont="1" applyAlignment="1" applyProtection="1"/>
    <xf numFmtId="164" fontId="25" fillId="0" borderId="0" xfId="0" applyNumberFormat="1" applyFont="1" applyAlignment="1" applyProtection="1">
      <alignment horizontal="left"/>
    </xf>
    <xf numFmtId="164" fontId="25" fillId="0" borderId="0" xfId="0" applyNumberFormat="1" applyFont="1" applyAlignment="1" applyProtection="1">
      <alignment horizontal="fill"/>
    </xf>
    <xf numFmtId="164" fontId="25" fillId="0" borderId="0" xfId="0" applyNumberFormat="1" applyFont="1" applyProtection="1"/>
    <xf numFmtId="164" fontId="6" fillId="0" borderId="0" xfId="0" applyFont="1" applyAlignment="1">
      <alignment horizontal="center"/>
    </xf>
    <xf numFmtId="164" fontId="6" fillId="0" borderId="0" xfId="0" applyNumberFormat="1" applyFont="1" applyAlignment="1" applyProtection="1">
      <alignment horizontal="right"/>
    </xf>
    <xf numFmtId="164" fontId="25" fillId="0" borderId="0" xfId="0" applyNumberFormat="1" applyFont="1" applyAlignment="1" applyProtection="1">
      <alignment horizontal="right"/>
    </xf>
    <xf numFmtId="167" fontId="25" fillId="0" borderId="0" xfId="0" applyNumberFormat="1" applyFont="1" applyAlignment="1" applyProtection="1">
      <alignment horizontal="center"/>
    </xf>
    <xf numFmtId="164" fontId="25" fillId="0" borderId="0" xfId="0" applyNumberFormat="1" applyFont="1" applyAlignment="1" applyProtection="1">
      <alignment horizontal="left" wrapText="1"/>
    </xf>
    <xf numFmtId="165" fontId="25" fillId="0" borderId="0" xfId="0" applyNumberFormat="1" applyFont="1" applyAlignment="1">
      <alignment horizontal="center"/>
    </xf>
    <xf numFmtId="166" fontId="25" fillId="0" borderId="0" xfId="0" applyNumberFormat="1" applyFont="1" applyAlignment="1"/>
    <xf numFmtId="166" fontId="25" fillId="0" borderId="0" xfId="0" applyNumberFormat="1" applyFont="1"/>
    <xf numFmtId="168" fontId="25" fillId="0" borderId="0" xfId="0" applyNumberFormat="1" applyFont="1" applyProtection="1"/>
    <xf numFmtId="168" fontId="25" fillId="0" borderId="0" xfId="0" applyNumberFormat="1" applyFont="1" applyAlignment="1" applyProtection="1">
      <alignment horizontal="center"/>
    </xf>
    <xf numFmtId="169" fontId="25" fillId="0" borderId="0" xfId="0" applyNumberFormat="1" applyFont="1" applyProtection="1"/>
    <xf numFmtId="166" fontId="25" fillId="0" borderId="0" xfId="0" applyNumberFormat="1" applyFont="1" applyProtection="1"/>
    <xf numFmtId="164" fontId="25" fillId="0" borderId="0" xfId="0" applyFont="1" applyAlignment="1">
      <alignment horizontal="left"/>
    </xf>
    <xf numFmtId="168" fontId="25" fillId="0" borderId="0" xfId="0" applyNumberFormat="1" applyFont="1" applyAlignment="1" applyProtection="1">
      <alignment horizontal="left"/>
    </xf>
    <xf numFmtId="169" fontId="25" fillId="0" borderId="0" xfId="0" applyNumberFormat="1" applyFont="1"/>
    <xf numFmtId="168" fontId="25" fillId="0" borderId="0" xfId="0" applyNumberFormat="1" applyFont="1"/>
    <xf numFmtId="170" fontId="25" fillId="0" borderId="0" xfId="0" applyNumberFormat="1" applyFont="1" applyProtection="1"/>
    <xf numFmtId="164" fontId="6" fillId="0" borderId="0" xfId="0" applyFont="1" applyAlignment="1">
      <alignment horizontal="left"/>
    </xf>
    <xf numFmtId="164" fontId="6" fillId="0" borderId="0" xfId="0" applyNumberFormat="1" applyFont="1" applyAlignment="1" applyProtection="1">
      <alignment horizontal="center"/>
    </xf>
    <xf numFmtId="164" fontId="6" fillId="0" borderId="0" xfId="0" applyFont="1" applyAlignment="1">
      <alignment vertical="top" wrapText="1"/>
    </xf>
    <xf numFmtId="164" fontId="25" fillId="0" borderId="0" xfId="0" applyFont="1" applyAlignment="1">
      <alignment vertical="top" wrapText="1"/>
    </xf>
    <xf numFmtId="164" fontId="25" fillId="0" borderId="0" xfId="0" applyFont="1" applyBorder="1"/>
    <xf numFmtId="164" fontId="25" fillId="0" borderId="0" xfId="0" applyFont="1" applyBorder="1" applyAlignment="1"/>
    <xf numFmtId="164" fontId="25" fillId="0" borderId="0" xfId="0" applyFont="1" applyBorder="1" applyAlignment="1">
      <alignment horizontal="center"/>
    </xf>
    <xf numFmtId="169" fontId="25" fillId="0" borderId="0" xfId="0" applyNumberFormat="1" applyFont="1" applyBorder="1" applyAlignment="1"/>
    <xf numFmtId="164" fontId="6" fillId="0" borderId="0" xfId="0" applyFont="1" applyBorder="1"/>
    <xf numFmtId="169" fontId="25" fillId="0" borderId="0" xfId="0" applyNumberFormat="1" applyFont="1" applyBorder="1"/>
    <xf numFmtId="164" fontId="25" fillId="0" borderId="0" xfId="0" applyFont="1" applyBorder="1" applyAlignment="1">
      <alignment horizontal="right"/>
    </xf>
    <xf numFmtId="164" fontId="25" fillId="0" borderId="0" xfId="0" applyFont="1" applyFill="1" applyBorder="1"/>
    <xf numFmtId="164" fontId="25" fillId="0" borderId="0" xfId="0" applyFont="1" applyFill="1" applyBorder="1" applyAlignment="1"/>
    <xf numFmtId="164" fontId="6" fillId="0" borderId="0" xfId="0" applyFont="1" applyBorder="1" applyAlignment="1"/>
    <xf numFmtId="164" fontId="0" fillId="0" borderId="0" xfId="0" applyFill="1" applyBorder="1"/>
    <xf numFmtId="164" fontId="5" fillId="0" borderId="2" xfId="0" applyFont="1" applyBorder="1" applyAlignment="1">
      <alignment horizontal="center" vertical="center"/>
    </xf>
    <xf numFmtId="164" fontId="5" fillId="0" borderId="8" xfId="0" applyFont="1" applyBorder="1" applyAlignment="1">
      <alignment horizontal="center" vertical="center"/>
    </xf>
    <xf numFmtId="2" fontId="16" fillId="0" borderId="0" xfId="9" applyNumberFormat="1" applyFont="1" applyBorder="1" applyAlignment="1">
      <alignment vertical="top" wrapText="1"/>
    </xf>
    <xf numFmtId="2" fontId="16" fillId="0" borderId="9" xfId="9" applyNumberFormat="1" applyFont="1" applyBorder="1" applyAlignment="1">
      <alignment vertical="top" wrapText="1"/>
    </xf>
    <xf numFmtId="2" fontId="16" fillId="0" borderId="0" xfId="9" applyNumberFormat="1" applyFont="1" applyFill="1" applyBorder="1" applyAlignment="1">
      <alignment horizontal="right" vertical="top" wrapText="1"/>
    </xf>
    <xf numFmtId="2" fontId="16" fillId="0" borderId="0" xfId="9" applyNumberFormat="1" applyFont="1" applyBorder="1" applyAlignment="1">
      <alignment horizontal="right" vertical="top" wrapText="1"/>
    </xf>
    <xf numFmtId="2" fontId="16" fillId="0" borderId="9" xfId="9" applyNumberFormat="1" applyFont="1" applyFill="1" applyBorder="1" applyAlignment="1">
      <alignment vertical="center" wrapText="1"/>
    </xf>
    <xf numFmtId="2" fontId="19" fillId="0" borderId="0" xfId="0" applyNumberFormat="1" applyFont="1" applyBorder="1" applyAlignment="1">
      <alignment horizontal="right" vertical="top" wrapText="1"/>
    </xf>
    <xf numFmtId="2" fontId="19" fillId="0" borderId="9" xfId="0" applyNumberFormat="1" applyFont="1" applyFill="1" applyBorder="1" applyAlignment="1">
      <alignment vertical="center" wrapText="1"/>
    </xf>
    <xf numFmtId="164" fontId="0" fillId="0" borderId="9" xfId="0" applyBorder="1" applyAlignment="1">
      <alignment vertical="center"/>
    </xf>
    <xf numFmtId="164" fontId="0" fillId="0" borderId="9" xfId="0" applyBorder="1" applyAlignment="1">
      <alignment horizontal="center"/>
    </xf>
    <xf numFmtId="164" fontId="0" fillId="0" borderId="0" xfId="0" applyBorder="1" applyAlignment="1">
      <alignment horizontal="center"/>
    </xf>
    <xf numFmtId="2" fontId="5" fillId="0" borderId="9" xfId="9" applyNumberFormat="1" applyFont="1" applyFill="1" applyBorder="1" applyAlignment="1">
      <alignment horizontal="center" vertical="center" wrapText="1"/>
    </xf>
    <xf numFmtId="172" fontId="16" fillId="0" borderId="0" xfId="9" applyNumberFormat="1" applyFont="1" applyBorder="1" applyAlignment="1">
      <alignment vertical="top" wrapText="1"/>
    </xf>
    <xf numFmtId="169" fontId="8" fillId="0" borderId="0" xfId="0" applyNumberFormat="1" applyFont="1"/>
    <xf numFmtId="169" fontId="8" fillId="0" borderId="0" xfId="0" applyNumberFormat="1" applyFont="1" applyAlignment="1">
      <alignment horizontal="right"/>
    </xf>
    <xf numFmtId="164" fontId="14" fillId="0" borderId="0" xfId="0" applyNumberFormat="1" applyFont="1" applyAlignment="1" applyProtection="1">
      <alignment horizontal="left"/>
    </xf>
    <xf numFmtId="1" fontId="16" fillId="0" borderId="6" xfId="9" applyNumberFormat="1" applyFont="1" applyBorder="1" applyAlignment="1">
      <alignment horizontal="right" vertical="top" wrapText="1"/>
    </xf>
    <xf numFmtId="164" fontId="9" fillId="0" borderId="0" xfId="0" applyNumberFormat="1" applyFont="1" applyAlignment="1" applyProtection="1">
      <alignment horizontal="left" wrapText="1"/>
    </xf>
    <xf numFmtId="164" fontId="9" fillId="0" borderId="0" xfId="0" applyNumberFormat="1" applyFont="1" applyAlignment="1" applyProtection="1">
      <alignment vertical="center"/>
    </xf>
    <xf numFmtId="164" fontId="31" fillId="0" borderId="0" xfId="0" applyNumberFormat="1" applyFont="1" applyProtection="1"/>
    <xf numFmtId="164" fontId="32" fillId="0" borderId="0" xfId="0" applyNumberFormat="1" applyFont="1" applyProtection="1"/>
    <xf numFmtId="164" fontId="32" fillId="0" borderId="0" xfId="0" applyFont="1"/>
    <xf numFmtId="164" fontId="32" fillId="0" borderId="0" xfId="0" applyNumberFormat="1" applyFont="1" applyAlignment="1" applyProtection="1">
      <alignment horizontal="right"/>
    </xf>
    <xf numFmtId="164" fontId="33" fillId="0" borderId="0" xfId="0" applyFont="1"/>
    <xf numFmtId="164" fontId="32" fillId="0" borderId="0" xfId="0" applyNumberFormat="1" applyFont="1" applyAlignment="1" applyProtection="1">
      <alignment horizontal="left"/>
    </xf>
    <xf numFmtId="164" fontId="34" fillId="0" borderId="0" xfId="0" applyNumberFormat="1" applyFont="1" applyProtection="1"/>
    <xf numFmtId="164" fontId="31" fillId="0" borderId="0" xfId="0" applyFont="1"/>
    <xf numFmtId="164" fontId="35" fillId="0" borderId="0" xfId="0" applyNumberFormat="1" applyFont="1" applyProtection="1"/>
    <xf numFmtId="164" fontId="33" fillId="0" borderId="0" xfId="0" applyNumberFormat="1" applyFont="1" applyProtection="1"/>
    <xf numFmtId="164" fontId="31" fillId="0" borderId="0" xfId="0" applyNumberFormat="1" applyFont="1" applyAlignment="1" applyProtection="1">
      <alignment horizontal="right" vertical="center"/>
    </xf>
    <xf numFmtId="164" fontId="0" fillId="0" borderId="0" xfId="0" applyNumberFormat="1" applyFill="1" applyBorder="1" applyAlignment="1" applyProtection="1">
      <alignment horizontal="left"/>
    </xf>
    <xf numFmtId="168" fontId="0" fillId="0" borderId="0" xfId="0" applyNumberFormat="1"/>
    <xf numFmtId="164" fontId="37" fillId="0" borderId="0" xfId="0" applyNumberFormat="1" applyFont="1" applyProtection="1"/>
    <xf numFmtId="164" fontId="37" fillId="0" borderId="0" xfId="0" applyNumberFormat="1" applyFont="1" applyAlignment="1" applyProtection="1">
      <alignment horizontal="left"/>
    </xf>
    <xf numFmtId="164" fontId="37" fillId="0" borderId="0" xfId="0" applyFont="1"/>
    <xf numFmtId="164" fontId="37" fillId="0" borderId="0" xfId="0" applyNumberFormat="1" applyFont="1" applyAlignment="1" applyProtection="1">
      <alignment vertical="center"/>
    </xf>
    <xf numFmtId="0" fontId="5" fillId="0" borderId="10" xfId="9" applyFont="1" applyBorder="1" applyAlignment="1">
      <alignment horizontal="center" vertical="top" wrapText="1"/>
    </xf>
    <xf numFmtId="2" fontId="26" fillId="0" borderId="10" xfId="9" applyNumberFormat="1" applyFont="1" applyBorder="1" applyAlignment="1">
      <alignment horizontal="center" vertical="top" wrapText="1"/>
    </xf>
    <xf numFmtId="0" fontId="26" fillId="0" borderId="10" xfId="9" applyFont="1" applyBorder="1" applyAlignment="1">
      <alignment vertical="top" wrapText="1"/>
    </xf>
    <xf numFmtId="2" fontId="26" fillId="0" borderId="10" xfId="9" applyNumberFormat="1" applyFont="1" applyBorder="1" applyAlignment="1">
      <alignment vertical="top" wrapText="1"/>
    </xf>
    <xf numFmtId="0" fontId="26" fillId="0" borderId="10" xfId="9" applyFont="1" applyBorder="1" applyAlignment="1">
      <alignment horizontal="center" vertical="top" wrapText="1"/>
    </xf>
    <xf numFmtId="1" fontId="26" fillId="0" borderId="10" xfId="9" applyNumberFormat="1" applyFont="1" applyBorder="1" applyAlignment="1">
      <alignment horizontal="center" vertical="top" wrapText="1"/>
    </xf>
    <xf numFmtId="171" fontId="26" fillId="0" borderId="10" xfId="9" applyNumberFormat="1" applyFont="1" applyBorder="1" applyAlignment="1">
      <alignment horizontal="center" vertical="top" wrapText="1"/>
    </xf>
    <xf numFmtId="2" fontId="5" fillId="0" borderId="10" xfId="9" applyNumberFormat="1" applyFont="1" applyBorder="1" applyAlignment="1">
      <alignment vertical="top" wrapText="1"/>
    </xf>
    <xf numFmtId="171" fontId="26" fillId="0" borderId="10" xfId="9" applyNumberFormat="1" applyFont="1" applyBorder="1" applyAlignment="1">
      <alignment vertical="top" wrapText="1"/>
    </xf>
    <xf numFmtId="0" fontId="26" fillId="0" borderId="0" xfId="9" applyFont="1" applyBorder="1" applyAlignment="1">
      <alignment vertical="top" wrapText="1"/>
    </xf>
    <xf numFmtId="0" fontId="26" fillId="0" borderId="0" xfId="9" applyFont="1" applyBorder="1" applyAlignment="1">
      <alignment horizontal="center" vertical="top" wrapText="1"/>
    </xf>
    <xf numFmtId="171" fontId="26" fillId="0" borderId="0" xfId="9" applyNumberFormat="1" applyFont="1" applyBorder="1" applyAlignment="1">
      <alignment horizontal="center" vertical="top" wrapText="1"/>
    </xf>
    <xf numFmtId="2" fontId="26" fillId="0" borderId="0" xfId="9" applyNumberFormat="1" applyFont="1" applyBorder="1" applyAlignment="1">
      <alignment vertical="top" wrapText="1"/>
    </xf>
    <xf numFmtId="165" fontId="20" fillId="0" borderId="11" xfId="0" applyNumberFormat="1" applyFont="1" applyBorder="1" applyAlignment="1" applyProtection="1">
      <alignment horizontal="center"/>
    </xf>
    <xf numFmtId="164" fontId="0" fillId="0" borderId="12" xfId="0" applyNumberFormat="1" applyBorder="1" applyAlignment="1" applyProtection="1"/>
    <xf numFmtId="164" fontId="0" fillId="0" borderId="12" xfId="0" applyNumberFormat="1" applyBorder="1" applyAlignment="1" applyProtection="1">
      <alignment horizontal="left"/>
    </xf>
    <xf numFmtId="164" fontId="0" fillId="0" borderId="12" xfId="0" applyBorder="1"/>
    <xf numFmtId="164" fontId="0" fillId="0" borderId="12" xfId="0" applyBorder="1" applyAlignment="1">
      <alignment horizontal="left"/>
    </xf>
    <xf numFmtId="164" fontId="0" fillId="0" borderId="13" xfId="0" applyBorder="1"/>
    <xf numFmtId="164" fontId="0" fillId="0" borderId="14" xfId="0" applyBorder="1"/>
    <xf numFmtId="164" fontId="0" fillId="0" borderId="0" xfId="0" applyBorder="1" applyAlignment="1"/>
    <xf numFmtId="164" fontId="0" fillId="0" borderId="0" xfId="0" applyNumberFormat="1" applyBorder="1" applyAlignment="1" applyProtection="1">
      <alignment horizontal="left"/>
    </xf>
    <xf numFmtId="164" fontId="0" fillId="0" borderId="0" xfId="0" applyBorder="1"/>
    <xf numFmtId="164" fontId="0" fillId="0" borderId="0" xfId="0" applyBorder="1" applyAlignment="1">
      <alignment horizontal="left"/>
    </xf>
    <xf numFmtId="164" fontId="0" fillId="0" borderId="15" xfId="0" applyBorder="1"/>
    <xf numFmtId="164" fontId="0" fillId="0" borderId="0" xfId="0" applyNumberFormat="1" applyBorder="1" applyAlignment="1" applyProtection="1">
      <alignment horizontal="fill"/>
    </xf>
    <xf numFmtId="164" fontId="0" fillId="0" borderId="14" xfId="0" applyNumberFormat="1" applyBorder="1" applyProtection="1"/>
    <xf numFmtId="164" fontId="0" fillId="0" borderId="0" xfId="0" applyNumberFormat="1" applyBorder="1" applyAlignment="1" applyProtection="1"/>
    <xf numFmtId="164" fontId="0" fillId="0" borderId="0" xfId="0" applyNumberFormat="1" applyBorder="1" applyProtection="1"/>
    <xf numFmtId="164" fontId="0" fillId="0" borderId="0" xfId="0" applyNumberFormat="1" applyBorder="1" applyAlignment="1" applyProtection="1">
      <alignment horizontal="right"/>
    </xf>
    <xf numFmtId="164" fontId="8" fillId="0" borderId="0" xfId="0" applyNumberFormat="1" applyFont="1" applyBorder="1" applyAlignment="1" applyProtection="1">
      <alignment horizontal="center"/>
    </xf>
    <xf numFmtId="164" fontId="8" fillId="0" borderId="0" xfId="0" applyFont="1" applyBorder="1"/>
    <xf numFmtId="164" fontId="8" fillId="0" borderId="0" xfId="0" applyFont="1" applyBorder="1" applyAlignment="1">
      <alignment horizontal="left"/>
    </xf>
    <xf numFmtId="164" fontId="8" fillId="0" borderId="0" xfId="0" applyNumberFormat="1" applyFont="1" applyBorder="1" applyProtection="1"/>
    <xf numFmtId="164" fontId="0" fillId="0" borderId="16" xfId="0" applyBorder="1"/>
    <xf numFmtId="164" fontId="0" fillId="0" borderId="7" xfId="0" applyBorder="1" applyAlignment="1"/>
    <xf numFmtId="164" fontId="0" fillId="0" borderId="7" xfId="0" applyBorder="1"/>
    <xf numFmtId="164" fontId="0" fillId="0" borderId="7" xfId="0" applyBorder="1" applyAlignment="1">
      <alignment horizontal="left"/>
    </xf>
    <xf numFmtId="164" fontId="0" fillId="0" borderId="7" xfId="0" applyNumberFormat="1" applyBorder="1" applyAlignment="1" applyProtection="1">
      <alignment horizontal="fill"/>
    </xf>
    <xf numFmtId="164" fontId="0" fillId="0" borderId="17" xfId="0" applyBorder="1"/>
    <xf numFmtId="164" fontId="20" fillId="0" borderId="11" xfId="0" applyNumberFormat="1" applyFont="1" applyBorder="1" applyAlignment="1" applyProtection="1">
      <alignment horizontal="center"/>
    </xf>
    <xf numFmtId="166" fontId="0" fillId="0" borderId="14" xfId="0" applyNumberFormat="1" applyBorder="1" applyProtection="1"/>
    <xf numFmtId="166" fontId="0" fillId="0" borderId="16" xfId="0" applyNumberFormat="1" applyBorder="1" applyProtection="1"/>
    <xf numFmtId="164" fontId="8" fillId="0" borderId="7" xfId="0" applyNumberFormat="1" applyFont="1" applyBorder="1" applyAlignment="1" applyProtection="1">
      <alignment horizontal="center"/>
    </xf>
    <xf numFmtId="164" fontId="8" fillId="0" borderId="7" xfId="0" applyFont="1" applyBorder="1"/>
    <xf numFmtId="164" fontId="8" fillId="0" borderId="7" xfId="0" applyFont="1" applyBorder="1" applyAlignment="1">
      <alignment horizontal="left"/>
    </xf>
    <xf numFmtId="164" fontId="25" fillId="0" borderId="11" xfId="0" applyFont="1" applyBorder="1"/>
    <xf numFmtId="164" fontId="25" fillId="0" borderId="12" xfId="0" applyFont="1" applyBorder="1"/>
    <xf numFmtId="167" fontId="25" fillId="0" borderId="14" xfId="0" applyNumberFormat="1" applyFont="1" applyBorder="1" applyAlignment="1" applyProtection="1">
      <alignment horizontal="center"/>
    </xf>
    <xf numFmtId="164" fontId="25" fillId="0" borderId="14" xfId="0" applyFont="1" applyBorder="1"/>
    <xf numFmtId="164" fontId="38" fillId="2" borderId="0" xfId="0" applyFont="1" applyFill="1" applyBorder="1"/>
    <xf numFmtId="164" fontId="26" fillId="0" borderId="0" xfId="0" applyFont="1" applyBorder="1" applyAlignment="1">
      <alignment horizontal="fill"/>
    </xf>
    <xf numFmtId="164" fontId="25" fillId="0" borderId="16" xfId="0" applyFont="1" applyBorder="1"/>
    <xf numFmtId="164" fontId="25" fillId="0" borderId="7" xfId="0" applyFont="1" applyBorder="1" applyAlignment="1"/>
    <xf numFmtId="164" fontId="25" fillId="0" borderId="7" xfId="0" applyFont="1" applyBorder="1"/>
    <xf numFmtId="164" fontId="25" fillId="0" borderId="7" xfId="0" applyFont="1" applyBorder="1" applyAlignment="1">
      <alignment horizontal="center"/>
    </xf>
    <xf numFmtId="164" fontId="26" fillId="0" borderId="7" xfId="0" applyFont="1" applyBorder="1" applyAlignment="1">
      <alignment horizontal="fill"/>
    </xf>
    <xf numFmtId="164" fontId="0" fillId="0" borderId="0" xfId="0" quotePrefix="1" applyNumberFormat="1" applyProtection="1"/>
    <xf numFmtId="164" fontId="39" fillId="0" borderId="0" xfId="0" applyFont="1"/>
    <xf numFmtId="164" fontId="40" fillId="0" borderId="0" xfId="0" applyFont="1"/>
    <xf numFmtId="164" fontId="0" fillId="0" borderId="1" xfId="0" applyBorder="1" applyAlignment="1">
      <alignment vertical="top"/>
    </xf>
    <xf numFmtId="164" fontId="41" fillId="0" borderId="0" xfId="0" applyNumberFormat="1" applyFont="1" applyAlignment="1" applyProtection="1">
      <alignment horizontal="left"/>
    </xf>
    <xf numFmtId="165" fontId="42" fillId="0" borderId="0" xfId="0" applyNumberFormat="1" applyFont="1" applyProtection="1"/>
    <xf numFmtId="164" fontId="42" fillId="0" borderId="0" xfId="0" applyNumberFormat="1" applyFont="1" applyAlignment="1" applyProtection="1">
      <alignment horizontal="left"/>
    </xf>
    <xf numFmtId="164" fontId="42" fillId="0" borderId="0" xfId="0" applyNumberFormat="1" applyFont="1" applyProtection="1"/>
    <xf numFmtId="164" fontId="42" fillId="0" borderId="0" xfId="0" applyFont="1"/>
    <xf numFmtId="167" fontId="42" fillId="0" borderId="0" xfId="0" applyNumberFormat="1" applyFont="1"/>
    <xf numFmtId="164" fontId="43" fillId="0" borderId="0" xfId="0" applyNumberFormat="1" applyFont="1" applyProtection="1"/>
    <xf numFmtId="165" fontId="42" fillId="0" borderId="0" xfId="0" applyNumberFormat="1" applyFont="1" applyAlignment="1" applyProtection="1">
      <alignment vertical="top" wrapText="1"/>
    </xf>
    <xf numFmtId="164" fontId="42" fillId="0" borderId="0" xfId="0" applyNumberFormat="1" applyFont="1" applyAlignment="1" applyProtection="1">
      <alignment horizontal="right"/>
    </xf>
    <xf numFmtId="165" fontId="42" fillId="0" borderId="0" xfId="0" applyNumberFormat="1" applyFont="1" applyAlignment="1" applyProtection="1">
      <alignment horizontal="left"/>
    </xf>
    <xf numFmtId="164" fontId="42" fillId="0" borderId="0" xfId="0" applyNumberFormat="1" applyFont="1" applyAlignment="1" applyProtection="1">
      <alignment horizontal="center"/>
    </xf>
    <xf numFmtId="0" fontId="44" fillId="0" borderId="0" xfId="12" applyFont="1"/>
    <xf numFmtId="2" fontId="44" fillId="0" borderId="0" xfId="12" applyNumberFormat="1" applyFont="1"/>
    <xf numFmtId="164" fontId="45" fillId="0" borderId="0" xfId="0" applyNumberFormat="1" applyFont="1" applyProtection="1"/>
    <xf numFmtId="164" fontId="46" fillId="0" borderId="0" xfId="0" applyNumberFormat="1" applyFont="1" applyProtection="1"/>
    <xf numFmtId="164" fontId="46" fillId="0" borderId="0" xfId="0" applyFont="1"/>
    <xf numFmtId="164" fontId="45" fillId="0" borderId="0" xfId="0" applyFont="1"/>
    <xf numFmtId="164" fontId="47" fillId="0" borderId="0" xfId="0" applyNumberFormat="1" applyFont="1" applyProtection="1"/>
    <xf numFmtId="164" fontId="48" fillId="0" borderId="0" xfId="0" applyNumberFormat="1" applyFont="1" applyProtection="1"/>
    <xf numFmtId="164" fontId="49" fillId="0" borderId="0" xfId="0" applyNumberFormat="1" applyFont="1" applyProtection="1"/>
    <xf numFmtId="164" fontId="0" fillId="0" borderId="0" xfId="0" applyAlignment="1">
      <alignment vertical="top"/>
    </xf>
    <xf numFmtId="164" fontId="5" fillId="0" borderId="1" xfId="0" applyFont="1" applyBorder="1" applyAlignment="1">
      <alignment horizontal="center" vertical="top"/>
    </xf>
    <xf numFmtId="164" fontId="17" fillId="0" borderId="6" xfId="0" applyFont="1" applyBorder="1" applyAlignment="1">
      <alignment horizontal="center" vertical="top"/>
    </xf>
    <xf numFmtId="164" fontId="5" fillId="0" borderId="1" xfId="0" applyFont="1" applyBorder="1" applyAlignment="1">
      <alignment vertical="top"/>
    </xf>
    <xf numFmtId="164" fontId="0" fillId="0" borderId="18" xfId="0" applyBorder="1" applyAlignment="1">
      <alignment vertical="top"/>
    </xf>
    <xf numFmtId="171" fontId="29" fillId="0" borderId="6" xfId="0" applyNumberFormat="1" applyFont="1" applyBorder="1" applyAlignment="1">
      <alignment vertical="top"/>
    </xf>
    <xf numFmtId="164" fontId="29" fillId="0" borderId="6" xfId="0" applyFont="1" applyBorder="1" applyAlignment="1">
      <alignment vertical="top"/>
    </xf>
    <xf numFmtId="164" fontId="0" fillId="0" borderId="5" xfId="0" applyBorder="1" applyAlignment="1">
      <alignment vertical="top"/>
    </xf>
    <xf numFmtId="164" fontId="29" fillId="0" borderId="0" xfId="0" applyFont="1" applyAlignment="1">
      <alignment vertical="top"/>
    </xf>
    <xf numFmtId="164" fontId="6" fillId="0" borderId="1" xfId="0" applyFont="1" applyBorder="1" applyAlignment="1">
      <alignment horizontal="center" vertical="center"/>
    </xf>
    <xf numFmtId="164" fontId="7" fillId="0" borderId="18" xfId="0" applyFont="1" applyBorder="1" applyAlignment="1">
      <alignment horizontal="center" vertical="center"/>
    </xf>
    <xf numFmtId="164" fontId="29" fillId="0" borderId="1" xfId="0" applyFont="1" applyBorder="1" applyAlignment="1">
      <alignment vertical="top"/>
    </xf>
    <xf numFmtId="164" fontId="50" fillId="0" borderId="1" xfId="0" applyFont="1" applyBorder="1" applyAlignment="1">
      <alignment vertical="top"/>
    </xf>
    <xf numFmtId="164" fontId="29" fillId="0" borderId="1" xfId="0" applyFont="1" applyBorder="1" applyAlignment="1">
      <alignment vertical="top" wrapText="1"/>
    </xf>
    <xf numFmtId="2" fontId="29" fillId="0" borderId="1" xfId="9" applyNumberFormat="1" applyFont="1" applyBorder="1" applyAlignment="1">
      <alignment vertical="top" wrapText="1"/>
    </xf>
    <xf numFmtId="164" fontId="30" fillId="0" borderId="1" xfId="0" applyFont="1" applyBorder="1" applyAlignment="1">
      <alignment vertical="top"/>
    </xf>
    <xf numFmtId="164" fontId="36" fillId="0" borderId="1" xfId="0" applyFont="1" applyBorder="1" applyAlignment="1">
      <alignment vertical="top"/>
    </xf>
    <xf numFmtId="9" fontId="29" fillId="0" borderId="1" xfId="13" applyFont="1" applyBorder="1" applyAlignment="1">
      <alignment vertical="top"/>
    </xf>
    <xf numFmtId="164" fontId="29" fillId="0" borderId="18" xfId="0" applyFont="1" applyBorder="1" applyAlignment="1">
      <alignment vertical="top"/>
    </xf>
    <xf numFmtId="2" fontId="29" fillId="0" borderId="1" xfId="9" applyNumberFormat="1" applyFont="1" applyFill="1" applyBorder="1" applyAlignment="1">
      <alignment vertical="top" wrapText="1"/>
    </xf>
    <xf numFmtId="2" fontId="52" fillId="0" borderId="1" xfId="0" applyNumberFormat="1" applyFont="1" applyFill="1" applyBorder="1" applyAlignment="1">
      <alignment vertical="top" wrapText="1"/>
    </xf>
    <xf numFmtId="2" fontId="28" fillId="0" borderId="5" xfId="0" applyNumberFormat="1" applyFont="1" applyBorder="1" applyAlignment="1">
      <alignment horizontal="center" vertical="center" wrapText="1"/>
    </xf>
    <xf numFmtId="164" fontId="53" fillId="0" borderId="5" xfId="0" applyFont="1" applyBorder="1" applyAlignment="1">
      <alignment horizontal="right" vertical="center"/>
    </xf>
    <xf numFmtId="164" fontId="20" fillId="0" borderId="5" xfId="0" applyFont="1" applyBorder="1" applyAlignment="1">
      <alignment vertical="top"/>
    </xf>
    <xf numFmtId="164" fontId="20" fillId="0" borderId="0" xfId="0" applyFont="1" applyAlignment="1">
      <alignment vertical="top"/>
    </xf>
    <xf numFmtId="2" fontId="16" fillId="0" borderId="19" xfId="9" applyNumberFormat="1" applyFont="1" applyBorder="1" applyAlignment="1">
      <alignment vertical="top" wrapText="1"/>
    </xf>
    <xf numFmtId="2" fontId="16" fillId="0" borderId="20" xfId="9" applyNumberFormat="1" applyFont="1" applyBorder="1" applyAlignment="1">
      <alignment vertical="top" wrapText="1"/>
    </xf>
    <xf numFmtId="171" fontId="26" fillId="0" borderId="1" xfId="9" applyNumberFormat="1" applyFont="1" applyBorder="1" applyAlignment="1">
      <alignment vertical="top" wrapText="1"/>
    </xf>
    <xf numFmtId="0" fontId="26" fillId="0" borderId="1" xfId="9" applyFont="1" applyBorder="1" applyAlignment="1">
      <alignment horizontal="left" vertical="top" wrapText="1"/>
    </xf>
    <xf numFmtId="0" fontId="26" fillId="0" borderId="1" xfId="9" applyFont="1" applyBorder="1" applyAlignment="1">
      <alignment vertical="top" wrapText="1"/>
    </xf>
    <xf numFmtId="0" fontId="5" fillId="0" borderId="5" xfId="9" applyFont="1" applyBorder="1" applyAlignment="1">
      <alignment horizontal="center" vertical="top" wrapText="1"/>
    </xf>
    <xf numFmtId="164" fontId="54" fillId="0" borderId="0" xfId="0" applyFont="1"/>
    <xf numFmtId="2" fontId="16" fillId="0" borderId="21" xfId="9" applyNumberFormat="1" applyFont="1" applyFill="1" applyBorder="1" applyAlignment="1">
      <alignment vertical="top" wrapText="1"/>
    </xf>
    <xf numFmtId="2" fontId="16" fillId="0" borderId="22" xfId="9" applyNumberFormat="1" applyFont="1" applyBorder="1" applyAlignment="1">
      <alignment vertical="top" wrapText="1"/>
    </xf>
    <xf numFmtId="171" fontId="16" fillId="0" borderId="10" xfId="9" applyNumberFormat="1" applyFont="1" applyBorder="1" applyAlignment="1">
      <alignment horizontal="center" vertical="top" wrapText="1"/>
    </xf>
    <xf numFmtId="2" fontId="23" fillId="0" borderId="10" xfId="9" applyNumberFormat="1" applyFont="1" applyBorder="1" applyAlignment="1">
      <alignment vertical="top" wrapText="1"/>
    </xf>
    <xf numFmtId="2" fontId="16" fillId="0" borderId="10" xfId="9" applyNumberFormat="1" applyFont="1" applyBorder="1" applyAlignment="1">
      <alignment vertical="top" wrapText="1"/>
    </xf>
    <xf numFmtId="2" fontId="17" fillId="0" borderId="10" xfId="9" applyNumberFormat="1" applyFont="1" applyBorder="1" applyAlignment="1">
      <alignment horizontal="center" vertical="top" wrapText="1"/>
    </xf>
    <xf numFmtId="2" fontId="17" fillId="0" borderId="10" xfId="9" applyNumberFormat="1" applyFont="1" applyFill="1" applyBorder="1" applyAlignment="1">
      <alignment vertical="top" wrapText="1"/>
    </xf>
    <xf numFmtId="0" fontId="26" fillId="0" borderId="10" xfId="9" applyFont="1" applyBorder="1" applyAlignment="1">
      <alignment horizontal="left" vertical="top" wrapText="1"/>
    </xf>
    <xf numFmtId="164" fontId="14" fillId="0" borderId="0" xfId="0" applyNumberFormat="1" applyFont="1" applyAlignment="1" applyProtection="1">
      <alignment horizontal="fill"/>
    </xf>
    <xf numFmtId="164" fontId="14" fillId="0" borderId="0" xfId="0" applyNumberFormat="1" applyFont="1" applyAlignment="1" applyProtection="1">
      <alignment horizontal="right"/>
    </xf>
    <xf numFmtId="164" fontId="14" fillId="3" borderId="0" xfId="0" applyNumberFormat="1" applyFont="1" applyFill="1" applyProtection="1"/>
    <xf numFmtId="164" fontId="55" fillId="0" borderId="0" xfId="0" applyNumberFormat="1" applyFont="1" applyProtection="1"/>
    <xf numFmtId="164" fontId="43" fillId="0" borderId="0" xfId="0" applyFont="1"/>
    <xf numFmtId="170" fontId="56" fillId="4" borderId="0" xfId="0" applyNumberFormat="1" applyFont="1" applyFill="1" applyProtection="1"/>
    <xf numFmtId="164" fontId="56" fillId="4" borderId="0" xfId="0" applyNumberFormat="1" applyFont="1" applyFill="1" applyAlignment="1" applyProtection="1"/>
    <xf numFmtId="164" fontId="56" fillId="4" borderId="0" xfId="0" applyNumberFormat="1" applyFont="1" applyFill="1" applyAlignment="1" applyProtection="1">
      <alignment horizontal="left"/>
    </xf>
    <xf numFmtId="164" fontId="56" fillId="4" borderId="0" xfId="0" applyNumberFormat="1" applyFont="1" applyFill="1" applyProtection="1"/>
    <xf numFmtId="164" fontId="56" fillId="4" borderId="0" xfId="0" applyFont="1" applyFill="1"/>
    <xf numFmtId="164" fontId="0" fillId="0" borderId="0" xfId="0" applyNumberFormat="1" applyBorder="1" applyAlignment="1" applyProtection="1">
      <alignment horizontal="center"/>
    </xf>
    <xf numFmtId="164" fontId="2" fillId="0" borderId="0" xfId="0" applyNumberFormat="1" applyFont="1" applyBorder="1" applyAlignment="1" applyProtection="1">
      <alignment horizontal="center"/>
    </xf>
    <xf numFmtId="164" fontId="3" fillId="0" borderId="0" xfId="0" applyNumberFormat="1" applyFont="1" applyBorder="1" applyAlignment="1" applyProtection="1">
      <alignment horizontal="left"/>
    </xf>
    <xf numFmtId="164" fontId="4" fillId="0" borderId="0" xfId="0" applyNumberFormat="1" applyFont="1" applyBorder="1" applyProtection="1"/>
    <xf numFmtId="165" fontId="0" fillId="0" borderId="0" xfId="0" applyNumberFormat="1" applyBorder="1" applyProtection="1"/>
    <xf numFmtId="164" fontId="0" fillId="0" borderId="0" xfId="0" applyBorder="1" applyAlignment="1" applyProtection="1">
      <alignment horizontal="left"/>
    </xf>
    <xf numFmtId="165" fontId="0" fillId="0" borderId="0" xfId="0" applyNumberFormat="1" applyBorder="1" applyAlignment="1" applyProtection="1">
      <alignment horizontal="center"/>
    </xf>
    <xf numFmtId="164" fontId="9" fillId="0" borderId="0" xfId="0" applyNumberFormat="1" applyFont="1" applyAlignment="1" applyProtection="1">
      <alignment horizontal="right"/>
    </xf>
    <xf numFmtId="164" fontId="57" fillId="0" borderId="0" xfId="0" applyNumberFormat="1" applyFont="1" applyBorder="1" applyAlignment="1" applyProtection="1">
      <alignment horizontal="left" wrapText="1"/>
    </xf>
    <xf numFmtId="166" fontId="0" fillId="0" borderId="0" xfId="0" applyNumberFormat="1" applyBorder="1" applyProtection="1"/>
    <xf numFmtId="167" fontId="0" fillId="0" borderId="0" xfId="0" applyNumberFormat="1" applyBorder="1" applyAlignment="1" applyProtection="1">
      <alignment horizontal="center"/>
    </xf>
    <xf numFmtId="167" fontId="0" fillId="0" borderId="0" xfId="0" applyNumberFormat="1" applyBorder="1" applyAlignment="1" applyProtection="1">
      <alignment horizontal="left"/>
    </xf>
    <xf numFmtId="164" fontId="8" fillId="0" borderId="0" xfId="0" applyNumberFormat="1" applyFont="1" applyBorder="1" applyAlignment="1" applyProtection="1">
      <alignment horizontal="left"/>
    </xf>
    <xf numFmtId="164" fontId="8" fillId="0" borderId="0" xfId="0" applyNumberFormat="1" applyFont="1" applyBorder="1" applyAlignment="1" applyProtection="1">
      <alignment horizontal="left" wrapText="1"/>
    </xf>
    <xf numFmtId="164" fontId="0" fillId="0" borderId="0" xfId="0" applyNumberFormat="1" applyBorder="1" applyAlignment="1" applyProtection="1">
      <alignment horizontal="left" wrapText="1"/>
    </xf>
    <xf numFmtId="167" fontId="0" fillId="0" borderId="0" xfId="0" applyNumberFormat="1" applyBorder="1" applyAlignment="1">
      <alignment horizontal="center" vertical="top"/>
    </xf>
    <xf numFmtId="167" fontId="9" fillId="0" borderId="0" xfId="0" applyNumberFormat="1" applyFont="1" applyBorder="1" applyAlignment="1">
      <alignment horizontal="center"/>
    </xf>
    <xf numFmtId="164" fontId="0" fillId="0" borderId="0" xfId="0" applyNumberFormat="1" applyBorder="1" applyAlignment="1" applyProtection="1">
      <alignment horizontal="left" vertical="top" wrapText="1"/>
    </xf>
    <xf numFmtId="167" fontId="0" fillId="0" borderId="0" xfId="0" applyNumberFormat="1" applyBorder="1"/>
    <xf numFmtId="168" fontId="0" fillId="0" borderId="0" xfId="0" applyNumberFormat="1" applyBorder="1" applyProtection="1"/>
    <xf numFmtId="169" fontId="0" fillId="0" borderId="0" xfId="0" applyNumberFormat="1" applyBorder="1" applyProtection="1"/>
    <xf numFmtId="167" fontId="0" fillId="0" borderId="0" xfId="0" applyNumberFormat="1" applyBorder="1" applyAlignment="1">
      <alignment horizontal="center"/>
    </xf>
    <xf numFmtId="165" fontId="0" fillId="0" borderId="0" xfId="0" applyNumberFormat="1" applyBorder="1" applyAlignment="1" applyProtection="1">
      <alignment horizontal="left"/>
    </xf>
    <xf numFmtId="165" fontId="0" fillId="0" borderId="0" xfId="0" applyNumberFormat="1" applyBorder="1" applyAlignment="1" applyProtection="1">
      <alignment horizontal="center" vertical="top"/>
    </xf>
    <xf numFmtId="164" fontId="8" fillId="0" borderId="0" xfId="0" applyFont="1" applyFill="1" applyBorder="1" applyAlignment="1">
      <alignment wrapText="1"/>
    </xf>
    <xf numFmtId="165" fontId="0" fillId="0" borderId="0" xfId="0" applyNumberFormat="1" applyBorder="1" applyAlignment="1">
      <alignment horizontal="center" vertical="top"/>
    </xf>
    <xf numFmtId="164" fontId="8" fillId="0" borderId="0" xfId="0" applyFont="1" applyFill="1" applyBorder="1"/>
    <xf numFmtId="164" fontId="14" fillId="0" borderId="0" xfId="0" applyFont="1" applyAlignment="1">
      <alignment horizontal="right"/>
    </xf>
    <xf numFmtId="164" fontId="9" fillId="0" borderId="0" xfId="0" applyFont="1" applyFill="1" applyBorder="1" applyAlignment="1">
      <alignment wrapText="1"/>
    </xf>
    <xf numFmtId="164" fontId="0" fillId="0" borderId="0" xfId="0" applyFill="1" applyBorder="1" applyAlignment="1">
      <alignment wrapText="1"/>
    </xf>
    <xf numFmtId="164" fontId="0" fillId="0" borderId="0" xfId="0" applyFill="1" applyBorder="1" applyAlignment="1">
      <alignment horizontal="left" vertical="top" wrapText="1"/>
    </xf>
    <xf numFmtId="164" fontId="8" fillId="0" borderId="0" xfId="0" applyFont="1" applyFill="1" applyBorder="1" applyAlignment="1">
      <alignment horizontal="left" vertical="top" wrapText="1"/>
    </xf>
    <xf numFmtId="164" fontId="0" fillId="0" borderId="0" xfId="0" applyBorder="1" applyAlignment="1">
      <alignment horizontal="center" vertical="top"/>
    </xf>
    <xf numFmtId="167" fontId="0" fillId="0" borderId="0" xfId="0" applyNumberFormat="1" applyBorder="1" applyAlignment="1" applyProtection="1">
      <alignment horizontal="center" vertical="top" wrapText="1"/>
    </xf>
    <xf numFmtId="164" fontId="0" fillId="0" borderId="0" xfId="0" applyNumberFormat="1" applyBorder="1" applyAlignment="1" applyProtection="1">
      <alignment horizontal="justify" vertical="top" wrapText="1"/>
    </xf>
    <xf numFmtId="168" fontId="0" fillId="0" borderId="0" xfId="0" applyNumberFormat="1" applyAlignment="1" applyProtection="1">
      <alignment horizontal="center"/>
    </xf>
    <xf numFmtId="170" fontId="0" fillId="0" borderId="0" xfId="0" applyNumberFormat="1" applyBorder="1" applyProtection="1"/>
    <xf numFmtId="164" fontId="4" fillId="0" borderId="0" xfId="0" applyFont="1" applyBorder="1"/>
    <xf numFmtId="166" fontId="0" fillId="0" borderId="0" xfId="0" applyNumberFormat="1" applyBorder="1" applyAlignment="1" applyProtection="1">
      <alignment horizontal="center"/>
    </xf>
    <xf numFmtId="165" fontId="0" fillId="0" borderId="0" xfId="0" applyNumberFormat="1" applyBorder="1" applyAlignment="1">
      <alignment horizontal="center"/>
    </xf>
    <xf numFmtId="164" fontId="0" fillId="0" borderId="0" xfId="0" applyBorder="1" applyAlignment="1">
      <alignment wrapText="1"/>
    </xf>
    <xf numFmtId="164" fontId="0" fillId="0" borderId="0" xfId="0" applyNumberFormat="1" applyBorder="1" applyAlignment="1" applyProtection="1">
      <alignment vertical="center"/>
    </xf>
    <xf numFmtId="164" fontId="0" fillId="0" borderId="0" xfId="0" applyNumberFormat="1" applyAlignment="1" applyProtection="1">
      <alignment horizontal="center" vertical="center"/>
    </xf>
    <xf numFmtId="164" fontId="4" fillId="0" borderId="0" xfId="0" applyNumberFormat="1" applyFont="1" applyBorder="1" applyAlignment="1" applyProtection="1">
      <alignment horizontal="left"/>
    </xf>
    <xf numFmtId="167" fontId="0" fillId="0" borderId="0" xfId="0" applyNumberFormat="1" applyBorder="1" applyAlignment="1" applyProtection="1">
      <alignment horizontal="center" vertical="top"/>
    </xf>
    <xf numFmtId="164" fontId="0" fillId="0" borderId="0" xfId="0" applyNumberFormat="1" applyAlignment="1" applyProtection="1">
      <alignment horizontal="right" vertical="top"/>
    </xf>
    <xf numFmtId="167" fontId="0" fillId="0" borderId="0" xfId="0" applyNumberFormat="1" applyBorder="1" applyAlignment="1">
      <alignment horizontal="center" vertical="top" wrapText="1"/>
    </xf>
    <xf numFmtId="164" fontId="58" fillId="0" borderId="0" xfId="0" applyFont="1" applyBorder="1"/>
    <xf numFmtId="164" fontId="58" fillId="0" borderId="0" xfId="0" applyFont="1" applyBorder="1" applyAlignment="1"/>
    <xf numFmtId="164" fontId="59" fillId="0" borderId="0" xfId="0" applyFont="1" applyBorder="1"/>
    <xf numFmtId="164" fontId="58" fillId="0" borderId="0" xfId="0" applyFont="1" applyBorder="1" applyAlignment="1">
      <alignment horizontal="center"/>
    </xf>
    <xf numFmtId="164" fontId="58" fillId="0" borderId="0" xfId="0" applyNumberFormat="1" applyFont="1" applyBorder="1" applyProtection="1"/>
    <xf numFmtId="164" fontId="58" fillId="0" borderId="0" xfId="0" applyFont="1" applyBorder="1" applyAlignment="1">
      <alignment horizontal="right"/>
    </xf>
    <xf numFmtId="164" fontId="60" fillId="0" borderId="0" xfId="0" applyFont="1" applyBorder="1" applyAlignment="1">
      <alignment wrapText="1"/>
    </xf>
    <xf numFmtId="164" fontId="58" fillId="0" borderId="0" xfId="0" applyFont="1" applyBorder="1" applyAlignment="1">
      <alignment wrapText="1"/>
    </xf>
    <xf numFmtId="170" fontId="58" fillId="0" borderId="0" xfId="0" applyNumberFormat="1" applyFont="1" applyBorder="1" applyAlignment="1"/>
    <xf numFmtId="164" fontId="58" fillId="0" borderId="0" xfId="0" applyNumberFormat="1" applyFont="1" applyBorder="1" applyAlignment="1"/>
    <xf numFmtId="164" fontId="58" fillId="0" borderId="0" xfId="0" applyNumberFormat="1" applyFont="1" applyBorder="1" applyAlignment="1" applyProtection="1">
      <alignment horizontal="fill"/>
    </xf>
    <xf numFmtId="164" fontId="60" fillId="0" borderId="0" xfId="0" applyFont="1" applyBorder="1"/>
    <xf numFmtId="164" fontId="58" fillId="0" borderId="0" xfId="0" applyFont="1" applyBorder="1" applyAlignment="1">
      <alignment horizontal="left"/>
    </xf>
    <xf numFmtId="164" fontId="61" fillId="0" borderId="0" xfId="0" applyFont="1" applyBorder="1" applyAlignment="1">
      <alignment horizontal="center" wrapText="1"/>
    </xf>
    <xf numFmtId="164" fontId="5" fillId="0" borderId="0" xfId="0" applyFont="1" applyBorder="1" applyAlignment="1">
      <alignment horizontal="center" wrapText="1"/>
    </xf>
    <xf numFmtId="2" fontId="5" fillId="0" borderId="0" xfId="0" applyNumberFormat="1" applyFont="1" applyBorder="1" applyAlignment="1">
      <alignment horizontal="center" vertical="center" wrapText="1"/>
    </xf>
    <xf numFmtId="164" fontId="26" fillId="0" borderId="0" xfId="0" applyFont="1" applyBorder="1" applyAlignment="1">
      <alignment horizontal="left" vertical="justify" wrapText="1"/>
    </xf>
    <xf numFmtId="164" fontId="26" fillId="0" borderId="0" xfId="0" applyFont="1" applyBorder="1"/>
    <xf numFmtId="164" fontId="5" fillId="0" borderId="0" xfId="0" applyFont="1" applyBorder="1" applyAlignment="1">
      <alignment horizontal="center" vertical="center" wrapText="1"/>
    </xf>
    <xf numFmtId="2" fontId="26" fillId="0" borderId="0" xfId="0" applyNumberFormat="1" applyFont="1" applyBorder="1"/>
    <xf numFmtId="171" fontId="5" fillId="0" borderId="0" xfId="0" applyNumberFormat="1" applyFont="1" applyBorder="1" applyAlignment="1">
      <alignment horizontal="center" vertical="center"/>
    </xf>
    <xf numFmtId="2" fontId="5" fillId="0" borderId="0" xfId="0" applyNumberFormat="1" applyFont="1" applyBorder="1" applyAlignment="1">
      <alignment horizontal="center" vertical="center"/>
    </xf>
    <xf numFmtId="164" fontId="5" fillId="0" borderId="0" xfId="0" applyFont="1" applyBorder="1" applyAlignment="1">
      <alignment horizontal="left" vertical="justify" wrapText="1"/>
    </xf>
    <xf numFmtId="164" fontId="26" fillId="0" borderId="0" xfId="0" applyFont="1" applyBorder="1" applyAlignment="1">
      <alignment horizontal="justify" vertical="justify" wrapText="1"/>
    </xf>
    <xf numFmtId="2" fontId="26" fillId="0" borderId="0" xfId="0" applyNumberFormat="1" applyFont="1" applyBorder="1" applyAlignment="1">
      <alignment horizontal="center" vertical="center"/>
    </xf>
    <xf numFmtId="164" fontId="26" fillId="0" borderId="0" xfId="0" applyFont="1" applyBorder="1" applyAlignment="1">
      <alignment horizontal="center" vertical="center"/>
    </xf>
    <xf numFmtId="164" fontId="26" fillId="0" borderId="0" xfId="0" applyFont="1" applyBorder="1" applyAlignment="1">
      <alignment horizontal="left" vertical="center"/>
    </xf>
    <xf numFmtId="2" fontId="21" fillId="0" borderId="0" xfId="0" applyNumberFormat="1" applyFont="1" applyBorder="1"/>
    <xf numFmtId="2" fontId="5" fillId="0" borderId="0" xfId="0" applyNumberFormat="1" applyFont="1" applyBorder="1"/>
    <xf numFmtId="164" fontId="5" fillId="0" borderId="0" xfId="0" applyFont="1" applyBorder="1" applyAlignment="1">
      <alignment horizontal="center" vertical="center"/>
    </xf>
    <xf numFmtId="164" fontId="5" fillId="0" borderId="0" xfId="0" applyFont="1" applyBorder="1" applyAlignment="1">
      <alignment horizontal="justify" vertical="justify" wrapText="1"/>
    </xf>
    <xf numFmtId="2" fontId="63" fillId="0" borderId="0" xfId="0" applyNumberFormat="1" applyFont="1" applyBorder="1"/>
    <xf numFmtId="164" fontId="26" fillId="0" borderId="0" xfId="0" applyFont="1" applyBorder="1" applyAlignment="1">
      <alignment horizontal="right"/>
    </xf>
    <xf numFmtId="2" fontId="26" fillId="0" borderId="0" xfId="0" quotePrefix="1" applyNumberFormat="1" applyFont="1" applyBorder="1"/>
    <xf numFmtId="2" fontId="26" fillId="0" borderId="0" xfId="0" applyNumberFormat="1" applyFont="1" applyBorder="1" applyAlignment="1">
      <alignment horizontal="right" vertical="center"/>
    </xf>
    <xf numFmtId="164" fontId="5" fillId="0" borderId="0" xfId="0" applyFont="1" applyBorder="1"/>
    <xf numFmtId="164" fontId="5" fillId="0" borderId="0" xfId="0" applyFont="1" applyBorder="1" applyAlignment="1">
      <alignment wrapText="1"/>
    </xf>
    <xf numFmtId="164" fontId="26" fillId="0" borderId="0" xfId="0" applyFont="1" applyBorder="1" applyAlignment="1">
      <alignment wrapText="1"/>
    </xf>
    <xf numFmtId="164" fontId="26" fillId="0" borderId="0" xfId="0" applyFont="1" applyBorder="1" applyAlignment="1">
      <alignment horizontal="right" wrapText="1"/>
    </xf>
    <xf numFmtId="164" fontId="5" fillId="0" borderId="0" xfId="0" applyFont="1" applyBorder="1" applyAlignment="1">
      <alignment horizontal="left" vertical="center" wrapText="1"/>
    </xf>
    <xf numFmtId="164" fontId="5" fillId="0" borderId="0" xfId="0" applyFont="1" applyBorder="1" applyAlignment="1">
      <alignment horizontal="left" wrapText="1"/>
    </xf>
    <xf numFmtId="164" fontId="64" fillId="0" borderId="0" xfId="0" applyNumberFormat="1" applyFont="1" applyAlignment="1" applyProtection="1">
      <alignment horizontal="center" vertical="center"/>
    </xf>
    <xf numFmtId="167" fontId="29" fillId="0" borderId="0" xfId="0" applyNumberFormat="1" applyFont="1" applyAlignment="1" applyProtection="1">
      <alignment horizontal="center"/>
    </xf>
    <xf numFmtId="164" fontId="65" fillId="0" borderId="0" xfId="0" applyFont="1" applyAlignment="1">
      <alignment horizontal="right" vertical="top"/>
    </xf>
    <xf numFmtId="164" fontId="7" fillId="0" borderId="0" xfId="0" applyFont="1" applyBorder="1" applyAlignment="1">
      <alignment horizontal="justify" vertical="top" wrapText="1"/>
    </xf>
    <xf numFmtId="164" fontId="67" fillId="0" borderId="0" xfId="0" applyFont="1"/>
    <xf numFmtId="165" fontId="22" fillId="0" borderId="0" xfId="0" applyNumberFormat="1" applyFont="1" applyAlignment="1">
      <alignment vertical="top"/>
    </xf>
    <xf numFmtId="164" fontId="0" fillId="0" borderId="0" xfId="0" applyAlignment="1">
      <alignment vertical="top" wrapText="1"/>
    </xf>
    <xf numFmtId="164" fontId="0" fillId="0" borderId="0" xfId="0" applyAlignment="1">
      <alignment horizontal="fill"/>
    </xf>
    <xf numFmtId="167" fontId="22" fillId="0" borderId="0" xfId="0" applyNumberFormat="1" applyFont="1"/>
    <xf numFmtId="169" fontId="0" fillId="0" borderId="0" xfId="0" applyNumberFormat="1" applyAlignment="1">
      <alignment horizontal="center"/>
    </xf>
    <xf numFmtId="164" fontId="0" fillId="0" borderId="0" xfId="0" applyAlignment="1">
      <alignment horizontal="fill" vertical="top"/>
    </xf>
    <xf numFmtId="164" fontId="0" fillId="0" borderId="0" xfId="0" applyAlignment="1">
      <alignment horizontal="fill" vertical="top" wrapText="1"/>
    </xf>
    <xf numFmtId="164" fontId="0" fillId="0" borderId="0" xfId="0" applyNumberFormat="1" applyAlignment="1">
      <alignment vertical="top" wrapText="1"/>
    </xf>
    <xf numFmtId="167" fontId="68" fillId="0" borderId="0" xfId="0" applyNumberFormat="1" applyFont="1" applyAlignment="1">
      <alignment vertical="top"/>
    </xf>
    <xf numFmtId="164" fontId="42" fillId="0" borderId="0" xfId="0" applyFont="1" applyAlignment="1"/>
    <xf numFmtId="164" fontId="42" fillId="0" borderId="0" xfId="0" applyFont="1" applyAlignment="1">
      <alignment wrapText="1"/>
    </xf>
    <xf numFmtId="164" fontId="42" fillId="0" borderId="0" xfId="0" applyFont="1" applyAlignment="1">
      <alignment horizontal="center"/>
    </xf>
    <xf numFmtId="164" fontId="42" fillId="0" borderId="0" xfId="0" quotePrefix="1" applyFont="1" applyAlignment="1">
      <alignment vertical="top"/>
    </xf>
    <xf numFmtId="164" fontId="42" fillId="0" borderId="0" xfId="0" quotePrefix="1" applyFont="1"/>
    <xf numFmtId="167" fontId="8" fillId="0" borderId="0" xfId="0" applyNumberFormat="1" applyFont="1" applyAlignment="1">
      <alignment vertical="top"/>
    </xf>
    <xf numFmtId="164" fontId="9" fillId="0" borderId="0" xfId="0" applyFont="1" applyAlignment="1">
      <alignment horizontal="left" vertical="top" wrapText="1"/>
    </xf>
    <xf numFmtId="164" fontId="9" fillId="0" borderId="0" xfId="0" applyFont="1" applyAlignment="1">
      <alignment horizontal="center"/>
    </xf>
    <xf numFmtId="164" fontId="9" fillId="0" borderId="0" xfId="0" applyFont="1" applyAlignment="1">
      <alignment vertical="top"/>
    </xf>
    <xf numFmtId="165" fontId="8" fillId="0" borderId="0" xfId="0" applyNumberFormat="1" applyFont="1"/>
    <xf numFmtId="165" fontId="0" fillId="0" borderId="0" xfId="0" applyNumberFormat="1" applyAlignment="1">
      <alignment vertical="top"/>
    </xf>
    <xf numFmtId="167" fontId="0" fillId="0" borderId="0" xfId="0" applyNumberFormat="1" applyAlignment="1">
      <alignment vertical="top"/>
    </xf>
    <xf numFmtId="165" fontId="22" fillId="0" borderId="0" xfId="0" applyNumberFormat="1" applyFont="1"/>
    <xf numFmtId="164" fontId="22" fillId="0" borderId="0" xfId="0" applyFont="1"/>
    <xf numFmtId="164" fontId="8" fillId="0" borderId="0" xfId="0" applyFont="1" applyBorder="1" applyAlignment="1">
      <alignment horizontal="center"/>
    </xf>
    <xf numFmtId="164" fontId="8" fillId="0" borderId="0" xfId="0" applyFont="1" applyBorder="1" applyAlignment="1">
      <alignment horizontal="left" vertical="top" wrapText="1"/>
    </xf>
    <xf numFmtId="164" fontId="0" fillId="0" borderId="0" xfId="0" applyBorder="1" applyAlignment="1">
      <alignment horizontal="left" vertical="top" wrapText="1"/>
    </xf>
    <xf numFmtId="164" fontId="0" fillId="0" borderId="0" xfId="0" applyBorder="1" applyAlignment="1">
      <alignment horizontal="left" vertical="top"/>
    </xf>
    <xf numFmtId="164" fontId="14" fillId="0" borderId="0" xfId="0" applyFont="1" applyBorder="1" applyAlignment="1">
      <alignment horizontal="left" vertical="top"/>
    </xf>
    <xf numFmtId="164" fontId="32" fillId="0" borderId="0" xfId="0" applyFont="1" applyBorder="1" applyAlignment="1">
      <alignment horizontal="left" vertical="top"/>
    </xf>
    <xf numFmtId="166" fontId="0" fillId="0" borderId="0" xfId="0" applyNumberFormat="1" applyBorder="1" applyAlignment="1">
      <alignment horizontal="left" vertical="top"/>
    </xf>
    <xf numFmtId="12" fontId="0" fillId="0" borderId="0" xfId="0" applyNumberFormat="1" applyBorder="1" applyAlignment="1">
      <alignment horizontal="left" vertical="top"/>
    </xf>
    <xf numFmtId="164" fontId="0" fillId="0" borderId="0" xfId="0" applyBorder="1" applyAlignment="1">
      <alignment horizontal="right" vertical="top"/>
    </xf>
    <xf numFmtId="164" fontId="69" fillId="0" borderId="0" xfId="0" applyFont="1" applyBorder="1" applyAlignment="1">
      <alignment horizontal="left" vertical="top"/>
    </xf>
    <xf numFmtId="164" fontId="8" fillId="0" borderId="0" xfId="0" applyFont="1" applyBorder="1" applyAlignment="1">
      <alignment horizontal="right" vertical="top"/>
    </xf>
    <xf numFmtId="164" fontId="8" fillId="0" borderId="0" xfId="0" applyFont="1" applyBorder="1" applyAlignment="1">
      <alignment horizontal="left" vertical="top"/>
    </xf>
    <xf numFmtId="164" fontId="9" fillId="0" borderId="0" xfId="0" applyFont="1" applyBorder="1" applyAlignment="1">
      <alignment horizontal="left" vertical="top"/>
    </xf>
    <xf numFmtId="164" fontId="8" fillId="0" borderId="0" xfId="0" applyFont="1" applyBorder="1" applyAlignment="1">
      <alignment horizontal="left" wrapText="1"/>
    </xf>
    <xf numFmtId="164" fontId="8" fillId="0" borderId="0" xfId="0" applyFont="1" applyFill="1" applyBorder="1" applyAlignment="1">
      <alignment horizontal="left" vertical="top"/>
    </xf>
    <xf numFmtId="164" fontId="0" fillId="0" borderId="0" xfId="0" applyFill="1" applyBorder="1" applyAlignment="1">
      <alignment horizontal="left" vertical="top"/>
    </xf>
    <xf numFmtId="164" fontId="9" fillId="0" borderId="0" xfId="0" applyFont="1" applyBorder="1" applyAlignment="1">
      <alignment horizontal="right" vertical="top"/>
    </xf>
    <xf numFmtId="169" fontId="0" fillId="0" borderId="0" xfId="0" applyNumberFormat="1" applyBorder="1" applyAlignment="1">
      <alignment horizontal="left" vertical="top"/>
    </xf>
    <xf numFmtId="164" fontId="67" fillId="0" borderId="0" xfId="0" applyFont="1" applyBorder="1" applyAlignment="1">
      <alignment horizontal="left" vertical="top"/>
    </xf>
    <xf numFmtId="164" fontId="45" fillId="0" borderId="0" xfId="0" applyFont="1" applyBorder="1" applyAlignment="1">
      <alignment horizontal="left" vertical="top"/>
    </xf>
    <xf numFmtId="164" fontId="67" fillId="0" borderId="0" xfId="0" applyFont="1" applyBorder="1" applyAlignment="1">
      <alignment horizontal="center" vertical="top"/>
    </xf>
    <xf numFmtId="168" fontId="0" fillId="0" borderId="0" xfId="0" applyNumberFormat="1" applyBorder="1" applyAlignment="1">
      <alignment horizontal="left" vertical="top"/>
    </xf>
    <xf numFmtId="164" fontId="8" fillId="0" borderId="0" xfId="0" applyFont="1" applyBorder="1" applyAlignment="1">
      <alignment horizontal="center" vertical="top"/>
    </xf>
    <xf numFmtId="164" fontId="70" fillId="0" borderId="0" xfId="0" applyFont="1" applyBorder="1" applyAlignment="1">
      <alignment horizontal="left" vertical="top"/>
    </xf>
    <xf numFmtId="170" fontId="0" fillId="0" borderId="0" xfId="0" applyNumberFormat="1" applyBorder="1" applyAlignment="1">
      <alignment horizontal="left" vertical="top"/>
    </xf>
    <xf numFmtId="164" fontId="9" fillId="0" borderId="0" xfId="0" applyFont="1" applyBorder="1" applyAlignment="1">
      <alignment horizontal="left" vertical="top" wrapText="1"/>
    </xf>
    <xf numFmtId="164" fontId="31" fillId="0" borderId="0" xfId="0" applyFont="1" applyBorder="1" applyAlignment="1">
      <alignment horizontal="left" vertical="top"/>
    </xf>
    <xf numFmtId="169" fontId="0" fillId="0" borderId="0" xfId="0" applyNumberFormat="1" applyBorder="1"/>
    <xf numFmtId="164" fontId="8" fillId="0" borderId="0" xfId="0" applyNumberFormat="1" applyFont="1" applyBorder="1" applyAlignment="1">
      <alignment horizontal="left" vertical="top"/>
    </xf>
    <xf numFmtId="164" fontId="29" fillId="2" borderId="1" xfId="0" applyFont="1" applyFill="1" applyBorder="1" applyAlignment="1">
      <alignment vertical="top"/>
    </xf>
    <xf numFmtId="164" fontId="2" fillId="0" borderId="0" xfId="0" applyNumberFormat="1" applyFont="1" applyAlignment="1" applyProtection="1"/>
    <xf numFmtId="164" fontId="71" fillId="0" borderId="0" xfId="0" applyNumberFormat="1" applyFont="1" applyProtection="1"/>
    <xf numFmtId="164" fontId="8" fillId="0" borderId="0" xfId="0" quotePrefix="1" applyNumberFormat="1" applyFont="1" applyAlignment="1" applyProtection="1">
      <alignment horizontal="center"/>
    </xf>
    <xf numFmtId="164" fontId="8" fillId="0" borderId="0" xfId="0" quotePrefix="1" applyFont="1" applyAlignment="1">
      <alignment horizontal="center"/>
    </xf>
    <xf numFmtId="164" fontId="72" fillId="0" borderId="0" xfId="0" applyNumberFormat="1" applyFont="1" applyProtection="1"/>
    <xf numFmtId="164" fontId="72" fillId="0" borderId="0" xfId="0" applyFont="1"/>
    <xf numFmtId="169" fontId="0" fillId="0" borderId="0" xfId="0" applyNumberFormat="1"/>
    <xf numFmtId="164" fontId="5" fillId="0" borderId="0" xfId="0" applyNumberFormat="1" applyFont="1" applyAlignment="1" applyProtection="1">
      <alignment horizontal="left"/>
    </xf>
    <xf numFmtId="166" fontId="6" fillId="0" borderId="0" xfId="0" applyNumberFormat="1" applyFont="1" applyAlignment="1">
      <alignment horizontal="right"/>
    </xf>
    <xf numFmtId="169" fontId="6" fillId="0" borderId="0" xfId="0" applyNumberFormat="1" applyFont="1" applyAlignment="1">
      <alignment horizontal="right"/>
    </xf>
    <xf numFmtId="164" fontId="9" fillId="0" borderId="0" xfId="0" applyFont="1" applyAlignment="1">
      <alignment horizontal="right"/>
    </xf>
    <xf numFmtId="168" fontId="25" fillId="0" borderId="0" xfId="0" applyNumberFormat="1" applyFont="1" applyAlignment="1">
      <alignment horizontal="right"/>
    </xf>
    <xf numFmtId="170" fontId="25" fillId="0" borderId="0" xfId="0" applyNumberFormat="1" applyFont="1" applyAlignment="1">
      <alignment horizontal="right"/>
    </xf>
    <xf numFmtId="168" fontId="6" fillId="0" borderId="0" xfId="0" applyNumberFormat="1" applyFont="1" applyAlignment="1" applyProtection="1">
      <alignment horizontal="right"/>
    </xf>
    <xf numFmtId="169" fontId="0" fillId="0" borderId="0" xfId="0" applyNumberFormat="1" applyAlignment="1">
      <alignment horizontal="right"/>
    </xf>
    <xf numFmtId="169" fontId="25" fillId="0" borderId="0" xfId="0" applyNumberFormat="1" applyFont="1" applyAlignment="1" applyProtection="1">
      <alignment horizontal="right"/>
    </xf>
    <xf numFmtId="169" fontId="6" fillId="0" borderId="0" xfId="0" applyNumberFormat="1" applyFont="1" applyAlignment="1" applyProtection="1">
      <alignment horizontal="right"/>
    </xf>
    <xf numFmtId="166" fontId="25" fillId="0" borderId="0" xfId="0" applyNumberFormat="1" applyFont="1" applyAlignment="1" applyProtection="1">
      <alignment horizontal="right"/>
    </xf>
    <xf numFmtId="164" fontId="25" fillId="0" borderId="0" xfId="0" quotePrefix="1" applyNumberFormat="1" applyFont="1" applyAlignment="1" applyProtection="1">
      <alignment horizontal="left"/>
    </xf>
    <xf numFmtId="170" fontId="25" fillId="0" borderId="0" xfId="0" applyNumberFormat="1" applyFont="1"/>
    <xf numFmtId="164" fontId="70" fillId="0" borderId="0" xfId="0" applyFont="1"/>
    <xf numFmtId="167" fontId="8" fillId="0" borderId="0" xfId="0" applyNumberFormat="1" applyFont="1"/>
    <xf numFmtId="164" fontId="9" fillId="0" borderId="0" xfId="0" applyFont="1" applyAlignment="1">
      <alignment horizontal="fill"/>
    </xf>
    <xf numFmtId="164" fontId="9" fillId="0" borderId="0" xfId="0" quotePrefix="1" applyFont="1" applyAlignment="1">
      <alignment horizontal="fill"/>
    </xf>
    <xf numFmtId="165" fontId="8" fillId="0" borderId="0" xfId="0" applyNumberFormat="1" applyFont="1" applyAlignment="1">
      <alignment vertical="center"/>
    </xf>
    <xf numFmtId="164" fontId="32" fillId="5" borderId="0" xfId="0" applyFont="1" applyFill="1"/>
    <xf numFmtId="164" fontId="74" fillId="0" borderId="1" xfId="0" applyFont="1" applyBorder="1" applyAlignment="1">
      <alignment vertical="center"/>
    </xf>
    <xf numFmtId="164" fontId="74" fillId="0" borderId="1" xfId="0" applyFont="1" applyBorder="1" applyAlignment="1">
      <alignment horizontal="right" vertical="center"/>
    </xf>
    <xf numFmtId="164" fontId="74" fillId="0" borderId="18" xfId="0" applyFont="1" applyBorder="1" applyAlignment="1">
      <alignment horizontal="right" vertical="center"/>
    </xf>
    <xf numFmtId="164" fontId="75" fillId="0" borderId="1" xfId="0" applyFont="1" applyBorder="1" applyAlignment="1">
      <alignment horizontal="center" vertical="center"/>
    </xf>
    <xf numFmtId="164" fontId="75" fillId="0" borderId="1" xfId="0" applyFont="1" applyBorder="1" applyAlignment="1">
      <alignment horizontal="right" vertical="center"/>
    </xf>
    <xf numFmtId="164" fontId="75" fillId="0" borderId="18" xfId="0" applyFont="1" applyBorder="1" applyAlignment="1">
      <alignment horizontal="right" vertical="center"/>
    </xf>
    <xf numFmtId="164" fontId="75" fillId="0" borderId="5" xfId="0" applyFont="1" applyBorder="1" applyAlignment="1">
      <alignment horizontal="center" vertical="center"/>
    </xf>
    <xf numFmtId="164" fontId="75" fillId="0" borderId="5" xfId="0" applyFont="1" applyBorder="1" applyAlignment="1">
      <alignment horizontal="right" vertical="center"/>
    </xf>
    <xf numFmtId="164" fontId="75" fillId="0" borderId="23" xfId="0" applyFont="1" applyBorder="1" applyAlignment="1">
      <alignment horizontal="right" vertical="center"/>
    </xf>
    <xf numFmtId="164" fontId="0" fillId="0" borderId="0" xfId="0" quotePrefix="1" applyBorder="1" applyAlignment="1">
      <alignment horizontal="left" vertical="top"/>
    </xf>
    <xf numFmtId="164" fontId="37" fillId="6" borderId="0" xfId="0" applyNumberFormat="1" applyFont="1" applyFill="1" applyProtection="1"/>
    <xf numFmtId="164" fontId="56" fillId="3" borderId="0" xfId="0" applyFont="1" applyFill="1"/>
    <xf numFmtId="164" fontId="56" fillId="3" borderId="0" xfId="0" applyFont="1" applyFill="1" applyAlignment="1"/>
    <xf numFmtId="164" fontId="56" fillId="3" borderId="0" xfId="0" applyNumberFormat="1" applyFont="1" applyFill="1" applyProtection="1"/>
    <xf numFmtId="164" fontId="56" fillId="3" borderId="0" xfId="0" applyNumberFormat="1" applyFont="1" applyFill="1" applyAlignment="1" applyProtection="1"/>
    <xf numFmtId="164" fontId="56" fillId="3" borderId="0" xfId="0" applyNumberFormat="1" applyFont="1" applyFill="1" applyAlignment="1" applyProtection="1">
      <alignment horizontal="left"/>
    </xf>
    <xf numFmtId="164" fontId="56" fillId="3" borderId="0" xfId="0" applyNumberFormat="1" applyFont="1" applyFill="1" applyAlignment="1" applyProtection="1">
      <alignment horizontal="right"/>
    </xf>
    <xf numFmtId="164" fontId="42" fillId="0" borderId="0" xfId="0" applyNumberFormat="1" applyFont="1" applyAlignment="1" applyProtection="1">
      <alignment horizontal="left" wrapText="1"/>
    </xf>
    <xf numFmtId="164" fontId="77" fillId="0" borderId="0" xfId="0" applyNumberFormat="1" applyFont="1" applyAlignment="1" applyProtection="1">
      <alignment horizontal="right"/>
    </xf>
    <xf numFmtId="164" fontId="76" fillId="0" borderId="1" xfId="0" applyFont="1" applyBorder="1" applyAlignment="1">
      <alignment horizontal="left" vertical="center"/>
    </xf>
    <xf numFmtId="164" fontId="76" fillId="0" borderId="18" xfId="0" applyFont="1" applyBorder="1" applyAlignment="1">
      <alignment horizontal="left" vertical="center"/>
    </xf>
    <xf numFmtId="164" fontId="76" fillId="0" borderId="20" xfId="0" applyFont="1" applyBorder="1" applyAlignment="1">
      <alignment horizontal="center"/>
    </xf>
    <xf numFmtId="164" fontId="76" fillId="0" borderId="24" xfId="0" applyFont="1" applyBorder="1" applyAlignment="1">
      <alignment horizontal="center"/>
    </xf>
    <xf numFmtId="164" fontId="76" fillId="0" borderId="1" xfId="0" applyFont="1" applyBorder="1" applyAlignment="1">
      <alignment horizontal="left" vertical="center" wrapText="1"/>
    </xf>
    <xf numFmtId="164" fontId="76" fillId="0" borderId="18" xfId="0" applyFont="1" applyBorder="1" applyAlignment="1">
      <alignment horizontal="left" vertical="center" wrapText="1"/>
    </xf>
    <xf numFmtId="164" fontId="0" fillId="0" borderId="0" xfId="0" applyBorder="1" applyAlignment="1">
      <alignment horizontal="right"/>
    </xf>
    <xf numFmtId="168" fontId="0" fillId="0" borderId="0" xfId="0" applyNumberFormat="1" applyAlignment="1" applyProtection="1">
      <alignment horizontal="right"/>
    </xf>
    <xf numFmtId="164" fontId="0" fillId="0" borderId="0" xfId="0" applyNumberFormat="1" applyAlignment="1" applyProtection="1">
      <alignment horizontal="right" vertical="center"/>
    </xf>
    <xf numFmtId="164" fontId="58" fillId="0" borderId="0" xfId="0" applyNumberFormat="1" applyFont="1" applyBorder="1" applyAlignment="1" applyProtection="1">
      <alignment horizontal="right"/>
    </xf>
    <xf numFmtId="164" fontId="60" fillId="0" borderId="0" xfId="0" applyFont="1" applyBorder="1" applyAlignment="1">
      <alignment horizontal="right"/>
    </xf>
    <xf numFmtId="164" fontId="61" fillId="0" borderId="0" xfId="0" applyFont="1" applyBorder="1" applyAlignment="1">
      <alignment horizontal="right" wrapText="1"/>
    </xf>
    <xf numFmtId="2" fontId="5" fillId="0" borderId="0" xfId="0" applyNumberFormat="1" applyFont="1" applyBorder="1" applyAlignment="1">
      <alignment horizontal="right" vertical="center" wrapText="1"/>
    </xf>
    <xf numFmtId="164" fontId="26" fillId="0" borderId="0" xfId="0" applyFont="1" applyBorder="1" applyAlignment="1">
      <alignment horizontal="right" vertical="justify" wrapText="1"/>
    </xf>
    <xf numFmtId="2" fontId="26" fillId="0" borderId="0" xfId="0" applyNumberFormat="1" applyFont="1" applyBorder="1" applyAlignment="1">
      <alignment horizontal="right"/>
    </xf>
    <xf numFmtId="2" fontId="21" fillId="0" borderId="0" xfId="0" applyNumberFormat="1" applyFont="1" applyBorder="1" applyAlignment="1">
      <alignment horizontal="right"/>
    </xf>
    <xf numFmtId="2" fontId="5" fillId="0" borderId="0" xfId="0" applyNumberFormat="1" applyFont="1" applyBorder="1" applyAlignment="1">
      <alignment horizontal="right"/>
    </xf>
    <xf numFmtId="2" fontId="63" fillId="0" borderId="0" xfId="0" applyNumberFormat="1" applyFont="1" applyBorder="1" applyAlignment="1">
      <alignment horizontal="right"/>
    </xf>
    <xf numFmtId="2" fontId="26" fillId="0" borderId="0" xfId="0" quotePrefix="1" applyNumberFormat="1" applyFont="1" applyBorder="1" applyAlignment="1">
      <alignment horizontal="right"/>
    </xf>
    <xf numFmtId="2" fontId="5" fillId="0" borderId="0" xfId="0" applyNumberFormat="1" applyFont="1" applyBorder="1" applyAlignment="1">
      <alignment horizontal="right" vertical="center"/>
    </xf>
    <xf numFmtId="164" fontId="0" fillId="0" borderId="0" xfId="0" quotePrefix="1" applyAlignment="1">
      <alignment horizontal="right"/>
    </xf>
    <xf numFmtId="164" fontId="0" fillId="0" borderId="0" xfId="0" quotePrefix="1" applyNumberFormat="1" applyAlignment="1" applyProtection="1">
      <alignment horizontal="right"/>
    </xf>
    <xf numFmtId="164" fontId="0" fillId="0" borderId="0" xfId="0" applyAlignment="1">
      <alignment horizontal="right" vertical="top" wrapText="1"/>
    </xf>
    <xf numFmtId="164" fontId="42" fillId="0" borderId="0" xfId="0" applyFont="1" applyAlignment="1">
      <alignment horizontal="right"/>
    </xf>
    <xf numFmtId="164" fontId="42" fillId="0" borderId="0" xfId="0" quotePrefix="1" applyFont="1" applyAlignment="1">
      <alignment horizontal="right"/>
    </xf>
    <xf numFmtId="164" fontId="9" fillId="0" borderId="0" xfId="0" quotePrefix="1" applyFont="1" applyAlignment="1">
      <alignment horizontal="right"/>
    </xf>
    <xf numFmtId="164" fontId="69" fillId="0" borderId="0" xfId="0" applyFont="1" applyBorder="1" applyAlignment="1">
      <alignment horizontal="right" vertical="top"/>
    </xf>
    <xf numFmtId="164" fontId="67" fillId="0" borderId="0" xfId="0" applyFont="1" applyBorder="1" applyAlignment="1">
      <alignment horizontal="right" vertical="top"/>
    </xf>
    <xf numFmtId="164" fontId="14" fillId="0" borderId="0" xfId="0" applyFont="1" applyBorder="1" applyAlignment="1">
      <alignment horizontal="right" vertical="top"/>
    </xf>
    <xf numFmtId="164" fontId="70" fillId="0" borderId="0" xfId="0" applyFont="1" applyBorder="1" applyAlignment="1">
      <alignment horizontal="right" vertical="top"/>
    </xf>
    <xf numFmtId="164" fontId="31" fillId="0" borderId="0" xfId="0" applyFont="1" applyBorder="1" applyAlignment="1">
      <alignment horizontal="right" vertical="top"/>
    </xf>
    <xf numFmtId="164" fontId="8" fillId="0" borderId="0" xfId="0" applyNumberFormat="1" applyFont="1" applyBorder="1" applyAlignment="1">
      <alignment horizontal="right" vertical="top"/>
    </xf>
    <xf numFmtId="164" fontId="8" fillId="0" borderId="0" xfId="0" applyFont="1" applyFill="1" applyBorder="1" applyAlignment="1">
      <alignment horizontal="right" vertical="top"/>
    </xf>
    <xf numFmtId="164" fontId="8" fillId="0" borderId="0" xfId="0" applyFont="1" applyBorder="1" applyAlignment="1">
      <alignment horizontal="right"/>
    </xf>
    <xf numFmtId="165" fontId="0" fillId="0" borderId="25" xfId="0" applyNumberFormat="1" applyBorder="1" applyAlignment="1">
      <alignment horizontal="center" vertical="top"/>
    </xf>
    <xf numFmtId="164" fontId="0" fillId="0" borderId="24" xfId="0" applyBorder="1" applyAlignment="1">
      <alignment horizontal="right" vertical="top"/>
    </xf>
    <xf numFmtId="165" fontId="0" fillId="0" borderId="6" xfId="0" applyNumberFormat="1" applyBorder="1" applyAlignment="1">
      <alignment horizontal="center" vertical="top"/>
    </xf>
    <xf numFmtId="164" fontId="0" fillId="0" borderId="18" xfId="0" applyBorder="1" applyAlignment="1">
      <alignment horizontal="right" vertical="top"/>
    </xf>
    <xf numFmtId="165" fontId="0" fillId="0" borderId="6" xfId="0" applyNumberFormat="1" applyFill="1" applyBorder="1" applyAlignment="1">
      <alignment horizontal="center" vertical="top"/>
    </xf>
    <xf numFmtId="164" fontId="0" fillId="0" borderId="4" xfId="0" applyBorder="1" applyAlignment="1">
      <alignment horizontal="left" vertical="top"/>
    </xf>
    <xf numFmtId="164" fontId="0" fillId="0" borderId="23" xfId="0" applyBorder="1" applyAlignment="1">
      <alignment horizontal="right" vertical="top"/>
    </xf>
    <xf numFmtId="166" fontId="76" fillId="0" borderId="25" xfId="0" applyNumberFormat="1" applyFont="1" applyBorder="1" applyAlignment="1">
      <alignment horizontal="center"/>
    </xf>
    <xf numFmtId="166" fontId="76" fillId="0" borderId="6" xfId="0" applyNumberFormat="1" applyFont="1" applyBorder="1" applyAlignment="1">
      <alignment horizontal="left" vertical="center"/>
    </xf>
    <xf numFmtId="166" fontId="74" fillId="0" borderId="6" xfId="0" applyNumberFormat="1" applyFont="1" applyBorder="1" applyAlignment="1">
      <alignment vertical="center"/>
    </xf>
    <xf numFmtId="166" fontId="74" fillId="0" borderId="6" xfId="0" applyNumberFormat="1" applyFont="1" applyBorder="1"/>
    <xf numFmtId="166" fontId="76" fillId="0" borderId="6" xfId="0" applyNumberFormat="1" applyFont="1" applyBorder="1" applyAlignment="1">
      <alignment horizontal="left" vertical="center" wrapText="1"/>
    </xf>
    <xf numFmtId="166" fontId="0" fillId="0" borderId="4" xfId="0" applyNumberFormat="1" applyBorder="1"/>
    <xf numFmtId="169" fontId="0" fillId="0" borderId="0" xfId="0" quotePrefix="1" applyNumberFormat="1" applyProtection="1"/>
    <xf numFmtId="164" fontId="8" fillId="0" borderId="0" xfId="0" applyNumberFormat="1" applyFont="1" applyAlignment="1" applyProtection="1"/>
    <xf numFmtId="174" fontId="8" fillId="0" borderId="0" xfId="0" applyNumberFormat="1" applyFont="1"/>
    <xf numFmtId="168" fontId="8" fillId="0" borderId="0" xfId="0" applyNumberFormat="1" applyFont="1"/>
    <xf numFmtId="164" fontId="8" fillId="0" borderId="0" xfId="0" quotePrefix="1" applyFont="1"/>
    <xf numFmtId="164" fontId="8" fillId="0" borderId="0" xfId="0" applyFont="1" applyAlignment="1">
      <alignment wrapText="1"/>
    </xf>
    <xf numFmtId="164" fontId="72" fillId="7" borderId="0" xfId="0" applyFont="1" applyFill="1"/>
    <xf numFmtId="164" fontId="8" fillId="0" borderId="0" xfId="0" applyFont="1" applyAlignment="1">
      <alignment vertical="top" wrapText="1"/>
    </xf>
    <xf numFmtId="164" fontId="8" fillId="0" borderId="0" xfId="0" applyFont="1" applyAlignment="1">
      <alignment vertical="top"/>
    </xf>
    <xf numFmtId="0" fontId="5" fillId="0" borderId="26" xfId="9" applyFont="1" applyBorder="1" applyAlignment="1">
      <alignment horizontal="center" vertical="top" wrapText="1"/>
    </xf>
    <xf numFmtId="0" fontId="26" fillId="0" borderId="10" xfId="9" applyFont="1" applyBorder="1" applyAlignment="1">
      <alignment horizontal="justify" vertical="top" wrapText="1"/>
    </xf>
    <xf numFmtId="0" fontId="5" fillId="0" borderId="26" xfId="9" applyFont="1" applyBorder="1" applyAlignment="1">
      <alignment horizontal="right" vertical="top" wrapText="1"/>
    </xf>
    <xf numFmtId="2" fontId="5" fillId="0" borderId="10" xfId="9" applyNumberFormat="1" applyFont="1" applyBorder="1" applyAlignment="1">
      <alignment horizontal="left" vertical="top" wrapText="1"/>
    </xf>
    <xf numFmtId="166" fontId="0" fillId="0" borderId="0" xfId="0" applyNumberFormat="1" applyAlignment="1" applyProtection="1">
      <alignment horizontal="left"/>
    </xf>
    <xf numFmtId="166" fontId="0" fillId="0" borderId="0" xfId="0" applyNumberFormat="1" applyAlignment="1">
      <alignment horizontal="center" vertical="top"/>
    </xf>
    <xf numFmtId="166" fontId="9" fillId="0" borderId="0" xfId="0" applyNumberFormat="1" applyFont="1" applyAlignment="1">
      <alignment horizontal="center"/>
    </xf>
    <xf numFmtId="166" fontId="56" fillId="4" borderId="0" xfId="0" applyNumberFormat="1" applyFont="1" applyFill="1" applyProtection="1"/>
    <xf numFmtId="166" fontId="0" fillId="0" borderId="0" xfId="0" applyNumberFormat="1" applyAlignment="1" applyProtection="1">
      <alignment horizontal="fill"/>
    </xf>
    <xf numFmtId="166" fontId="25" fillId="0" borderId="0" xfId="0" applyNumberFormat="1" applyFont="1" applyAlignment="1" applyProtection="1">
      <alignment horizontal="center"/>
    </xf>
    <xf numFmtId="166" fontId="8" fillId="0" borderId="0" xfId="0" applyNumberFormat="1" applyFont="1"/>
    <xf numFmtId="166" fontId="0" fillId="0" borderId="0" xfId="0" applyNumberFormat="1" applyAlignment="1">
      <alignment horizontal="right"/>
    </xf>
    <xf numFmtId="166" fontId="8" fillId="0" borderId="0" xfId="0" applyNumberFormat="1" applyFont="1" applyAlignment="1">
      <alignment horizontal="right"/>
    </xf>
    <xf numFmtId="164" fontId="70" fillId="0" borderId="0" xfId="0" applyNumberFormat="1" applyFont="1" applyAlignment="1" applyProtection="1">
      <alignment horizontal="right"/>
    </xf>
    <xf numFmtId="164" fontId="111" fillId="0" borderId="0" xfId="0" applyNumberFormat="1" applyFont="1" applyProtection="1"/>
    <xf numFmtId="164" fontId="112" fillId="0" borderId="0" xfId="0" applyNumberFormat="1" applyFont="1" applyProtection="1"/>
    <xf numFmtId="164" fontId="112" fillId="0" borderId="0" xfId="0" applyNumberFormat="1" applyFont="1" applyAlignment="1" applyProtection="1">
      <alignment horizontal="left"/>
    </xf>
    <xf numFmtId="164" fontId="112" fillId="0" borderId="0" xfId="0" applyFont="1"/>
    <xf numFmtId="164" fontId="113" fillId="8" borderId="0" xfId="0" applyNumberFormat="1" applyFont="1" applyFill="1" applyProtection="1"/>
    <xf numFmtId="2" fontId="114" fillId="9" borderId="0" xfId="12" applyNumberFormat="1" applyFont="1" applyFill="1"/>
    <xf numFmtId="164" fontId="115" fillId="0" borderId="0" xfId="0" applyNumberFormat="1" applyFont="1" applyProtection="1"/>
    <xf numFmtId="164" fontId="115" fillId="0" borderId="0" xfId="0" applyNumberFormat="1" applyFont="1" applyAlignment="1" applyProtection="1">
      <alignment horizontal="left"/>
    </xf>
    <xf numFmtId="164" fontId="111" fillId="0" borderId="0" xfId="0" applyFont="1" applyBorder="1" applyAlignment="1">
      <alignment horizontal="left" vertical="top"/>
    </xf>
    <xf numFmtId="164" fontId="0" fillId="8" borderId="0" xfId="0" applyFill="1" applyBorder="1" applyAlignment="1">
      <alignment wrapText="1"/>
    </xf>
    <xf numFmtId="164" fontId="0" fillId="8" borderId="0" xfId="0" applyFill="1" applyBorder="1" applyAlignment="1">
      <alignment horizontal="left" vertical="top"/>
    </xf>
    <xf numFmtId="164" fontId="0" fillId="8" borderId="0" xfId="0" applyFill="1" applyBorder="1"/>
    <xf numFmtId="164" fontId="0" fillId="9" borderId="0" xfId="0" applyFill="1" applyBorder="1" applyAlignment="1">
      <alignment horizontal="left" vertical="top"/>
    </xf>
    <xf numFmtId="164" fontId="8" fillId="9" borderId="0" xfId="0" applyFont="1" applyFill="1" applyBorder="1" applyAlignment="1">
      <alignment horizontal="left" vertical="top"/>
    </xf>
    <xf numFmtId="164" fontId="0" fillId="9" borderId="0" xfId="0" applyFill="1" applyBorder="1"/>
    <xf numFmtId="164" fontId="0" fillId="8" borderId="0" xfId="0" applyFill="1" applyBorder="1" applyAlignment="1">
      <alignment horizontal="left" vertical="top" wrapText="1"/>
    </xf>
    <xf numFmtId="164" fontId="111" fillId="8" borderId="0" xfId="0" applyFont="1" applyFill="1" applyBorder="1" applyAlignment="1">
      <alignment horizontal="left" vertical="top"/>
    </xf>
    <xf numFmtId="164" fontId="14" fillId="8" borderId="0" xfId="0" applyFont="1" applyFill="1" applyBorder="1" applyAlignment="1">
      <alignment horizontal="left" vertical="top"/>
    </xf>
    <xf numFmtId="164" fontId="116" fillId="0" borderId="0" xfId="0" applyNumberFormat="1" applyFont="1" applyProtection="1"/>
    <xf numFmtId="164" fontId="111" fillId="0" borderId="0" xfId="0" applyFont="1"/>
    <xf numFmtId="164" fontId="78" fillId="8" borderId="0" xfId="0" applyFont="1" applyFill="1"/>
    <xf numFmtId="164" fontId="79" fillId="8" borderId="0" xfId="0" applyFont="1" applyFill="1"/>
    <xf numFmtId="164" fontId="79" fillId="8" borderId="0" xfId="0" applyFont="1" applyFill="1" applyAlignment="1">
      <alignment horizontal="left"/>
    </xf>
    <xf numFmtId="0" fontId="80" fillId="0" borderId="0" xfId="12" applyFont="1"/>
    <xf numFmtId="164" fontId="117" fillId="0" borderId="0" xfId="0" applyNumberFormat="1" applyFont="1" applyProtection="1"/>
    <xf numFmtId="164" fontId="118" fillId="0" borderId="0" xfId="0" applyFont="1"/>
    <xf numFmtId="164" fontId="111" fillId="0" borderId="0" xfId="0" applyNumberFormat="1" applyFont="1" applyAlignment="1" applyProtection="1">
      <alignment horizontal="right"/>
    </xf>
    <xf numFmtId="164" fontId="119" fillId="0" borderId="0" xfId="0" applyNumberFormat="1" applyFont="1" applyProtection="1"/>
    <xf numFmtId="164" fontId="0" fillId="0" borderId="0" xfId="0" applyFont="1"/>
    <xf numFmtId="164" fontId="120" fillId="0" borderId="0" xfId="0" applyFont="1" applyFill="1"/>
    <xf numFmtId="164" fontId="121" fillId="0" borderId="0" xfId="0" applyFont="1" applyFill="1"/>
    <xf numFmtId="164" fontId="120" fillId="0" borderId="0" xfId="0" applyFont="1" applyFill="1" applyBorder="1"/>
    <xf numFmtId="0" fontId="122" fillId="0" borderId="10" xfId="1" applyFont="1" applyFill="1" applyBorder="1" applyAlignment="1">
      <alignment horizontal="center" vertical="center"/>
    </xf>
    <xf numFmtId="0" fontId="123" fillId="0" borderId="10" xfId="1" applyFont="1" applyFill="1" applyBorder="1" applyAlignment="1">
      <alignment horizontal="center" vertical="center"/>
    </xf>
    <xf numFmtId="2" fontId="123" fillId="0" borderId="10" xfId="1" applyNumberFormat="1" applyFont="1" applyFill="1" applyBorder="1" applyAlignment="1">
      <alignment horizontal="center" vertical="center"/>
    </xf>
    <xf numFmtId="2" fontId="122" fillId="0" borderId="10" xfId="1" applyNumberFormat="1" applyFont="1" applyFill="1" applyBorder="1" applyAlignment="1">
      <alignment horizontal="right" vertical="center"/>
    </xf>
    <xf numFmtId="0" fontId="123" fillId="0" borderId="10" xfId="1" applyFont="1" applyFill="1" applyBorder="1" applyAlignment="1">
      <alignment horizontal="left" vertical="center"/>
    </xf>
    <xf numFmtId="2" fontId="123" fillId="0" borderId="10" xfId="1" applyNumberFormat="1" applyFont="1" applyFill="1" applyBorder="1" applyAlignment="1">
      <alignment horizontal="right" vertical="center"/>
    </xf>
    <xf numFmtId="166" fontId="120" fillId="0" borderId="0" xfId="0" applyNumberFormat="1" applyFont="1" applyFill="1" applyBorder="1"/>
    <xf numFmtId="1" fontId="121" fillId="0" borderId="0" xfId="0" applyNumberFormat="1" applyFont="1" applyFill="1" applyAlignment="1">
      <alignment horizontal="center"/>
    </xf>
    <xf numFmtId="165" fontId="121" fillId="0" borderId="0" xfId="0" applyNumberFormat="1" applyFont="1" applyFill="1" applyAlignment="1">
      <alignment horizontal="center"/>
    </xf>
    <xf numFmtId="0" fontId="82" fillId="0" borderId="10" xfId="1" applyFont="1" applyFill="1" applyBorder="1" applyAlignment="1">
      <alignment horizontal="center" vertical="center"/>
    </xf>
    <xf numFmtId="2" fontId="82" fillId="0" borderId="10" xfId="1" applyNumberFormat="1" applyFont="1" applyFill="1" applyBorder="1" applyAlignment="1">
      <alignment horizontal="center" vertical="center"/>
    </xf>
    <xf numFmtId="2" fontId="82" fillId="0" borderId="10" xfId="1" applyNumberFormat="1" applyFont="1" applyFill="1" applyBorder="1" applyAlignment="1">
      <alignment horizontal="right" vertical="center"/>
    </xf>
    <xf numFmtId="0" fontId="82" fillId="0" borderId="10" xfId="1" applyFont="1" applyFill="1" applyBorder="1" applyAlignment="1">
      <alignment horizontal="left" vertical="center"/>
    </xf>
    <xf numFmtId="2" fontId="83" fillId="0" borderId="10" xfId="1" applyNumberFormat="1" applyFont="1" applyFill="1" applyBorder="1" applyAlignment="1">
      <alignment horizontal="right" vertical="center"/>
    </xf>
    <xf numFmtId="172" fontId="123" fillId="0" borderId="10" xfId="1" applyNumberFormat="1" applyFont="1" applyFill="1" applyBorder="1" applyAlignment="1">
      <alignment horizontal="center" vertical="center"/>
    </xf>
    <xf numFmtId="166" fontId="0" fillId="0" borderId="0" xfId="0" applyNumberFormat="1" applyAlignment="1" applyProtection="1">
      <alignment horizontal="right"/>
    </xf>
    <xf numFmtId="164" fontId="11" fillId="0" borderId="0" xfId="0" applyFont="1" applyFill="1" applyAlignment="1" applyProtection="1">
      <alignment horizontal="left"/>
    </xf>
    <xf numFmtId="0" fontId="84" fillId="0" borderId="0" xfId="9" applyFont="1" applyBorder="1" applyAlignment="1">
      <alignment vertical="top" wrapText="1"/>
    </xf>
    <xf numFmtId="164" fontId="0" fillId="0" borderId="0" xfId="0" applyNumberFormat="1" applyAlignment="1" applyProtection="1">
      <alignment wrapText="1"/>
    </xf>
    <xf numFmtId="164" fontId="0" fillId="0" borderId="0" xfId="0" applyNumberFormat="1" applyFill="1" applyAlignment="1" applyProtection="1">
      <alignment horizontal="left"/>
    </xf>
    <xf numFmtId="164" fontId="121" fillId="0" borderId="0" xfId="0" applyNumberFormat="1" applyFont="1" applyProtection="1"/>
    <xf numFmtId="164" fontId="121" fillId="0" borderId="0" xfId="0" applyNumberFormat="1" applyFont="1" applyFill="1" applyAlignment="1" applyProtection="1">
      <alignment horizontal="right"/>
    </xf>
    <xf numFmtId="164" fontId="121" fillId="0" borderId="0" xfId="0" applyNumberFormat="1" applyFont="1" applyAlignment="1" applyProtection="1">
      <alignment horizontal="right"/>
    </xf>
    <xf numFmtId="164" fontId="121" fillId="0" borderId="0" xfId="0" applyFont="1"/>
    <xf numFmtId="164" fontId="121" fillId="0" borderId="0" xfId="0" applyNumberFormat="1" applyFont="1" applyAlignment="1" applyProtection="1">
      <alignment horizontal="fill"/>
    </xf>
    <xf numFmtId="164" fontId="117" fillId="0" borderId="7" xfId="0" applyNumberFormat="1" applyFont="1" applyBorder="1" applyProtection="1"/>
    <xf numFmtId="164" fontId="124" fillId="0" borderId="0" xfId="0" applyNumberFormat="1" applyFont="1" applyProtection="1"/>
    <xf numFmtId="1" fontId="123" fillId="0" borderId="10" xfId="1" applyNumberFormat="1" applyFont="1" applyFill="1" applyBorder="1" applyAlignment="1">
      <alignment horizontal="center" vertical="center"/>
    </xf>
    <xf numFmtId="165" fontId="86" fillId="0" borderId="0" xfId="0" applyNumberFormat="1" applyFont="1" applyAlignment="1">
      <alignment horizontal="center" vertical="center"/>
    </xf>
    <xf numFmtId="0" fontId="86" fillId="0" borderId="0" xfId="0" applyNumberFormat="1" applyFont="1" applyAlignment="1">
      <alignment horizontal="center" vertical="center"/>
    </xf>
    <xf numFmtId="165" fontId="86" fillId="0" borderId="7" xfId="0" applyNumberFormat="1" applyFont="1" applyBorder="1" applyAlignment="1">
      <alignment horizontal="center"/>
    </xf>
    <xf numFmtId="0" fontId="86" fillId="0" borderId="7" xfId="0" applyNumberFormat="1" applyFont="1" applyBorder="1" applyAlignment="1">
      <alignment horizontal="center"/>
    </xf>
    <xf numFmtId="165" fontId="88" fillId="0" borderId="10" xfId="0" applyNumberFormat="1" applyFont="1" applyBorder="1" applyAlignment="1">
      <alignment horizontal="center" vertical="center"/>
    </xf>
    <xf numFmtId="0" fontId="88" fillId="0" borderId="10" xfId="0" applyNumberFormat="1" applyFont="1" applyBorder="1" applyAlignment="1">
      <alignment horizontal="center" vertical="center"/>
    </xf>
    <xf numFmtId="0" fontId="88" fillId="0" borderId="10" xfId="0" applyNumberFormat="1" applyFont="1" applyBorder="1" applyAlignment="1">
      <alignment horizontal="center"/>
    </xf>
    <xf numFmtId="0" fontId="88" fillId="0" borderId="10" xfId="0" applyNumberFormat="1" applyFont="1" applyBorder="1"/>
    <xf numFmtId="0" fontId="89" fillId="0" borderId="10" xfId="0" applyNumberFormat="1" applyFont="1" applyBorder="1" applyAlignment="1">
      <alignment horizontal="left" wrapText="1"/>
    </xf>
    <xf numFmtId="2" fontId="90" fillId="0" borderId="1" xfId="9" applyNumberFormat="1" applyFont="1" applyBorder="1" applyAlignment="1">
      <alignment vertical="top" wrapText="1"/>
    </xf>
    <xf numFmtId="2" fontId="88" fillId="0" borderId="10" xfId="0" applyNumberFormat="1" applyFont="1" applyBorder="1" applyAlignment="1">
      <alignment horizontal="center" vertical="center"/>
    </xf>
    <xf numFmtId="2" fontId="87" fillId="0" borderId="10" xfId="0" applyNumberFormat="1" applyFont="1" applyBorder="1"/>
    <xf numFmtId="0" fontId="83" fillId="0" borderId="10" xfId="1" applyFont="1" applyFill="1" applyBorder="1" applyAlignment="1">
      <alignment vertical="center" wrapText="1"/>
    </xf>
    <xf numFmtId="2" fontId="82" fillId="0" borderId="10" xfId="1" applyNumberFormat="1" applyFont="1" applyFill="1" applyBorder="1" applyAlignment="1">
      <alignment vertical="center" wrapText="1"/>
    </xf>
    <xf numFmtId="165" fontId="125" fillId="0" borderId="10" xfId="9" applyNumberFormat="1" applyFont="1" applyBorder="1" applyAlignment="1">
      <alignment horizontal="center" vertical="top" wrapText="1"/>
    </xf>
    <xf numFmtId="2" fontId="125" fillId="0" borderId="10" xfId="9" applyNumberFormat="1" applyFont="1" applyBorder="1" applyAlignment="1">
      <alignment horizontal="center" vertical="top" wrapText="1"/>
    </xf>
    <xf numFmtId="2" fontId="126" fillId="0" borderId="10" xfId="9" applyNumberFormat="1" applyFont="1" applyFill="1" applyBorder="1" applyAlignment="1">
      <alignment vertical="top" wrapText="1"/>
    </xf>
    <xf numFmtId="164" fontId="87" fillId="0" borderId="10" xfId="0" applyFont="1" applyBorder="1"/>
    <xf numFmtId="164" fontId="87" fillId="0" borderId="10" xfId="0" applyFont="1" applyBorder="1" applyAlignment="1">
      <alignment horizontal="center"/>
    </xf>
    <xf numFmtId="2" fontId="90" fillId="0" borderId="10" xfId="9" applyNumberFormat="1" applyFont="1" applyBorder="1" applyAlignment="1">
      <alignment vertical="top" wrapText="1"/>
    </xf>
    <xf numFmtId="164" fontId="89" fillId="0" borderId="10" xfId="0" applyFont="1" applyBorder="1" applyAlignment="1">
      <alignment horizontal="justify" vertical="justify"/>
    </xf>
    <xf numFmtId="164" fontId="87" fillId="0" borderId="10" xfId="0" applyNumberFormat="1" applyFont="1" applyBorder="1"/>
    <xf numFmtId="2" fontId="125" fillId="0" borderId="10" xfId="9" applyNumberFormat="1" applyFont="1" applyFill="1" applyBorder="1" applyAlignment="1">
      <alignment vertical="top" wrapText="1"/>
    </xf>
    <xf numFmtId="164" fontId="87" fillId="0" borderId="10" xfId="0" applyFont="1" applyBorder="1" applyAlignment="1">
      <alignment vertical="justify"/>
    </xf>
    <xf numFmtId="164" fontId="87" fillId="0" borderId="10" xfId="0" applyNumberFormat="1" applyFont="1" applyBorder="1" applyAlignment="1">
      <alignment horizontal="center"/>
    </xf>
    <xf numFmtId="165" fontId="127" fillId="0" borderId="10" xfId="0" applyNumberFormat="1" applyFont="1" applyBorder="1" applyAlignment="1">
      <alignment horizontal="center" vertical="top"/>
    </xf>
    <xf numFmtId="165" fontId="90" fillId="0" borderId="10" xfId="0" applyNumberFormat="1" applyFont="1" applyBorder="1" applyAlignment="1">
      <alignment horizontal="center"/>
    </xf>
    <xf numFmtId="2" fontId="90" fillId="0" borderId="10" xfId="0" applyNumberFormat="1" applyFont="1" applyBorder="1" applyAlignment="1">
      <alignment horizontal="center"/>
    </xf>
    <xf numFmtId="164" fontId="94" fillId="0" borderId="10" xfId="0" applyNumberFormat="1" applyFont="1" applyBorder="1"/>
    <xf numFmtId="165" fontId="90" fillId="0" borderId="10" xfId="9" applyNumberFormat="1" applyFont="1" applyBorder="1" applyAlignment="1">
      <alignment horizontal="center" vertical="top" wrapText="1"/>
    </xf>
    <xf numFmtId="2" fontId="90" fillId="0" borderId="10" xfId="9" applyNumberFormat="1" applyFont="1" applyBorder="1" applyAlignment="1">
      <alignment horizontal="center" vertical="top" wrapText="1"/>
    </xf>
    <xf numFmtId="164" fontId="87" fillId="0" borderId="10" xfId="0" applyFont="1" applyBorder="1" applyAlignment="1">
      <alignment horizontal="justify" vertical="justify"/>
    </xf>
    <xf numFmtId="164" fontId="87" fillId="0" borderId="10" xfId="0" applyFont="1" applyBorder="1" applyAlignment="1">
      <alignment vertical="center"/>
    </xf>
    <xf numFmtId="165" fontId="87" fillId="0" borderId="10" xfId="0" applyNumberFormat="1" applyFont="1" applyBorder="1" applyAlignment="1">
      <alignment horizontal="center"/>
    </xf>
    <xf numFmtId="2" fontId="91" fillId="0" borderId="10" xfId="9" applyNumberFormat="1" applyFont="1" applyBorder="1" applyAlignment="1">
      <alignment vertical="top" wrapText="1"/>
    </xf>
    <xf numFmtId="2" fontId="90" fillId="0" borderId="27" xfId="9" applyNumberFormat="1" applyFont="1" applyBorder="1" applyAlignment="1">
      <alignment vertical="top" wrapText="1"/>
    </xf>
    <xf numFmtId="2" fontId="91" fillId="0" borderId="1" xfId="9" applyNumberFormat="1" applyFont="1" applyBorder="1" applyAlignment="1">
      <alignment vertical="top" wrapText="1"/>
    </xf>
    <xf numFmtId="0" fontId="87" fillId="0" borderId="10" xfId="0" applyNumberFormat="1" applyFont="1" applyBorder="1" applyAlignment="1">
      <alignment horizontal="center" vertical="center"/>
    </xf>
    <xf numFmtId="2" fontId="87" fillId="0" borderId="10" xfId="0" applyNumberFormat="1" applyFont="1" applyBorder="1" applyAlignment="1">
      <alignment horizontal="center" vertical="center"/>
    </xf>
    <xf numFmtId="0" fontId="87" fillId="0" borderId="10" xfId="0" applyNumberFormat="1" applyFont="1" applyBorder="1" applyAlignment="1">
      <alignment horizontal="center"/>
    </xf>
    <xf numFmtId="0" fontId="82" fillId="0" borderId="10" xfId="1" applyFont="1" applyFill="1" applyBorder="1" applyAlignment="1">
      <alignment vertical="center" wrapText="1"/>
    </xf>
    <xf numFmtId="164" fontId="88" fillId="0" borderId="10" xfId="0" applyNumberFormat="1" applyFont="1" applyBorder="1"/>
    <xf numFmtId="164" fontId="87" fillId="0" borderId="0" xfId="0" applyFont="1" applyFill="1"/>
    <xf numFmtId="1" fontId="87" fillId="0" borderId="0" xfId="0" applyNumberFormat="1" applyFont="1" applyFill="1" applyAlignment="1">
      <alignment horizontal="center"/>
    </xf>
    <xf numFmtId="165" fontId="87" fillId="0" borderId="0" xfId="0" applyNumberFormat="1" applyFont="1" applyFill="1" applyAlignment="1">
      <alignment horizontal="center"/>
    </xf>
    <xf numFmtId="164" fontId="127" fillId="0" borderId="0" xfId="0" applyFont="1" applyFill="1"/>
    <xf numFmtId="0" fontId="86" fillId="0" borderId="7" xfId="0" applyNumberFormat="1" applyFont="1" applyFill="1" applyBorder="1" applyAlignment="1">
      <alignment horizontal="right"/>
    </xf>
    <xf numFmtId="0" fontId="86" fillId="0" borderId="0" xfId="0" applyNumberFormat="1" applyFont="1" applyFill="1" applyBorder="1" applyAlignment="1">
      <alignment horizontal="center"/>
    </xf>
    <xf numFmtId="0" fontId="86" fillId="0" borderId="7" xfId="0" applyNumberFormat="1" applyFont="1" applyFill="1" applyBorder="1" applyAlignment="1">
      <alignment horizontal="center"/>
    </xf>
    <xf numFmtId="0" fontId="88" fillId="0" borderId="28" xfId="0" applyNumberFormat="1" applyFont="1" applyFill="1" applyBorder="1" applyAlignment="1">
      <alignment horizontal="center"/>
    </xf>
    <xf numFmtId="0" fontId="88" fillId="0" borderId="29" xfId="0" applyNumberFormat="1" applyFont="1" applyFill="1" applyBorder="1"/>
    <xf numFmtId="0" fontId="83" fillId="0" borderId="10" xfId="1" applyFont="1" applyFill="1" applyBorder="1" applyAlignment="1">
      <alignment horizontal="center" vertical="center"/>
    </xf>
    <xf numFmtId="0" fontId="83" fillId="0" borderId="10" xfId="1" applyFont="1" applyFill="1" applyBorder="1" applyAlignment="1">
      <alignment horizontal="left" vertical="center" wrapText="1"/>
    </xf>
    <xf numFmtId="0" fontId="82" fillId="0" borderId="10" xfId="1" applyFont="1" applyFill="1" applyBorder="1" applyAlignment="1">
      <alignment horizontal="right" vertical="center"/>
    </xf>
    <xf numFmtId="0" fontId="86" fillId="0" borderId="10" xfId="1" applyFont="1" applyFill="1" applyBorder="1" applyAlignment="1">
      <alignment horizontal="left" vertical="center"/>
    </xf>
    <xf numFmtId="171" fontId="125" fillId="0" borderId="10" xfId="10" applyNumberFormat="1" applyFont="1" applyFill="1" applyBorder="1" applyAlignment="1">
      <alignment vertical="top" wrapText="1"/>
    </xf>
    <xf numFmtId="2" fontId="127" fillId="0" borderId="10" xfId="10" applyNumberFormat="1" applyFont="1" applyFill="1" applyBorder="1" applyAlignment="1">
      <alignment horizontal="justify" vertical="justify"/>
    </xf>
    <xf numFmtId="1" fontId="127" fillId="0" borderId="10" xfId="0" applyNumberFormat="1" applyFont="1" applyFill="1" applyBorder="1" applyAlignment="1">
      <alignment horizontal="center"/>
    </xf>
    <xf numFmtId="165" fontId="127" fillId="0" borderId="10" xfId="0" applyNumberFormat="1" applyFont="1" applyFill="1" applyBorder="1" applyAlignment="1">
      <alignment horizontal="center"/>
    </xf>
    <xf numFmtId="164" fontId="127" fillId="0" borderId="10" xfId="0" applyFont="1" applyFill="1" applyBorder="1" applyAlignment="1">
      <alignment horizontal="center"/>
    </xf>
    <xf numFmtId="1" fontId="127" fillId="0" borderId="0" xfId="0" applyNumberFormat="1" applyFont="1" applyFill="1" applyAlignment="1">
      <alignment horizontal="center"/>
    </xf>
    <xf numFmtId="165" fontId="127" fillId="0" borderId="0" xfId="0" applyNumberFormat="1" applyFont="1" applyFill="1" applyAlignment="1">
      <alignment horizontal="center"/>
    </xf>
    <xf numFmtId="0" fontId="82" fillId="0" borderId="10" xfId="1" applyFont="1" applyFill="1" applyBorder="1" applyAlignment="1">
      <alignment horizontal="center" vertical="center" wrapText="1"/>
    </xf>
    <xf numFmtId="0" fontId="82" fillId="0" borderId="10" xfId="1" applyFont="1" applyFill="1" applyBorder="1" applyAlignment="1">
      <alignment horizontal="left" vertical="center" wrapText="1"/>
    </xf>
    <xf numFmtId="2" fontId="82" fillId="0" borderId="10" xfId="1" applyNumberFormat="1" applyFont="1" applyFill="1" applyBorder="1" applyAlignment="1">
      <alignment horizontal="center" vertical="center" wrapText="1"/>
    </xf>
    <xf numFmtId="2" fontId="125" fillId="0" borderId="10" xfId="9" applyNumberFormat="1" applyFont="1" applyFill="1" applyBorder="1" applyAlignment="1">
      <alignment horizontal="center" vertical="center" wrapText="1"/>
    </xf>
    <xf numFmtId="0" fontId="82" fillId="0" borderId="10" xfId="1" applyFont="1" applyFill="1" applyBorder="1" applyAlignment="1">
      <alignment horizontal="center" wrapText="1"/>
    </xf>
    <xf numFmtId="2" fontId="125" fillId="0" borderId="10" xfId="9" applyNumberFormat="1" applyFont="1" applyFill="1" applyBorder="1" applyAlignment="1">
      <alignment horizontal="center" wrapText="1"/>
    </xf>
    <xf numFmtId="2" fontId="87" fillId="0" borderId="10" xfId="0" applyNumberFormat="1" applyFont="1" applyBorder="1" applyAlignment="1">
      <alignment horizontal="center"/>
    </xf>
    <xf numFmtId="2" fontId="88" fillId="0" borderId="10" xfId="0" applyNumberFormat="1" applyFont="1" applyBorder="1"/>
    <xf numFmtId="164" fontId="87" fillId="0" borderId="0" xfId="0" applyFont="1"/>
    <xf numFmtId="164" fontId="87" fillId="0" borderId="0" xfId="0" applyFont="1" applyAlignment="1">
      <alignment horizontal="center"/>
    </xf>
    <xf numFmtId="0" fontId="86" fillId="0" borderId="0" xfId="0" applyNumberFormat="1" applyFont="1" applyFill="1" applyAlignment="1">
      <alignment vertical="center"/>
    </xf>
    <xf numFmtId="2" fontId="125" fillId="0" borderId="26" xfId="9" applyNumberFormat="1" applyFont="1" applyFill="1" applyBorder="1" applyAlignment="1">
      <alignment vertical="top" wrapText="1"/>
    </xf>
    <xf numFmtId="164" fontId="88" fillId="0" borderId="10" xfId="0" applyFont="1" applyBorder="1" applyAlignment="1">
      <alignment horizontal="center"/>
    </xf>
    <xf numFmtId="2" fontId="123" fillId="0" borderId="26" xfId="10" applyNumberFormat="1" applyFont="1" applyFill="1" applyBorder="1" applyAlignment="1">
      <alignment vertical="top" wrapText="1"/>
    </xf>
    <xf numFmtId="2" fontId="122" fillId="0" borderId="10" xfId="10" applyNumberFormat="1" applyFont="1" applyFill="1" applyBorder="1" applyAlignment="1">
      <alignment horizontal="center" wrapText="1"/>
    </xf>
    <xf numFmtId="2" fontId="122" fillId="0" borderId="10" xfId="10" applyNumberFormat="1" applyFont="1" applyFill="1" applyBorder="1" applyAlignment="1">
      <alignment wrapText="1"/>
    </xf>
    <xf numFmtId="2" fontId="123" fillId="0" borderId="10" xfId="10" applyNumberFormat="1" applyFont="1" applyFill="1" applyBorder="1" applyAlignment="1">
      <alignment horizontal="center" wrapText="1"/>
    </xf>
    <xf numFmtId="167" fontId="90" fillId="0" borderId="10" xfId="9" applyNumberFormat="1" applyFont="1" applyBorder="1" applyAlignment="1">
      <alignment horizontal="center" vertical="top" wrapText="1"/>
    </xf>
    <xf numFmtId="164" fontId="88" fillId="0" borderId="10" xfId="0" applyFont="1" applyBorder="1" applyAlignment="1">
      <alignment horizontal="justify" vertical="justify"/>
    </xf>
    <xf numFmtId="2" fontId="126" fillId="0" borderId="30" xfId="9" applyNumberFormat="1" applyFont="1" applyFill="1" applyBorder="1" applyAlignment="1">
      <alignment horizontal="justify" vertical="justify" wrapText="1"/>
    </xf>
    <xf numFmtId="164" fontId="127" fillId="0" borderId="10" xfId="0" applyFont="1" applyFill="1" applyBorder="1" applyAlignment="1">
      <alignment horizontal="justify" vertical="justify"/>
    </xf>
    <xf numFmtId="2" fontId="127" fillId="0" borderId="10" xfId="10" applyNumberFormat="1" applyFont="1" applyFill="1" applyBorder="1" applyAlignment="1">
      <alignment horizontal="justify" vertical="justify" wrapText="1"/>
    </xf>
    <xf numFmtId="167" fontId="127" fillId="0" borderId="10" xfId="0" applyNumberFormat="1" applyFont="1" applyFill="1" applyBorder="1" applyAlignment="1">
      <alignment horizontal="center"/>
    </xf>
    <xf numFmtId="165" fontId="127" fillId="0" borderId="10" xfId="0" applyNumberFormat="1" applyFont="1" applyFill="1" applyBorder="1"/>
    <xf numFmtId="164" fontId="127" fillId="0" borderId="10" xfId="0" applyFont="1" applyFill="1" applyBorder="1"/>
    <xf numFmtId="164" fontId="127" fillId="0" borderId="10" xfId="0" applyNumberFormat="1" applyFont="1" applyFill="1" applyBorder="1"/>
    <xf numFmtId="166" fontId="127" fillId="0" borderId="10" xfId="0" applyNumberFormat="1" applyFont="1" applyFill="1" applyBorder="1"/>
    <xf numFmtId="0" fontId="122" fillId="0" borderId="10" xfId="1" applyFont="1" applyFill="1" applyBorder="1" applyAlignment="1">
      <alignment horizontal="left" vertical="center" wrapText="1"/>
    </xf>
    <xf numFmtId="0" fontId="123" fillId="0" borderId="10" xfId="1" applyFont="1" applyFill="1" applyBorder="1" applyAlignment="1">
      <alignment horizontal="right" vertical="center"/>
    </xf>
    <xf numFmtId="0" fontId="128" fillId="0" borderId="10" xfId="1" applyFont="1" applyFill="1" applyBorder="1" applyAlignment="1">
      <alignment horizontal="left" vertical="center"/>
    </xf>
    <xf numFmtId="2" fontId="122" fillId="0" borderId="10" xfId="10" applyNumberFormat="1" applyFont="1" applyFill="1" applyBorder="1" applyAlignment="1">
      <alignment horizontal="left" vertical="top" wrapText="1"/>
    </xf>
    <xf numFmtId="2" fontId="123" fillId="0" borderId="10" xfId="10" applyNumberFormat="1" applyFont="1" applyFill="1" applyBorder="1" applyAlignment="1">
      <alignment horizontal="left" vertical="top" wrapText="1"/>
    </xf>
    <xf numFmtId="0" fontId="122" fillId="0" borderId="10" xfId="1" applyFont="1" applyFill="1" applyBorder="1" applyAlignment="1">
      <alignment horizontal="left" vertical="center"/>
    </xf>
    <xf numFmtId="0" fontId="122" fillId="0" borderId="10" xfId="1" applyFont="1" applyFill="1" applyBorder="1" applyAlignment="1">
      <alignment horizontal="right" vertical="center"/>
    </xf>
    <xf numFmtId="0" fontId="95" fillId="0" borderId="10" xfId="10" applyFont="1" applyBorder="1" applyAlignment="1">
      <alignment horizontal="center" vertical="center" wrapText="1"/>
    </xf>
    <xf numFmtId="0" fontId="95" fillId="0" borderId="10" xfId="10" applyFont="1" applyBorder="1" applyAlignment="1">
      <alignment horizontal="center" vertical="top" wrapText="1"/>
    </xf>
    <xf numFmtId="0" fontId="95" fillId="0" borderId="10" xfId="10" applyFont="1" applyBorder="1" applyAlignment="1">
      <alignment vertical="top" wrapText="1"/>
    </xf>
    <xf numFmtId="0" fontId="89" fillId="0" borderId="10" xfId="10" applyFont="1" applyBorder="1" applyAlignment="1">
      <alignment horizontal="center" vertical="top" wrapText="1"/>
    </xf>
    <xf numFmtId="2" fontId="96" fillId="0" borderId="10" xfId="10" applyNumberFormat="1" applyFont="1" applyBorder="1" applyAlignment="1">
      <alignment horizontal="center" vertical="top" wrapText="1"/>
    </xf>
    <xf numFmtId="0" fontId="89" fillId="0" borderId="10" xfId="10" applyFont="1" applyBorder="1" applyAlignment="1">
      <alignment vertical="top" wrapText="1"/>
    </xf>
    <xf numFmtId="2" fontId="89" fillId="0" borderId="10" xfId="10" applyNumberFormat="1" applyFont="1" applyBorder="1" applyAlignment="1">
      <alignment vertical="top" wrapText="1"/>
    </xf>
    <xf numFmtId="0" fontId="96" fillId="0" borderId="10" xfId="10" applyFont="1" applyBorder="1" applyAlignment="1">
      <alignment horizontal="center" vertical="top" wrapText="1"/>
    </xf>
    <xf numFmtId="2" fontId="89" fillId="0" borderId="10" xfId="10" applyNumberFormat="1" applyFont="1" applyBorder="1" applyAlignment="1">
      <alignment horizontal="center" vertical="top" wrapText="1"/>
    </xf>
    <xf numFmtId="0" fontId="96" fillId="0" borderId="31" xfId="10" applyFont="1" applyBorder="1" applyAlignment="1">
      <alignment horizontal="center" vertical="top" wrapText="1"/>
    </xf>
    <xf numFmtId="1" fontId="89" fillId="0" borderId="10" xfId="10" applyNumberFormat="1" applyFont="1" applyBorder="1" applyAlignment="1">
      <alignment horizontal="center" vertical="top" wrapText="1"/>
    </xf>
    <xf numFmtId="171" fontId="89" fillId="0" borderId="10" xfId="10" applyNumberFormat="1" applyFont="1" applyBorder="1" applyAlignment="1">
      <alignment horizontal="center" vertical="top" wrapText="1"/>
    </xf>
    <xf numFmtId="2" fontId="97" fillId="0" borderId="10" xfId="10" applyNumberFormat="1" applyFont="1" applyBorder="1" applyAlignment="1">
      <alignment horizontal="center" vertical="top" wrapText="1"/>
    </xf>
    <xf numFmtId="0" fontId="89" fillId="0" borderId="10" xfId="10" applyFont="1" applyBorder="1" applyAlignment="1">
      <alignment horizontal="left" vertical="top" wrapText="1"/>
    </xf>
    <xf numFmtId="4" fontId="89" fillId="0" borderId="10" xfId="0" applyNumberFormat="1" applyFont="1" applyBorder="1" applyAlignment="1">
      <alignment horizontal="center" vertical="center"/>
    </xf>
    <xf numFmtId="1" fontId="86" fillId="0" borderId="0" xfId="0" applyNumberFormat="1" applyFont="1" applyFill="1" applyBorder="1" applyAlignment="1">
      <alignment horizontal="center"/>
    </xf>
    <xf numFmtId="0" fontId="88" fillId="0" borderId="10" xfId="0" applyNumberFormat="1" applyFont="1" applyFill="1" applyBorder="1" applyAlignment="1">
      <alignment horizontal="center" vertical="center"/>
    </xf>
    <xf numFmtId="1" fontId="88" fillId="0" borderId="10" xfId="0" applyNumberFormat="1" applyFont="1" applyFill="1" applyBorder="1" applyAlignment="1">
      <alignment horizontal="center" vertical="center"/>
    </xf>
    <xf numFmtId="0" fontId="88" fillId="0" borderId="10" xfId="0" applyNumberFormat="1" applyFont="1" applyFill="1" applyBorder="1" applyAlignment="1">
      <alignment horizontal="center"/>
    </xf>
    <xf numFmtId="0" fontId="88" fillId="0" borderId="10" xfId="0" applyNumberFormat="1" applyFont="1" applyFill="1" applyBorder="1"/>
    <xf numFmtId="0" fontId="88" fillId="0" borderId="10" xfId="0" applyNumberFormat="1" applyFont="1" applyFill="1" applyBorder="1" applyAlignment="1"/>
    <xf numFmtId="0" fontId="87" fillId="0" borderId="10" xfId="0" applyNumberFormat="1" applyFont="1" applyFill="1" applyBorder="1" applyAlignment="1">
      <alignment horizontal="center" vertical="center"/>
    </xf>
    <xf numFmtId="1" fontId="87" fillId="0" borderId="10" xfId="0" applyNumberFormat="1" applyFont="1" applyFill="1" applyBorder="1" applyAlignment="1">
      <alignment horizontal="center" vertical="center"/>
    </xf>
    <xf numFmtId="2" fontId="87" fillId="0" borderId="10" xfId="0" applyNumberFormat="1" applyFont="1" applyFill="1" applyBorder="1" applyAlignment="1">
      <alignment horizontal="center"/>
    </xf>
    <xf numFmtId="0" fontId="87" fillId="0" borderId="10" xfId="0" applyNumberFormat="1" applyFont="1" applyFill="1" applyBorder="1"/>
    <xf numFmtId="2" fontId="87" fillId="0" borderId="10" xfId="0" applyNumberFormat="1" applyFont="1" applyFill="1" applyBorder="1" applyAlignment="1"/>
    <xf numFmtId="0" fontId="87" fillId="0" borderId="10" xfId="0" applyNumberFormat="1" applyFont="1" applyFill="1" applyBorder="1" applyAlignment="1">
      <alignment horizontal="center"/>
    </xf>
    <xf numFmtId="2" fontId="88" fillId="0" borderId="10" xfId="0" applyNumberFormat="1" applyFont="1" applyFill="1" applyBorder="1" applyAlignment="1"/>
    <xf numFmtId="0" fontId="87" fillId="0" borderId="10" xfId="0" applyNumberFormat="1" applyFont="1" applyFill="1" applyBorder="1" applyAlignment="1"/>
    <xf numFmtId="1" fontId="87" fillId="0" borderId="10" xfId="0" applyNumberFormat="1" applyFont="1" applyFill="1" applyBorder="1" applyAlignment="1">
      <alignment horizontal="center"/>
    </xf>
    <xf numFmtId="2" fontId="82" fillId="0" borderId="10" xfId="1" applyNumberFormat="1" applyFont="1" applyFill="1" applyBorder="1" applyAlignment="1">
      <alignment horizontal="right"/>
    </xf>
    <xf numFmtId="0" fontId="87" fillId="0" borderId="10" xfId="0" applyNumberFormat="1" applyFont="1" applyFill="1" applyBorder="1" applyAlignment="1">
      <alignment horizontal="right"/>
    </xf>
    <xf numFmtId="0" fontId="83" fillId="0" borderId="10" xfId="1" applyFont="1" applyFill="1" applyBorder="1" applyAlignment="1">
      <alignment wrapText="1"/>
    </xf>
    <xf numFmtId="1" fontId="83" fillId="0" borderId="10" xfId="1" applyNumberFormat="1" applyFont="1" applyFill="1" applyBorder="1" applyAlignment="1">
      <alignment horizontal="center" vertical="center" wrapText="1"/>
    </xf>
    <xf numFmtId="1" fontId="82" fillId="0" borderId="10" xfId="1" applyNumberFormat="1" applyFont="1" applyFill="1" applyBorder="1" applyAlignment="1">
      <alignment horizontal="center" vertical="center"/>
    </xf>
    <xf numFmtId="172" fontId="82" fillId="0" borderId="10" xfId="1" applyNumberFormat="1" applyFont="1" applyFill="1" applyBorder="1" applyAlignment="1">
      <alignment horizontal="center" vertical="center"/>
    </xf>
    <xf numFmtId="0" fontId="123" fillId="0" borderId="10" xfId="1" applyFont="1" applyFill="1" applyBorder="1" applyAlignment="1">
      <alignment horizontal="left" vertical="center" wrapText="1"/>
    </xf>
    <xf numFmtId="164" fontId="129" fillId="0" borderId="10" xfId="0" applyFont="1" applyFill="1" applyBorder="1" applyAlignment="1">
      <alignment horizontal="right"/>
    </xf>
    <xf numFmtId="165" fontId="129" fillId="0" borderId="10" xfId="0" applyNumberFormat="1" applyFont="1" applyFill="1" applyBorder="1"/>
    <xf numFmtId="164" fontId="129" fillId="0" borderId="10" xfId="0" applyFont="1" applyFill="1" applyBorder="1"/>
    <xf numFmtId="164" fontId="117" fillId="0" borderId="0" xfId="0" applyFont="1"/>
    <xf numFmtId="0" fontId="99" fillId="0" borderId="0" xfId="0" applyNumberFormat="1" applyFont="1" applyBorder="1" applyAlignment="1">
      <alignment vertical="center" wrapText="1"/>
    </xf>
    <xf numFmtId="164" fontId="0" fillId="0" borderId="0" xfId="0" applyAlignment="1">
      <alignment vertical="center"/>
    </xf>
    <xf numFmtId="164" fontId="98" fillId="0" borderId="0" xfId="0" applyFont="1" applyBorder="1" applyAlignment="1">
      <alignment vertical="center" wrapText="1"/>
    </xf>
    <xf numFmtId="164" fontId="0" fillId="0" borderId="0" xfId="0" applyBorder="1" applyAlignment="1">
      <alignment vertical="center"/>
    </xf>
    <xf numFmtId="164" fontId="0" fillId="0" borderId="7" xfId="0" applyBorder="1" applyAlignment="1">
      <alignment horizontal="center" vertical="center"/>
    </xf>
    <xf numFmtId="164" fontId="8" fillId="0" borderId="0" xfId="0" applyFont="1" applyAlignment="1">
      <alignment horizontal="center" vertical="center"/>
    </xf>
    <xf numFmtId="0" fontId="130" fillId="0" borderId="1" xfId="0" applyNumberFormat="1" applyFont="1" applyBorder="1" applyAlignment="1">
      <alignment wrapText="1"/>
    </xf>
    <xf numFmtId="164" fontId="98" fillId="0" borderId="10" xfId="0" applyFont="1" applyBorder="1" applyAlignment="1">
      <alignment horizontal="left" vertical="center" wrapText="1"/>
    </xf>
    <xf numFmtId="164" fontId="100" fillId="0" borderId="10" xfId="0" applyFont="1" applyBorder="1" applyAlignment="1">
      <alignment horizontal="center" vertical="center"/>
    </xf>
    <xf numFmtId="164" fontId="75" fillId="0" borderId="10" xfId="0" applyFont="1" applyBorder="1" applyAlignment="1">
      <alignment horizontal="center" vertical="center"/>
    </xf>
    <xf numFmtId="165" fontId="98" fillId="0" borderId="10" xfId="0" applyNumberFormat="1" applyFont="1" applyBorder="1" applyAlignment="1">
      <alignment horizontal="center" vertical="center"/>
    </xf>
    <xf numFmtId="164" fontId="100" fillId="0" borderId="10" xfId="0" applyFont="1" applyBorder="1" applyAlignment="1">
      <alignment horizontal="left" vertical="center" wrapText="1"/>
    </xf>
    <xf numFmtId="164" fontId="98" fillId="0" borderId="10" xfId="0" applyNumberFormat="1" applyFont="1" applyBorder="1" applyAlignment="1">
      <alignment horizontal="right" vertical="center"/>
    </xf>
    <xf numFmtId="166" fontId="98" fillId="0" borderId="10" xfId="0" applyNumberFormat="1" applyFont="1" applyBorder="1" applyAlignment="1">
      <alignment horizontal="right" vertical="center"/>
    </xf>
    <xf numFmtId="164" fontId="100" fillId="0" borderId="10" xfId="0" applyNumberFormat="1" applyFont="1" applyBorder="1" applyAlignment="1">
      <alignment horizontal="right" vertical="center"/>
    </xf>
    <xf numFmtId="164" fontId="100" fillId="0" borderId="10" xfId="0" applyFont="1" applyBorder="1" applyAlignment="1">
      <alignment horizontal="right"/>
    </xf>
    <xf numFmtId="164" fontId="98" fillId="0" borderId="10" xfId="0" applyFont="1" applyBorder="1" applyAlignment="1">
      <alignment vertical="center" wrapText="1"/>
    </xf>
    <xf numFmtId="165" fontId="98" fillId="0" borderId="10" xfId="0" applyNumberFormat="1" applyFont="1" applyBorder="1" applyAlignment="1">
      <alignment horizontal="right" vertical="center" wrapText="1"/>
    </xf>
    <xf numFmtId="164" fontId="98" fillId="0" borderId="10" xfId="0" applyNumberFormat="1" applyFont="1" applyBorder="1" applyAlignment="1">
      <alignment horizontal="right" vertical="center" wrapText="1"/>
    </xf>
    <xf numFmtId="164" fontId="0" fillId="0" borderId="10" xfId="0" applyBorder="1"/>
    <xf numFmtId="164" fontId="100" fillId="0" borderId="10" xfId="0" applyFont="1" applyBorder="1" applyAlignment="1">
      <alignment vertical="center" wrapText="1"/>
    </xf>
    <xf numFmtId="164" fontId="51" fillId="0" borderId="6" xfId="0" applyFont="1" applyBorder="1" applyAlignment="1">
      <alignment horizontal="center" vertical="top" wrapText="1"/>
    </xf>
    <xf numFmtId="171" fontId="16" fillId="0" borderId="32" xfId="9" applyNumberFormat="1" applyFont="1" applyBorder="1" applyAlignment="1">
      <alignment vertical="top" wrapText="1"/>
    </xf>
    <xf numFmtId="2" fontId="16" fillId="0" borderId="27" xfId="9" applyNumberFormat="1" applyFont="1" applyBorder="1" applyAlignment="1">
      <alignment vertical="top" wrapText="1"/>
    </xf>
    <xf numFmtId="164" fontId="29" fillId="0" borderId="27" xfId="0" applyFont="1" applyBorder="1" applyAlignment="1">
      <alignment vertical="top"/>
    </xf>
    <xf numFmtId="2" fontId="29" fillId="0" borderId="27" xfId="9" applyNumberFormat="1" applyFont="1" applyBorder="1" applyAlignment="1">
      <alignment vertical="top" wrapText="1"/>
    </xf>
    <xf numFmtId="2" fontId="16" fillId="0" borderId="3" xfId="9" applyNumberFormat="1" applyFont="1" applyBorder="1" applyAlignment="1">
      <alignment vertical="top" wrapText="1"/>
    </xf>
    <xf numFmtId="2" fontId="16" fillId="0" borderId="6" xfId="10" applyNumberFormat="1" applyFont="1" applyBorder="1" applyAlignment="1">
      <alignment horizontal="right" vertical="top" wrapText="1"/>
    </xf>
    <xf numFmtId="2" fontId="17" fillId="0" borderId="1" xfId="10" applyNumberFormat="1" applyFont="1" applyBorder="1" applyAlignment="1">
      <alignment vertical="top" wrapText="1"/>
    </xf>
    <xf numFmtId="2" fontId="29" fillId="0" borderId="1" xfId="10" applyNumberFormat="1" applyFont="1" applyBorder="1" applyAlignment="1">
      <alignment vertical="top" wrapText="1"/>
    </xf>
    <xf numFmtId="2" fontId="16" fillId="0" borderId="6" xfId="10" applyNumberFormat="1" applyFont="1" applyBorder="1" applyAlignment="1">
      <alignment vertical="top" wrapText="1"/>
    </xf>
    <xf numFmtId="2" fontId="16" fillId="0" borderId="1" xfId="10" applyNumberFormat="1" applyFont="1" applyBorder="1" applyAlignment="1">
      <alignment vertical="top" wrapText="1"/>
    </xf>
    <xf numFmtId="164" fontId="98" fillId="0" borderId="10" xfId="0" applyFont="1" applyBorder="1" applyAlignment="1">
      <alignment horizontal="center" vertical="center"/>
    </xf>
    <xf numFmtId="166" fontId="29" fillId="0" borderId="1" xfId="0" applyNumberFormat="1" applyFont="1" applyBorder="1" applyAlignment="1">
      <alignment vertical="top"/>
    </xf>
    <xf numFmtId="164" fontId="29" fillId="0" borderId="18" xfId="0" applyNumberFormat="1" applyFont="1" applyBorder="1" applyAlignment="1">
      <alignment vertical="top"/>
    </xf>
    <xf numFmtId="2" fontId="16" fillId="0" borderId="1" xfId="9" applyNumberFormat="1" applyFont="1" applyBorder="1" applyAlignment="1">
      <alignment vertical="center" wrapText="1"/>
    </xf>
    <xf numFmtId="164" fontId="29" fillId="0" borderId="0" xfId="0" applyFont="1" applyBorder="1" applyAlignment="1">
      <alignment vertical="top"/>
    </xf>
    <xf numFmtId="164" fontId="0" fillId="9" borderId="0" xfId="0" applyNumberFormat="1" applyFont="1" applyFill="1" applyProtection="1"/>
    <xf numFmtId="0" fontId="98" fillId="0" borderId="10" xfId="0" applyNumberFormat="1" applyFont="1" applyFill="1" applyBorder="1" applyAlignment="1">
      <alignment horizontal="left" vertical="center" wrapText="1"/>
    </xf>
    <xf numFmtId="164" fontId="100" fillId="0" borderId="10" xfId="0" applyFont="1" applyBorder="1"/>
    <xf numFmtId="164" fontId="0" fillId="0" borderId="0" xfId="0" applyNumberFormat="1" applyAlignment="1" applyProtection="1">
      <alignment horizontal="center" vertical="center" wrapText="1"/>
    </xf>
    <xf numFmtId="164" fontId="0" fillId="0" borderId="33" xfId="0" applyBorder="1"/>
    <xf numFmtId="170" fontId="0" fillId="0" borderId="0" xfId="0" applyNumberFormat="1"/>
    <xf numFmtId="173" fontId="0" fillId="0" borderId="0" xfId="0" applyNumberFormat="1"/>
    <xf numFmtId="164" fontId="8" fillId="0" borderId="33" xfId="0" applyFont="1" applyBorder="1"/>
    <xf numFmtId="164" fontId="0" fillId="0" borderId="33" xfId="0" applyFont="1" applyBorder="1"/>
    <xf numFmtId="164" fontId="0" fillId="0" borderId="0" xfId="0" applyFont="1" applyBorder="1"/>
    <xf numFmtId="164" fontId="0" fillId="0" borderId="0" xfId="0" applyAlignment="1">
      <alignment horizontal="center" vertical="center"/>
    </xf>
    <xf numFmtId="171" fontId="131" fillId="0" borderId="10" xfId="10" applyNumberFormat="1" applyFont="1" applyBorder="1" applyAlignment="1">
      <alignment vertical="top" wrapText="1"/>
    </xf>
    <xf numFmtId="1" fontId="102" fillId="0" borderId="10" xfId="10" applyNumberFormat="1" applyFont="1" applyBorder="1" applyAlignment="1">
      <alignment horizontal="center" vertical="top" wrapText="1"/>
    </xf>
    <xf numFmtId="2" fontId="98" fillId="0" borderId="10" xfId="10" applyNumberFormat="1" applyFont="1" applyBorder="1" applyAlignment="1">
      <alignment vertical="center" wrapText="1"/>
    </xf>
    <xf numFmtId="1" fontId="130" fillId="0" borderId="10" xfId="10" applyNumberFormat="1" applyFont="1" applyBorder="1" applyAlignment="1">
      <alignment horizontal="center" vertical="center" wrapText="1"/>
    </xf>
    <xf numFmtId="1" fontId="98" fillId="0" borderId="10" xfId="10" applyNumberFormat="1" applyFont="1" applyBorder="1" applyAlignment="1">
      <alignment horizontal="center" vertical="top" wrapText="1"/>
    </xf>
    <xf numFmtId="165" fontId="98" fillId="0" borderId="10" xfId="0" applyNumberFormat="1" applyFont="1" applyBorder="1" applyAlignment="1">
      <alignment horizontal="center"/>
    </xf>
    <xf numFmtId="164" fontId="98" fillId="0" borderId="10" xfId="0" applyFont="1" applyBorder="1"/>
    <xf numFmtId="1" fontId="98" fillId="0" borderId="10" xfId="0" applyNumberFormat="1" applyFont="1" applyBorder="1" applyAlignment="1">
      <alignment horizontal="center"/>
    </xf>
    <xf numFmtId="2" fontId="98" fillId="0" borderId="10" xfId="0" applyNumberFormat="1" applyFont="1" applyBorder="1" applyAlignment="1"/>
    <xf numFmtId="2" fontId="100" fillId="0" borderId="10" xfId="0" applyNumberFormat="1" applyFont="1" applyBorder="1" applyAlignment="1"/>
    <xf numFmtId="2" fontId="98" fillId="0" borderId="10" xfId="10" applyNumberFormat="1" applyFont="1" applyBorder="1" applyAlignment="1">
      <alignment horizontal="center" vertical="center" wrapText="1"/>
    </xf>
    <xf numFmtId="164" fontId="98" fillId="0" borderId="34" xfId="0" applyFont="1" applyBorder="1" applyAlignment="1">
      <alignment horizontal="center" vertical="center"/>
    </xf>
    <xf numFmtId="164" fontId="11" fillId="0" borderId="0" xfId="0" applyFont="1" applyAlignment="1">
      <alignment horizontal="center" vertical="center"/>
    </xf>
    <xf numFmtId="2" fontId="98" fillId="0" borderId="10" xfId="10" applyNumberFormat="1" applyFont="1" applyBorder="1" applyAlignment="1">
      <alignment horizontal="center" wrapText="1"/>
    </xf>
    <xf numFmtId="2" fontId="98" fillId="0" borderId="0" xfId="10" applyNumberFormat="1" applyFont="1" applyBorder="1" applyAlignment="1">
      <alignment horizontal="center" wrapText="1"/>
    </xf>
    <xf numFmtId="0" fontId="100" fillId="0" borderId="10" xfId="0" applyNumberFormat="1" applyFont="1" applyFill="1" applyBorder="1" applyAlignment="1">
      <alignment horizontal="center" vertical="center" wrapText="1"/>
    </xf>
    <xf numFmtId="166" fontId="98" fillId="0" borderId="10" xfId="0" applyNumberFormat="1" applyFont="1" applyBorder="1"/>
    <xf numFmtId="164" fontId="98" fillId="9" borderId="10" xfId="0" applyFont="1" applyFill="1" applyBorder="1" applyAlignment="1">
      <alignment horizontal="left" vertical="center" wrapText="1"/>
    </xf>
    <xf numFmtId="0" fontId="75" fillId="0" borderId="35" xfId="0" applyNumberFormat="1" applyFont="1" applyBorder="1" applyAlignment="1">
      <alignment horizontal="center" vertical="center" wrapText="1"/>
    </xf>
    <xf numFmtId="0" fontId="75" fillId="0" borderId="35" xfId="0" applyNumberFormat="1" applyFont="1" applyBorder="1" applyAlignment="1">
      <alignment horizontal="center" vertical="center"/>
    </xf>
    <xf numFmtId="0" fontId="75" fillId="0" borderId="10" xfId="0" applyNumberFormat="1" applyFont="1" applyBorder="1" applyAlignment="1">
      <alignment horizontal="center" vertical="center" wrapText="1"/>
    </xf>
    <xf numFmtId="164" fontId="100" fillId="0" borderId="10" xfId="0" applyFont="1" applyBorder="1" applyAlignment="1">
      <alignment horizontal="center" vertical="center" wrapText="1"/>
    </xf>
    <xf numFmtId="164" fontId="98" fillId="0" borderId="10" xfId="0" applyNumberFormat="1" applyFont="1" applyBorder="1"/>
    <xf numFmtId="1" fontId="102" fillId="0" borderId="10" xfId="10" applyNumberFormat="1" applyFont="1" applyBorder="1" applyAlignment="1">
      <alignment horizontal="center" vertical="center" wrapText="1"/>
    </xf>
    <xf numFmtId="165" fontId="98" fillId="0" borderId="10" xfId="0" applyNumberFormat="1" applyFont="1" applyBorder="1" applyAlignment="1">
      <alignment horizontal="center" vertical="top"/>
    </xf>
    <xf numFmtId="164" fontId="74" fillId="0" borderId="10" xfId="0" applyFont="1" applyBorder="1" applyAlignment="1">
      <alignment horizontal="left" vertical="center" wrapText="1"/>
    </xf>
    <xf numFmtId="164" fontId="75" fillId="0" borderId="10" xfId="0" applyFont="1" applyBorder="1" applyAlignment="1">
      <alignment horizontal="center" vertical="center" wrapText="1"/>
    </xf>
    <xf numFmtId="165" fontId="74" fillId="0" borderId="10" xfId="0" applyNumberFormat="1" applyFont="1" applyBorder="1" applyAlignment="1">
      <alignment horizontal="left" vertical="center" wrapText="1"/>
    </xf>
    <xf numFmtId="0" fontId="75" fillId="0" borderId="10" xfId="0" applyNumberFormat="1" applyFont="1" applyBorder="1" applyAlignment="1">
      <alignment horizontal="center" vertical="center"/>
    </xf>
    <xf numFmtId="0" fontId="132" fillId="0" borderId="10" xfId="0" applyNumberFormat="1" applyFont="1" applyBorder="1" applyAlignment="1">
      <alignment horizontal="center" vertical="center" wrapText="1"/>
    </xf>
    <xf numFmtId="1" fontId="102" fillId="0" borderId="10" xfId="9" applyNumberFormat="1" applyFont="1" applyBorder="1" applyAlignment="1">
      <alignment horizontal="center" vertical="center" wrapText="1"/>
    </xf>
    <xf numFmtId="0" fontId="102" fillId="0" borderId="10" xfId="9" applyFont="1" applyBorder="1" applyAlignment="1">
      <alignment vertical="center" wrapText="1"/>
    </xf>
    <xf numFmtId="171" fontId="102" fillId="0" borderId="10" xfId="9" applyNumberFormat="1" applyFont="1" applyBorder="1" applyAlignment="1">
      <alignment vertical="center" wrapText="1"/>
    </xf>
    <xf numFmtId="2" fontId="102" fillId="0" borderId="10" xfId="9" applyNumberFormat="1" applyFont="1" applyBorder="1" applyAlignment="1">
      <alignment vertical="center" wrapText="1"/>
    </xf>
    <xf numFmtId="0" fontId="133" fillId="9" borderId="10" xfId="9" applyFont="1" applyFill="1" applyBorder="1" applyAlignment="1">
      <alignment horizontal="center" vertical="center" wrapText="1"/>
    </xf>
    <xf numFmtId="2" fontId="76" fillId="0" borderId="10" xfId="9" applyNumberFormat="1" applyFont="1" applyBorder="1" applyAlignment="1">
      <alignment vertical="center" wrapText="1"/>
    </xf>
    <xf numFmtId="0" fontId="102" fillId="0" borderId="10" xfId="9" applyFont="1" applyBorder="1" applyAlignment="1">
      <alignment horizontal="left" vertical="center" wrapText="1"/>
    </xf>
    <xf numFmtId="172" fontId="98" fillId="0" borderId="10" xfId="0" applyNumberFormat="1" applyFont="1" applyBorder="1" applyAlignment="1">
      <alignment horizontal="center"/>
    </xf>
    <xf numFmtId="164" fontId="98" fillId="0" borderId="10" xfId="0" applyNumberFormat="1" applyFont="1" applyBorder="1" applyAlignment="1">
      <alignment horizontal="center"/>
    </xf>
    <xf numFmtId="166" fontId="98" fillId="0" borderId="10" xfId="0" applyNumberFormat="1" applyFont="1" applyBorder="1" applyAlignment="1">
      <alignment horizontal="center"/>
    </xf>
    <xf numFmtId="164" fontId="0" fillId="8" borderId="0" xfId="0" applyFill="1"/>
    <xf numFmtId="164" fontId="0" fillId="8" borderId="0" xfId="0" applyFill="1" applyAlignment="1">
      <alignment vertical="center"/>
    </xf>
    <xf numFmtId="1" fontId="130" fillId="9" borderId="10" xfId="10" applyNumberFormat="1" applyFont="1" applyFill="1" applyBorder="1" applyAlignment="1">
      <alignment horizontal="center" vertical="center" wrapText="1"/>
    </xf>
    <xf numFmtId="0" fontId="98" fillId="9" borderId="10" xfId="0" applyNumberFormat="1" applyFont="1" applyFill="1" applyBorder="1" applyAlignment="1">
      <alignment horizontal="left" vertical="center" wrapText="1"/>
    </xf>
    <xf numFmtId="1" fontId="98" fillId="9" borderId="10" xfId="0" applyNumberFormat="1" applyFont="1" applyFill="1" applyBorder="1" applyAlignment="1">
      <alignment horizontal="center"/>
    </xf>
    <xf numFmtId="165" fontId="98" fillId="9" borderId="10" xfId="0" applyNumberFormat="1" applyFont="1" applyFill="1" applyBorder="1" applyAlignment="1">
      <alignment horizontal="center"/>
    </xf>
    <xf numFmtId="164" fontId="98" fillId="9" borderId="10" xfId="0" applyFont="1" applyFill="1" applyBorder="1"/>
    <xf numFmtId="164" fontId="0" fillId="9" borderId="0" xfId="0" applyFill="1"/>
    <xf numFmtId="166" fontId="98" fillId="9" borderId="10" xfId="0" applyNumberFormat="1" applyFont="1" applyFill="1" applyBorder="1"/>
    <xf numFmtId="2" fontId="98" fillId="9" borderId="10" xfId="10" applyNumberFormat="1" applyFont="1" applyFill="1" applyBorder="1" applyAlignment="1">
      <alignment vertical="center" wrapText="1"/>
    </xf>
    <xf numFmtId="164" fontId="100" fillId="9" borderId="10" xfId="0" applyFont="1" applyFill="1" applyBorder="1"/>
    <xf numFmtId="2" fontId="100" fillId="9" borderId="10" xfId="0" applyNumberFormat="1" applyFont="1" applyFill="1" applyBorder="1" applyAlignment="1"/>
    <xf numFmtId="2" fontId="98" fillId="9" borderId="10" xfId="0" applyNumberFormat="1" applyFont="1" applyFill="1" applyBorder="1" applyAlignment="1"/>
    <xf numFmtId="164" fontId="98" fillId="9" borderId="10" xfId="0" applyNumberFormat="1" applyFont="1" applyFill="1" applyBorder="1" applyAlignment="1">
      <alignment horizontal="center"/>
    </xf>
    <xf numFmtId="172" fontId="100" fillId="9" borderId="10" xfId="0" applyNumberFormat="1" applyFont="1" applyFill="1" applyBorder="1" applyAlignment="1"/>
    <xf numFmtId="165" fontId="98" fillId="0" borderId="10" xfId="0" applyNumberFormat="1" applyFont="1" applyBorder="1"/>
    <xf numFmtId="166" fontId="100" fillId="0" borderId="10" xfId="0" applyNumberFormat="1" applyFont="1" applyBorder="1"/>
    <xf numFmtId="165" fontId="0" fillId="8" borderId="0" xfId="0" applyNumberFormat="1" applyFill="1"/>
    <xf numFmtId="165" fontId="0" fillId="0" borderId="0" xfId="0" applyNumberFormat="1"/>
    <xf numFmtId="164" fontId="98" fillId="9" borderId="10" xfId="0" applyNumberFormat="1" applyFont="1" applyFill="1" applyBorder="1"/>
    <xf numFmtId="0" fontId="75" fillId="0" borderId="0" xfId="5" applyFont="1" applyBorder="1" applyAlignment="1">
      <alignment horizontal="left"/>
    </xf>
    <xf numFmtId="0" fontId="74" fillId="0" borderId="0" xfId="5" applyFont="1"/>
    <xf numFmtId="0" fontId="74" fillId="0" borderId="0" xfId="5" applyFont="1" applyAlignment="1">
      <alignment horizontal="center" vertical="center"/>
    </xf>
    <xf numFmtId="0" fontId="75" fillId="0" borderId="0" xfId="5" applyFont="1" applyBorder="1" applyAlignment="1">
      <alignment horizontal="left" vertical="center"/>
    </xf>
    <xf numFmtId="0" fontId="74" fillId="0" borderId="0" xfId="5" applyFont="1" applyAlignment="1">
      <alignment vertical="center"/>
    </xf>
    <xf numFmtId="0" fontId="74" fillId="0" borderId="0" xfId="5" applyFont="1" applyAlignment="1"/>
    <xf numFmtId="0" fontId="134" fillId="0" borderId="0" xfId="5" applyFont="1" applyBorder="1" applyAlignment="1">
      <alignment horizontal="left"/>
    </xf>
    <xf numFmtId="0" fontId="135" fillId="0" borderId="0" xfId="5" applyFont="1"/>
    <xf numFmtId="0" fontId="136" fillId="0" borderId="0" xfId="5" applyFont="1" applyFill="1" applyBorder="1" applyAlignment="1">
      <alignment horizontal="center" vertical="top"/>
    </xf>
    <xf numFmtId="2" fontId="136" fillId="0" borderId="0" xfId="5" applyNumberFormat="1" applyFont="1" applyFill="1" applyBorder="1" applyAlignment="1">
      <alignment horizontal="right" vertical="top"/>
    </xf>
    <xf numFmtId="2" fontId="132" fillId="0" borderId="0" xfId="5" applyNumberFormat="1" applyFont="1" applyFill="1" applyBorder="1" applyAlignment="1">
      <alignment horizontal="right" vertical="top"/>
    </xf>
    <xf numFmtId="0" fontId="75" fillId="0" borderId="0" xfId="5" applyFont="1" applyFill="1" applyAlignment="1">
      <alignment horizontal="left"/>
    </xf>
    <xf numFmtId="0" fontId="74" fillId="0" borderId="0" xfId="5" applyFont="1" applyFill="1"/>
    <xf numFmtId="0" fontId="136" fillId="0" borderId="0" xfId="5" applyFont="1" applyBorder="1" applyAlignment="1">
      <alignment horizontal="center" vertical="top"/>
    </xf>
    <xf numFmtId="2" fontId="136" fillId="0" borderId="0" xfId="5" applyNumberFormat="1" applyFont="1" applyBorder="1" applyAlignment="1">
      <alignment horizontal="right" vertical="top"/>
    </xf>
    <xf numFmtId="2" fontId="132" fillId="0" borderId="0" xfId="5" applyNumberFormat="1" applyFont="1" applyBorder="1" applyAlignment="1">
      <alignment horizontal="right" vertical="top"/>
    </xf>
    <xf numFmtId="0" fontId="75" fillId="0" borderId="0" xfId="5" applyFont="1" applyAlignment="1">
      <alignment horizontal="left"/>
    </xf>
    <xf numFmtId="2" fontId="136" fillId="0" borderId="0" xfId="5" applyNumberFormat="1" applyFont="1" applyBorder="1" applyAlignment="1">
      <alignment vertical="center"/>
    </xf>
    <xf numFmtId="0" fontId="104" fillId="0" borderId="0" xfId="5" applyFont="1" applyBorder="1" applyAlignment="1">
      <alignment vertical="top"/>
    </xf>
    <xf numFmtId="0" fontId="74" fillId="0" borderId="0" xfId="5" applyFont="1" applyAlignment="1">
      <alignment vertical="top"/>
    </xf>
    <xf numFmtId="0" fontId="74" fillId="0" borderId="0" xfId="5" applyFont="1" applyBorder="1" applyAlignment="1">
      <alignment vertical="top"/>
    </xf>
    <xf numFmtId="0" fontId="74" fillId="0" borderId="0" xfId="5" applyFont="1" applyBorder="1"/>
    <xf numFmtId="0" fontId="98" fillId="0" borderId="0" xfId="0" applyNumberFormat="1" applyFont="1" applyFill="1" applyBorder="1"/>
    <xf numFmtId="0" fontId="100" fillId="0" borderId="1" xfId="0" applyNumberFormat="1" applyFont="1" applyFill="1" applyBorder="1" applyAlignment="1">
      <alignment horizontal="center" vertical="center"/>
    </xf>
    <xf numFmtId="0" fontId="100" fillId="0" borderId="0" xfId="0" applyNumberFormat="1" applyFont="1" applyFill="1" applyBorder="1"/>
    <xf numFmtId="0" fontId="76" fillId="0" borderId="1" xfId="0" applyNumberFormat="1" applyFont="1" applyFill="1" applyBorder="1" applyAlignment="1">
      <alignment horizontal="center"/>
    </xf>
    <xf numFmtId="0" fontId="76" fillId="0" borderId="1" xfId="0" applyNumberFormat="1" applyFont="1" applyFill="1" applyBorder="1" applyAlignment="1">
      <alignment horizontal="left" vertical="center"/>
    </xf>
    <xf numFmtId="0" fontId="102" fillId="0" borderId="1" xfId="0" applyNumberFormat="1" applyFont="1" applyFill="1" applyBorder="1" applyAlignment="1">
      <alignment horizontal="center"/>
    </xf>
    <xf numFmtId="0" fontId="102" fillId="0" borderId="1" xfId="0" applyNumberFormat="1" applyFont="1" applyFill="1" applyBorder="1" applyAlignment="1">
      <alignment horizontal="center" vertical="center"/>
    </xf>
    <xf numFmtId="2" fontId="102" fillId="0" borderId="1" xfId="0" applyNumberFormat="1" applyFont="1" applyFill="1" applyBorder="1" applyAlignment="1">
      <alignment horizontal="center" vertical="center"/>
    </xf>
    <xf numFmtId="2" fontId="102" fillId="0" borderId="1" xfId="0" applyNumberFormat="1" applyFont="1" applyFill="1" applyBorder="1"/>
    <xf numFmtId="0" fontId="102" fillId="0" borderId="0" xfId="0" applyNumberFormat="1" applyFont="1" applyFill="1" applyBorder="1"/>
    <xf numFmtId="0" fontId="98" fillId="0" borderId="1" xfId="0" applyNumberFormat="1" applyFont="1" applyFill="1" applyBorder="1"/>
    <xf numFmtId="0" fontId="98" fillId="0" borderId="1" xfId="0" applyNumberFormat="1" applyFont="1" applyFill="1" applyBorder="1" applyAlignment="1">
      <alignment horizontal="left" vertical="center"/>
    </xf>
    <xf numFmtId="0" fontId="98" fillId="0" borderId="1" xfId="0" applyNumberFormat="1" applyFont="1" applyFill="1" applyBorder="1" applyAlignment="1">
      <alignment horizontal="center"/>
    </xf>
    <xf numFmtId="0" fontId="98" fillId="0" borderId="1" xfId="0" applyNumberFormat="1" applyFont="1" applyFill="1" applyBorder="1" applyAlignment="1">
      <alignment horizontal="center" vertical="center"/>
    </xf>
    <xf numFmtId="2" fontId="98" fillId="0" borderId="1" xfId="0" applyNumberFormat="1" applyFont="1" applyFill="1" applyBorder="1" applyAlignment="1">
      <alignment horizontal="center" vertical="center"/>
    </xf>
    <xf numFmtId="2" fontId="98" fillId="0" borderId="1" xfId="0" applyNumberFormat="1" applyFont="1" applyFill="1" applyBorder="1"/>
    <xf numFmtId="0" fontId="100" fillId="0" borderId="1" xfId="0" applyNumberFormat="1" applyFont="1" applyFill="1" applyBorder="1" applyAlignment="1">
      <alignment horizontal="left" vertical="center" wrapText="1"/>
    </xf>
    <xf numFmtId="2" fontId="98" fillId="0" borderId="1" xfId="0" applyNumberFormat="1" applyFont="1" applyFill="1" applyBorder="1" applyAlignment="1">
      <alignment vertical="top"/>
    </xf>
    <xf numFmtId="2" fontId="98" fillId="0" borderId="1" xfId="0" applyNumberFormat="1" applyFont="1" applyFill="1" applyBorder="1" applyAlignment="1">
      <alignment horizontal="center" vertical="top"/>
    </xf>
    <xf numFmtId="0" fontId="98" fillId="0" borderId="0" xfId="0" applyNumberFormat="1" applyFont="1" applyFill="1" applyBorder="1" applyAlignment="1">
      <alignment vertical="top"/>
    </xf>
    <xf numFmtId="0" fontId="98" fillId="0" borderId="1" xfId="0" applyNumberFormat="1" applyFont="1" applyFill="1" applyBorder="1" applyAlignment="1">
      <alignment vertical="center"/>
    </xf>
    <xf numFmtId="0" fontId="100" fillId="0" borderId="1" xfId="0" applyNumberFormat="1" applyFont="1" applyFill="1" applyBorder="1" applyAlignment="1">
      <alignment horizontal="left" vertical="center"/>
    </xf>
    <xf numFmtId="2" fontId="74" fillId="0" borderId="1" xfId="0" applyNumberFormat="1" applyFont="1" applyFill="1" applyBorder="1" applyAlignment="1">
      <alignment vertical="center"/>
    </xf>
    <xf numFmtId="2" fontId="98" fillId="0" borderId="1" xfId="0" applyNumberFormat="1" applyFont="1" applyFill="1" applyBorder="1" applyAlignment="1">
      <alignment vertical="center"/>
    </xf>
    <xf numFmtId="0" fontId="98" fillId="0" borderId="0" xfId="0" applyNumberFormat="1" applyFont="1" applyFill="1" applyBorder="1" applyAlignment="1">
      <alignment vertical="center"/>
    </xf>
    <xf numFmtId="172" fontId="98" fillId="0" borderId="1" xfId="0" applyNumberFormat="1" applyFont="1" applyFill="1" applyBorder="1" applyAlignment="1">
      <alignment horizontal="center" vertical="center"/>
    </xf>
    <xf numFmtId="172" fontId="98" fillId="0" borderId="1" xfId="0" applyNumberFormat="1" applyFont="1" applyBorder="1" applyAlignment="1">
      <alignment horizontal="center" vertical="center"/>
    </xf>
    <xf numFmtId="2" fontId="75" fillId="0" borderId="1" xfId="0" applyNumberFormat="1" applyFont="1" applyFill="1" applyBorder="1" applyAlignment="1">
      <alignment vertical="center"/>
    </xf>
    <xf numFmtId="0" fontId="100" fillId="0" borderId="1" xfId="0" applyNumberFormat="1" applyFont="1" applyFill="1" applyBorder="1" applyAlignment="1">
      <alignment vertical="center"/>
    </xf>
    <xf numFmtId="2" fontId="100" fillId="0" borderId="1" xfId="0" applyNumberFormat="1" applyFont="1" applyFill="1" applyBorder="1" applyAlignment="1">
      <alignment horizontal="center" vertical="center"/>
    </xf>
    <xf numFmtId="0" fontId="100" fillId="0" borderId="0" xfId="0" applyNumberFormat="1" applyFont="1" applyFill="1" applyBorder="1" applyAlignment="1">
      <alignment vertical="center"/>
    </xf>
    <xf numFmtId="0" fontId="137" fillId="0" borderId="0" xfId="0" applyNumberFormat="1" applyFont="1" applyFill="1"/>
    <xf numFmtId="172" fontId="137" fillId="0" borderId="0" xfId="0" applyNumberFormat="1" applyFont="1" applyFill="1"/>
    <xf numFmtId="0" fontId="106" fillId="0" borderId="0" xfId="0" applyNumberFormat="1" applyFont="1" applyBorder="1" applyAlignment="1">
      <alignment vertical="center" wrapText="1"/>
    </xf>
    <xf numFmtId="164" fontId="74" fillId="0" borderId="0" xfId="0" applyFont="1" applyBorder="1" applyAlignment="1">
      <alignment vertical="center"/>
    </xf>
    <xf numFmtId="0" fontId="76" fillId="0" borderId="0" xfId="0" applyNumberFormat="1" applyFont="1" applyBorder="1" applyAlignment="1">
      <alignment horizontal="center" vertical="center"/>
    </xf>
    <xf numFmtId="0" fontId="76" fillId="0" borderId="10" xfId="0" applyNumberFormat="1" applyFont="1" applyBorder="1" applyAlignment="1">
      <alignment horizontal="center" vertical="center"/>
    </xf>
    <xf numFmtId="164" fontId="98" fillId="0" borderId="0" xfId="0" applyFont="1" applyBorder="1" applyAlignment="1">
      <alignment vertical="center"/>
    </xf>
    <xf numFmtId="2" fontId="102" fillId="0" borderId="10" xfId="11" applyNumberFormat="1" applyFont="1" applyBorder="1" applyAlignment="1">
      <alignment vertical="center" wrapText="1"/>
    </xf>
    <xf numFmtId="1" fontId="102" fillId="0" borderId="10" xfId="11" applyNumberFormat="1" applyFont="1" applyBorder="1" applyAlignment="1">
      <alignment horizontal="center" vertical="center" wrapText="1"/>
    </xf>
    <xf numFmtId="165" fontId="102" fillId="0" borderId="10" xfId="0" applyNumberFormat="1" applyFont="1" applyBorder="1" applyAlignment="1">
      <alignment horizontal="center" vertical="center"/>
    </xf>
    <xf numFmtId="164" fontId="102" fillId="0" borderId="10" xfId="0" applyFont="1" applyBorder="1" applyAlignment="1">
      <alignment vertical="center"/>
    </xf>
    <xf numFmtId="2" fontId="76" fillId="0" borderId="10" xfId="11" applyNumberFormat="1" applyFont="1" applyBorder="1" applyAlignment="1">
      <alignment vertical="center" wrapText="1"/>
    </xf>
    <xf numFmtId="1" fontId="102" fillId="0" borderId="10" xfId="0" applyNumberFormat="1" applyFont="1" applyBorder="1" applyAlignment="1">
      <alignment horizontal="center" vertical="center"/>
    </xf>
    <xf numFmtId="164" fontId="76" fillId="0" borderId="10" xfId="0" applyFont="1" applyBorder="1" applyAlignment="1">
      <alignment horizontal="right" vertical="center"/>
    </xf>
    <xf numFmtId="164" fontId="76" fillId="0" borderId="10" xfId="0" applyFont="1" applyBorder="1" applyAlignment="1">
      <alignment vertical="center"/>
    </xf>
    <xf numFmtId="164" fontId="102" fillId="0" borderId="10" xfId="0" applyFont="1" applyBorder="1" applyAlignment="1">
      <alignment horizontal="right" vertical="center"/>
    </xf>
    <xf numFmtId="164" fontId="102" fillId="0" borderId="10" xfId="0" applyFont="1" applyBorder="1" applyAlignment="1">
      <alignment horizontal="justify" vertical="center"/>
    </xf>
    <xf numFmtId="164" fontId="76" fillId="0" borderId="10" xfId="0" applyFont="1" applyFill="1" applyBorder="1" applyAlignment="1">
      <alignment horizontal="right" vertical="center"/>
    </xf>
    <xf numFmtId="164" fontId="76" fillId="0" borderId="10" xfId="0" applyFont="1" applyFill="1" applyBorder="1" applyAlignment="1">
      <alignment vertical="center"/>
    </xf>
    <xf numFmtId="164" fontId="98" fillId="0" borderId="0" xfId="0" applyFont="1" applyFill="1" applyBorder="1" applyAlignment="1">
      <alignment vertical="center"/>
    </xf>
    <xf numFmtId="164" fontId="76" fillId="0" borderId="10" xfId="0" applyFont="1" applyBorder="1" applyAlignment="1">
      <alignment horizontal="justify" vertical="center"/>
    </xf>
    <xf numFmtId="164" fontId="102" fillId="0" borderId="10" xfId="0" applyFont="1" applyFill="1" applyBorder="1" applyAlignment="1">
      <alignment vertical="center"/>
    </xf>
    <xf numFmtId="164" fontId="74" fillId="0" borderId="0" xfId="0" applyFont="1" applyFill="1" applyBorder="1" applyAlignment="1">
      <alignment vertical="center"/>
    </xf>
    <xf numFmtId="164" fontId="76" fillId="0" borderId="10" xfId="0" applyFont="1" applyFill="1" applyBorder="1" applyAlignment="1">
      <alignment horizontal="justify" vertical="center"/>
    </xf>
    <xf numFmtId="165" fontId="102" fillId="0" borderId="10" xfId="0" applyNumberFormat="1" applyFont="1" applyFill="1" applyBorder="1" applyAlignment="1">
      <alignment horizontal="center" vertical="center"/>
    </xf>
    <xf numFmtId="164" fontId="102" fillId="0" borderId="10" xfId="0" applyFont="1" applyFill="1" applyBorder="1" applyAlignment="1">
      <alignment horizontal="justify" vertical="center"/>
    </xf>
    <xf numFmtId="164" fontId="74" fillId="0" borderId="10" xfId="0" applyFont="1" applyBorder="1" applyAlignment="1">
      <alignment vertical="center"/>
    </xf>
    <xf numFmtId="1" fontId="74" fillId="0" borderId="10" xfId="0" applyNumberFormat="1" applyFont="1" applyBorder="1" applyAlignment="1">
      <alignment horizontal="center" vertical="center"/>
    </xf>
    <xf numFmtId="165" fontId="74" fillId="0" borderId="10" xfId="0" applyNumberFormat="1" applyFont="1" applyBorder="1" applyAlignment="1">
      <alignment horizontal="center" vertical="center"/>
    </xf>
    <xf numFmtId="164" fontId="102" fillId="0" borderId="10" xfId="0" applyFont="1" applyFill="1" applyBorder="1" applyAlignment="1">
      <alignment horizontal="right" vertical="center"/>
    </xf>
    <xf numFmtId="1" fontId="74" fillId="0" borderId="0" xfId="0" applyNumberFormat="1" applyFont="1" applyBorder="1" applyAlignment="1">
      <alignment horizontal="center" vertical="center"/>
    </xf>
    <xf numFmtId="165" fontId="74" fillId="0" borderId="0" xfId="0" applyNumberFormat="1" applyFont="1" applyBorder="1" applyAlignment="1">
      <alignment horizontal="center" vertical="center"/>
    </xf>
    <xf numFmtId="164" fontId="74" fillId="0" borderId="0" xfId="0" applyFont="1" applyAlignment="1">
      <alignment vertical="center"/>
    </xf>
    <xf numFmtId="165" fontId="76" fillId="0" borderId="0" xfId="0" applyNumberFormat="1" applyFont="1" applyBorder="1" applyAlignment="1">
      <alignment horizontal="center" vertical="center"/>
    </xf>
    <xf numFmtId="165" fontId="102" fillId="0" borderId="10" xfId="11" applyNumberFormat="1" applyFont="1" applyBorder="1" applyAlignment="1">
      <alignment horizontal="center" vertical="center" wrapText="1"/>
    </xf>
    <xf numFmtId="165" fontId="102" fillId="0" borderId="10" xfId="0" applyNumberFormat="1" applyFont="1" applyFill="1" applyBorder="1" applyAlignment="1">
      <alignment horizontal="center" vertical="center" wrapText="1"/>
    </xf>
    <xf numFmtId="164" fontId="0" fillId="0" borderId="0" xfId="0" applyFill="1"/>
    <xf numFmtId="164" fontId="0" fillId="0" borderId="0" xfId="0" applyFill="1" applyAlignment="1">
      <alignment wrapText="1"/>
    </xf>
    <xf numFmtId="0" fontId="110" fillId="0" borderId="0" xfId="1"/>
    <xf numFmtId="0" fontId="106" fillId="0" borderId="10" xfId="5" applyFont="1" applyBorder="1" applyAlignment="1">
      <alignment horizontal="center" vertical="center"/>
    </xf>
    <xf numFmtId="0" fontId="101" fillId="0" borderId="10" xfId="1" applyFont="1" applyBorder="1" applyAlignment="1">
      <alignment horizontal="center" vertical="center" wrapText="1"/>
    </xf>
    <xf numFmtId="2" fontId="101" fillId="0" borderId="10" xfId="1" applyNumberFormat="1" applyFont="1" applyBorder="1" applyAlignment="1">
      <alignment horizontal="center" vertical="center" wrapText="1"/>
    </xf>
    <xf numFmtId="0" fontId="101" fillId="0" borderId="10" xfId="1" applyFont="1" applyFill="1" applyBorder="1" applyAlignment="1">
      <alignment horizontal="justify" vertical="top" wrapText="1"/>
    </xf>
    <xf numFmtId="2" fontId="101" fillId="0" borderId="10" xfId="1" applyNumberFormat="1" applyFont="1" applyFill="1" applyBorder="1" applyAlignment="1">
      <alignment horizontal="center" vertical="center"/>
    </xf>
    <xf numFmtId="0" fontId="101" fillId="0" borderId="10" xfId="1" applyFont="1" applyBorder="1" applyAlignment="1">
      <alignment horizontal="center" vertical="center"/>
    </xf>
    <xf numFmtId="2" fontId="101" fillId="0" borderId="10" xfId="1" applyNumberFormat="1" applyFont="1" applyBorder="1" applyAlignment="1">
      <alignment horizontal="center" vertical="center"/>
    </xf>
    <xf numFmtId="2" fontId="138" fillId="0" borderId="10" xfId="1" applyNumberFormat="1" applyFont="1" applyBorder="1" applyAlignment="1">
      <alignment horizontal="center" vertical="center"/>
    </xf>
    <xf numFmtId="0" fontId="101" fillId="0" borderId="10" xfId="1" applyFont="1" applyFill="1" applyBorder="1" applyAlignment="1">
      <alignment horizontal="left" vertical="top" wrapText="1"/>
    </xf>
    <xf numFmtId="0" fontId="101" fillId="0" borderId="10" xfId="5" applyFont="1" applyFill="1" applyBorder="1" applyAlignment="1">
      <alignment horizontal="left" vertical="center"/>
    </xf>
    <xf numFmtId="0" fontId="101" fillId="0" borderId="10" xfId="1" applyFont="1" applyFill="1" applyBorder="1" applyAlignment="1">
      <alignment horizontal="center" vertical="center"/>
    </xf>
    <xf numFmtId="171" fontId="101" fillId="0" borderId="10" xfId="10" applyNumberFormat="1" applyFont="1" applyFill="1" applyBorder="1" applyAlignment="1">
      <alignment horizontal="justify" vertical="top" wrapText="1"/>
    </xf>
    <xf numFmtId="2" fontId="101" fillId="0" borderId="10" xfId="1" applyNumberFormat="1" applyFont="1" applyFill="1" applyBorder="1" applyAlignment="1">
      <alignment horizontal="right" vertical="center"/>
    </xf>
    <xf numFmtId="0" fontId="101" fillId="0" borderId="10" xfId="1" applyFont="1" applyFill="1" applyBorder="1" applyAlignment="1">
      <alignment horizontal="right" vertical="center"/>
    </xf>
    <xf numFmtId="0" fontId="101" fillId="0" borderId="10" xfId="1" applyFont="1" applyFill="1" applyBorder="1" applyAlignment="1">
      <alignment horizontal="left" vertical="center"/>
    </xf>
    <xf numFmtId="0" fontId="106" fillId="0" borderId="10" xfId="1" applyFont="1" applyFill="1" applyBorder="1" applyAlignment="1">
      <alignment horizontal="right" vertical="center"/>
    </xf>
    <xf numFmtId="2" fontId="106" fillId="0" borderId="10" xfId="1" applyNumberFormat="1" applyFont="1" applyFill="1" applyBorder="1" applyAlignment="1">
      <alignment horizontal="right" vertical="center"/>
    </xf>
    <xf numFmtId="0" fontId="106" fillId="0" borderId="10" xfId="1" applyFont="1" applyFill="1" applyBorder="1" applyAlignment="1">
      <alignment horizontal="left" vertical="center"/>
    </xf>
    <xf numFmtId="0" fontId="101" fillId="0" borderId="10" xfId="1" applyFont="1" applyBorder="1" applyAlignment="1">
      <alignment horizontal="left" vertical="center" wrapText="1"/>
    </xf>
    <xf numFmtId="0" fontId="74" fillId="0" borderId="10" xfId="1" applyFont="1" applyFill="1" applyBorder="1" applyAlignment="1">
      <alignment horizontal="center" vertical="top"/>
    </xf>
    <xf numFmtId="0" fontId="101" fillId="0" borderId="10" xfId="1" applyFont="1" applyFill="1" applyBorder="1" applyAlignment="1">
      <alignment horizontal="left" vertical="center" wrapText="1"/>
    </xf>
    <xf numFmtId="0" fontId="101" fillId="0" borderId="10" xfId="1" applyFont="1" applyFill="1" applyBorder="1" applyAlignment="1">
      <alignment horizontal="center" vertical="top"/>
    </xf>
    <xf numFmtId="2" fontId="101" fillId="0" borderId="10" xfId="1" applyNumberFormat="1" applyFont="1" applyFill="1" applyBorder="1" applyAlignment="1">
      <alignment horizontal="right" vertical="top"/>
    </xf>
    <xf numFmtId="0" fontId="101" fillId="0" borderId="10" xfId="1" applyFont="1" applyFill="1" applyBorder="1" applyAlignment="1">
      <alignment horizontal="right" vertical="top"/>
    </xf>
    <xf numFmtId="2" fontId="106" fillId="0" borderId="10" xfId="1" applyNumberFormat="1" applyFont="1" applyFill="1" applyBorder="1" applyAlignment="1">
      <alignment horizontal="right" vertical="top"/>
    </xf>
    <xf numFmtId="0" fontId="106" fillId="0" borderId="10" xfId="1" applyFont="1" applyFill="1" applyBorder="1" applyAlignment="1">
      <alignment horizontal="left" vertical="top"/>
    </xf>
    <xf numFmtId="2" fontId="101" fillId="0" borderId="10" xfId="1" applyNumberFormat="1" applyFont="1" applyFill="1" applyBorder="1" applyAlignment="1">
      <alignment horizontal="center" vertical="top"/>
    </xf>
    <xf numFmtId="0" fontId="101" fillId="0" borderId="10" xfId="1" applyFont="1" applyFill="1" applyBorder="1" applyAlignment="1">
      <alignment horizontal="left" vertical="top"/>
    </xf>
    <xf numFmtId="0" fontId="101" fillId="0" borderId="10" xfId="1" applyFont="1" applyBorder="1" applyAlignment="1">
      <alignment horizontal="left" vertical="center"/>
    </xf>
    <xf numFmtId="0" fontId="101" fillId="0" borderId="10" xfId="1" applyFont="1" applyFill="1" applyBorder="1" applyAlignment="1">
      <alignment horizontal="justify" vertical="center" wrapText="1"/>
    </xf>
    <xf numFmtId="0" fontId="101" fillId="0" borderId="10" xfId="1" applyFont="1" applyFill="1" applyBorder="1" applyAlignment="1">
      <alignment vertical="top"/>
    </xf>
    <xf numFmtId="2" fontId="106" fillId="0" borderId="10" xfId="1" applyNumberFormat="1" applyFont="1" applyFill="1" applyBorder="1" applyAlignment="1">
      <alignment horizontal="center" vertical="top" wrapText="1"/>
    </xf>
    <xf numFmtId="0" fontId="106" fillId="0" borderId="10" xfId="1" applyFont="1" applyFill="1" applyBorder="1" applyAlignment="1">
      <alignment vertical="top"/>
    </xf>
    <xf numFmtId="2" fontId="106" fillId="0" borderId="10" xfId="1" applyNumberFormat="1" applyFont="1" applyFill="1" applyBorder="1" applyAlignment="1">
      <alignment horizontal="center" vertical="top"/>
    </xf>
    <xf numFmtId="0" fontId="106" fillId="0" borderId="10" xfId="1" applyFont="1" applyFill="1" applyBorder="1" applyAlignment="1">
      <alignment horizontal="center" vertical="top"/>
    </xf>
    <xf numFmtId="2" fontId="101" fillId="0" borderId="10" xfId="1" applyNumberFormat="1" applyFont="1" applyFill="1" applyBorder="1" applyAlignment="1">
      <alignment vertical="top"/>
    </xf>
    <xf numFmtId="2" fontId="106" fillId="0" borderId="10" xfId="1" applyNumberFormat="1" applyFont="1" applyFill="1" applyBorder="1" applyAlignment="1">
      <alignment vertical="top"/>
    </xf>
    <xf numFmtId="0" fontId="110" fillId="8" borderId="0" xfId="1" applyFill="1"/>
    <xf numFmtId="0" fontId="110" fillId="0" borderId="0" xfId="1" applyAlignment="1">
      <alignment vertical="center"/>
    </xf>
    <xf numFmtId="0" fontId="139" fillId="0" borderId="10" xfId="1" applyFont="1" applyBorder="1" applyAlignment="1">
      <alignment horizontal="left" vertical="center" wrapText="1"/>
    </xf>
    <xf numFmtId="0" fontId="139" fillId="0" borderId="10" xfId="1" applyFont="1" applyFill="1" applyBorder="1" applyAlignment="1">
      <alignment horizontal="left" vertical="center" wrapText="1"/>
    </xf>
    <xf numFmtId="2" fontId="101" fillId="0" borderId="10" xfId="1" applyNumberFormat="1" applyFont="1" applyFill="1" applyBorder="1" applyAlignment="1">
      <alignment horizontal="left" vertical="center"/>
    </xf>
    <xf numFmtId="2" fontId="101" fillId="0" borderId="10" xfId="1" applyNumberFormat="1" applyFont="1" applyBorder="1" applyAlignment="1">
      <alignment horizontal="left" vertical="center"/>
    </xf>
    <xf numFmtId="0" fontId="110" fillId="0" borderId="0" xfId="1" applyAlignment="1">
      <alignment horizontal="left"/>
    </xf>
    <xf numFmtId="0" fontId="101" fillId="0" borderId="10" xfId="5" applyFont="1" applyBorder="1" applyAlignment="1">
      <alignment horizontal="left" vertical="center"/>
    </xf>
    <xf numFmtId="2" fontId="101" fillId="0" borderId="10" xfId="5" applyNumberFormat="1" applyFont="1" applyBorder="1" applyAlignment="1">
      <alignment horizontal="left" vertical="center"/>
    </xf>
    <xf numFmtId="0" fontId="106" fillId="0" borderId="0" xfId="5" applyFont="1" applyBorder="1" applyAlignment="1">
      <alignment horizontal="left" vertical="center"/>
    </xf>
    <xf numFmtId="0" fontId="106" fillId="0" borderId="0" xfId="5" applyFont="1" applyFill="1" applyBorder="1" applyAlignment="1">
      <alignment horizontal="left" vertical="center" wrapText="1"/>
    </xf>
    <xf numFmtId="2" fontId="106" fillId="0" borderId="0" xfId="5" applyNumberFormat="1" applyFont="1" applyBorder="1" applyAlignment="1">
      <alignment horizontal="left" vertical="center"/>
    </xf>
    <xf numFmtId="0" fontId="101" fillId="0" borderId="0" xfId="5" applyFont="1" applyBorder="1" applyAlignment="1">
      <alignment horizontal="left" vertical="center"/>
    </xf>
    <xf numFmtId="0" fontId="110" fillId="0" borderId="0" xfId="1" applyAlignment="1">
      <alignment horizontal="left" vertical="center"/>
    </xf>
    <xf numFmtId="0" fontId="106" fillId="0" borderId="10" xfId="5" applyFont="1" applyFill="1" applyBorder="1" applyAlignment="1">
      <alignment horizontal="center" vertical="center" wrapText="1"/>
    </xf>
    <xf numFmtId="0" fontId="101" fillId="0" borderId="10" xfId="7" applyFont="1" applyFill="1" applyBorder="1" applyAlignment="1">
      <alignment horizontal="center" vertical="center" wrapText="1"/>
    </xf>
    <xf numFmtId="0" fontId="101" fillId="0" borderId="10" xfId="1" applyFont="1" applyFill="1" applyBorder="1" applyAlignment="1">
      <alignment horizontal="justify" vertical="top"/>
    </xf>
    <xf numFmtId="0" fontId="101" fillId="0" borderId="10" xfId="5" applyFont="1" applyFill="1" applyBorder="1" applyAlignment="1">
      <alignment horizontal="left" vertical="top" wrapText="1"/>
    </xf>
    <xf numFmtId="0" fontId="101" fillId="0" borderId="10" xfId="1" applyFont="1" applyFill="1" applyBorder="1" applyAlignment="1">
      <alignment horizontal="justify" vertical="center"/>
    </xf>
    <xf numFmtId="0" fontId="101" fillId="0" borderId="10" xfId="5" applyFont="1" applyFill="1" applyBorder="1" applyAlignment="1">
      <alignment horizontal="left" vertical="center" wrapText="1"/>
    </xf>
    <xf numFmtId="0" fontId="110" fillId="0" borderId="10" xfId="1" applyFill="1" applyBorder="1"/>
    <xf numFmtId="0" fontId="136" fillId="0" borderId="10" xfId="5" applyFont="1" applyBorder="1" applyAlignment="1">
      <alignment horizontal="center" vertical="top"/>
    </xf>
    <xf numFmtId="0" fontId="136" fillId="0" borderId="10" xfId="5" applyFont="1" applyBorder="1" applyAlignment="1">
      <alignment vertical="top"/>
    </xf>
    <xf numFmtId="172" fontId="136" fillId="0" borderId="10" xfId="5" applyNumberFormat="1" applyFont="1" applyBorder="1" applyAlignment="1">
      <alignment horizontal="right" vertical="top"/>
    </xf>
    <xf numFmtId="0" fontId="136" fillId="0" borderId="10" xfId="5" applyFont="1" applyBorder="1" applyAlignment="1">
      <alignment horizontal="right" vertical="top"/>
    </xf>
    <xf numFmtId="2" fontId="136" fillId="0" borderId="10" xfId="5" applyNumberFormat="1" applyFont="1" applyBorder="1" applyAlignment="1">
      <alignment horizontal="right" vertical="top"/>
    </xf>
    <xf numFmtId="2" fontId="132" fillId="0" borderId="10" xfId="5" applyNumberFormat="1" applyFont="1" applyBorder="1" applyAlignment="1">
      <alignment horizontal="right" vertical="center"/>
    </xf>
    <xf numFmtId="2" fontId="140" fillId="0" borderId="10" xfId="5" applyNumberFormat="1" applyFont="1" applyBorder="1" applyAlignment="1">
      <alignment vertical="top"/>
    </xf>
    <xf numFmtId="2" fontId="140" fillId="0" borderId="10" xfId="5" applyNumberFormat="1" applyFont="1" applyBorder="1" applyAlignment="1">
      <alignment horizontal="right" vertical="top"/>
    </xf>
    <xf numFmtId="2" fontId="136" fillId="0" borderId="10" xfId="0" applyNumberFormat="1" applyFont="1" applyBorder="1" applyAlignment="1">
      <alignment horizontal="right" vertical="center"/>
    </xf>
    <xf numFmtId="2" fontId="132" fillId="0" borderId="10" xfId="5" applyNumberFormat="1" applyFont="1" applyBorder="1" applyAlignment="1">
      <alignment horizontal="right" vertical="top"/>
    </xf>
    <xf numFmtId="0" fontId="136" fillId="0" borderId="10" xfId="0" applyNumberFormat="1" applyFont="1" applyBorder="1" applyAlignment="1">
      <alignment horizontal="center" vertical="center"/>
    </xf>
    <xf numFmtId="0" fontId="136" fillId="0" borderId="10" xfId="0" applyNumberFormat="1" applyFont="1" applyFill="1" applyBorder="1" applyAlignment="1">
      <alignment vertical="center"/>
    </xf>
    <xf numFmtId="172" fontId="136" fillId="0" borderId="10" xfId="0" applyNumberFormat="1" applyFont="1" applyBorder="1" applyAlignment="1">
      <alignment horizontal="right" vertical="center"/>
    </xf>
    <xf numFmtId="172" fontId="132" fillId="0" borderId="10" xfId="0" applyNumberFormat="1" applyFont="1" applyBorder="1" applyAlignment="1">
      <alignment horizontal="right" vertical="center"/>
    </xf>
    <xf numFmtId="2" fontId="132" fillId="0" borderId="10" xfId="0" applyNumberFormat="1" applyFont="1" applyBorder="1" applyAlignment="1">
      <alignment horizontal="right" vertical="center"/>
    </xf>
    <xf numFmtId="0" fontId="74" fillId="0" borderId="10" xfId="5" applyFont="1" applyBorder="1"/>
    <xf numFmtId="0" fontId="136" fillId="0" borderId="10" xfId="5" applyFont="1" applyBorder="1" applyAlignment="1">
      <alignment horizontal="center" vertical="center"/>
    </xf>
    <xf numFmtId="2" fontId="132" fillId="0" borderId="10" xfId="5" applyNumberFormat="1" applyFont="1" applyBorder="1" applyAlignment="1">
      <alignment vertical="top"/>
    </xf>
    <xf numFmtId="0" fontId="74" fillId="0" borderId="10" xfId="5" applyFont="1" applyBorder="1" applyAlignment="1">
      <alignment horizontal="center" vertical="top"/>
    </xf>
    <xf numFmtId="2" fontId="74" fillId="0" borderId="10" xfId="5" applyNumberFormat="1" applyFont="1" applyBorder="1" applyAlignment="1">
      <alignment horizontal="center" vertical="top"/>
    </xf>
    <xf numFmtId="2" fontId="74" fillId="0" borderId="10" xfId="5" applyNumberFormat="1" applyFont="1" applyBorder="1" applyAlignment="1">
      <alignment horizontal="center" vertical="center"/>
    </xf>
    <xf numFmtId="0" fontId="74" fillId="0" borderId="10" xfId="5" applyFont="1" applyBorder="1" applyAlignment="1">
      <alignment vertical="center"/>
    </xf>
    <xf numFmtId="2" fontId="103" fillId="0" borderId="10" xfId="5" applyNumberFormat="1" applyFont="1" applyBorder="1" applyAlignment="1">
      <alignment vertical="center"/>
    </xf>
    <xf numFmtId="0" fontId="74" fillId="0" borderId="10" xfId="5" applyFont="1" applyBorder="1" applyAlignment="1">
      <alignment horizontal="center"/>
    </xf>
    <xf numFmtId="2" fontId="74" fillId="0" borderId="10" xfId="5" applyNumberFormat="1" applyFont="1" applyBorder="1" applyAlignment="1">
      <alignment horizontal="right"/>
    </xf>
    <xf numFmtId="2" fontId="75" fillId="0" borderId="10" xfId="5" applyNumberFormat="1" applyFont="1" applyBorder="1" applyAlignment="1">
      <alignment horizontal="right"/>
    </xf>
    <xf numFmtId="2" fontId="103" fillId="0" borderId="10" xfId="5" applyNumberFormat="1" applyFont="1" applyBorder="1" applyAlignment="1"/>
    <xf numFmtId="0" fontId="74" fillId="0" borderId="10" xfId="5" applyFont="1" applyBorder="1" applyAlignment="1">
      <alignment vertical="center" wrapText="1"/>
    </xf>
    <xf numFmtId="0" fontId="135" fillId="0" borderId="10" xfId="5" applyFont="1" applyBorder="1" applyAlignment="1">
      <alignment horizontal="center" vertical="top"/>
    </xf>
    <xf numFmtId="0" fontId="135" fillId="0" borderId="10" xfId="5" applyFont="1" applyBorder="1" applyAlignment="1">
      <alignment vertical="center"/>
    </xf>
    <xf numFmtId="0" fontId="135" fillId="0" borderId="10" xfId="5" applyFont="1" applyBorder="1"/>
    <xf numFmtId="164" fontId="0" fillId="0" borderId="0" xfId="0" applyFill="1" applyAlignment="1">
      <alignment vertical="center"/>
    </xf>
    <xf numFmtId="164" fontId="0" fillId="0" borderId="0" xfId="0" applyFill="1" applyAlignment="1">
      <alignment vertical="center" wrapText="1"/>
    </xf>
    <xf numFmtId="2" fontId="106" fillId="0" borderId="10" xfId="1" applyNumberFormat="1" applyFont="1" applyBorder="1" applyAlignment="1">
      <alignment horizontal="center" vertical="center"/>
    </xf>
    <xf numFmtId="172" fontId="76" fillId="0" borderId="10" xfId="5" applyNumberFormat="1" applyFont="1" applyFill="1" applyBorder="1" applyAlignment="1">
      <alignment horizontal="center" vertical="center" wrapText="1"/>
    </xf>
    <xf numFmtId="0" fontId="76" fillId="0" borderId="10" xfId="5" applyFont="1" applyFill="1" applyBorder="1" applyAlignment="1">
      <alignment horizontal="center" vertical="center" wrapText="1"/>
    </xf>
    <xf numFmtId="0" fontId="136" fillId="0" borderId="10" xfId="5" applyFont="1" applyBorder="1" applyAlignment="1">
      <alignment horizontal="justify" vertical="center" wrapText="1"/>
    </xf>
    <xf numFmtId="0" fontId="132" fillId="0" borderId="10" xfId="5" applyFont="1" applyBorder="1" applyAlignment="1">
      <alignment horizontal="center" vertical="center"/>
    </xf>
    <xf numFmtId="172" fontId="132" fillId="0" borderId="10" xfId="5" applyNumberFormat="1" applyFont="1" applyBorder="1" applyAlignment="1">
      <alignment horizontal="center" vertical="center"/>
    </xf>
    <xf numFmtId="171" fontId="136" fillId="0" borderId="10" xfId="5" applyNumberFormat="1" applyFont="1" applyBorder="1" applyAlignment="1">
      <alignment horizontal="center" vertical="center"/>
    </xf>
    <xf numFmtId="0" fontId="74" fillId="9" borderId="10" xfId="5" applyFont="1" applyFill="1" applyBorder="1" applyAlignment="1">
      <alignment horizontal="center" vertical="center"/>
    </xf>
    <xf numFmtId="0" fontId="74" fillId="0" borderId="10" xfId="5" applyFont="1" applyBorder="1" applyAlignment="1">
      <alignment horizontal="center" vertical="center"/>
    </xf>
    <xf numFmtId="1" fontId="74" fillId="0" borderId="10" xfId="5" applyNumberFormat="1" applyFont="1" applyBorder="1" applyAlignment="1">
      <alignment horizontal="center" vertical="center"/>
    </xf>
    <xf numFmtId="0" fontId="136" fillId="0" borderId="0" xfId="5" applyFont="1" applyBorder="1" applyAlignment="1">
      <alignment horizontal="center" vertical="center"/>
    </xf>
    <xf numFmtId="0" fontId="132" fillId="0" borderId="0" xfId="5" applyFont="1" applyFill="1" applyBorder="1" applyAlignment="1">
      <alignment horizontal="center" vertical="center"/>
    </xf>
    <xf numFmtId="0" fontId="132" fillId="0" borderId="0" xfId="5" applyFont="1" applyBorder="1" applyAlignment="1">
      <alignment horizontal="center" vertical="center"/>
    </xf>
    <xf numFmtId="0" fontId="104" fillId="0" borderId="0" xfId="5" applyFont="1" applyBorder="1" applyAlignment="1">
      <alignment vertical="center"/>
    </xf>
    <xf numFmtId="1" fontId="136" fillId="0" borderId="10" xfId="5" applyNumberFormat="1" applyFont="1" applyBorder="1" applyAlignment="1">
      <alignment horizontal="center" vertical="center"/>
    </xf>
    <xf numFmtId="0" fontId="136" fillId="0" borderId="10" xfId="5" applyFont="1" applyBorder="1" applyAlignment="1">
      <alignment horizontal="left" vertical="center" wrapText="1"/>
    </xf>
    <xf numFmtId="0" fontId="136" fillId="0" borderId="10" xfId="5" applyFont="1" applyBorder="1" applyAlignment="1">
      <alignment vertical="center" wrapText="1"/>
    </xf>
    <xf numFmtId="0" fontId="136" fillId="0" borderId="10" xfId="5" applyFont="1" applyBorder="1" applyAlignment="1">
      <alignment horizontal="left" vertical="center"/>
    </xf>
    <xf numFmtId="0" fontId="136" fillId="0" borderId="10" xfId="5" applyFont="1" applyBorder="1" applyAlignment="1">
      <alignment vertical="center"/>
    </xf>
    <xf numFmtId="0" fontId="135" fillId="0" borderId="10" xfId="5" applyFont="1" applyBorder="1" applyAlignment="1">
      <alignment vertical="center" wrapText="1"/>
    </xf>
    <xf numFmtId="0" fontId="136" fillId="0" borderId="0" xfId="5" applyFont="1" applyBorder="1" applyAlignment="1">
      <alignment vertical="center" wrapText="1"/>
    </xf>
    <xf numFmtId="0" fontId="136" fillId="0" borderId="0" xfId="5" applyFont="1" applyFill="1" applyBorder="1" applyAlignment="1">
      <alignment horizontal="justify" vertical="center" wrapText="1"/>
    </xf>
    <xf numFmtId="0" fontId="136" fillId="0" borderId="0" xfId="5" applyFont="1" applyBorder="1" applyAlignment="1">
      <alignment horizontal="justify" vertical="center" wrapText="1"/>
    </xf>
    <xf numFmtId="2" fontId="98" fillId="0" borderId="10" xfId="10" applyNumberFormat="1" applyFont="1" applyBorder="1" applyAlignment="1">
      <alignment horizontal="left" vertical="center" wrapText="1"/>
    </xf>
    <xf numFmtId="2" fontId="102" fillId="0" borderId="10" xfId="9" applyNumberFormat="1" applyFont="1" applyBorder="1" applyAlignment="1">
      <alignment horizontal="left" vertical="center" wrapText="1"/>
    </xf>
    <xf numFmtId="0" fontId="144" fillId="0" borderId="10" xfId="0" applyNumberFormat="1" applyFont="1" applyBorder="1" applyAlignment="1">
      <alignment horizontal="center" vertical="center" wrapText="1"/>
    </xf>
    <xf numFmtId="0" fontId="133" fillId="0" borderId="10" xfId="0" applyNumberFormat="1" applyFont="1" applyBorder="1" applyAlignment="1">
      <alignment horizontal="center" vertical="center"/>
    </xf>
    <xf numFmtId="0" fontId="133" fillId="0" borderId="10" xfId="0" applyNumberFormat="1" applyFont="1" applyBorder="1" applyAlignment="1">
      <alignment vertical="center" wrapText="1"/>
    </xf>
    <xf numFmtId="2" fontId="133" fillId="0" borderId="10" xfId="0" applyNumberFormat="1" applyFont="1" applyBorder="1" applyAlignment="1">
      <alignment horizontal="right" vertical="center"/>
    </xf>
    <xf numFmtId="2" fontId="133" fillId="0" borderId="10" xfId="0" applyNumberFormat="1" applyFont="1" applyBorder="1" applyAlignment="1">
      <alignment vertical="center" wrapText="1"/>
    </xf>
    <xf numFmtId="0" fontId="133" fillId="0" borderId="10" xfId="0" applyNumberFormat="1" applyFont="1" applyBorder="1" applyAlignment="1">
      <alignment horizontal="center" vertical="center" wrapText="1"/>
    </xf>
    <xf numFmtId="0" fontId="144" fillId="0" borderId="10" xfId="0" applyNumberFormat="1" applyFont="1" applyBorder="1" applyAlignment="1">
      <alignment vertical="center" wrapText="1"/>
    </xf>
    <xf numFmtId="2" fontId="144" fillId="0" borderId="10" xfId="0" applyNumberFormat="1" applyFont="1" applyBorder="1" applyAlignment="1">
      <alignment vertical="center" wrapText="1"/>
    </xf>
    <xf numFmtId="172" fontId="133" fillId="0" borderId="10" xfId="0" applyNumberFormat="1" applyFont="1" applyBorder="1" applyAlignment="1">
      <alignment vertical="center" wrapText="1"/>
    </xf>
    <xf numFmtId="0" fontId="133" fillId="0" borderId="26" xfId="0" applyNumberFormat="1" applyFont="1" applyBorder="1" applyAlignment="1">
      <alignment vertical="center" wrapText="1"/>
    </xf>
    <xf numFmtId="2" fontId="133" fillId="0" borderId="10" xfId="0" applyNumberFormat="1" applyFont="1" applyBorder="1" applyAlignment="1">
      <alignment horizontal="center" vertical="center" wrapText="1"/>
    </xf>
    <xf numFmtId="0" fontId="144" fillId="0" borderId="10" xfId="0" applyNumberFormat="1" applyFont="1" applyBorder="1" applyAlignment="1">
      <alignment horizontal="center" vertical="center"/>
    </xf>
    <xf numFmtId="2" fontId="133" fillId="0" borderId="10" xfId="0" applyNumberFormat="1" applyFont="1" applyBorder="1" applyAlignment="1">
      <alignment horizontal="center" vertical="center"/>
    </xf>
    <xf numFmtId="0" fontId="144" fillId="0" borderId="26" xfId="0" applyNumberFormat="1" applyFont="1" applyBorder="1" applyAlignment="1">
      <alignment horizontal="center" vertical="center" wrapText="1"/>
    </xf>
    <xf numFmtId="165" fontId="0" fillId="0" borderId="0" xfId="0" applyNumberFormat="1" applyAlignment="1">
      <alignment horizontal="left"/>
    </xf>
    <xf numFmtId="2" fontId="144" fillId="0" borderId="10" xfId="0" applyNumberFormat="1" applyFont="1" applyBorder="1" applyAlignment="1">
      <alignment horizontal="center" vertical="center"/>
    </xf>
    <xf numFmtId="2" fontId="146" fillId="0" borderId="10" xfId="0" applyNumberFormat="1" applyFont="1" applyBorder="1" applyAlignment="1">
      <alignment horizontal="right" vertical="center"/>
    </xf>
    <xf numFmtId="169" fontId="98" fillId="0" borderId="10" xfId="0" applyNumberFormat="1" applyFont="1" applyBorder="1"/>
    <xf numFmtId="0" fontId="132" fillId="0" borderId="10" xfId="5" applyFont="1" applyBorder="1" applyAlignment="1">
      <alignment horizontal="center" vertical="center"/>
    </xf>
    <xf numFmtId="172" fontId="132" fillId="0" borderId="10" xfId="5" applyNumberFormat="1" applyFont="1" applyBorder="1" applyAlignment="1">
      <alignment horizontal="center" vertical="center"/>
    </xf>
    <xf numFmtId="164" fontId="0" fillId="0" borderId="0" xfId="0" applyAlignment="1">
      <alignment horizontal="center"/>
    </xf>
    <xf numFmtId="2" fontId="136" fillId="0" borderId="10" xfId="5" applyNumberFormat="1" applyFont="1" applyBorder="1" applyAlignment="1">
      <alignment horizontal="right" vertical="center"/>
    </xf>
    <xf numFmtId="165" fontId="98" fillId="0" borderId="10" xfId="0" applyNumberFormat="1" applyFont="1" applyFill="1" applyBorder="1" applyAlignment="1">
      <alignment horizontal="center" vertical="center"/>
    </xf>
    <xf numFmtId="2" fontId="98" fillId="0" borderId="10" xfId="10" applyNumberFormat="1" applyFont="1" applyFill="1" applyBorder="1" applyAlignment="1">
      <alignment horizontal="center" vertical="center" wrapText="1"/>
    </xf>
    <xf numFmtId="2" fontId="98" fillId="0" borderId="10" xfId="10" applyNumberFormat="1" applyFont="1" applyFill="1" applyBorder="1" applyAlignment="1">
      <alignment vertical="center" wrapText="1"/>
    </xf>
    <xf numFmtId="164" fontId="98" fillId="0" borderId="10" xfId="0" applyFont="1" applyFill="1" applyBorder="1" applyAlignment="1">
      <alignment horizontal="center" vertical="center"/>
    </xf>
    <xf numFmtId="164" fontId="98" fillId="0" borderId="10" xfId="0" applyFont="1" applyFill="1" applyBorder="1" applyAlignment="1">
      <alignment horizontal="left" vertical="center" wrapText="1"/>
    </xf>
    <xf numFmtId="0" fontId="76" fillId="0" borderId="10" xfId="9" applyFont="1" applyBorder="1" applyAlignment="1">
      <alignment horizontal="center" vertical="center" wrapText="1"/>
    </xf>
    <xf numFmtId="2" fontId="102" fillId="0" borderId="10" xfId="9" applyNumberFormat="1" applyFont="1" applyBorder="1" applyAlignment="1">
      <alignment horizontal="center" vertical="center" wrapText="1"/>
    </xf>
    <xf numFmtId="164" fontId="0" fillId="0" borderId="0" xfId="0" applyAlignment="1">
      <alignment vertical="center" wrapText="1"/>
    </xf>
    <xf numFmtId="164" fontId="98" fillId="0" borderId="10" xfId="0" applyFont="1" applyBorder="1" applyAlignment="1">
      <alignment horizontal="left"/>
    </xf>
    <xf numFmtId="171" fontId="26" fillId="0" borderId="0" xfId="9" applyNumberFormat="1" applyFont="1" applyBorder="1" applyAlignment="1">
      <alignment vertical="center" wrapText="1"/>
    </xf>
    <xf numFmtId="0" fontId="5" fillId="0" borderId="0" xfId="9" applyFont="1" applyBorder="1" applyAlignment="1">
      <alignment horizontal="center" vertical="center" wrapText="1"/>
    </xf>
    <xf numFmtId="0" fontId="26" fillId="0" borderId="0" xfId="9" applyFont="1" applyBorder="1" applyAlignment="1">
      <alignment horizontal="left" vertical="center" wrapText="1"/>
    </xf>
    <xf numFmtId="0" fontId="26" fillId="0" borderId="0" xfId="9" applyFont="1" applyBorder="1" applyAlignment="1">
      <alignment horizontal="center" vertical="center" wrapText="1"/>
    </xf>
    <xf numFmtId="171" fontId="26" fillId="0" borderId="0" xfId="9" applyNumberFormat="1" applyFont="1" applyBorder="1" applyAlignment="1">
      <alignment horizontal="center" vertical="center" wrapText="1"/>
    </xf>
    <xf numFmtId="0" fontId="26" fillId="0" borderId="0" xfId="9" applyFont="1" applyBorder="1" applyAlignment="1">
      <alignment vertical="center" wrapText="1"/>
    </xf>
    <xf numFmtId="2" fontId="26" fillId="0" borderId="0" xfId="9" applyNumberFormat="1" applyFont="1" applyBorder="1" applyAlignment="1">
      <alignment vertical="center" wrapText="1"/>
    </xf>
    <xf numFmtId="0" fontId="75" fillId="0" borderId="35" xfId="0" applyNumberFormat="1" applyFont="1" applyFill="1" applyBorder="1" applyAlignment="1">
      <alignment horizontal="center" vertical="center" wrapText="1"/>
    </xf>
    <xf numFmtId="0" fontId="75" fillId="0" borderId="35" xfId="0" applyNumberFormat="1" applyFont="1" applyFill="1" applyBorder="1" applyAlignment="1">
      <alignment horizontal="center" vertical="center"/>
    </xf>
    <xf numFmtId="0" fontId="75" fillId="0" borderId="10" xfId="0" applyNumberFormat="1" applyFont="1" applyFill="1" applyBorder="1" applyAlignment="1">
      <alignment horizontal="center" vertical="center"/>
    </xf>
    <xf numFmtId="164" fontId="98" fillId="0" borderId="34" xfId="0" applyFont="1" applyFill="1" applyBorder="1" applyAlignment="1">
      <alignment horizontal="center" vertical="center"/>
    </xf>
    <xf numFmtId="164" fontId="100" fillId="0" borderId="10" xfId="0" applyFont="1" applyFill="1" applyBorder="1" applyAlignment="1">
      <alignment horizontal="center" vertical="center"/>
    </xf>
    <xf numFmtId="165" fontId="98" fillId="0" borderId="10" xfId="0" applyNumberFormat="1" applyFont="1" applyFill="1" applyBorder="1" applyAlignment="1">
      <alignment horizontal="center" vertical="center" wrapText="1"/>
    </xf>
    <xf numFmtId="164" fontId="98" fillId="0" borderId="10" xfId="0" applyFont="1" applyFill="1" applyBorder="1" applyAlignment="1">
      <alignment horizontal="center" vertical="center" wrapText="1"/>
    </xf>
    <xf numFmtId="0" fontId="74" fillId="0" borderId="1" xfId="5" applyFont="1" applyFill="1" applyBorder="1" applyAlignment="1">
      <alignment vertical="center" wrapText="1"/>
    </xf>
    <xf numFmtId="172" fontId="98" fillId="0" borderId="10" xfId="10" applyNumberFormat="1" applyFont="1" applyFill="1" applyBorder="1" applyAlignment="1">
      <alignment horizontal="center" vertical="center" wrapText="1"/>
    </xf>
    <xf numFmtId="2" fontId="98" fillId="0" borderId="10" xfId="10" applyNumberFormat="1" applyFont="1" applyFill="1" applyBorder="1" applyAlignment="1">
      <alignment horizontal="left" vertical="center" wrapText="1"/>
    </xf>
    <xf numFmtId="2" fontId="75" fillId="0" borderId="35" xfId="0" applyNumberFormat="1" applyFont="1" applyFill="1" applyBorder="1" applyAlignment="1">
      <alignment horizontal="center" vertical="center"/>
    </xf>
    <xf numFmtId="0" fontId="136" fillId="0" borderId="10" xfId="5" applyFont="1" applyFill="1" applyBorder="1" applyAlignment="1">
      <alignment vertical="center" wrapText="1"/>
    </xf>
    <xf numFmtId="2" fontId="0" fillId="0" borderId="0" xfId="0" applyNumberFormat="1" applyFill="1"/>
    <xf numFmtId="164" fontId="101" fillId="0" borderId="0" xfId="0" applyFont="1" applyBorder="1" applyAlignment="1">
      <alignment horizontal="center" vertical="center"/>
    </xf>
    <xf numFmtId="164" fontId="98" fillId="0" borderId="0" xfId="0" applyFont="1" applyBorder="1" applyAlignment="1">
      <alignment horizontal="left" vertical="center" wrapText="1"/>
    </xf>
    <xf numFmtId="164" fontId="0" fillId="0" borderId="0" xfId="0" applyAlignment="1">
      <alignment horizontal="center" vertical="center"/>
    </xf>
    <xf numFmtId="164" fontId="0" fillId="0" borderId="0" xfId="0" applyBorder="1" applyAlignment="1">
      <alignment horizontal="center" vertical="center"/>
    </xf>
    <xf numFmtId="164" fontId="98" fillId="0" borderId="0" xfId="0" applyFont="1" applyBorder="1" applyAlignment="1">
      <alignment horizontal="center" vertical="center" wrapText="1"/>
    </xf>
    <xf numFmtId="164" fontId="0" fillId="0" borderId="0" xfId="0" applyAlignment="1">
      <alignment horizontal="center"/>
    </xf>
    <xf numFmtId="164" fontId="9" fillId="0" borderId="0" xfId="0" applyNumberFormat="1" applyFont="1" applyAlignment="1" applyProtection="1">
      <alignment horizontal="left" vertical="top" wrapText="1"/>
    </xf>
    <xf numFmtId="164" fontId="0" fillId="0" borderId="0" xfId="0" applyAlignment="1">
      <alignment horizontal="right"/>
    </xf>
    <xf numFmtId="164" fontId="8" fillId="0" borderId="0" xfId="0" applyNumberFormat="1" applyFont="1" applyAlignment="1" applyProtection="1">
      <alignment horizontal="left" vertical="top"/>
    </xf>
    <xf numFmtId="164" fontId="0" fillId="0" borderId="0" xfId="0" quotePrefix="1" applyNumberFormat="1" applyAlignment="1" applyProtection="1">
      <alignment horizontal="center"/>
    </xf>
    <xf numFmtId="164" fontId="0" fillId="0" borderId="0" xfId="0" applyNumberFormat="1" applyAlignment="1" applyProtection="1">
      <alignment horizontal="center"/>
    </xf>
    <xf numFmtId="164" fontId="6" fillId="0" borderId="0" xfId="0" applyFont="1" applyAlignment="1">
      <alignment horizontal="left" vertical="top"/>
    </xf>
    <xf numFmtId="164" fontId="8" fillId="0" borderId="0" xfId="0" applyFont="1" applyAlignment="1">
      <alignment horizontal="right"/>
    </xf>
    <xf numFmtId="164" fontId="8" fillId="0" borderId="0" xfId="0" applyFont="1" applyAlignment="1">
      <alignment vertical="top" wrapText="1"/>
    </xf>
    <xf numFmtId="164" fontId="0" fillId="0" borderId="0" xfId="0" applyAlignment="1">
      <alignment vertical="top"/>
    </xf>
    <xf numFmtId="164" fontId="8" fillId="0" borderId="0" xfId="0" applyNumberFormat="1" applyFont="1" applyAlignment="1" applyProtection="1">
      <alignment vertical="top"/>
    </xf>
    <xf numFmtId="164" fontId="8" fillId="0" borderId="0" xfId="0" applyFont="1" applyAlignment="1">
      <alignment horizontal="center"/>
    </xf>
    <xf numFmtId="164" fontId="9" fillId="0" borderId="0" xfId="0" applyFont="1" applyAlignment="1">
      <alignment horizontal="left" vertical="top" wrapText="1"/>
    </xf>
    <xf numFmtId="2" fontId="26" fillId="0" borderId="0" xfId="0" applyNumberFormat="1" applyFont="1" applyBorder="1" applyAlignment="1">
      <alignment horizontal="center"/>
    </xf>
    <xf numFmtId="164" fontId="5" fillId="0" borderId="0" xfId="0" applyFont="1" applyBorder="1" applyAlignment="1">
      <alignment horizontal="center" wrapText="1"/>
    </xf>
    <xf numFmtId="164" fontId="26" fillId="0" borderId="0" xfId="0" applyFont="1" applyBorder="1" applyAlignment="1">
      <alignment horizontal="center" vertical="center"/>
    </xf>
    <xf numFmtId="164" fontId="0" fillId="0" borderId="1" xfId="0" applyBorder="1" applyAlignment="1">
      <alignment horizontal="left" vertical="top"/>
    </xf>
    <xf numFmtId="164" fontId="0" fillId="0" borderId="0" xfId="0" applyBorder="1" applyAlignment="1">
      <alignment horizontal="left" vertical="top"/>
    </xf>
    <xf numFmtId="164" fontId="0" fillId="0" borderId="5" xfId="0" applyBorder="1" applyAlignment="1">
      <alignment horizontal="left" vertical="top"/>
    </xf>
    <xf numFmtId="164" fontId="0" fillId="0" borderId="20" xfId="0" applyBorder="1" applyAlignment="1">
      <alignment horizontal="left" vertical="top"/>
    </xf>
    <xf numFmtId="0" fontId="76" fillId="0" borderId="10" xfId="9" applyFont="1" applyBorder="1" applyAlignment="1">
      <alignment horizontal="center" vertical="center" wrapText="1"/>
    </xf>
    <xf numFmtId="0" fontId="75" fillId="0" borderId="10" xfId="0" applyNumberFormat="1" applyFont="1" applyBorder="1" applyAlignment="1">
      <alignment horizontal="center" vertical="center" wrapText="1"/>
    </xf>
    <xf numFmtId="2" fontId="102" fillId="0" borderId="10" xfId="9" applyNumberFormat="1" applyFont="1" applyBorder="1" applyAlignment="1">
      <alignment horizontal="center" vertical="center" wrapText="1"/>
    </xf>
    <xf numFmtId="0" fontId="102" fillId="0" borderId="10" xfId="9" applyFont="1" applyBorder="1" applyAlignment="1">
      <alignment horizontal="center" vertical="center" wrapText="1"/>
    </xf>
    <xf numFmtId="164" fontId="7" fillId="0" borderId="1" xfId="0" applyFont="1" applyBorder="1" applyAlignment="1">
      <alignment horizontal="center" vertical="center" wrapText="1"/>
    </xf>
    <xf numFmtId="164" fontId="24" fillId="0" borderId="0" xfId="0" applyFont="1" applyBorder="1" applyAlignment="1">
      <alignment horizontal="center" vertical="center" wrapText="1"/>
    </xf>
    <xf numFmtId="164" fontId="21" fillId="0" borderId="0" xfId="0" applyFont="1" applyBorder="1" applyAlignment="1">
      <alignment horizontal="center" vertical="center"/>
    </xf>
    <xf numFmtId="164" fontId="7" fillId="0" borderId="1" xfId="0" applyFont="1" applyBorder="1" applyAlignment="1">
      <alignment horizontal="center" vertical="center"/>
    </xf>
    <xf numFmtId="164" fontId="5" fillId="0" borderId="10" xfId="0" applyFont="1" applyBorder="1" applyAlignment="1">
      <alignment horizontal="center" vertical="center"/>
    </xf>
    <xf numFmtId="164" fontId="5" fillId="0" borderId="34" xfId="0" applyFont="1" applyBorder="1" applyAlignment="1">
      <alignment horizontal="center" vertical="center"/>
    </xf>
    <xf numFmtId="164" fontId="7" fillId="0" borderId="3" xfId="0" applyFont="1" applyBorder="1" applyAlignment="1">
      <alignment horizontal="center" vertical="center"/>
    </xf>
    <xf numFmtId="164" fontId="5" fillId="0" borderId="10" xfId="0" applyFont="1" applyBorder="1" applyAlignment="1">
      <alignment horizontal="center" vertical="center" wrapText="1"/>
    </xf>
    <xf numFmtId="164" fontId="5" fillId="0" borderId="34" xfId="0" applyFont="1" applyBorder="1" applyAlignment="1">
      <alignment horizontal="center" vertical="center" wrapText="1"/>
    </xf>
    <xf numFmtId="164" fontId="0" fillId="0" borderId="0" xfId="0" applyAlignment="1">
      <alignment horizontal="center" wrapText="1"/>
    </xf>
    <xf numFmtId="0" fontId="24" fillId="0" borderId="6" xfId="9" applyFont="1" applyBorder="1" applyAlignment="1">
      <alignment horizontal="center" vertical="center" wrapText="1"/>
    </xf>
    <xf numFmtId="0" fontId="24" fillId="0" borderId="1" xfId="9" applyFont="1" applyBorder="1" applyAlignment="1">
      <alignment horizontal="center" vertical="center" wrapText="1"/>
    </xf>
    <xf numFmtId="0" fontId="24" fillId="0" borderId="18" xfId="9" applyFont="1" applyBorder="1" applyAlignment="1">
      <alignment horizontal="center" vertical="center" wrapText="1"/>
    </xf>
    <xf numFmtId="0" fontId="5" fillId="0" borderId="26" xfId="9" applyFont="1" applyBorder="1" applyAlignment="1">
      <alignment horizontal="center" vertical="top" wrapText="1"/>
    </xf>
    <xf numFmtId="0" fontId="5" fillId="0" borderId="33" xfId="9" applyFont="1" applyBorder="1" applyAlignment="1">
      <alignment horizontal="center" vertical="top" wrapText="1"/>
    </xf>
    <xf numFmtId="0" fontId="5" fillId="0" borderId="31" xfId="9" applyFont="1" applyBorder="1" applyAlignment="1">
      <alignment horizontal="center" vertical="top" wrapText="1"/>
    </xf>
    <xf numFmtId="0" fontId="83" fillId="0" borderId="10" xfId="1" applyFont="1" applyFill="1" applyBorder="1" applyAlignment="1">
      <alignment horizontal="left" vertical="center" wrapText="1"/>
    </xf>
    <xf numFmtId="0" fontId="122" fillId="0" borderId="10" xfId="1" applyFont="1" applyFill="1" applyBorder="1" applyAlignment="1">
      <alignment horizontal="center" vertical="center"/>
    </xf>
    <xf numFmtId="0" fontId="122" fillId="0" borderId="10" xfId="1" applyFont="1" applyFill="1" applyBorder="1" applyAlignment="1">
      <alignment horizontal="left" vertical="center" wrapText="1"/>
    </xf>
    <xf numFmtId="0" fontId="122" fillId="0" borderId="26" xfId="1" applyFont="1" applyFill="1" applyBorder="1" applyAlignment="1">
      <alignment horizontal="left" vertical="center" wrapText="1"/>
    </xf>
    <xf numFmtId="0" fontId="122" fillId="0" borderId="33" xfId="1" applyFont="1" applyFill="1" applyBorder="1" applyAlignment="1">
      <alignment horizontal="left" vertical="center" wrapText="1"/>
    </xf>
    <xf numFmtId="0" fontId="122" fillId="0" borderId="31" xfId="1" applyFont="1" applyFill="1" applyBorder="1" applyAlignment="1">
      <alignment horizontal="left" vertical="center" wrapText="1"/>
    </xf>
    <xf numFmtId="1" fontId="123" fillId="0" borderId="26" xfId="1" applyNumberFormat="1" applyFont="1" applyFill="1" applyBorder="1" applyAlignment="1">
      <alignment horizontal="center" vertical="center"/>
    </xf>
    <xf numFmtId="1" fontId="123" fillId="0" borderId="33" xfId="1" applyNumberFormat="1" applyFont="1" applyFill="1" applyBorder="1" applyAlignment="1">
      <alignment horizontal="center" vertical="center"/>
    </xf>
    <xf numFmtId="1" fontId="123" fillId="0" borderId="31" xfId="1" applyNumberFormat="1" applyFont="1" applyFill="1" applyBorder="1" applyAlignment="1">
      <alignment horizontal="center" vertical="center"/>
    </xf>
    <xf numFmtId="0" fontId="86" fillId="0" borderId="0" xfId="0" applyNumberFormat="1" applyFont="1" applyFill="1" applyAlignment="1">
      <alignment horizontal="center" vertical="center" wrapText="1"/>
    </xf>
    <xf numFmtId="0" fontId="88" fillId="0" borderId="38" xfId="0" applyNumberFormat="1" applyFont="1" applyFill="1" applyBorder="1" applyAlignment="1">
      <alignment horizontal="center" vertical="center"/>
    </xf>
    <xf numFmtId="0" fontId="88" fillId="0" borderId="39" xfId="0" applyNumberFormat="1" applyFont="1" applyFill="1" applyBorder="1" applyAlignment="1">
      <alignment horizontal="center" vertical="center"/>
    </xf>
    <xf numFmtId="0" fontId="88" fillId="0" borderId="40" xfId="0" applyNumberFormat="1" applyFont="1" applyFill="1" applyBorder="1" applyAlignment="1">
      <alignment horizontal="center" vertical="center"/>
    </xf>
    <xf numFmtId="0" fontId="88" fillId="0" borderId="41" xfId="0" applyNumberFormat="1" applyFont="1" applyFill="1" applyBorder="1" applyAlignment="1">
      <alignment horizontal="center" vertical="center"/>
    </xf>
    <xf numFmtId="0" fontId="88" fillId="0" borderId="11" xfId="0" applyNumberFormat="1" applyFont="1" applyFill="1" applyBorder="1" applyAlignment="1">
      <alignment horizontal="center" vertical="center"/>
    </xf>
    <xf numFmtId="0" fontId="88" fillId="0" borderId="13" xfId="0" applyNumberFormat="1" applyFont="1" applyFill="1" applyBorder="1" applyAlignment="1">
      <alignment horizontal="center" vertical="center"/>
    </xf>
    <xf numFmtId="0" fontId="88" fillId="0" borderId="14" xfId="0" applyNumberFormat="1" applyFont="1" applyFill="1" applyBorder="1" applyAlignment="1">
      <alignment horizontal="center" vertical="center"/>
    </xf>
    <xf numFmtId="0" fontId="88" fillId="0" borderId="15" xfId="0" applyNumberFormat="1" applyFont="1" applyFill="1" applyBorder="1" applyAlignment="1">
      <alignment horizontal="center" vertical="center"/>
    </xf>
    <xf numFmtId="0" fontId="88" fillId="0" borderId="42" xfId="0" applyNumberFormat="1" applyFont="1" applyFill="1" applyBorder="1" applyAlignment="1">
      <alignment horizontal="center"/>
    </xf>
    <xf numFmtId="0" fontId="88" fillId="0" borderId="43" xfId="0" applyNumberFormat="1" applyFont="1" applyFill="1" applyBorder="1" applyAlignment="1">
      <alignment horizontal="center"/>
    </xf>
    <xf numFmtId="0" fontId="88" fillId="0" borderId="36" xfId="0" applyNumberFormat="1" applyFont="1" applyFill="1" applyBorder="1" applyAlignment="1"/>
    <xf numFmtId="0" fontId="88" fillId="0" borderId="37" xfId="0" applyNumberFormat="1" applyFont="1" applyFill="1" applyBorder="1" applyAlignment="1"/>
    <xf numFmtId="0" fontId="86" fillId="0" borderId="0" xfId="0" applyNumberFormat="1" applyFont="1" applyAlignment="1">
      <alignment horizontal="center" vertical="center"/>
    </xf>
    <xf numFmtId="0" fontId="86" fillId="0" borderId="7" xfId="0" applyNumberFormat="1" applyFont="1" applyBorder="1" applyAlignment="1">
      <alignment horizontal="center"/>
    </xf>
    <xf numFmtId="164" fontId="87" fillId="0" borderId="7" xfId="0" applyFont="1" applyBorder="1" applyAlignment="1">
      <alignment horizontal="center"/>
    </xf>
    <xf numFmtId="2" fontId="122" fillId="0" borderId="10" xfId="10" applyNumberFormat="1" applyFont="1" applyFill="1" applyBorder="1" applyAlignment="1">
      <alignment horizontal="left" vertical="top" wrapText="1"/>
    </xf>
    <xf numFmtId="2" fontId="123" fillId="0" borderId="10" xfId="10" applyNumberFormat="1" applyFont="1" applyFill="1" applyBorder="1" applyAlignment="1">
      <alignment horizontal="left" vertical="top" wrapText="1"/>
    </xf>
    <xf numFmtId="164" fontId="87" fillId="0" borderId="7" xfId="0" applyFont="1" applyBorder="1" applyAlignment="1">
      <alignment horizontal="center" wrapText="1"/>
    </xf>
    <xf numFmtId="4" fontId="89" fillId="0" borderId="26" xfId="0" applyNumberFormat="1" applyFont="1" applyBorder="1" applyAlignment="1">
      <alignment horizontal="center" vertical="center"/>
    </xf>
    <xf numFmtId="4" fontId="89" fillId="0" borderId="31" xfId="0" applyNumberFormat="1" applyFont="1" applyBorder="1" applyAlignment="1">
      <alignment horizontal="center" vertical="center"/>
    </xf>
    <xf numFmtId="4" fontId="89" fillId="0" borderId="10" xfId="0" applyNumberFormat="1" applyFont="1" applyBorder="1" applyAlignment="1">
      <alignment horizontal="center" vertical="center"/>
    </xf>
    <xf numFmtId="4" fontId="95" fillId="0" borderId="10" xfId="0" applyNumberFormat="1" applyFont="1" applyBorder="1" applyAlignment="1">
      <alignment horizontal="center" vertical="center"/>
    </xf>
    <xf numFmtId="0" fontId="95" fillId="0" borderId="10" xfId="10" applyFont="1" applyBorder="1" applyAlignment="1">
      <alignment horizontal="center" vertical="center" wrapText="1"/>
    </xf>
    <xf numFmtId="0" fontId="95" fillId="0" borderId="26" xfId="10" applyFont="1" applyBorder="1" applyAlignment="1">
      <alignment vertical="top" wrapText="1"/>
    </xf>
    <xf numFmtId="0" fontId="95" fillId="0" borderId="33" xfId="10" applyFont="1" applyBorder="1" applyAlignment="1">
      <alignment vertical="top" wrapText="1"/>
    </xf>
    <xf numFmtId="0" fontId="95" fillId="0" borderId="31" xfId="10" applyFont="1" applyBorder="1" applyAlignment="1">
      <alignment vertical="top" wrapText="1"/>
    </xf>
    <xf numFmtId="2" fontId="89" fillId="0" borderId="26" xfId="10" applyNumberFormat="1" applyFont="1" applyBorder="1" applyAlignment="1">
      <alignment horizontal="center" vertical="top" wrapText="1"/>
    </xf>
    <xf numFmtId="2" fontId="89" fillId="0" borderId="31" xfId="10" applyNumberFormat="1" applyFont="1" applyBorder="1" applyAlignment="1">
      <alignment horizontal="center" vertical="top" wrapText="1"/>
    </xf>
    <xf numFmtId="0" fontId="75" fillId="0" borderId="26" xfId="0" applyNumberFormat="1" applyFont="1" applyBorder="1" applyAlignment="1">
      <alignment horizontal="center" vertical="center" wrapText="1"/>
    </xf>
    <xf numFmtId="0" fontId="75" fillId="0" borderId="33" xfId="0" applyNumberFormat="1" applyFont="1" applyBorder="1" applyAlignment="1">
      <alignment horizontal="center" vertical="center" wrapText="1"/>
    </xf>
    <xf numFmtId="0" fontId="75" fillId="0" borderId="31" xfId="0" applyNumberFormat="1" applyFont="1" applyBorder="1" applyAlignment="1">
      <alignment horizontal="center" vertical="center" wrapText="1"/>
    </xf>
    <xf numFmtId="164" fontId="5" fillId="0" borderId="20" xfId="0" applyFont="1" applyBorder="1" applyAlignment="1">
      <alignment horizontal="center" vertical="center" wrapText="1"/>
    </xf>
    <xf numFmtId="164" fontId="5" fillId="0" borderId="24" xfId="0" applyFont="1" applyBorder="1" applyAlignment="1">
      <alignment horizontal="center" vertical="center" wrapText="1"/>
    </xf>
    <xf numFmtId="164" fontId="24" fillId="0" borderId="7" xfId="0" applyFont="1" applyBorder="1" applyAlignment="1">
      <alignment horizontal="center" vertical="top" wrapText="1"/>
    </xf>
    <xf numFmtId="164" fontId="5" fillId="0" borderId="44" xfId="0" applyFont="1" applyBorder="1" applyAlignment="1">
      <alignment horizontal="center" vertical="top" wrapText="1"/>
    </xf>
    <xf numFmtId="164" fontId="5" fillId="0" borderId="45" xfId="0" applyFont="1" applyBorder="1" applyAlignment="1">
      <alignment horizontal="center" vertical="top" wrapText="1"/>
    </xf>
    <xf numFmtId="164" fontId="5" fillId="0" borderId="20" xfId="0" applyFont="1" applyBorder="1" applyAlignment="1">
      <alignment horizontal="center" vertical="top"/>
    </xf>
    <xf numFmtId="164" fontId="5" fillId="0" borderId="1" xfId="0" applyFont="1" applyBorder="1" applyAlignment="1">
      <alignment horizontal="center" vertical="top"/>
    </xf>
    <xf numFmtId="164" fontId="5" fillId="0" borderId="20" xfId="0" applyFont="1" applyBorder="1" applyAlignment="1">
      <alignment horizontal="center" vertical="center"/>
    </xf>
    <xf numFmtId="0" fontId="99" fillId="0" borderId="10" xfId="0" applyNumberFormat="1" applyFont="1" applyBorder="1" applyAlignment="1">
      <alignment horizontal="center" vertical="center" wrapText="1"/>
    </xf>
    <xf numFmtId="164" fontId="100" fillId="0" borderId="10" xfId="0" applyFont="1" applyBorder="1" applyAlignment="1">
      <alignment horizontal="center" vertical="center"/>
    </xf>
    <xf numFmtId="164" fontId="100" fillId="0" borderId="10" xfId="0" applyFont="1" applyBorder="1" applyAlignment="1">
      <alignment horizontal="center" vertical="center" wrapText="1"/>
    </xf>
    <xf numFmtId="164" fontId="75" fillId="0" borderId="10" xfId="0" applyFont="1" applyBorder="1" applyAlignment="1">
      <alignment horizontal="center" vertical="center"/>
    </xf>
    <xf numFmtId="0" fontId="75" fillId="0" borderId="10" xfId="0" applyNumberFormat="1" applyFont="1" applyBorder="1" applyAlignment="1">
      <alignment horizontal="center" vertical="center"/>
    </xf>
    <xf numFmtId="0" fontId="75" fillId="0" borderId="26" xfId="0" applyNumberFormat="1" applyFont="1" applyFill="1" applyBorder="1" applyAlignment="1">
      <alignment horizontal="center" vertical="center" wrapText="1"/>
    </xf>
    <xf numFmtId="0" fontId="75" fillId="0" borderId="33" xfId="0" applyNumberFormat="1" applyFont="1" applyFill="1" applyBorder="1" applyAlignment="1">
      <alignment horizontal="center" vertical="center" wrapText="1"/>
    </xf>
    <xf numFmtId="0" fontId="75" fillId="0" borderId="31" xfId="0" applyNumberFormat="1" applyFont="1" applyFill="1" applyBorder="1" applyAlignment="1">
      <alignment horizontal="center" vertical="center" wrapText="1"/>
    </xf>
    <xf numFmtId="0" fontId="75" fillId="0" borderId="10" xfId="0" applyNumberFormat="1" applyFont="1" applyFill="1" applyBorder="1" applyAlignment="1">
      <alignment horizontal="center" vertical="center" wrapText="1"/>
    </xf>
    <xf numFmtId="0" fontId="136" fillId="0" borderId="0" xfId="5" applyFont="1" applyBorder="1" applyAlignment="1">
      <alignment horizontal="left" vertical="center"/>
    </xf>
    <xf numFmtId="0" fontId="141" fillId="0" borderId="7" xfId="2" applyFont="1" applyBorder="1" applyAlignment="1">
      <alignment horizontal="center" vertical="center" wrapText="1"/>
    </xf>
    <xf numFmtId="2" fontId="132" fillId="0" borderId="35" xfId="5" applyNumberFormat="1" applyFont="1" applyBorder="1" applyAlignment="1">
      <alignment horizontal="center" vertical="center"/>
    </xf>
    <xf numFmtId="2" fontId="132" fillId="0" borderId="34" xfId="5" applyNumberFormat="1" applyFont="1" applyBorder="1" applyAlignment="1">
      <alignment horizontal="center" vertical="center"/>
    </xf>
    <xf numFmtId="0" fontId="132" fillId="0" borderId="10" xfId="5" applyFont="1" applyBorder="1" applyAlignment="1">
      <alignment horizontal="center" vertical="center"/>
    </xf>
    <xf numFmtId="172" fontId="132" fillId="0" borderId="10" xfId="5" applyNumberFormat="1" applyFont="1" applyBorder="1" applyAlignment="1">
      <alignment horizontal="center" vertical="center"/>
    </xf>
    <xf numFmtId="0" fontId="141" fillId="0" borderId="10" xfId="2" applyFont="1" applyBorder="1" applyAlignment="1">
      <alignment horizontal="center" vertical="center" wrapText="1"/>
    </xf>
    <xf numFmtId="2" fontId="132" fillId="0" borderId="10" xfId="5" applyNumberFormat="1" applyFont="1" applyBorder="1" applyAlignment="1">
      <alignment horizontal="center" vertical="center"/>
    </xf>
    <xf numFmtId="0" fontId="74" fillId="0" borderId="0" xfId="5" applyFont="1" applyAlignment="1">
      <alignment horizontal="center"/>
    </xf>
    <xf numFmtId="0" fontId="147" fillId="0" borderId="7" xfId="0" applyNumberFormat="1" applyFont="1" applyBorder="1" applyAlignment="1">
      <alignment horizontal="center" vertical="center" wrapText="1"/>
    </xf>
    <xf numFmtId="0" fontId="144" fillId="0" borderId="10" xfId="0" applyNumberFormat="1" applyFont="1" applyBorder="1" applyAlignment="1">
      <alignment horizontal="center" vertical="center" wrapText="1"/>
    </xf>
    <xf numFmtId="0" fontId="144" fillId="0" borderId="7" xfId="0" applyNumberFormat="1" applyFont="1" applyBorder="1" applyAlignment="1">
      <alignment horizontal="center" vertical="center" wrapText="1"/>
    </xf>
    <xf numFmtId="0" fontId="146" fillId="0" borderId="10" xfId="0" applyNumberFormat="1" applyFont="1" applyBorder="1" applyAlignment="1">
      <alignment horizontal="center" vertical="center" wrapText="1"/>
    </xf>
    <xf numFmtId="0" fontId="143" fillId="0" borderId="10" xfId="0" applyNumberFormat="1" applyFont="1" applyBorder="1" applyAlignment="1">
      <alignment horizontal="center" vertical="center" wrapText="1"/>
    </xf>
    <xf numFmtId="0" fontId="109" fillId="0" borderId="10" xfId="5" applyFont="1" applyBorder="1" applyAlignment="1">
      <alignment horizontal="center" vertical="center"/>
    </xf>
    <xf numFmtId="0" fontId="106" fillId="0" borderId="26" xfId="2" applyFont="1" applyBorder="1" applyAlignment="1">
      <alignment horizontal="center" vertical="center" wrapText="1"/>
    </xf>
    <xf numFmtId="0" fontId="106" fillId="0" borderId="33" xfId="2" applyFont="1" applyBorder="1" applyAlignment="1">
      <alignment horizontal="center" vertical="center" wrapText="1"/>
    </xf>
    <xf numFmtId="0" fontId="106" fillId="0" borderId="31" xfId="2" applyFont="1" applyBorder="1" applyAlignment="1">
      <alignment horizontal="center" vertical="center" wrapText="1"/>
    </xf>
    <xf numFmtId="0" fontId="106" fillId="0" borderId="10" xfId="0" applyNumberFormat="1" applyFont="1" applyBorder="1" applyAlignment="1">
      <alignment horizontal="center" vertical="center" wrapText="1"/>
    </xf>
    <xf numFmtId="0" fontId="99" fillId="0" borderId="0" xfId="2" applyFont="1" applyBorder="1" applyAlignment="1">
      <alignment horizontal="center" vertical="top" wrapText="1"/>
    </xf>
    <xf numFmtId="172" fontId="76" fillId="0" borderId="1" xfId="0" applyNumberFormat="1" applyFont="1" applyFill="1" applyBorder="1" applyAlignment="1">
      <alignment horizontal="center" vertical="center"/>
    </xf>
    <xf numFmtId="0" fontId="142" fillId="0" borderId="0" xfId="2" applyFont="1" applyBorder="1" applyAlignment="1">
      <alignment horizontal="left" vertical="top" wrapText="1"/>
    </xf>
    <xf numFmtId="0" fontId="105" fillId="0" borderId="0" xfId="0" applyNumberFormat="1" applyFont="1" applyFill="1" applyBorder="1" applyAlignment="1">
      <alignment horizontal="center" vertical="center"/>
    </xf>
    <xf numFmtId="0" fontId="100" fillId="0" borderId="1" xfId="0" applyNumberFormat="1" applyFont="1" applyFill="1" applyBorder="1" applyAlignment="1">
      <alignment horizontal="center" vertical="center"/>
    </xf>
    <xf numFmtId="0" fontId="76" fillId="0" borderId="10" xfId="0" applyNumberFormat="1" applyFont="1" applyBorder="1" applyAlignment="1">
      <alignment horizontal="center" vertical="center"/>
    </xf>
    <xf numFmtId="164" fontId="76" fillId="0" borderId="10" xfId="0" applyFont="1" applyBorder="1" applyAlignment="1">
      <alignment horizontal="left" vertical="center" wrapText="1"/>
    </xf>
    <xf numFmtId="0" fontId="102" fillId="0" borderId="26" xfId="3" applyFont="1" applyBorder="1" applyAlignment="1">
      <alignment horizontal="center" vertical="center" wrapText="1"/>
    </xf>
    <xf numFmtId="0" fontId="102" fillId="0" borderId="33" xfId="3" applyFont="1" applyBorder="1" applyAlignment="1">
      <alignment horizontal="center" vertical="center" wrapText="1"/>
    </xf>
    <xf numFmtId="0" fontId="102" fillId="0" borderId="31" xfId="3" applyFont="1" applyBorder="1" applyAlignment="1">
      <alignment horizontal="center" vertical="center" wrapText="1"/>
    </xf>
    <xf numFmtId="164" fontId="76" fillId="0" borderId="0" xfId="0" applyFont="1" applyAlignment="1">
      <alignment horizontal="center" vertical="center"/>
    </xf>
    <xf numFmtId="0" fontId="106" fillId="0" borderId="0" xfId="0" applyNumberFormat="1" applyFont="1" applyBorder="1" applyAlignment="1">
      <alignment horizontal="center" vertical="center" wrapText="1"/>
    </xf>
    <xf numFmtId="0" fontId="107" fillId="0" borderId="0" xfId="0" applyNumberFormat="1" applyFont="1" applyBorder="1" applyAlignment="1">
      <alignment horizontal="center" vertical="center"/>
    </xf>
    <xf numFmtId="0" fontId="76" fillId="0" borderId="0" xfId="0" applyNumberFormat="1" applyFont="1" applyBorder="1" applyAlignment="1">
      <alignment horizontal="center" vertical="center"/>
    </xf>
    <xf numFmtId="165" fontId="76" fillId="0" borderId="10" xfId="0" applyNumberFormat="1" applyFont="1" applyBorder="1" applyAlignment="1">
      <alignment horizontal="center" vertical="center"/>
    </xf>
    <xf numFmtId="0" fontId="105" fillId="0" borderId="10" xfId="7" applyFont="1" applyFill="1" applyBorder="1" applyAlignment="1">
      <alignment horizontal="center" vertical="center"/>
    </xf>
    <xf numFmtId="0" fontId="76" fillId="0" borderId="10" xfId="2" applyFont="1" applyFill="1" applyBorder="1" applyAlignment="1">
      <alignment horizontal="center" vertical="center" wrapText="1"/>
    </xf>
    <xf numFmtId="0" fontId="76" fillId="0" borderId="10" xfId="5" applyFont="1" applyFill="1" applyBorder="1" applyAlignment="1">
      <alignment horizontal="center" vertical="center"/>
    </xf>
    <xf numFmtId="172" fontId="76" fillId="0" borderId="10" xfId="5" applyNumberFormat="1" applyFont="1" applyFill="1" applyBorder="1" applyAlignment="1">
      <alignment horizontal="center" vertical="center"/>
    </xf>
    <xf numFmtId="2" fontId="76" fillId="0" borderId="10" xfId="5" applyNumberFormat="1" applyFont="1" applyFill="1" applyBorder="1" applyAlignment="1">
      <alignment horizontal="center" vertical="center"/>
    </xf>
    <xf numFmtId="0" fontId="75" fillId="0" borderId="14" xfId="0" applyNumberFormat="1" applyFont="1" applyBorder="1" applyAlignment="1">
      <alignment horizontal="center" vertical="center" wrapText="1"/>
    </xf>
    <xf numFmtId="0" fontId="75" fillId="0" borderId="0" xfId="0" applyNumberFormat="1" applyFont="1" applyBorder="1" applyAlignment="1">
      <alignment horizontal="center" vertical="center" wrapText="1"/>
    </xf>
  </cellXfs>
  <cellStyles count="14">
    <cellStyle name="Normal" xfId="0" builtinId="0"/>
    <cellStyle name="Normal 2" xfId="1"/>
    <cellStyle name="Normal 2 2" xfId="2"/>
    <cellStyle name="Normal 2 2 2" xfId="3"/>
    <cellStyle name="Normal 2 3 3" xfId="4"/>
    <cellStyle name="Normal 3" xfId="5"/>
    <cellStyle name="Normal 3 2 3" xfId="6"/>
    <cellStyle name="Normal 3 4" xfId="7"/>
    <cellStyle name="Normal 8" xfId="8"/>
    <cellStyle name="Normal_Phase XI QS" xfId="9"/>
    <cellStyle name="Normal_Phase XI QS 2" xfId="10"/>
    <cellStyle name="Normal_Phase XI QS 3" xfId="11"/>
    <cellStyle name="Normal_test-1" xfId="12"/>
    <cellStyle name="Percent" xfId="1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14</xdr:col>
      <xdr:colOff>457200</xdr:colOff>
      <xdr:row>7664</xdr:row>
      <xdr:rowOff>190500</xdr:rowOff>
    </xdr:from>
    <xdr:to>
      <xdr:col>14</xdr:col>
      <xdr:colOff>561975</xdr:colOff>
      <xdr:row>7665</xdr:row>
      <xdr:rowOff>123825</xdr:rowOff>
    </xdr:to>
    <xdr:sp macro="" textlink="">
      <xdr:nvSpPr>
        <xdr:cNvPr id="33434" name="Text Box 1"/>
        <xdr:cNvSpPr txBox="1">
          <a:spLocks noChangeArrowheads="1"/>
        </xdr:cNvSpPr>
      </xdr:nvSpPr>
      <xdr:spPr bwMode="auto">
        <a:xfrm>
          <a:off x="19573875" y="2323547550"/>
          <a:ext cx="104775" cy="2381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7</xdr:col>
      <xdr:colOff>2505075</xdr:colOff>
      <xdr:row>0</xdr:row>
      <xdr:rowOff>0</xdr:rowOff>
    </xdr:from>
    <xdr:to>
      <xdr:col>7</xdr:col>
      <xdr:colOff>2600325</xdr:colOff>
      <xdr:row>0</xdr:row>
      <xdr:rowOff>228600</xdr:rowOff>
    </xdr:to>
    <xdr:sp macro="" textlink="">
      <xdr:nvSpPr>
        <xdr:cNvPr id="33435" name="Text Box 2"/>
        <xdr:cNvSpPr txBox="1">
          <a:spLocks noChangeArrowheads="1"/>
        </xdr:cNvSpPr>
      </xdr:nvSpPr>
      <xdr:spPr bwMode="auto">
        <a:xfrm>
          <a:off x="12363450" y="0"/>
          <a:ext cx="9525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7729</xdr:row>
      <xdr:rowOff>190500</xdr:rowOff>
    </xdr:from>
    <xdr:to>
      <xdr:col>14</xdr:col>
      <xdr:colOff>542925</xdr:colOff>
      <xdr:row>7731</xdr:row>
      <xdr:rowOff>19050</xdr:rowOff>
    </xdr:to>
    <xdr:sp macro="" textlink="">
      <xdr:nvSpPr>
        <xdr:cNvPr id="30411" name="Text Box 1"/>
        <xdr:cNvSpPr txBox="1">
          <a:spLocks noChangeArrowheads="1"/>
        </xdr:cNvSpPr>
      </xdr:nvSpPr>
      <xdr:spPr bwMode="auto">
        <a:xfrm>
          <a:off x="10487025" y="1094727300"/>
          <a:ext cx="9525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7728</xdr:row>
      <xdr:rowOff>190500</xdr:rowOff>
    </xdr:from>
    <xdr:to>
      <xdr:col>14</xdr:col>
      <xdr:colOff>542925</xdr:colOff>
      <xdr:row>7730</xdr:row>
      <xdr:rowOff>19050</xdr:rowOff>
    </xdr:to>
    <xdr:sp macro="" textlink="">
      <xdr:nvSpPr>
        <xdr:cNvPr id="31435" name="Text Box 1"/>
        <xdr:cNvSpPr txBox="1">
          <a:spLocks noChangeArrowheads="1"/>
        </xdr:cNvSpPr>
      </xdr:nvSpPr>
      <xdr:spPr bwMode="auto">
        <a:xfrm>
          <a:off x="10487025" y="1098508725"/>
          <a:ext cx="9525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1514475</xdr:colOff>
      <xdr:row>10</xdr:row>
      <xdr:rowOff>0</xdr:rowOff>
    </xdr:from>
    <xdr:to>
      <xdr:col>2</xdr:col>
      <xdr:colOff>1514475</xdr:colOff>
      <xdr:row>10</xdr:row>
      <xdr:rowOff>200025</xdr:rowOff>
    </xdr:to>
    <xdr:sp macro="" textlink="">
      <xdr:nvSpPr>
        <xdr:cNvPr id="39507" name="Text Box 8"/>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08" name="Text Box 4"/>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09" name="Text Box 5"/>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0" name="Text Box 6"/>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1" name="Text Box 7"/>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2" name="Text Box 8"/>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3" name="Text Box 4"/>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4" name="Text Box 5"/>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10</xdr:row>
      <xdr:rowOff>0</xdr:rowOff>
    </xdr:from>
    <xdr:to>
      <xdr:col>2</xdr:col>
      <xdr:colOff>1514475</xdr:colOff>
      <xdr:row>10</xdr:row>
      <xdr:rowOff>200025</xdr:rowOff>
    </xdr:to>
    <xdr:sp macro="" textlink="">
      <xdr:nvSpPr>
        <xdr:cNvPr id="39515" name="Text Box 6"/>
        <xdr:cNvSpPr txBox="1">
          <a:spLocks noChangeArrowheads="1"/>
        </xdr:cNvSpPr>
      </xdr:nvSpPr>
      <xdr:spPr bwMode="auto">
        <a:xfrm>
          <a:off x="2628900" y="487680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1514475</xdr:colOff>
      <xdr:row>41</xdr:row>
      <xdr:rowOff>0</xdr:rowOff>
    </xdr:from>
    <xdr:to>
      <xdr:col>1</xdr:col>
      <xdr:colOff>1514475</xdr:colOff>
      <xdr:row>41</xdr:row>
      <xdr:rowOff>200025</xdr:rowOff>
    </xdr:to>
    <xdr:sp macro="" textlink="">
      <xdr:nvSpPr>
        <xdr:cNvPr id="38519" name="Text Box 7"/>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0" name="Text Box 8"/>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1" name="Text Box 4"/>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2" name="Text Box 5"/>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3" name="Text Box 6"/>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4" name="Text Box 7"/>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5" name="Text Box 8"/>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6" name="Text Box 4"/>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7" name="Text Box 5"/>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41</xdr:row>
      <xdr:rowOff>0</xdr:rowOff>
    </xdr:from>
    <xdr:to>
      <xdr:col>1</xdr:col>
      <xdr:colOff>1514475</xdr:colOff>
      <xdr:row>41</xdr:row>
      <xdr:rowOff>200025</xdr:rowOff>
    </xdr:to>
    <xdr:sp macro="" textlink="">
      <xdr:nvSpPr>
        <xdr:cNvPr id="38528" name="Text Box 6"/>
        <xdr:cNvSpPr txBox="1">
          <a:spLocks noChangeArrowheads="1"/>
        </xdr:cNvSpPr>
      </xdr:nvSpPr>
      <xdr:spPr bwMode="auto">
        <a:xfrm>
          <a:off x="1847850" y="10572750"/>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1514475</xdr:colOff>
      <xdr:row>46</xdr:row>
      <xdr:rowOff>0</xdr:rowOff>
    </xdr:from>
    <xdr:to>
      <xdr:col>2</xdr:col>
      <xdr:colOff>1724025</xdr:colOff>
      <xdr:row>46</xdr:row>
      <xdr:rowOff>66675</xdr:rowOff>
    </xdr:to>
    <xdr:sp macro="" textlink="">
      <xdr:nvSpPr>
        <xdr:cNvPr id="77269" name="Text Box 1"/>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0" name="Text Box 4"/>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1" name="Text Box 5"/>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2" name="Text Box 6"/>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3" name="Text Box 7"/>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4" name="Text Box 8"/>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5" name="Text Box 1"/>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6" name="Text Box 4"/>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7" name="Text Box 5"/>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278" name="Text Box 6"/>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79" name="Text Box 7"/>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0" name="Text Box 8"/>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1" name="Text Box 4"/>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2" name="Text Box 5"/>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3" name="Text Box 6"/>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4" name="Text Box 7"/>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5" name="Text Box 8"/>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6" name="Text Box 4"/>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7" name="Text Box 5"/>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288" name="Text Box 6"/>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89" name="Text Box 7"/>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0" name="Text Box 8"/>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1" name="Text Box 4"/>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2" name="Text Box 5"/>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3" name="Text Box 6"/>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4" name="Text Box 7"/>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5" name="Text Box 8"/>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6" name="Text Box 4"/>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7" name="Text Box 5"/>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1514475</xdr:colOff>
      <xdr:row>45</xdr:row>
      <xdr:rowOff>95250</xdr:rowOff>
    </xdr:to>
    <xdr:sp macro="" textlink="">
      <xdr:nvSpPr>
        <xdr:cNvPr id="77298" name="Text Box 6"/>
        <xdr:cNvSpPr txBox="1">
          <a:spLocks noChangeArrowheads="1"/>
        </xdr:cNvSpPr>
      </xdr:nvSpPr>
      <xdr:spPr bwMode="auto">
        <a:xfrm>
          <a:off x="2724150" y="3570922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299" name="Text Box 1"/>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00" name="Text Box 4"/>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01" name="Text Box 5"/>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02" name="Text Box 6"/>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03" name="Text Box 1"/>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04" name="Text Box 1"/>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05" name="Text Box 4"/>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06" name="Text Box 5"/>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07" name="Text Box 6"/>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08" name="Text Box 1"/>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09" name="Text Box 1"/>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0" name="Text Box 4"/>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1" name="Text Box 5"/>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2" name="Text Box 6"/>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3" name="Text Box 7"/>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4" name="Text Box 8"/>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5" name="Text Box 1"/>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6" name="Text Box 4"/>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7" name="Text Box 5"/>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66675</xdr:rowOff>
    </xdr:to>
    <xdr:sp macro="" textlink="">
      <xdr:nvSpPr>
        <xdr:cNvPr id="77318" name="Text Box 6"/>
        <xdr:cNvSpPr txBox="1">
          <a:spLocks noChangeArrowheads="1"/>
        </xdr:cNvSpPr>
      </xdr:nvSpPr>
      <xdr:spPr bwMode="auto">
        <a:xfrm>
          <a:off x="2724150" y="361378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19" name="Text Box 7"/>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0" name="Text Box 8"/>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1" name="Text Box 4"/>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2" name="Text Box 5"/>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3" name="Text Box 6"/>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4" name="Text Box 7"/>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5" name="Text Box 8"/>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6" name="Text Box 4"/>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7" name="Text Box 5"/>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1724025</xdr:colOff>
      <xdr:row>46</xdr:row>
      <xdr:rowOff>95250</xdr:rowOff>
    </xdr:to>
    <xdr:sp macro="" textlink="">
      <xdr:nvSpPr>
        <xdr:cNvPr id="77328" name="Text Box 6"/>
        <xdr:cNvSpPr txBox="1">
          <a:spLocks noChangeArrowheads="1"/>
        </xdr:cNvSpPr>
      </xdr:nvSpPr>
      <xdr:spPr bwMode="auto">
        <a:xfrm>
          <a:off x="2724150" y="361378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29" name="Text Box 1"/>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30" name="Text Box 4"/>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31" name="Text Box 5"/>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32" name="Text Box 6"/>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47625</xdr:rowOff>
    </xdr:to>
    <xdr:sp macro="" textlink="">
      <xdr:nvSpPr>
        <xdr:cNvPr id="77333" name="Text Box 1"/>
        <xdr:cNvSpPr txBox="1">
          <a:spLocks noChangeArrowheads="1"/>
        </xdr:cNvSpPr>
      </xdr:nvSpPr>
      <xdr:spPr bwMode="auto">
        <a:xfrm>
          <a:off x="2724150" y="36137850"/>
          <a:ext cx="171450"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34" name="Text Box 1"/>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35" name="Text Box 4"/>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36" name="Text Box 5"/>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37" name="Text Box 6"/>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1685925</xdr:colOff>
      <xdr:row>46</xdr:row>
      <xdr:rowOff>76200</xdr:rowOff>
    </xdr:to>
    <xdr:sp macro="" textlink="">
      <xdr:nvSpPr>
        <xdr:cNvPr id="77338" name="Text Box 1"/>
        <xdr:cNvSpPr txBox="1">
          <a:spLocks noChangeArrowheads="1"/>
        </xdr:cNvSpPr>
      </xdr:nvSpPr>
      <xdr:spPr bwMode="auto">
        <a:xfrm>
          <a:off x="2724150" y="36137850"/>
          <a:ext cx="1714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39"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0"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1"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2"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3"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4"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5"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6"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7"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348"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49" name="Text Box 1"/>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0" name="Text Box 4"/>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1" name="Text Box 5"/>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2" name="Text Box 6"/>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3" name="Text Box 7"/>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4" name="Text Box 8"/>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5" name="Text Box 1"/>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6" name="Text Box 4"/>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7" name="Text Box 5"/>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57150</xdr:rowOff>
    </xdr:to>
    <xdr:sp macro="" textlink="">
      <xdr:nvSpPr>
        <xdr:cNvPr id="77358" name="Text Box 6"/>
        <xdr:cNvSpPr txBox="1">
          <a:spLocks noChangeArrowheads="1"/>
        </xdr:cNvSpPr>
      </xdr:nvSpPr>
      <xdr:spPr bwMode="auto">
        <a:xfrm>
          <a:off x="2724150" y="4324350"/>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59"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0"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1"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2"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3"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4"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5"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36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69"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0"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1"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2"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3"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4"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5"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7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8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39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4"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5"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6"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7"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8"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09"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0"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1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2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39"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0"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1"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2"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3"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4"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5"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4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5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6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4"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5"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6"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7"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8"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79"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0" name="Text Box 1"/>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8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499"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0"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1"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2"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3"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4" name="Text Box 7"/>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5" name="Text Box 8"/>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6" name="Text Box 4"/>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7" name="Text Box 5"/>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44</xdr:row>
      <xdr:rowOff>0</xdr:rowOff>
    </xdr:from>
    <xdr:to>
      <xdr:col>2</xdr:col>
      <xdr:colOff>1609725</xdr:colOff>
      <xdr:row>44</xdr:row>
      <xdr:rowOff>276225</xdr:rowOff>
    </xdr:to>
    <xdr:sp macro="" textlink="">
      <xdr:nvSpPr>
        <xdr:cNvPr id="77508" name="Text Box 6"/>
        <xdr:cNvSpPr txBox="1">
          <a:spLocks noChangeArrowheads="1"/>
        </xdr:cNvSpPr>
      </xdr:nvSpPr>
      <xdr:spPr bwMode="auto">
        <a:xfrm>
          <a:off x="2724150" y="35423475"/>
          <a:ext cx="95250"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09" name="Text Box 8"/>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0" name="Text Box 4"/>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1" name="Text Box 5"/>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2" name="Text Box 6"/>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3" name="Text Box 7"/>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4" name="Text Box 8"/>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5" name="Text Box 4"/>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6" name="Text Box 5"/>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17" name="Text Box 6"/>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18" name="Text Box 1"/>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19" name="Text Box 4"/>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0" name="Text Box 5"/>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1" name="Text Box 6"/>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2" name="Text Box 7"/>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3" name="Text Box 8"/>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4" name="Text Box 1"/>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5" name="Text Box 4"/>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6" name="Text Box 5"/>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66675</xdr:rowOff>
    </xdr:to>
    <xdr:sp macro="" textlink="">
      <xdr:nvSpPr>
        <xdr:cNvPr id="77527" name="Text Box 6"/>
        <xdr:cNvSpPr txBox="1">
          <a:spLocks noChangeArrowheads="1"/>
        </xdr:cNvSpPr>
      </xdr:nvSpPr>
      <xdr:spPr bwMode="auto">
        <a:xfrm>
          <a:off x="2724150" y="252412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28" name="Text Box 7"/>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29" name="Text Box 8"/>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0" name="Text Box 4"/>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1" name="Text Box 5"/>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2" name="Text Box 6"/>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3" name="Text Box 7"/>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4" name="Text Box 8"/>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5" name="Text Box 4"/>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6" name="Text Box 5"/>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2171700</xdr:colOff>
      <xdr:row>5</xdr:row>
      <xdr:rowOff>76200</xdr:rowOff>
    </xdr:to>
    <xdr:sp macro="" textlink="">
      <xdr:nvSpPr>
        <xdr:cNvPr id="77537" name="Text Box 6"/>
        <xdr:cNvSpPr txBox="1">
          <a:spLocks noChangeArrowheads="1"/>
        </xdr:cNvSpPr>
      </xdr:nvSpPr>
      <xdr:spPr bwMode="auto">
        <a:xfrm>
          <a:off x="2724150" y="2524125"/>
          <a:ext cx="657225"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38" name="Text Box 7"/>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39" name="Text Box 8"/>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0" name="Text Box 4"/>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1" name="Text Box 5"/>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2" name="Text Box 6"/>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3" name="Text Box 7"/>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4" name="Text Box 8"/>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5" name="Text Box 4"/>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6" name="Text Box 5"/>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95250</xdr:rowOff>
    </xdr:to>
    <xdr:sp macro="" textlink="">
      <xdr:nvSpPr>
        <xdr:cNvPr id="77547" name="Text Box 6"/>
        <xdr:cNvSpPr txBox="1">
          <a:spLocks noChangeArrowheads="1"/>
        </xdr:cNvSpPr>
      </xdr:nvSpPr>
      <xdr:spPr bwMode="auto">
        <a:xfrm>
          <a:off x="2724150" y="2524125"/>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48" name="Text Box 1"/>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49" name="Text Box 4"/>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0" name="Text Box 5"/>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1" name="Text Box 6"/>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2" name="Text Box 7"/>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3" name="Text Box 8"/>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4" name="Text Box 1"/>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5" name="Text Box 4"/>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6" name="Text Box 5"/>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5</xdr:row>
      <xdr:rowOff>0</xdr:rowOff>
    </xdr:from>
    <xdr:to>
      <xdr:col>2</xdr:col>
      <xdr:colOff>1724025</xdr:colOff>
      <xdr:row>5</xdr:row>
      <xdr:rowOff>66675</xdr:rowOff>
    </xdr:to>
    <xdr:sp macro="" textlink="">
      <xdr:nvSpPr>
        <xdr:cNvPr id="77557" name="Text Box 6"/>
        <xdr:cNvSpPr txBox="1">
          <a:spLocks noChangeArrowheads="1"/>
        </xdr:cNvSpPr>
      </xdr:nvSpPr>
      <xdr:spPr bwMode="auto">
        <a:xfrm>
          <a:off x="2724150" y="2524125"/>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58" name="Text Box 1"/>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59" name="Text Box 4"/>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0" name="Text Box 5"/>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1" name="Text Box 6"/>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2" name="Text Box 1"/>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3" name="Text Box 1"/>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4" name="Text Box 4"/>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5" name="Text Box 5"/>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6" name="Text Box 6"/>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47</xdr:row>
      <xdr:rowOff>247650</xdr:rowOff>
    </xdr:to>
    <xdr:sp macro="" textlink="">
      <xdr:nvSpPr>
        <xdr:cNvPr id="77567" name="Text Box 1"/>
        <xdr:cNvSpPr txBox="1">
          <a:spLocks noChangeArrowheads="1"/>
        </xdr:cNvSpPr>
      </xdr:nvSpPr>
      <xdr:spPr bwMode="auto">
        <a:xfrm>
          <a:off x="1209675" y="36137850"/>
          <a:ext cx="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68" name="Text Box 1"/>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69" name="Text Box 4"/>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0" name="Text Box 5"/>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1" name="Text Box 6"/>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2" name="Text Box 1"/>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3" name="Text Box 1"/>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4" name="Text Box 4"/>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5" name="Text Box 5"/>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6" name="Text Box 6"/>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46</xdr:row>
      <xdr:rowOff>0</xdr:rowOff>
    </xdr:from>
    <xdr:to>
      <xdr:col>2</xdr:col>
      <xdr:colOff>0</xdr:colOff>
      <xdr:row>46</xdr:row>
      <xdr:rowOff>171450</xdr:rowOff>
    </xdr:to>
    <xdr:sp macro="" textlink="">
      <xdr:nvSpPr>
        <xdr:cNvPr id="77577" name="Text Box 1"/>
        <xdr:cNvSpPr txBox="1">
          <a:spLocks noChangeArrowheads="1"/>
        </xdr:cNvSpPr>
      </xdr:nvSpPr>
      <xdr:spPr bwMode="auto">
        <a:xfrm>
          <a:off x="1209675" y="361378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78" name="Text Box 1"/>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79" name="Text Box 4"/>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0" name="Text Box 5"/>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1" name="Text Box 6"/>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2" name="Text Box 7"/>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3" name="Text Box 8"/>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4" name="Text Box 1"/>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5" name="Text Box 4"/>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6" name="Text Box 5"/>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7" name="Text Box 6"/>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8" name="Text Box 7"/>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89" name="Text Box 8"/>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0" name="Text Box 4"/>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1" name="Text Box 5"/>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2" name="Text Box 6"/>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3" name="Text Box 7"/>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4" name="Text Box 8"/>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5" name="Text Box 4"/>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6" name="Text Box 5"/>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1952625</xdr:colOff>
      <xdr:row>45</xdr:row>
      <xdr:rowOff>38100</xdr:rowOff>
    </xdr:to>
    <xdr:sp macro="" textlink="">
      <xdr:nvSpPr>
        <xdr:cNvPr id="77597" name="Text Box 6"/>
        <xdr:cNvSpPr txBox="1">
          <a:spLocks noChangeArrowheads="1"/>
        </xdr:cNvSpPr>
      </xdr:nvSpPr>
      <xdr:spPr bwMode="auto">
        <a:xfrm>
          <a:off x="2724150" y="35709225"/>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598" name="Text Box 7"/>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599" name="Text Box 8"/>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0" name="Text Box 4"/>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1" name="Text Box 5"/>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2" name="Text Box 6"/>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3" name="Text Box 7"/>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4" name="Text Box 8"/>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5" name="Text Box 4"/>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6" name="Text Box 5"/>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45</xdr:row>
      <xdr:rowOff>0</xdr:rowOff>
    </xdr:from>
    <xdr:to>
      <xdr:col>2</xdr:col>
      <xdr:colOff>1743075</xdr:colOff>
      <xdr:row>45</xdr:row>
      <xdr:rowOff>38100</xdr:rowOff>
    </xdr:to>
    <xdr:sp macro="" textlink="">
      <xdr:nvSpPr>
        <xdr:cNvPr id="77607" name="Text Box 6"/>
        <xdr:cNvSpPr txBox="1">
          <a:spLocks noChangeArrowheads="1"/>
        </xdr:cNvSpPr>
      </xdr:nvSpPr>
      <xdr:spPr bwMode="auto">
        <a:xfrm>
          <a:off x="2724150" y="35709225"/>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2019300</xdr:colOff>
      <xdr:row>45</xdr:row>
      <xdr:rowOff>0</xdr:rowOff>
    </xdr:from>
    <xdr:to>
      <xdr:col>2</xdr:col>
      <xdr:colOff>2409825</xdr:colOff>
      <xdr:row>45</xdr:row>
      <xdr:rowOff>38100</xdr:rowOff>
    </xdr:to>
    <xdr:sp macro="" textlink="">
      <xdr:nvSpPr>
        <xdr:cNvPr id="77608" name="Text Box 1"/>
        <xdr:cNvSpPr txBox="1">
          <a:spLocks noChangeArrowheads="1"/>
        </xdr:cNvSpPr>
      </xdr:nvSpPr>
      <xdr:spPr bwMode="auto">
        <a:xfrm>
          <a:off x="3228975" y="35709225"/>
          <a:ext cx="390525"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09" name="Text Box 7"/>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0" name="Text Box 8"/>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1" name="Text Box 4"/>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2" name="Text Box 5"/>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3" name="Text Box 6"/>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4" name="Text Box 7"/>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5" name="Text Box 8"/>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6" name="Text Box 4"/>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7" name="Text Box 5"/>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1514475</xdr:colOff>
      <xdr:row>46</xdr:row>
      <xdr:rowOff>95250</xdr:rowOff>
    </xdr:to>
    <xdr:sp macro="" textlink="">
      <xdr:nvSpPr>
        <xdr:cNvPr id="77618" name="Text Box 6"/>
        <xdr:cNvSpPr txBox="1">
          <a:spLocks noChangeArrowheads="1"/>
        </xdr:cNvSpPr>
      </xdr:nvSpPr>
      <xdr:spPr bwMode="auto">
        <a:xfrm>
          <a:off x="2724150" y="3613785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19" name="Text Box 4"/>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0" name="Text Box 5"/>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1" name="Text Box 6"/>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2" name="Text Box 7"/>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3" name="Text Box 8"/>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4" name="Text Box 1"/>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5" name="Text Box 4"/>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6" name="Text Box 5"/>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7" name="Text Box 6"/>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8" name="Text Box 7"/>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29" name="Text Box 8"/>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0" name="Text Box 4"/>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1" name="Text Box 5"/>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2" name="Text Box 6"/>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3" name="Text Box 7"/>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4" name="Text Box 8"/>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5" name="Text Box 4"/>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6" name="Text Box 5"/>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1952625</xdr:colOff>
      <xdr:row>46</xdr:row>
      <xdr:rowOff>38100</xdr:rowOff>
    </xdr:to>
    <xdr:sp macro="" textlink="">
      <xdr:nvSpPr>
        <xdr:cNvPr id="77637" name="Text Box 6"/>
        <xdr:cNvSpPr txBox="1">
          <a:spLocks noChangeArrowheads="1"/>
        </xdr:cNvSpPr>
      </xdr:nvSpPr>
      <xdr:spPr bwMode="auto">
        <a:xfrm>
          <a:off x="2724150" y="36137850"/>
          <a:ext cx="4381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38" name="Text Box 7"/>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39" name="Text Box 8"/>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0"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1"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2"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3" name="Text Box 7"/>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4" name="Text Box 8"/>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5"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6"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7"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2019300</xdr:colOff>
      <xdr:row>46</xdr:row>
      <xdr:rowOff>0</xdr:rowOff>
    </xdr:from>
    <xdr:to>
      <xdr:col>2</xdr:col>
      <xdr:colOff>2409825</xdr:colOff>
      <xdr:row>46</xdr:row>
      <xdr:rowOff>38100</xdr:rowOff>
    </xdr:to>
    <xdr:sp macro="" textlink="">
      <xdr:nvSpPr>
        <xdr:cNvPr id="77648" name="Text Box 1"/>
        <xdr:cNvSpPr txBox="1">
          <a:spLocks noChangeArrowheads="1"/>
        </xdr:cNvSpPr>
      </xdr:nvSpPr>
      <xdr:spPr bwMode="auto">
        <a:xfrm>
          <a:off x="3228975" y="36137850"/>
          <a:ext cx="390525"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49"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0"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1"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2"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3"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4"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5"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6"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7"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8"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59"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0"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1"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2"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3"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4"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5" name="Text Box 4"/>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6" name="Text Box 5"/>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7" name="Text Box 6"/>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46</xdr:row>
      <xdr:rowOff>0</xdr:rowOff>
    </xdr:from>
    <xdr:to>
      <xdr:col>2</xdr:col>
      <xdr:colOff>1743075</xdr:colOff>
      <xdr:row>46</xdr:row>
      <xdr:rowOff>38100</xdr:rowOff>
    </xdr:to>
    <xdr:sp macro="" textlink="">
      <xdr:nvSpPr>
        <xdr:cNvPr id="77668" name="Text Box 1"/>
        <xdr:cNvSpPr txBox="1">
          <a:spLocks noChangeArrowheads="1"/>
        </xdr:cNvSpPr>
      </xdr:nvSpPr>
      <xdr:spPr bwMode="auto">
        <a:xfrm>
          <a:off x="2724150" y="36137850"/>
          <a:ext cx="22860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69"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0"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1"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2"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3"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4"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5"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6"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7"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78"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79"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0"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1"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2"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3"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4"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5"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89"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0"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1"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2"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3"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4"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5"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69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699"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0"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1"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2"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3"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4"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5"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6"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7"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08"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09" name="Text Box 1"/>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0" name="Text Box 4"/>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1" name="Text Box 5"/>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2" name="Text Box 6"/>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3" name="Text Box 7"/>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4" name="Text Box 8"/>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5" name="Text Box 1"/>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6" name="Text Box 4"/>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7" name="Text Box 5"/>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66675</xdr:rowOff>
    </xdr:to>
    <xdr:sp macro="" textlink="">
      <xdr:nvSpPr>
        <xdr:cNvPr id="77718" name="Text Box 6"/>
        <xdr:cNvSpPr txBox="1">
          <a:spLocks noChangeArrowheads="1"/>
        </xdr:cNvSpPr>
      </xdr:nvSpPr>
      <xdr:spPr bwMode="auto">
        <a:xfrm>
          <a:off x="2724150" y="4324350"/>
          <a:ext cx="2095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19"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0"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1"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2"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3"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4"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5"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6"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7"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28"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29"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0"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1"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2"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3"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4"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5"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39"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0"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1"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2"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3"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4"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5"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4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49"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0"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1"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2"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3"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4" name="Text Box 7"/>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5" name="Text Box 8"/>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6" name="Text Box 4"/>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7" name="Text Box 5"/>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1724025</xdr:colOff>
      <xdr:row>6</xdr:row>
      <xdr:rowOff>95250</xdr:rowOff>
    </xdr:to>
    <xdr:sp macro="" textlink="">
      <xdr:nvSpPr>
        <xdr:cNvPr id="77758" name="Text Box 6"/>
        <xdr:cNvSpPr txBox="1">
          <a:spLocks noChangeArrowheads="1"/>
        </xdr:cNvSpPr>
      </xdr:nvSpPr>
      <xdr:spPr bwMode="auto">
        <a:xfrm>
          <a:off x="2724150" y="4324350"/>
          <a:ext cx="20955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59"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0"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1"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2"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3"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4"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5" name="Text Box 1"/>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8"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69"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0"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1"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2"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3" name="Text Box 6"/>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4" name="Text Box 7"/>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5" name="Text Box 8"/>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6" name="Text Box 4"/>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0</xdr:rowOff>
    </xdr:from>
    <xdr:to>
      <xdr:col>2</xdr:col>
      <xdr:colOff>2171700</xdr:colOff>
      <xdr:row>6</xdr:row>
      <xdr:rowOff>66675</xdr:rowOff>
    </xdr:to>
    <xdr:sp macro="" textlink="">
      <xdr:nvSpPr>
        <xdr:cNvPr id="77777" name="Text Box 5"/>
        <xdr:cNvSpPr txBox="1">
          <a:spLocks noChangeArrowheads="1"/>
        </xdr:cNvSpPr>
      </xdr:nvSpPr>
      <xdr:spPr bwMode="auto">
        <a:xfrm>
          <a:off x="2724150" y="4324350"/>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6</xdr:row>
      <xdr:rowOff>9525</xdr:rowOff>
    </xdr:from>
    <xdr:to>
      <xdr:col>2</xdr:col>
      <xdr:colOff>2171700</xdr:colOff>
      <xdr:row>6</xdr:row>
      <xdr:rowOff>76200</xdr:rowOff>
    </xdr:to>
    <xdr:sp macro="" textlink="">
      <xdr:nvSpPr>
        <xdr:cNvPr id="77778" name="Text Box 6"/>
        <xdr:cNvSpPr txBox="1">
          <a:spLocks noChangeArrowheads="1"/>
        </xdr:cNvSpPr>
      </xdr:nvSpPr>
      <xdr:spPr bwMode="auto">
        <a:xfrm>
          <a:off x="2724150" y="43338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1514475</xdr:colOff>
      <xdr:row>9</xdr:row>
      <xdr:rowOff>0</xdr:rowOff>
    </xdr:from>
    <xdr:to>
      <xdr:col>2</xdr:col>
      <xdr:colOff>1514475</xdr:colOff>
      <xdr:row>9</xdr:row>
      <xdr:rowOff>200025</xdr:rowOff>
    </xdr:to>
    <xdr:sp macro="" textlink="">
      <xdr:nvSpPr>
        <xdr:cNvPr id="41551" name="Text Box 7"/>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2" name="Text Box 8"/>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3" name="Text Box 4"/>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4" name="Text Box 5"/>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5" name="Text Box 6"/>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6" name="Text Box 7"/>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7" name="Text Box 8"/>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8" name="Text Box 4"/>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59" name="Text Box 5"/>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2</xdr:col>
      <xdr:colOff>1514475</xdr:colOff>
      <xdr:row>9</xdr:row>
      <xdr:rowOff>0</xdr:rowOff>
    </xdr:from>
    <xdr:to>
      <xdr:col>2</xdr:col>
      <xdr:colOff>1514475</xdr:colOff>
      <xdr:row>9</xdr:row>
      <xdr:rowOff>200025</xdr:rowOff>
    </xdr:to>
    <xdr:sp macro="" textlink="">
      <xdr:nvSpPr>
        <xdr:cNvPr id="41560" name="Text Box 6"/>
        <xdr:cNvSpPr txBox="1">
          <a:spLocks noChangeArrowheads="1"/>
        </xdr:cNvSpPr>
      </xdr:nvSpPr>
      <xdr:spPr bwMode="auto">
        <a:xfrm>
          <a:off x="2628900" y="4695825"/>
          <a:ext cx="0"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1514475</xdr:colOff>
      <xdr:row>77</xdr:row>
      <xdr:rowOff>0</xdr:rowOff>
    </xdr:from>
    <xdr:to>
      <xdr:col>1</xdr:col>
      <xdr:colOff>1609725</xdr:colOff>
      <xdr:row>77</xdr:row>
      <xdr:rowOff>152400</xdr:rowOff>
    </xdr:to>
    <xdr:sp macro="" textlink="">
      <xdr:nvSpPr>
        <xdr:cNvPr id="76058"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5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4"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8"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69"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3"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4"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8"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79"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3"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4"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8"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89"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3"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099"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3"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4"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8"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09"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3"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4"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8"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19"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0"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1"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2"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3"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4"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5"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6"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27"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28" name="Text Box 7"/>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29" name="Text Box 8"/>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0" name="Text Box 4"/>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1" name="Text Box 5"/>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2" name="Text Box 6"/>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3" name="Text Box 7"/>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4" name="Text Box 8"/>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5" name="Text Box 4"/>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6" name="Text Box 5"/>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1724025</xdr:colOff>
      <xdr:row>6</xdr:row>
      <xdr:rowOff>76200</xdr:rowOff>
    </xdr:to>
    <xdr:sp macro="" textlink="">
      <xdr:nvSpPr>
        <xdr:cNvPr id="76137" name="Text Box 6"/>
        <xdr:cNvSpPr txBox="1">
          <a:spLocks noChangeArrowheads="1"/>
        </xdr:cNvSpPr>
      </xdr:nvSpPr>
      <xdr:spPr bwMode="auto">
        <a:xfrm>
          <a:off x="2276475" y="2428875"/>
          <a:ext cx="209550" cy="76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38" name="Text Box 1"/>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39" name="Text Box 4"/>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0" name="Text Box 5"/>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1" name="Text Box 6"/>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2" name="Text Box 7"/>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3" name="Text Box 8"/>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4" name="Text Box 1"/>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5" name="Text Box 4"/>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6" name="Text Box 5"/>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47625</xdr:rowOff>
    </xdr:to>
    <xdr:sp macro="" textlink="">
      <xdr:nvSpPr>
        <xdr:cNvPr id="76147" name="Text Box 6"/>
        <xdr:cNvSpPr txBox="1">
          <a:spLocks noChangeArrowheads="1"/>
        </xdr:cNvSpPr>
      </xdr:nvSpPr>
      <xdr:spPr bwMode="auto">
        <a:xfrm>
          <a:off x="2276475" y="2428875"/>
          <a:ext cx="6572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48" name="Text Box 7"/>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49" name="Text Box 8"/>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50" name="Text Box 4"/>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51" name="Text Box 5"/>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52" name="Text Box 6"/>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53" name="Text Box 7"/>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6</xdr:row>
      <xdr:rowOff>0</xdr:rowOff>
    </xdr:from>
    <xdr:to>
      <xdr:col>1</xdr:col>
      <xdr:colOff>2171700</xdr:colOff>
      <xdr:row>6</xdr:row>
      <xdr:rowOff>57150</xdr:rowOff>
    </xdr:to>
    <xdr:sp macro="" textlink="">
      <xdr:nvSpPr>
        <xdr:cNvPr id="76154" name="Text Box 8"/>
        <xdr:cNvSpPr txBox="1">
          <a:spLocks noChangeArrowheads="1"/>
        </xdr:cNvSpPr>
      </xdr:nvSpPr>
      <xdr:spPr bwMode="auto">
        <a:xfrm>
          <a:off x="2276475" y="24288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15</xdr:col>
      <xdr:colOff>9525</xdr:colOff>
      <xdr:row>6</xdr:row>
      <xdr:rowOff>104775</xdr:rowOff>
    </xdr:from>
    <xdr:to>
      <xdr:col>16</xdr:col>
      <xdr:colOff>57150</xdr:colOff>
      <xdr:row>6</xdr:row>
      <xdr:rowOff>390525</xdr:rowOff>
    </xdr:to>
    <xdr:sp macro="" textlink="">
      <xdr:nvSpPr>
        <xdr:cNvPr id="76155" name="Text Box 4"/>
        <xdr:cNvSpPr txBox="1">
          <a:spLocks noChangeArrowheads="1"/>
        </xdr:cNvSpPr>
      </xdr:nvSpPr>
      <xdr:spPr bwMode="auto">
        <a:xfrm>
          <a:off x="12477750" y="2533650"/>
          <a:ext cx="809625" cy="2857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15</xdr:col>
      <xdr:colOff>466725</xdr:colOff>
      <xdr:row>6</xdr:row>
      <xdr:rowOff>333375</xdr:rowOff>
    </xdr:from>
    <xdr:to>
      <xdr:col>16</xdr:col>
      <xdr:colOff>514350</xdr:colOff>
      <xdr:row>6</xdr:row>
      <xdr:rowOff>390525</xdr:rowOff>
    </xdr:to>
    <xdr:sp macro="" textlink="">
      <xdr:nvSpPr>
        <xdr:cNvPr id="76156" name="Text Box 5"/>
        <xdr:cNvSpPr txBox="1">
          <a:spLocks noChangeArrowheads="1"/>
        </xdr:cNvSpPr>
      </xdr:nvSpPr>
      <xdr:spPr bwMode="auto">
        <a:xfrm>
          <a:off x="12934950" y="2762250"/>
          <a:ext cx="8096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57" name="Text Box 7"/>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58" name="Text Box 8"/>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59" name="Text Box 4"/>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0" name="Text Box 5"/>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1" name="Text Box 6"/>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2" name="Text Box 7"/>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3" name="Text Box 8"/>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4" name="Text Box 4"/>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5" name="Text Box 5"/>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166" name="Text Box 6"/>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67" name="Text Box 1"/>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68" name="Text Box 4"/>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69" name="Text Box 5"/>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0" name="Text Box 6"/>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1" name="Text Box 7"/>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2" name="Text Box 8"/>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3" name="Text Box 1"/>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4" name="Text Box 4"/>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5" name="Text Box 5"/>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176" name="Text Box 6"/>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77" name="Text Box 7"/>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78" name="Text Box 8"/>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79" name="Text Box 4"/>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0" name="Text Box 5"/>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1" name="Text Box 6"/>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2" name="Text Box 7"/>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3" name="Text Box 8"/>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4" name="Text Box 4"/>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5" name="Text Box 5"/>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186" name="Text Box 6"/>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87"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88"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89"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0"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1"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2"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3"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19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0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1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2"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3"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4"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5"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6"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7"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8" name="Text Box 1"/>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2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3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7"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8"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49"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0"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1"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2" name="Text Box 7"/>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3" name="Text Box 8"/>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4" name="Text Box 4"/>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5" name="Text Box 5"/>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77</xdr:row>
      <xdr:rowOff>0</xdr:rowOff>
    </xdr:from>
    <xdr:to>
      <xdr:col>1</xdr:col>
      <xdr:colOff>1609725</xdr:colOff>
      <xdr:row>77</xdr:row>
      <xdr:rowOff>152400</xdr:rowOff>
    </xdr:to>
    <xdr:sp macro="" textlink="">
      <xdr:nvSpPr>
        <xdr:cNvPr id="76256" name="Text Box 6"/>
        <xdr:cNvSpPr txBox="1">
          <a:spLocks noChangeArrowheads="1"/>
        </xdr:cNvSpPr>
      </xdr:nvSpPr>
      <xdr:spPr bwMode="auto">
        <a:xfrm>
          <a:off x="2276475" y="42891075"/>
          <a:ext cx="952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57" name="Text Box 7"/>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58" name="Text Box 8"/>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59" name="Text Box 4"/>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0" name="Text Box 5"/>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1" name="Text Box 6"/>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2" name="Text Box 7"/>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3" name="Text Box 8"/>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4" name="Text Box 4"/>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5" name="Text Box 5"/>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1724025</xdr:colOff>
      <xdr:row>10</xdr:row>
      <xdr:rowOff>85725</xdr:rowOff>
    </xdr:to>
    <xdr:sp macro="" textlink="">
      <xdr:nvSpPr>
        <xdr:cNvPr id="76266" name="Text Box 6"/>
        <xdr:cNvSpPr txBox="1">
          <a:spLocks noChangeArrowheads="1"/>
        </xdr:cNvSpPr>
      </xdr:nvSpPr>
      <xdr:spPr bwMode="auto">
        <a:xfrm>
          <a:off x="2276475" y="7648575"/>
          <a:ext cx="20955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67" name="Text Box 1"/>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68" name="Text Box 4"/>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69" name="Text Box 5"/>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0" name="Text Box 6"/>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1" name="Text Box 7"/>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2" name="Text Box 8"/>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3" name="Text Box 1"/>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4" name="Text Box 4"/>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5" name="Text Box 5"/>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57150</xdr:rowOff>
    </xdr:to>
    <xdr:sp macro="" textlink="">
      <xdr:nvSpPr>
        <xdr:cNvPr id="76276" name="Text Box 6"/>
        <xdr:cNvSpPr txBox="1">
          <a:spLocks noChangeArrowheads="1"/>
        </xdr:cNvSpPr>
      </xdr:nvSpPr>
      <xdr:spPr bwMode="auto">
        <a:xfrm>
          <a:off x="2276475" y="7648575"/>
          <a:ext cx="657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77" name="Text Box 7"/>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78" name="Text Box 8"/>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79" name="Text Box 4"/>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0" name="Text Box 5"/>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1" name="Text Box 6"/>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2" name="Text Box 7"/>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3" name="Text Box 8"/>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4" name="Text Box 4"/>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5" name="Text Box 5"/>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1</xdr:col>
      <xdr:colOff>1514475</xdr:colOff>
      <xdr:row>10</xdr:row>
      <xdr:rowOff>0</xdr:rowOff>
    </xdr:from>
    <xdr:to>
      <xdr:col>1</xdr:col>
      <xdr:colOff>2171700</xdr:colOff>
      <xdr:row>10</xdr:row>
      <xdr:rowOff>66675</xdr:rowOff>
    </xdr:to>
    <xdr:sp macro="" textlink="">
      <xdr:nvSpPr>
        <xdr:cNvPr id="76286" name="Text Box 6"/>
        <xdr:cNvSpPr txBox="1">
          <a:spLocks noChangeArrowheads="1"/>
        </xdr:cNvSpPr>
      </xdr:nvSpPr>
      <xdr:spPr bwMode="auto">
        <a:xfrm>
          <a:off x="2276475" y="7648575"/>
          <a:ext cx="6572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Jana.JE/Womens%20Hostel%20Working/Detailed%20Estimate/DATA%202015-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Jana.JE/Womens%20Hostel%20Working/Detailed%20Estimate/City%20DATA%202014-1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N.S.BRO\Downloads\NATRAMPALLI%20FIRE%20STATION\Natrampalli%20estimate%20&amp;%20Data%202016-17.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ad  charge"/>
      <sheetName val="Elec.Data"/>
      <sheetName val="Data"/>
      <sheetName val="G. Abstract"/>
      <sheetName val="Abstract"/>
      <sheetName val="building +Dev "/>
      <sheetName val="detailed"/>
      <sheetName val="Elec.abs"/>
      <sheetName val="Sheet1"/>
      <sheetName val="Bldg+Dev"/>
      <sheetName val="G. Abstract (2)"/>
      <sheetName val="Garrage &amp; Ser.Room"/>
      <sheetName val="Sump."/>
      <sheetName val="pp"/>
      <sheetName val="S.D"/>
      <sheetName val="St.D"/>
      <sheetName val="Culvert"/>
      <sheetName val="cc road"/>
      <sheetName val="Septictank"/>
      <sheetName val="R.Sump"/>
      <sheetName val="ST design"/>
      <sheetName val="detailed.1"/>
      <sheetName val="C.P"/>
      <sheetName val="H.S.Block"/>
      <sheetName val="Store"/>
      <sheetName val="Admin Block"/>
      <sheetName val="Kitchen"/>
      <sheetName val="Canteen"/>
      <sheetName val="Qtrs"/>
      <sheetName val="SUP.Bangalow"/>
      <sheetName val="W.Jail"/>
      <sheetName val="4th Gardern"/>
      <sheetName val="5th Gardern"/>
      <sheetName val="AR RWH Abs"/>
      <sheetName val="G.A"/>
      <sheetName val="4th Gardern Detailed"/>
      <sheetName val="5th Gardern Detailed"/>
      <sheetName val="AR RWH Detailed"/>
      <sheetName val="Qtrs Detailed"/>
      <sheetName val="Sup.Detailed"/>
      <sheetName val="RWH"/>
      <sheetName val="RCC tanks"/>
      <sheetName val="sump design"/>
      <sheetName val="Ele.Points"/>
    </sheetNames>
    <sheetDataSet>
      <sheetData sheetId="0"/>
      <sheetData sheetId="1"/>
      <sheetData sheetId="2">
        <row r="118">
          <cell r="K118">
            <v>50.6</v>
          </cell>
        </row>
        <row r="132">
          <cell r="K132">
            <v>75.900000000000006</v>
          </cell>
        </row>
        <row r="203">
          <cell r="K203">
            <v>3073.98</v>
          </cell>
        </row>
        <row r="218">
          <cell r="K218">
            <v>4616.9399999999996</v>
          </cell>
        </row>
        <row r="233">
          <cell r="K233">
            <v>2567.67</v>
          </cell>
        </row>
        <row r="328">
          <cell r="K328">
            <v>430</v>
          </cell>
        </row>
        <row r="1160">
          <cell r="K1160">
            <v>265.72000000000003</v>
          </cell>
        </row>
        <row r="1329">
          <cell r="K1329">
            <v>130.37</v>
          </cell>
        </row>
        <row r="1343">
          <cell r="K1343">
            <v>136.82</v>
          </cell>
        </row>
        <row r="1482">
          <cell r="K1482">
            <v>93.71</v>
          </cell>
        </row>
        <row r="1675">
          <cell r="K1675">
            <v>182.07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ead  charge"/>
      <sheetName val="Elec.Data"/>
      <sheetName val="Data"/>
      <sheetName val="G. Abstract"/>
      <sheetName val="Abstract"/>
      <sheetName val="building +Dev "/>
      <sheetName val="detailed"/>
      <sheetName val="Elec.abs"/>
      <sheetName val="Sheet1"/>
      <sheetName val="Bldg+Dev"/>
      <sheetName val="G. Abstract (2)"/>
      <sheetName val="Garrage &amp; Ser.Room"/>
      <sheetName val="Sump."/>
      <sheetName val="pp"/>
      <sheetName val="S.D"/>
      <sheetName val="St.D"/>
      <sheetName val="Culvert"/>
      <sheetName val="cc road"/>
      <sheetName val="Septictank"/>
      <sheetName val="R.Sump"/>
      <sheetName val="ST design"/>
      <sheetName val="detailed.1"/>
      <sheetName val="C.P"/>
      <sheetName val="H.S.Block"/>
      <sheetName val="Store"/>
      <sheetName val="Admin Block"/>
      <sheetName val="Kitchen"/>
      <sheetName val="Canteen"/>
      <sheetName val="Qtrs"/>
      <sheetName val="SUP.Bangalow"/>
      <sheetName val="W.Jail"/>
      <sheetName val="4th Gardern"/>
      <sheetName val="5th Gardern"/>
      <sheetName val="Compound wall"/>
      <sheetName val="G.A"/>
      <sheetName val="4th Gardern Detailed"/>
      <sheetName val="5th Gardern Detailed"/>
      <sheetName val="Com.W Detailed"/>
      <sheetName val="Qtrs Detailed"/>
      <sheetName val="Sup.Detailed"/>
      <sheetName val="RWH"/>
      <sheetName val="RCC tanks"/>
      <sheetName val="sump design"/>
      <sheetName val="Ele.Points"/>
    </sheetNames>
    <sheetDataSet>
      <sheetData sheetId="0"/>
      <sheetData sheetId="1"/>
      <sheetData sheetId="2">
        <row r="3471">
          <cell r="K3471">
            <v>130.32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teel formula (4)"/>
      <sheetName val="lead  charge"/>
      <sheetName val="Elec.Data"/>
      <sheetName val="Elec.abs"/>
      <sheetName val="Data"/>
      <sheetName val="Develo"/>
      <sheetName val="Abstract final"/>
      <sheetName val="Building"/>
      <sheetName val="Detailed Estimate"/>
      <sheetName val="Abstract"/>
      <sheetName val="G. Abstract"/>
      <sheetName val="coding"/>
      <sheetName val="Ann-A"/>
      <sheetName val="An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User/AppData/Local/Temp/2273" TargetMode="External"/><Relationship Id="rId1" Type="http://schemas.openxmlformats.org/officeDocument/2006/relationships/hyperlink" Target="../../User/AppData/Local/Temp/2273"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dimension ref="A1:R25"/>
  <sheetViews>
    <sheetView workbookViewId="0">
      <pane ySplit="1" topLeftCell="A2" activePane="bottomLeft" state="frozen"/>
      <selection pane="bottomLeft" activeCell="D3" sqref="D3"/>
    </sheetView>
  </sheetViews>
  <sheetFormatPr defaultColWidth="7.109375" defaultRowHeight="12.75"/>
  <cols>
    <col min="1" max="3" width="7.109375" style="47"/>
    <col min="4" max="4" width="11.21875" style="47" customWidth="1"/>
    <col min="5" max="5" width="7.109375" style="47"/>
    <col min="6" max="6" width="4.88671875" style="47" customWidth="1"/>
    <col min="7" max="7" width="8" style="47" customWidth="1"/>
    <col min="8" max="8" width="6.44140625" style="47" customWidth="1"/>
    <col min="9" max="9" width="4.21875" style="47" customWidth="1"/>
    <col min="10" max="10" width="8.21875" style="47" customWidth="1"/>
    <col min="11" max="11" width="5.88671875" style="47" customWidth="1"/>
    <col min="12" max="12" width="6.109375" style="47" customWidth="1"/>
    <col min="13" max="16384" width="7.109375" style="47"/>
  </cols>
  <sheetData>
    <row r="1" spans="1:18" s="49" customFormat="1" ht="178.5">
      <c r="B1" s="131" t="s">
        <v>1606</v>
      </c>
      <c r="C1" s="131"/>
      <c r="D1" s="131" t="s">
        <v>2408</v>
      </c>
      <c r="E1" s="131"/>
      <c r="F1" s="131"/>
      <c r="G1" s="131" t="s">
        <v>1329</v>
      </c>
      <c r="H1" s="131"/>
      <c r="I1" s="131"/>
      <c r="J1" s="131" t="s">
        <v>301</v>
      </c>
      <c r="K1" s="131"/>
      <c r="L1" s="131"/>
      <c r="M1" s="131" t="s">
        <v>2409</v>
      </c>
      <c r="N1" s="131"/>
      <c r="O1" s="131"/>
      <c r="P1" s="131" t="s">
        <v>2627</v>
      </c>
      <c r="Q1" s="131"/>
    </row>
    <row r="2" spans="1:18">
      <c r="B2" s="110" t="s">
        <v>1607</v>
      </c>
      <c r="C2" s="110"/>
      <c r="D2" s="109" t="s">
        <v>0</v>
      </c>
      <c r="G2" s="108" t="s">
        <v>228</v>
      </c>
    </row>
    <row r="3" spans="1:18">
      <c r="A3" s="47" t="s">
        <v>900</v>
      </c>
      <c r="B3" s="296">
        <v>4.9000000000000004</v>
      </c>
      <c r="C3" s="47">
        <f>10*B3</f>
        <v>49</v>
      </c>
      <c r="D3" s="296">
        <v>7.8</v>
      </c>
      <c r="E3" s="47">
        <f>10*D3</f>
        <v>78</v>
      </c>
      <c r="G3" s="296">
        <v>6.6</v>
      </c>
      <c r="H3" s="47">
        <f>10*G3</f>
        <v>66</v>
      </c>
      <c r="J3" s="296">
        <v>8.8000000000000007</v>
      </c>
      <c r="K3" s="47">
        <f>10*J3</f>
        <v>88</v>
      </c>
      <c r="M3" s="296">
        <v>11</v>
      </c>
      <c r="N3" s="47">
        <f>10*M3</f>
        <v>110</v>
      </c>
      <c r="P3" s="296">
        <v>5.4</v>
      </c>
      <c r="Q3" s="47">
        <f>10*P3</f>
        <v>54</v>
      </c>
    </row>
    <row r="4" spans="1:18">
      <c r="A4" s="48" t="s">
        <v>420</v>
      </c>
      <c r="B4" s="296">
        <v>4.2</v>
      </c>
      <c r="C4" s="47">
        <f>+C3+10*B4</f>
        <v>91</v>
      </c>
      <c r="D4" s="296">
        <v>6.7</v>
      </c>
      <c r="E4" s="47">
        <f>+E3+10*D4</f>
        <v>145</v>
      </c>
      <c r="G4" s="620">
        <v>5.65</v>
      </c>
      <c r="H4" s="47">
        <f>+H3+10*G4</f>
        <v>122.5</v>
      </c>
      <c r="J4" s="296">
        <v>7.6</v>
      </c>
      <c r="K4" s="47">
        <f>+K3+10*J4</f>
        <v>164</v>
      </c>
      <c r="M4" s="295">
        <v>9.25</v>
      </c>
      <c r="N4" s="47">
        <f>+N3+10*M4</f>
        <v>202.5</v>
      </c>
      <c r="P4" s="296">
        <v>4.6500000000000004</v>
      </c>
      <c r="Q4" s="47">
        <f>+Q3+10*P4</f>
        <v>100.5</v>
      </c>
    </row>
    <row r="5" spans="1:18">
      <c r="A5" s="47" t="s">
        <v>977</v>
      </c>
      <c r="B5" s="296">
        <v>3.7</v>
      </c>
      <c r="C5" s="47">
        <f>+C4+20*B5</f>
        <v>165</v>
      </c>
      <c r="D5" s="296">
        <v>5.9</v>
      </c>
      <c r="E5" s="47">
        <f>+E4+20*D5</f>
        <v>263</v>
      </c>
      <c r="G5" s="296">
        <v>5</v>
      </c>
      <c r="H5" s="47">
        <f>+H4+20*G5</f>
        <v>222.5</v>
      </c>
      <c r="J5" s="296">
        <v>6.7</v>
      </c>
      <c r="K5" s="47">
        <f>+K4+20*J5</f>
        <v>298</v>
      </c>
      <c r="M5" s="295">
        <v>8.35</v>
      </c>
      <c r="N5" s="47">
        <f>+N4+20*M5</f>
        <v>369.5</v>
      </c>
      <c r="P5" s="296">
        <v>4.0999999999999996</v>
      </c>
      <c r="Q5" s="47">
        <f>+Q4+20*P5</f>
        <v>182.5</v>
      </c>
    </row>
    <row r="6" spans="1:18">
      <c r="A6" s="47" t="s">
        <v>978</v>
      </c>
      <c r="B6" s="296">
        <v>3.1</v>
      </c>
      <c r="C6" s="47">
        <f>+C5+40*B6</f>
        <v>289</v>
      </c>
      <c r="D6" s="296">
        <v>4.95</v>
      </c>
      <c r="E6" s="47">
        <f>+E5+40*D6</f>
        <v>461</v>
      </c>
      <c r="G6" s="296">
        <v>4.2</v>
      </c>
      <c r="H6" s="47">
        <f>+H5+40*G6</f>
        <v>390.5</v>
      </c>
      <c r="J6" s="296">
        <v>5.6</v>
      </c>
      <c r="K6" s="47">
        <f>+K5+40*J6</f>
        <v>522</v>
      </c>
      <c r="M6" s="296">
        <v>7</v>
      </c>
      <c r="N6" s="47">
        <f>+N5+40*M6</f>
        <v>649.5</v>
      </c>
      <c r="P6" s="296">
        <v>3.45</v>
      </c>
      <c r="Q6" s="47">
        <f>+Q5+40*P6</f>
        <v>320.5</v>
      </c>
    </row>
    <row r="7" spans="1:18">
      <c r="A7" s="47" t="s">
        <v>979</v>
      </c>
      <c r="B7" s="296">
        <v>2.85</v>
      </c>
      <c r="D7" s="296">
        <v>4.5</v>
      </c>
      <c r="G7" s="296">
        <v>3.75</v>
      </c>
      <c r="J7" s="296">
        <v>5.05</v>
      </c>
      <c r="M7" s="296">
        <v>6.3</v>
      </c>
      <c r="P7" s="296">
        <v>3.1</v>
      </c>
    </row>
    <row r="8" spans="1:18" ht="5.25" customHeight="1"/>
    <row r="9" spans="1:18" ht="6.75" customHeight="1">
      <c r="B9" s="52"/>
      <c r="C9" s="52"/>
    </row>
    <row r="10" spans="1:18" ht="28.5" customHeight="1">
      <c r="A10" s="50"/>
      <c r="B10" s="50" t="s">
        <v>868</v>
      </c>
      <c r="C10" s="50"/>
      <c r="D10" s="47">
        <v>7</v>
      </c>
      <c r="E10" s="53">
        <f>IF(D10&lt;11,D10*$D$3,IF(D10&lt;21,($E$3+(D10-10)*$D$4),IF(D10&lt;41,$E$4+(D10-20)*$D$5,IF(D10&lt;81,($E$5+(D10-40)*$D$6),$E$6+(D10-80)*$D$7))))</f>
        <v>54.6</v>
      </c>
      <c r="G10" s="47">
        <v>16</v>
      </c>
      <c r="H10" s="47">
        <f>IF(G10&lt;11,G10*$G$3,IF(G10&lt;21,($H$3+(G10-10)*$G$4),IF(G10&lt;41,$H$4+(G10-20)*$G$5,IF(G10&lt;81,($H$5+(G10-40)*$G$6),$H$6+(G10-80)*$G$7))))</f>
        <v>99.9</v>
      </c>
      <c r="L10" s="54" t="s">
        <v>1219</v>
      </c>
      <c r="M10" s="47">
        <v>16</v>
      </c>
      <c r="N10" s="47">
        <f>IF(M10&lt;11,M10*$M$3,IF(M10&lt;21,($N$3+(M10-10)*$M$4),IF(M10&lt;41,$N$4+(M10-20)*$M$5,IF(M10&lt;81,($N$5+(M10-40)*$M$6),$N$6+(M10-80)*$M$7))))</f>
        <v>165.5</v>
      </c>
      <c r="P10" s="47">
        <v>16</v>
      </c>
      <c r="Q10" s="47">
        <f>IF(P10&lt;11,P10*$P$3,IF(P10&lt;21,($Q$3+(P10-10)*$P$4),IF(P10&lt;41,$Q$4+(P10-20)*$P$5,IF(P10&lt;81,($Q$5+(P10-40)*$P$6),$Q$6+(P10-80)*$P$7))))</f>
        <v>81.900000000000006</v>
      </c>
      <c r="R10" s="50" t="s">
        <v>1206</v>
      </c>
    </row>
    <row r="11" spans="1:18">
      <c r="B11" s="50" t="s">
        <v>1103</v>
      </c>
      <c r="C11" s="50"/>
      <c r="D11" s="47">
        <v>87</v>
      </c>
      <c r="E11" s="53">
        <f>IF(D11&lt;11,D11*$D$3,(IF(D11&lt;21,($E$3+(D11-10)*$D$4),(IF(D11&lt;41,$E$4+(D11-20)*$D$5,IF(D11&lt;81,($E$5+(D11-40)*$D$6),$E$6+(D11-80)*$D$7))))))</f>
        <v>492.5</v>
      </c>
      <c r="H11" s="47">
        <f>IF(G11&lt;11,G11*$G$3,IF(G11&lt;21,($H$3+(G11-10)*$G$4),IF(G11&lt;41,$H$4+(G11-20)*$G$5,IF(G11&lt;81,($H$5+(G11-40)*$G$6),$H$6+(G11-80)*$G$7))))</f>
        <v>0</v>
      </c>
      <c r="J11" s="47">
        <v>0</v>
      </c>
      <c r="K11" s="47">
        <f>IF(J11&lt;11,J11*$J$3,IF(J11&lt;21,($K$3+(J11-10)*$J$4),IF(J11&lt;41,$K$4+(J11-20)*$J$5,IF(J11&lt;81,($K$5+(J11-40)*$J$6),$K$6+(J11-80)*$J$7))))/2</f>
        <v>0</v>
      </c>
      <c r="L11" s="55" t="s">
        <v>302</v>
      </c>
      <c r="P11" s="47">
        <v>27</v>
      </c>
      <c r="Q11" s="47">
        <f>IF(P11&lt;11,P11*$P$3,IF(P11&lt;21,($Q$3+(P11-10)*$P$4),IF(P11&lt;41,$Q$4+(P11-20)*$P$5,IF(P11&lt;81,($Q$5+(P11-40)*$P$6),$Q$6+(P11-80)*$P$7))))</f>
        <v>129.19999999999999</v>
      </c>
      <c r="R11" s="50" t="s">
        <v>1207</v>
      </c>
    </row>
    <row r="12" spans="1:18" ht="21" customHeight="1">
      <c r="B12" s="54" t="s">
        <v>794</v>
      </c>
      <c r="C12" s="54"/>
      <c r="D12" s="47">
        <v>7</v>
      </c>
      <c r="E12" s="47">
        <f>IF(D12&lt;11,D12*$D$3,(IF(D12&lt;21,($E$3+(D12-10)*$D$4),(IF(D12&lt;41,$E$4+(D12-20)*$D$5,IF(D12&lt;81,($E$5+(D12-40)*$D$6),$E$6+(D12-80)*$D$7))))))</f>
        <v>54.6</v>
      </c>
      <c r="J12" s="47">
        <v>0</v>
      </c>
      <c r="K12" s="47">
        <f>IF(J12&lt;11,J12*$J$3,IF(J12&lt;21,($K$3+(J12-10)*$J$4),IF(J12&lt;41,$K$4+(J12-20)*$J$5,IF(J12&lt;81,($K$5+(J12-40)*$J$6),$K$6+(J12-80)*$J$7))))/2</f>
        <v>0</v>
      </c>
      <c r="N12" s="47">
        <f>90+77.5+6.85*20+5.7*23</f>
        <v>435.6</v>
      </c>
      <c r="P12" s="47">
        <v>0</v>
      </c>
      <c r="Q12" s="47">
        <f>IF(P12&lt;11,P12*$P$3,IF(P12&lt;21,($Q$3+(P12-10)*$P$4),IF(P12&lt;41,$Q$4+(P12-20)*$P$5,IF(P12&lt;81,($Q$5+(P12-40)*$P$6),$Q$6+(P12-80)*$P$7))))</f>
        <v>0</v>
      </c>
      <c r="R12" s="47">
        <f>IF(Q12&lt;11,Q12*$P$3,IF(Q12&lt;21,($Q$3+(Q12-10)*$P$4),IF(Q12&lt;41,$Q$4+(Q12-20)*$P$5,IF(Q12&lt;81,($Q$5+(Q12-40)*$P$6),$Q$6+(Q12-80)*$P$7))))</f>
        <v>0</v>
      </c>
    </row>
    <row r="13" spans="1:18">
      <c r="B13" s="50" t="s">
        <v>211</v>
      </c>
      <c r="C13" s="50"/>
      <c r="D13" s="47">
        <v>16</v>
      </c>
      <c r="E13" s="53">
        <f>IF(D13&lt;11,D13*$D$3,(IF(D13&lt;21,($E$3+(D13-10)*$D$4),(IF(D13&lt;41,$E$4+(D13-20)*$D$5,IF(D13&lt;81,($E$5+(D13-40)*$D$6),$E$6+(D13-80)*$D$7))))))</f>
        <v>118.2</v>
      </c>
    </row>
    <row r="14" spans="1:18">
      <c r="B14" s="50" t="s">
        <v>391</v>
      </c>
      <c r="C14" s="50"/>
      <c r="D14" s="47">
        <v>0</v>
      </c>
      <c r="E14" s="47">
        <f>IF(D14&lt;11,D14*$B$3,(IF(D14&lt;21,($C$3+(D14-10)*$B$4),(IF(D14&lt;41,$C$4+(D14-20)*$B$5,IF(D14&lt;81,($C$5+(D14-40)*$B$6),$C$6+(D14-80)*$B$7))))))</f>
        <v>0</v>
      </c>
    </row>
    <row r="15" spans="1:18">
      <c r="B15" s="50" t="s">
        <v>512</v>
      </c>
      <c r="D15" s="47">
        <v>0</v>
      </c>
      <c r="E15" s="47">
        <f>IF(D15&lt;11,D15*$B$3,(IF(D15&lt;21,($C$3+(D15-10)*$B$4),(IF(D15&lt;41,$C$4+(D15-20)*$B$5,IF(D15&lt;81,($C$5+(D15-40)*$B$6),$C$6+(D15-80)*$B$7))))))</f>
        <v>0</v>
      </c>
    </row>
    <row r="16" spans="1:18">
      <c r="B16" s="50" t="s">
        <v>3398</v>
      </c>
      <c r="E16" s="53">
        <f t="shared" ref="E16:E21" si="0">IF(D16&lt;11,D16*$D$3,(IF(D16&lt;21,($E$3+(D16-10)*$D$4),(IF(D16&lt;41,$E$4+(D16-20)*$D$5,IF(D16&lt;81,($E$5+(D16-40)*$D$6),$E$6+(D16-80)*$D$7))))))</f>
        <v>0</v>
      </c>
    </row>
    <row r="17" spans="4:8">
      <c r="E17" s="47">
        <f t="shared" si="0"/>
        <v>0</v>
      </c>
    </row>
    <row r="18" spans="4:8">
      <c r="D18" s="638">
        <v>0</v>
      </c>
      <c r="E18" s="47">
        <f t="shared" si="0"/>
        <v>0</v>
      </c>
      <c r="G18" s="53">
        <f>270+E10</f>
        <v>324.60000000000002</v>
      </c>
      <c r="H18" s="53">
        <f>(G18+G19)/2</f>
        <v>344.6</v>
      </c>
    </row>
    <row r="19" spans="4:8">
      <c r="D19" s="638">
        <v>0</v>
      </c>
      <c r="E19" s="47">
        <f t="shared" si="0"/>
        <v>0</v>
      </c>
      <c r="G19" s="53">
        <f>310+E10</f>
        <v>364.6</v>
      </c>
      <c r="H19" s="47">
        <f>15+20+25+0.2</f>
        <v>60.2</v>
      </c>
    </row>
    <row r="20" spans="4:8">
      <c r="D20" s="638">
        <v>0</v>
      </c>
      <c r="E20" s="47">
        <f t="shared" si="0"/>
        <v>0</v>
      </c>
      <c r="G20" s="53">
        <f>360+E10</f>
        <v>414.6</v>
      </c>
    </row>
    <row r="21" spans="4:8">
      <c r="D21" s="638">
        <v>0</v>
      </c>
      <c r="E21" s="47">
        <f t="shared" si="0"/>
        <v>0</v>
      </c>
      <c r="G21" s="53">
        <f>560+E10</f>
        <v>614.6</v>
      </c>
    </row>
    <row r="22" spans="4:8">
      <c r="G22" s="53">
        <f>480+E10</f>
        <v>534.6</v>
      </c>
    </row>
    <row r="23" spans="4:8">
      <c r="G23" s="53">
        <f>780+E10</f>
        <v>834.6</v>
      </c>
    </row>
    <row r="24" spans="4:8">
      <c r="G24" s="53">
        <f>720+F10</f>
        <v>720</v>
      </c>
    </row>
    <row r="25" spans="4:8">
      <c r="G25" s="53">
        <f>530+E10</f>
        <v>584.6</v>
      </c>
      <c r="H25" s="47">
        <f>SUM(G20:G25)/6</f>
        <v>617.16666666666697</v>
      </c>
    </row>
  </sheetData>
  <phoneticPr fontId="1" type="noConversion"/>
  <pageMargins left="0.75" right="0.75" top="1" bottom="1" header="0.5" footer="0.5"/>
  <pageSetup paperSize="9" scale="80" orientation="landscape" r:id="rId1"/>
  <headerFooter alignWithMargins="0"/>
</worksheet>
</file>

<file path=xl/worksheets/sheet2.xml><?xml version="1.0" encoding="utf-8"?>
<worksheet xmlns="http://schemas.openxmlformats.org/spreadsheetml/2006/main" xmlns:r="http://schemas.openxmlformats.org/officeDocument/2006/relationships">
  <sheetPr syncVertical="1" syncRef="W1" transitionEvaluation="1"/>
  <dimension ref="A1:IQ3630"/>
  <sheetViews>
    <sheetView view="pageBreakPreview" topLeftCell="W1" zoomScale="85" zoomScaleNormal="75" zoomScaleSheetLayoutView="85" workbookViewId="0">
      <selection activeCell="AC9" sqref="AC9"/>
    </sheetView>
  </sheetViews>
  <sheetFormatPr defaultColWidth="7.44140625" defaultRowHeight="24" customHeight="1"/>
  <cols>
    <col min="1" max="1" width="7.77734375" customWidth="1"/>
    <col min="2" max="2" width="54.109375" customWidth="1"/>
    <col min="3" max="3" width="11.77734375" customWidth="1"/>
    <col min="4" max="4" width="13.77734375" customWidth="1"/>
    <col min="5" max="5" width="9.21875" customWidth="1"/>
    <col min="6" max="6" width="11.33203125" customWidth="1"/>
    <col min="7" max="7" width="7" style="3" customWidth="1"/>
    <col min="8" max="8" width="46.6640625" customWidth="1"/>
    <col min="9" max="9" width="11.6640625" customWidth="1"/>
    <col min="10" max="10" width="10.44140625" style="11" customWidth="1"/>
    <col min="11" max="11" width="11.21875" customWidth="1"/>
    <col min="12" max="13" width="9.77734375" customWidth="1"/>
    <col min="14" max="14" width="8.44140625" bestFit="1" customWidth="1"/>
    <col min="15" max="15" width="34.88671875" customWidth="1"/>
    <col min="16" max="16" width="9.77734375" customWidth="1"/>
    <col min="17" max="17" width="9.44140625" customWidth="1"/>
    <col min="18" max="18" width="10.77734375" customWidth="1"/>
    <col min="19" max="19" width="12.6640625" style="56" customWidth="1"/>
    <col min="20" max="20" width="10.77734375" customWidth="1"/>
    <col min="21" max="21" width="36.109375" customWidth="1"/>
    <col min="22" max="22" width="9.44140625" customWidth="1"/>
    <col min="23" max="23" width="21" bestFit="1" customWidth="1"/>
    <col min="24" max="24" width="9.5546875" customWidth="1"/>
    <col min="25" max="25" width="11.77734375" customWidth="1"/>
    <col min="26" max="26" width="9.6640625" customWidth="1"/>
    <col min="27" max="27" width="10.6640625" customWidth="1"/>
    <col min="28" max="28" width="28.5546875" customWidth="1"/>
    <col min="29" max="29" width="12.88671875" customWidth="1"/>
    <col min="30" max="30" width="13.21875" customWidth="1"/>
    <col min="31" max="31" width="11.109375" customWidth="1"/>
    <col min="32" max="32" width="8.77734375" customWidth="1"/>
    <col min="33" max="35" width="8" bestFit="1" customWidth="1"/>
  </cols>
  <sheetData>
    <row r="1" spans="1:35" ht="24" customHeight="1">
      <c r="A1" s="1"/>
      <c r="B1" s="2" t="s">
        <v>2129</v>
      </c>
      <c r="E1" s="1" t="s">
        <v>995</v>
      </c>
      <c r="H1" s="35" t="s">
        <v>245</v>
      </c>
      <c r="O1" s="1" t="s">
        <v>245</v>
      </c>
      <c r="T1" s="4"/>
      <c r="U1" s="500" t="s">
        <v>2129</v>
      </c>
      <c r="V1" s="500"/>
      <c r="W1" s="2" t="s">
        <v>995</v>
      </c>
      <c r="X1" s="4"/>
      <c r="Y1" s="4"/>
      <c r="Z1" s="4"/>
      <c r="AA1" s="4"/>
      <c r="AB1" s="4"/>
      <c r="AC1" s="4"/>
    </row>
    <row r="2" spans="1:35" ht="24" customHeight="1">
      <c r="B2" s="5" t="s">
        <v>2130</v>
      </c>
      <c r="E2" s="1" t="s">
        <v>995</v>
      </c>
      <c r="H2" s="2" t="s">
        <v>660</v>
      </c>
      <c r="O2" s="2" t="s">
        <v>660</v>
      </c>
      <c r="U2" s="1188" t="s">
        <v>331</v>
      </c>
      <c r="V2" s="1189"/>
      <c r="W2" s="1189"/>
      <c r="X2" s="1189"/>
    </row>
    <row r="3" spans="1:35" ht="58.5" customHeight="1">
      <c r="A3" s="1" t="s">
        <v>1666</v>
      </c>
      <c r="B3" s="664" t="s">
        <v>3900</v>
      </c>
      <c r="C3" s="664" t="s">
        <v>3785</v>
      </c>
      <c r="D3" s="664"/>
      <c r="E3" s="664"/>
      <c r="F3" s="664"/>
      <c r="G3" s="664"/>
      <c r="H3" s="852" t="str">
        <f>B3</f>
        <v>salem city</v>
      </c>
      <c r="J3" s="35" t="str">
        <f>C3</f>
        <v>2013-14</v>
      </c>
      <c r="M3" s="1" t="s">
        <v>1666</v>
      </c>
      <c r="N3" s="1" t="s">
        <v>995</v>
      </c>
      <c r="O3" s="665" t="str">
        <f>B3</f>
        <v>salem city</v>
      </c>
      <c r="Q3" s="8" t="str">
        <f>C3</f>
        <v>2013-14</v>
      </c>
      <c r="T3" s="1" t="s">
        <v>1666</v>
      </c>
      <c r="U3" s="665" t="str">
        <f>B3</f>
        <v>salem city</v>
      </c>
      <c r="V3" t="str">
        <f>J3</f>
        <v>2013-14</v>
      </c>
      <c r="W3" s="9" t="str">
        <f>C3</f>
        <v>2013-14</v>
      </c>
    </row>
    <row r="4" spans="1:35" ht="24" customHeight="1">
      <c r="F4" s="5" t="s">
        <v>1667</v>
      </c>
      <c r="G4" s="5" t="s">
        <v>1667</v>
      </c>
      <c r="H4" s="5" t="s">
        <v>1667</v>
      </c>
      <c r="I4" s="5" t="s">
        <v>1667</v>
      </c>
      <c r="J4" s="5" t="s">
        <v>1667</v>
      </c>
      <c r="K4" s="5" t="s">
        <v>1667</v>
      </c>
      <c r="M4" s="5" t="s">
        <v>1667</v>
      </c>
      <c r="N4" s="5" t="s">
        <v>1667</v>
      </c>
      <c r="O4" s="5" t="s">
        <v>1667</v>
      </c>
      <c r="P4" s="5" t="s">
        <v>1667</v>
      </c>
      <c r="Q4" s="5" t="s">
        <v>1667</v>
      </c>
      <c r="R4" s="5" t="s">
        <v>1667</v>
      </c>
      <c r="U4" s="1" t="s">
        <v>995</v>
      </c>
      <c r="W4" s="1" t="s">
        <v>995</v>
      </c>
      <c r="X4" s="1" t="s">
        <v>246</v>
      </c>
      <c r="Y4" s="1"/>
      <c r="AA4" s="1" t="s">
        <v>995</v>
      </c>
      <c r="AE4" s="1" t="s">
        <v>1668</v>
      </c>
    </row>
    <row r="5" spans="1:35" ht="24" customHeight="1">
      <c r="A5" s="5" t="s">
        <v>1667</v>
      </c>
      <c r="B5" s="5" t="s">
        <v>1667</v>
      </c>
      <c r="C5" s="5" t="s">
        <v>1667</v>
      </c>
      <c r="D5" s="5" t="s">
        <v>1667</v>
      </c>
      <c r="E5" s="1" t="s">
        <v>995</v>
      </c>
      <c r="F5" s="43" t="s">
        <v>1669</v>
      </c>
      <c r="G5" s="7" t="s">
        <v>995</v>
      </c>
      <c r="H5" s="64" t="s">
        <v>1670</v>
      </c>
      <c r="I5" s="64" t="s">
        <v>1671</v>
      </c>
      <c r="J5" s="64" t="s">
        <v>1672</v>
      </c>
      <c r="K5" s="64" t="s">
        <v>1673</v>
      </c>
      <c r="M5" s="2" t="s">
        <v>1669</v>
      </c>
      <c r="N5" s="1" t="s">
        <v>995</v>
      </c>
      <c r="O5" s="2" t="s">
        <v>1670</v>
      </c>
      <c r="P5" s="2" t="s">
        <v>1671</v>
      </c>
      <c r="Q5" s="2" t="s">
        <v>1672</v>
      </c>
      <c r="R5" s="2" t="s">
        <v>1673</v>
      </c>
      <c r="T5" s="5" t="s">
        <v>1667</v>
      </c>
      <c r="U5" s="5" t="s">
        <v>1667</v>
      </c>
      <c r="V5" s="5" t="s">
        <v>1667</v>
      </c>
      <c r="W5" s="5" t="s">
        <v>1667</v>
      </c>
      <c r="X5" s="5" t="s">
        <v>1667</v>
      </c>
      <c r="Y5" s="5" t="s">
        <v>1667</v>
      </c>
      <c r="Z5" s="5" t="s">
        <v>1667</v>
      </c>
      <c r="AA5" s="5" t="s">
        <v>1667</v>
      </c>
      <c r="AB5" s="5" t="s">
        <v>1667</v>
      </c>
      <c r="AC5" s="5" t="s">
        <v>1667</v>
      </c>
    </row>
    <row r="6" spans="1:35" ht="24" customHeight="1">
      <c r="A6" s="1" t="s">
        <v>704</v>
      </c>
      <c r="B6" s="1" t="s">
        <v>1670</v>
      </c>
      <c r="C6" s="1" t="s">
        <v>1671</v>
      </c>
      <c r="D6" s="1" t="s">
        <v>1672</v>
      </c>
      <c r="F6" s="5" t="s">
        <v>1667</v>
      </c>
      <c r="G6" s="5" t="s">
        <v>1667</v>
      </c>
      <c r="H6" s="5" t="s">
        <v>1667</v>
      </c>
      <c r="I6" s="5" t="s">
        <v>1667</v>
      </c>
      <c r="J6" s="5" t="s">
        <v>1667</v>
      </c>
      <c r="K6" s="5" t="s">
        <v>1667</v>
      </c>
      <c r="M6" s="5" t="s">
        <v>1667</v>
      </c>
      <c r="N6" s="5" t="s">
        <v>1667</v>
      </c>
      <c r="O6" s="5" t="s">
        <v>1667</v>
      </c>
      <c r="P6" s="5" t="s">
        <v>1667</v>
      </c>
      <c r="Q6" s="5" t="s">
        <v>1667</v>
      </c>
      <c r="R6" s="5" t="s">
        <v>1667</v>
      </c>
      <c r="T6" s="2" t="s">
        <v>704</v>
      </c>
      <c r="U6" s="2" t="s">
        <v>60</v>
      </c>
      <c r="V6" s="2" t="s">
        <v>2330</v>
      </c>
      <c r="W6" s="2" t="s">
        <v>2331</v>
      </c>
      <c r="X6" s="2" t="s">
        <v>2332</v>
      </c>
      <c r="Y6" s="2" t="s">
        <v>2333</v>
      </c>
      <c r="Z6" s="2" t="s">
        <v>2334</v>
      </c>
      <c r="AA6" s="1" t="s">
        <v>2336</v>
      </c>
      <c r="AB6" s="2" t="s">
        <v>2337</v>
      </c>
    </row>
    <row r="7" spans="1:35" ht="24" customHeight="1">
      <c r="A7" s="5" t="s">
        <v>1667</v>
      </c>
      <c r="B7" s="5" t="s">
        <v>1667</v>
      </c>
      <c r="C7" s="5" t="s">
        <v>1667</v>
      </c>
      <c r="D7" s="5" t="s">
        <v>1667</v>
      </c>
      <c r="G7" s="7" t="s">
        <v>2338</v>
      </c>
      <c r="H7" s="1" t="s">
        <v>2339</v>
      </c>
      <c r="O7" s="1" t="s">
        <v>2340</v>
      </c>
      <c r="X7" s="2" t="s">
        <v>2341</v>
      </c>
      <c r="Y7" s="2" t="s">
        <v>2336</v>
      </c>
      <c r="Z7" s="2" t="s">
        <v>2342</v>
      </c>
      <c r="AA7" s="1" t="s">
        <v>2344</v>
      </c>
    </row>
    <row r="8" spans="1:35" ht="24" customHeight="1">
      <c r="B8" s="1" t="s">
        <v>2345</v>
      </c>
      <c r="H8" s="5" t="s">
        <v>1667</v>
      </c>
      <c r="O8" s="5" t="s">
        <v>1667</v>
      </c>
      <c r="T8" s="5" t="s">
        <v>1667</v>
      </c>
      <c r="U8" s="5" t="s">
        <v>1667</v>
      </c>
      <c r="V8" s="5" t="s">
        <v>1667</v>
      </c>
      <c r="W8" s="5" t="s">
        <v>1667</v>
      </c>
      <c r="X8" s="5" t="s">
        <v>1667</v>
      </c>
      <c r="Y8" s="5" t="s">
        <v>1667</v>
      </c>
      <c r="Z8" s="5" t="s">
        <v>1667</v>
      </c>
      <c r="AA8" s="5" t="s">
        <v>1667</v>
      </c>
      <c r="AB8" s="5" t="s">
        <v>1667</v>
      </c>
      <c r="AC8" s="5" t="s">
        <v>1667</v>
      </c>
      <c r="AE8" s="502" t="s">
        <v>936</v>
      </c>
      <c r="AF8" s="502" t="s">
        <v>937</v>
      </c>
      <c r="AG8" s="503" t="s">
        <v>938</v>
      </c>
      <c r="AH8" s="503" t="s">
        <v>939</v>
      </c>
      <c r="AI8" s="503" t="s">
        <v>1930</v>
      </c>
    </row>
    <row r="9" spans="1:35" ht="24" customHeight="1">
      <c r="B9" s="1" t="s">
        <v>875</v>
      </c>
      <c r="F9" s="8">
        <v>0.96</v>
      </c>
      <c r="G9" s="7" t="s">
        <v>876</v>
      </c>
      <c r="H9" s="1" t="s">
        <v>877</v>
      </c>
      <c r="I9" s="8">
        <f>(C67)</f>
        <v>5600</v>
      </c>
      <c r="J9" s="1" t="s">
        <v>876</v>
      </c>
      <c r="K9" s="8">
        <f>(F9*I9)</f>
        <v>5376</v>
      </c>
      <c r="M9" s="8">
        <v>0.5</v>
      </c>
      <c r="N9" s="1" t="s">
        <v>876</v>
      </c>
      <c r="O9" s="1" t="s">
        <v>878</v>
      </c>
      <c r="P9" s="8">
        <f>(C85)</f>
        <v>1026.7</v>
      </c>
      <c r="Q9" s="1" t="s">
        <v>876</v>
      </c>
      <c r="R9" s="8">
        <f>(M9*P9)</f>
        <v>513.35</v>
      </c>
      <c r="T9" s="2" t="s">
        <v>879</v>
      </c>
      <c r="U9" s="1" t="s">
        <v>880</v>
      </c>
      <c r="V9" s="1" t="s">
        <v>881</v>
      </c>
      <c r="W9" s="1" t="s">
        <v>4091</v>
      </c>
      <c r="X9" s="8">
        <v>12</v>
      </c>
      <c r="Y9" s="667">
        <v>365</v>
      </c>
      <c r="Z9" s="8">
        <v>101.78</v>
      </c>
      <c r="AA9" s="1">
        <f>SUM(Y9+Z9)</f>
        <v>466.78</v>
      </c>
      <c r="AB9" s="1" t="s">
        <v>1493</v>
      </c>
      <c r="AC9" s="849">
        <f>AH9</f>
        <v>430.5</v>
      </c>
      <c r="AD9" s="57">
        <v>410</v>
      </c>
      <c r="AE9" s="8">
        <f t="shared" ref="AE9:AE23" si="0">AD9*1.1</f>
        <v>451</v>
      </c>
      <c r="AF9">
        <f>AD9*1.2</f>
        <v>492</v>
      </c>
      <c r="AG9">
        <f>AD9*1.5</f>
        <v>615</v>
      </c>
      <c r="AH9">
        <f>AD9*1.05</f>
        <v>430.5</v>
      </c>
      <c r="AI9">
        <f>AD9*1.25</f>
        <v>512.5</v>
      </c>
    </row>
    <row r="10" spans="1:35" ht="24" customHeight="1">
      <c r="A10" s="285">
        <v>1</v>
      </c>
      <c r="B10" s="286" t="s">
        <v>882</v>
      </c>
      <c r="C10" s="287">
        <f>AC9</f>
        <v>430.5</v>
      </c>
      <c r="D10" s="286" t="s">
        <v>883</v>
      </c>
      <c r="F10" s="8">
        <v>1</v>
      </c>
      <c r="G10" s="7" t="s">
        <v>884</v>
      </c>
      <c r="H10" s="1" t="s">
        <v>885</v>
      </c>
      <c r="I10" s="8">
        <f>(C78)</f>
        <v>740.98</v>
      </c>
      <c r="J10" s="1" t="s">
        <v>884</v>
      </c>
      <c r="K10" s="8">
        <f>(F10*I10)</f>
        <v>740.98</v>
      </c>
      <c r="M10" s="8">
        <v>1</v>
      </c>
      <c r="N10" s="1" t="s">
        <v>884</v>
      </c>
      <c r="O10" s="1" t="s">
        <v>885</v>
      </c>
      <c r="P10" s="8">
        <f>(C78)</f>
        <v>740.98</v>
      </c>
      <c r="Q10" s="1" t="s">
        <v>884</v>
      </c>
      <c r="R10" s="8">
        <f>(M10*P10)</f>
        <v>740.98</v>
      </c>
      <c r="T10" s="2" t="s">
        <v>886</v>
      </c>
      <c r="U10" s="1" t="s">
        <v>887</v>
      </c>
      <c r="V10" s="1" t="s">
        <v>881</v>
      </c>
      <c r="W10" s="1" t="s">
        <v>4091</v>
      </c>
      <c r="X10" s="8">
        <v>12</v>
      </c>
      <c r="Y10" s="667">
        <v>500.5</v>
      </c>
      <c r="Z10" s="8">
        <f>Z9</f>
        <v>101.78</v>
      </c>
      <c r="AA10" s="1">
        <f t="shared" ref="AA10:AA38" si="1">SUM(Y10+Z10)</f>
        <v>602.28</v>
      </c>
      <c r="AB10" s="1" t="s">
        <v>200</v>
      </c>
      <c r="AC10" s="849">
        <f t="shared" ref="AC10:AC38" si="2">AH10</f>
        <v>386.4</v>
      </c>
      <c r="AD10" s="57">
        <v>368</v>
      </c>
      <c r="AE10" s="8">
        <f t="shared" si="0"/>
        <v>404.8</v>
      </c>
      <c r="AF10">
        <f t="shared" ref="AF10:AF38" si="3">AD10*1.2</f>
        <v>441.6</v>
      </c>
      <c r="AG10">
        <f t="shared" ref="AG10:AG23" si="4">AD10*1.5</f>
        <v>552</v>
      </c>
      <c r="AH10">
        <f t="shared" ref="AH10:AH38" si="5">AD10*1.05</f>
        <v>386.4</v>
      </c>
      <c r="AI10">
        <f t="shared" ref="AI10:AI38" si="6">AD10*1.25</f>
        <v>460</v>
      </c>
    </row>
    <row r="11" spans="1:35" ht="24" customHeight="1">
      <c r="A11" s="285">
        <f t="shared" ref="A11:A35" si="7">(A10+1)</f>
        <v>2</v>
      </c>
      <c r="B11" s="286" t="s">
        <v>888</v>
      </c>
      <c r="C11" s="287">
        <f>AC10</f>
        <v>386.4</v>
      </c>
      <c r="D11" s="286">
        <f>AC38</f>
        <v>374.85</v>
      </c>
      <c r="F11" s="8">
        <v>1</v>
      </c>
      <c r="G11" s="7" t="s">
        <v>884</v>
      </c>
      <c r="H11" s="1" t="s">
        <v>889</v>
      </c>
      <c r="I11" s="8">
        <f>(C18)</f>
        <v>50.03</v>
      </c>
      <c r="J11" s="1" t="s">
        <v>884</v>
      </c>
      <c r="K11" s="8">
        <f>(F11*I11)</f>
        <v>50.03</v>
      </c>
      <c r="M11" s="8">
        <v>1</v>
      </c>
      <c r="N11" s="1" t="s">
        <v>884</v>
      </c>
      <c r="O11" s="1" t="s">
        <v>890</v>
      </c>
      <c r="P11" s="8">
        <f>(C64)</f>
        <v>105.9</v>
      </c>
      <c r="Q11" s="1" t="s">
        <v>884</v>
      </c>
      <c r="R11" s="8">
        <f>(M11*P11)</f>
        <v>105.9</v>
      </c>
      <c r="T11" s="2" t="s">
        <v>891</v>
      </c>
      <c r="U11" s="1" t="s">
        <v>892</v>
      </c>
      <c r="V11" s="1" t="s">
        <v>881</v>
      </c>
      <c r="W11" s="1" t="s">
        <v>4091</v>
      </c>
      <c r="X11" s="8">
        <v>12</v>
      </c>
      <c r="Y11" s="667">
        <v>624.5</v>
      </c>
      <c r="Z11" s="8">
        <v>101.78</v>
      </c>
      <c r="AA11" s="1">
        <f t="shared" si="1"/>
        <v>726.28</v>
      </c>
      <c r="AB11" s="1" t="s">
        <v>893</v>
      </c>
      <c r="AC11" s="849">
        <f t="shared" si="2"/>
        <v>269.85000000000002</v>
      </c>
      <c r="AD11" s="57">
        <v>257</v>
      </c>
      <c r="AE11" s="8">
        <f t="shared" si="0"/>
        <v>282.7</v>
      </c>
      <c r="AF11">
        <f t="shared" si="3"/>
        <v>308.39999999999998</v>
      </c>
      <c r="AG11">
        <f t="shared" si="4"/>
        <v>385.5</v>
      </c>
      <c r="AH11">
        <f t="shared" si="5"/>
        <v>269.85000000000002</v>
      </c>
      <c r="AI11">
        <f t="shared" si="6"/>
        <v>321.25</v>
      </c>
    </row>
    <row r="12" spans="1:35" ht="24" customHeight="1">
      <c r="A12" s="285">
        <f t="shared" si="7"/>
        <v>3</v>
      </c>
      <c r="B12" s="286" t="s">
        <v>447</v>
      </c>
      <c r="C12" s="287">
        <f>AC11</f>
        <v>269.85000000000002</v>
      </c>
      <c r="D12" s="286" t="s">
        <v>883</v>
      </c>
      <c r="G12" s="7" t="s">
        <v>448</v>
      </c>
      <c r="H12" s="1" t="s">
        <v>449</v>
      </c>
      <c r="I12" s="1" t="s">
        <v>995</v>
      </c>
      <c r="J12" s="1" t="s">
        <v>448</v>
      </c>
      <c r="K12" s="8">
        <v>0</v>
      </c>
      <c r="N12" s="1" t="s">
        <v>448</v>
      </c>
      <c r="O12" s="1" t="s">
        <v>449</v>
      </c>
      <c r="P12" s="1" t="s">
        <v>995</v>
      </c>
      <c r="Q12" s="1" t="s">
        <v>448</v>
      </c>
      <c r="R12" s="8">
        <v>0</v>
      </c>
      <c r="T12" s="2" t="s">
        <v>450</v>
      </c>
      <c r="U12" s="1" t="s">
        <v>1571</v>
      </c>
      <c r="V12" s="1" t="s">
        <v>881</v>
      </c>
      <c r="W12" s="1" t="s">
        <v>4091</v>
      </c>
      <c r="X12" s="8">
        <f>X11</f>
        <v>12</v>
      </c>
      <c r="Y12" s="667">
        <v>775</v>
      </c>
      <c r="Z12" s="8">
        <f>Z11</f>
        <v>101.78</v>
      </c>
      <c r="AA12" s="1">
        <f t="shared" si="1"/>
        <v>876.78</v>
      </c>
      <c r="AB12" s="1" t="s">
        <v>1572</v>
      </c>
      <c r="AC12" s="849">
        <f t="shared" si="2"/>
        <v>243.6</v>
      </c>
      <c r="AD12" s="615">
        <v>232</v>
      </c>
      <c r="AE12" s="8">
        <f t="shared" si="0"/>
        <v>255.2</v>
      </c>
      <c r="AF12">
        <f t="shared" si="3"/>
        <v>278.39999999999998</v>
      </c>
      <c r="AG12">
        <f t="shared" si="4"/>
        <v>348</v>
      </c>
      <c r="AH12">
        <f t="shared" si="5"/>
        <v>243.6</v>
      </c>
      <c r="AI12">
        <f t="shared" si="6"/>
        <v>290</v>
      </c>
    </row>
    <row r="13" spans="1:35" ht="24" customHeight="1">
      <c r="A13" s="285">
        <f t="shared" si="7"/>
        <v>4</v>
      </c>
      <c r="B13" s="286" t="s">
        <v>1573</v>
      </c>
      <c r="C13" s="287">
        <f>AC12</f>
        <v>243.6</v>
      </c>
      <c r="D13" s="286" t="s">
        <v>883</v>
      </c>
      <c r="K13" s="5" t="s">
        <v>1667</v>
      </c>
      <c r="R13" s="5" t="s">
        <v>1667</v>
      </c>
      <c r="T13" s="2" t="s">
        <v>1574</v>
      </c>
      <c r="U13" s="1" t="s">
        <v>1575</v>
      </c>
      <c r="V13" s="1" t="s">
        <v>881</v>
      </c>
      <c r="W13" s="1" t="s">
        <v>4091</v>
      </c>
      <c r="X13" s="8">
        <f>X11</f>
        <v>12</v>
      </c>
      <c r="Y13" s="667">
        <v>1053</v>
      </c>
      <c r="Z13" s="8">
        <f>Z12</f>
        <v>101.78</v>
      </c>
      <c r="AA13" s="1">
        <f t="shared" si="1"/>
        <v>1154.78</v>
      </c>
      <c r="AB13" s="1" t="s">
        <v>1576</v>
      </c>
      <c r="AC13" s="849">
        <f t="shared" si="2"/>
        <v>347.55</v>
      </c>
      <c r="AD13" s="57">
        <v>331</v>
      </c>
      <c r="AE13" s="8">
        <f t="shared" si="0"/>
        <v>364.1</v>
      </c>
      <c r="AF13">
        <f t="shared" si="3"/>
        <v>397.2</v>
      </c>
      <c r="AG13">
        <f t="shared" si="4"/>
        <v>496.5</v>
      </c>
      <c r="AH13">
        <f t="shared" si="5"/>
        <v>347.55</v>
      </c>
      <c r="AI13">
        <f t="shared" si="6"/>
        <v>413.75</v>
      </c>
    </row>
    <row r="14" spans="1:35" ht="24" customHeight="1">
      <c r="A14" s="285">
        <f t="shared" si="7"/>
        <v>5</v>
      </c>
      <c r="B14" s="286" t="s">
        <v>1577</v>
      </c>
      <c r="C14" s="287">
        <f>AC13</f>
        <v>347.55</v>
      </c>
      <c r="D14" s="287">
        <f>AC14</f>
        <v>321.3</v>
      </c>
      <c r="H14" s="1" t="s">
        <v>1578</v>
      </c>
      <c r="K14" s="40">
        <f>SUM(K9:K12)</f>
        <v>6167.01</v>
      </c>
      <c r="N14" s="8">
        <f>SUM(K9:K12)</f>
        <v>6167.01</v>
      </c>
      <c r="O14" s="1" t="s">
        <v>1578</v>
      </c>
      <c r="R14" s="8">
        <f>SUM(R9:R12)</f>
        <v>1360.23</v>
      </c>
      <c r="T14" s="2" t="s">
        <v>2081</v>
      </c>
      <c r="U14" s="1" t="s">
        <v>116</v>
      </c>
      <c r="V14" s="1" t="s">
        <v>881</v>
      </c>
      <c r="W14" s="1" t="s">
        <v>4091</v>
      </c>
      <c r="X14" s="8">
        <f>X11</f>
        <v>12</v>
      </c>
      <c r="Y14" s="667">
        <v>1135</v>
      </c>
      <c r="Z14" s="8">
        <f>Z13</f>
        <v>101.78</v>
      </c>
      <c r="AA14" s="1">
        <f t="shared" si="1"/>
        <v>1236.78</v>
      </c>
      <c r="AB14" s="1" t="s">
        <v>117</v>
      </c>
      <c r="AC14" s="849">
        <f t="shared" si="2"/>
        <v>321.3</v>
      </c>
      <c r="AD14" s="57">
        <v>306</v>
      </c>
      <c r="AE14" s="8">
        <f t="shared" si="0"/>
        <v>336.6</v>
      </c>
      <c r="AF14">
        <f t="shared" si="3"/>
        <v>367.2</v>
      </c>
      <c r="AG14">
        <f t="shared" si="4"/>
        <v>459</v>
      </c>
      <c r="AH14">
        <f t="shared" si="5"/>
        <v>321.3</v>
      </c>
      <c r="AI14">
        <f t="shared" si="6"/>
        <v>382.5</v>
      </c>
    </row>
    <row r="15" spans="1:35" ht="24" customHeight="1">
      <c r="A15" s="285">
        <f t="shared" si="7"/>
        <v>6</v>
      </c>
      <c r="B15" s="286" t="s">
        <v>118</v>
      </c>
      <c r="C15" s="287">
        <f>AC15</f>
        <v>374.85</v>
      </c>
      <c r="D15" s="286" t="s">
        <v>883</v>
      </c>
      <c r="K15" s="5" t="s">
        <v>1667</v>
      </c>
      <c r="R15" s="5" t="s">
        <v>1667</v>
      </c>
      <c r="T15" s="2" t="s">
        <v>119</v>
      </c>
      <c r="U15" s="1" t="s">
        <v>120</v>
      </c>
      <c r="V15" s="1" t="s">
        <v>881</v>
      </c>
      <c r="W15" s="1" t="s">
        <v>4091</v>
      </c>
      <c r="X15" s="8">
        <f>X11</f>
        <v>12</v>
      </c>
      <c r="Y15" s="667">
        <v>816</v>
      </c>
      <c r="Z15" s="8">
        <f>Z14</f>
        <v>101.78</v>
      </c>
      <c r="AA15" s="1">
        <f t="shared" si="1"/>
        <v>917.78</v>
      </c>
      <c r="AB15" s="1" t="s">
        <v>121</v>
      </c>
      <c r="AC15" s="849">
        <f t="shared" si="2"/>
        <v>374.85</v>
      </c>
      <c r="AD15" s="57">
        <v>357</v>
      </c>
      <c r="AE15" s="8">
        <f t="shared" si="0"/>
        <v>392.7</v>
      </c>
      <c r="AF15">
        <f t="shared" si="3"/>
        <v>428.4</v>
      </c>
      <c r="AG15">
        <f t="shared" si="4"/>
        <v>535.5</v>
      </c>
      <c r="AH15">
        <f t="shared" si="5"/>
        <v>374.85</v>
      </c>
      <c r="AI15">
        <f t="shared" si="6"/>
        <v>446.25</v>
      </c>
    </row>
    <row r="16" spans="1:35" ht="24" customHeight="1">
      <c r="A16" s="285">
        <f t="shared" si="7"/>
        <v>7</v>
      </c>
      <c r="B16" s="286" t="s">
        <v>122</v>
      </c>
      <c r="C16" s="287">
        <f>AC19</f>
        <v>421.05</v>
      </c>
      <c r="D16" s="287">
        <f>AC20</f>
        <v>386.4</v>
      </c>
      <c r="G16" s="7" t="s">
        <v>2338</v>
      </c>
      <c r="H16" s="1" t="s">
        <v>123</v>
      </c>
      <c r="N16" s="1" t="s">
        <v>2338</v>
      </c>
      <c r="O16" s="1" t="s">
        <v>124</v>
      </c>
      <c r="T16" s="2" t="s">
        <v>125</v>
      </c>
      <c r="U16" s="1" t="s">
        <v>126</v>
      </c>
      <c r="V16" s="1" t="s">
        <v>881</v>
      </c>
      <c r="W16" s="1" t="s">
        <v>3782</v>
      </c>
      <c r="X16" s="8">
        <f>'lead  charge'!D11</f>
        <v>87</v>
      </c>
      <c r="Y16" s="667">
        <v>176.4</v>
      </c>
      <c r="Z16" s="8">
        <v>564.58000000000004</v>
      </c>
      <c r="AA16" s="1">
        <f t="shared" si="1"/>
        <v>740.98</v>
      </c>
      <c r="AB16" s="1" t="s">
        <v>2328</v>
      </c>
      <c r="AC16" s="849">
        <f t="shared" si="2"/>
        <v>347.55</v>
      </c>
      <c r="AD16" s="57">
        <v>331</v>
      </c>
      <c r="AE16" s="8">
        <f t="shared" si="0"/>
        <v>364.1</v>
      </c>
      <c r="AF16">
        <f t="shared" si="3"/>
        <v>397.2</v>
      </c>
      <c r="AG16">
        <f t="shared" si="4"/>
        <v>496.5</v>
      </c>
      <c r="AH16">
        <f t="shared" si="5"/>
        <v>347.55</v>
      </c>
      <c r="AI16">
        <f t="shared" si="6"/>
        <v>413.75</v>
      </c>
    </row>
    <row r="17" spans="1:35" ht="24" customHeight="1">
      <c r="A17" s="285">
        <f t="shared" si="7"/>
        <v>8</v>
      </c>
      <c r="B17" s="286" t="s">
        <v>2329</v>
      </c>
      <c r="C17" s="287">
        <f>AC17</f>
        <v>381.15</v>
      </c>
      <c r="D17" s="287">
        <f>AC18</f>
        <v>355.95</v>
      </c>
      <c r="H17" s="5" t="s">
        <v>1667</v>
      </c>
      <c r="O17" s="1" t="s">
        <v>1062</v>
      </c>
      <c r="T17" s="2" t="s">
        <v>1063</v>
      </c>
      <c r="U17" s="1" t="s">
        <v>1064</v>
      </c>
      <c r="V17" s="1" t="s">
        <v>881</v>
      </c>
      <c r="W17" s="1" t="s">
        <v>3782</v>
      </c>
      <c r="X17" s="8">
        <f>X16</f>
        <v>87</v>
      </c>
      <c r="Y17" s="667">
        <v>176.4</v>
      </c>
      <c r="Z17" s="8">
        <f>Z16</f>
        <v>564.58000000000004</v>
      </c>
      <c r="AA17" s="1">
        <f t="shared" si="1"/>
        <v>740.98</v>
      </c>
      <c r="AB17" s="1" t="s">
        <v>1065</v>
      </c>
      <c r="AC17" s="849">
        <f t="shared" si="2"/>
        <v>381.15</v>
      </c>
      <c r="AD17" s="57">
        <v>363</v>
      </c>
      <c r="AE17" s="8">
        <f t="shared" si="0"/>
        <v>399.3</v>
      </c>
      <c r="AF17">
        <f t="shared" si="3"/>
        <v>435.6</v>
      </c>
      <c r="AG17">
        <f t="shared" si="4"/>
        <v>544.5</v>
      </c>
      <c r="AH17">
        <f t="shared" si="5"/>
        <v>381.15</v>
      </c>
      <c r="AI17">
        <f t="shared" si="6"/>
        <v>453.75</v>
      </c>
    </row>
    <row r="18" spans="1:35" ht="24" customHeight="1">
      <c r="A18" s="285">
        <f t="shared" si="7"/>
        <v>9</v>
      </c>
      <c r="B18" s="286" t="s">
        <v>1066</v>
      </c>
      <c r="C18" s="287">
        <f>AC24</f>
        <v>50.03</v>
      </c>
      <c r="D18" s="286" t="s">
        <v>1067</v>
      </c>
      <c r="F18" s="8">
        <v>0.72</v>
      </c>
      <c r="G18" s="7" t="s">
        <v>876</v>
      </c>
      <c r="H18" s="1" t="s">
        <v>877</v>
      </c>
      <c r="I18" s="8">
        <f>(C67)</f>
        <v>5600</v>
      </c>
      <c r="J18" s="1" t="s">
        <v>876</v>
      </c>
      <c r="K18" s="8">
        <f>(F18*I18)</f>
        <v>4032</v>
      </c>
      <c r="O18" s="1" t="s">
        <v>1506</v>
      </c>
      <c r="T18" s="2" t="s">
        <v>1507</v>
      </c>
      <c r="U18" s="666" t="s">
        <v>3786</v>
      </c>
      <c r="V18" s="1" t="s">
        <v>1508</v>
      </c>
      <c r="W18" s="1" t="s">
        <v>3783</v>
      </c>
      <c r="X18" s="8">
        <f>'lead  charge'!G10</f>
        <v>16</v>
      </c>
      <c r="Y18" s="667">
        <v>5020</v>
      </c>
      <c r="Z18" s="8">
        <v>184.96</v>
      </c>
      <c r="AA18" s="1">
        <f t="shared" si="1"/>
        <v>5204.96</v>
      </c>
      <c r="AB18" s="1" t="s">
        <v>1509</v>
      </c>
      <c r="AC18" s="849">
        <f t="shared" si="2"/>
        <v>355.95</v>
      </c>
      <c r="AD18" s="57">
        <v>339</v>
      </c>
      <c r="AE18" s="8">
        <f t="shared" si="0"/>
        <v>372.9</v>
      </c>
      <c r="AF18">
        <f t="shared" si="3"/>
        <v>406.8</v>
      </c>
      <c r="AG18">
        <f t="shared" si="4"/>
        <v>508.5</v>
      </c>
      <c r="AH18">
        <f t="shared" si="5"/>
        <v>355.95</v>
      </c>
      <c r="AI18">
        <f t="shared" si="6"/>
        <v>423.75</v>
      </c>
    </row>
    <row r="19" spans="1:35" ht="24" customHeight="1">
      <c r="A19" s="285">
        <f t="shared" si="7"/>
        <v>10</v>
      </c>
      <c r="B19" s="286" t="s">
        <v>1510</v>
      </c>
      <c r="C19" s="57">
        <v>32.5</v>
      </c>
      <c r="D19" s="286" t="s">
        <v>884</v>
      </c>
      <c r="F19" s="8">
        <v>1</v>
      </c>
      <c r="G19" s="7" t="s">
        <v>884</v>
      </c>
      <c r="H19" s="1" t="s">
        <v>885</v>
      </c>
      <c r="I19" s="8">
        <f>(C78)</f>
        <v>740.98</v>
      </c>
      <c r="J19" s="1" t="s">
        <v>884</v>
      </c>
      <c r="K19" s="8">
        <f>(F19*I19)</f>
        <v>740.98</v>
      </c>
      <c r="O19" s="1" t="s">
        <v>75</v>
      </c>
      <c r="R19" s="1">
        <f>SUM(Y19+Z19)</f>
        <v>614.41999999999996</v>
      </c>
      <c r="S19" s="1" t="s">
        <v>78</v>
      </c>
      <c r="T19" s="2" t="s">
        <v>76</v>
      </c>
      <c r="U19" s="1" t="s">
        <v>77</v>
      </c>
      <c r="V19" s="1" t="s">
        <v>884</v>
      </c>
      <c r="W19" s="8" t="str">
        <f>W18</f>
        <v>Omalur</v>
      </c>
      <c r="X19" s="8">
        <f>'lead  charge'!P10</f>
        <v>16</v>
      </c>
      <c r="Y19" s="667">
        <v>524</v>
      </c>
      <c r="Z19" s="46">
        <v>90.42</v>
      </c>
      <c r="AA19" s="1">
        <f t="shared" si="1"/>
        <v>614.41999999999996</v>
      </c>
      <c r="AB19" s="1" t="s">
        <v>78</v>
      </c>
      <c r="AC19" s="849">
        <f t="shared" si="2"/>
        <v>421.05</v>
      </c>
      <c r="AD19" s="57">
        <v>401</v>
      </c>
      <c r="AE19" s="8">
        <f t="shared" si="0"/>
        <v>441.1</v>
      </c>
      <c r="AF19">
        <f t="shared" si="3"/>
        <v>481.2</v>
      </c>
      <c r="AG19">
        <f t="shared" si="4"/>
        <v>601.5</v>
      </c>
      <c r="AH19">
        <f t="shared" si="5"/>
        <v>421.05</v>
      </c>
      <c r="AI19">
        <f t="shared" si="6"/>
        <v>501.25</v>
      </c>
    </row>
    <row r="20" spans="1:35" ht="24" customHeight="1">
      <c r="A20" s="285">
        <f t="shared" si="7"/>
        <v>11</v>
      </c>
      <c r="B20" s="286" t="s">
        <v>376</v>
      </c>
      <c r="C20" s="57">
        <v>65.3</v>
      </c>
      <c r="D20" s="286" t="s">
        <v>884</v>
      </c>
      <c r="F20" s="8">
        <v>1</v>
      </c>
      <c r="G20" s="7" t="s">
        <v>884</v>
      </c>
      <c r="H20" s="1" t="s">
        <v>889</v>
      </c>
      <c r="I20" s="8">
        <f>(C18)</f>
        <v>50.03</v>
      </c>
      <c r="J20" s="1" t="s">
        <v>884</v>
      </c>
      <c r="K20" s="8">
        <f>(F20*I20)</f>
        <v>50.03</v>
      </c>
      <c r="O20" s="1" t="s">
        <v>1078</v>
      </c>
      <c r="T20" s="2" t="s">
        <v>2048</v>
      </c>
      <c r="U20" s="1" t="s">
        <v>2049</v>
      </c>
      <c r="V20" s="1" t="s">
        <v>884</v>
      </c>
      <c r="W20" s="8" t="str">
        <f>W18</f>
        <v>Omalur</v>
      </c>
      <c r="X20" s="8">
        <f>X19</f>
        <v>16</v>
      </c>
      <c r="Y20" s="667">
        <v>583</v>
      </c>
      <c r="Z20" s="8">
        <f>Z19</f>
        <v>90.42</v>
      </c>
      <c r="AA20" s="1">
        <f t="shared" si="1"/>
        <v>673.42</v>
      </c>
      <c r="AB20" s="1" t="s">
        <v>2050</v>
      </c>
      <c r="AC20" s="849">
        <f t="shared" si="2"/>
        <v>386.4</v>
      </c>
      <c r="AD20" s="57">
        <v>368</v>
      </c>
      <c r="AE20" s="8">
        <f t="shared" si="0"/>
        <v>404.8</v>
      </c>
      <c r="AF20">
        <f t="shared" si="3"/>
        <v>441.6</v>
      </c>
      <c r="AG20">
        <f t="shared" si="4"/>
        <v>552</v>
      </c>
      <c r="AH20">
        <f t="shared" si="5"/>
        <v>386.4</v>
      </c>
      <c r="AI20">
        <f t="shared" si="6"/>
        <v>460</v>
      </c>
    </row>
    <row r="21" spans="1:35" ht="24" customHeight="1">
      <c r="A21" s="285">
        <f t="shared" si="7"/>
        <v>12</v>
      </c>
      <c r="B21" s="286" t="s">
        <v>2349</v>
      </c>
      <c r="C21" s="346">
        <v>65.3</v>
      </c>
      <c r="D21" s="286" t="s">
        <v>884</v>
      </c>
      <c r="G21" s="7" t="s">
        <v>448</v>
      </c>
      <c r="H21" s="1" t="s">
        <v>449</v>
      </c>
      <c r="I21" s="1" t="s">
        <v>995</v>
      </c>
      <c r="J21" s="1" t="s">
        <v>448</v>
      </c>
      <c r="K21" s="8">
        <v>0</v>
      </c>
      <c r="O21" s="5" t="s">
        <v>1667</v>
      </c>
      <c r="T21" s="2" t="s">
        <v>2350</v>
      </c>
      <c r="U21" s="1" t="s">
        <v>2351</v>
      </c>
      <c r="V21" s="1" t="s">
        <v>1508</v>
      </c>
      <c r="W21" s="1" t="s">
        <v>2352</v>
      </c>
      <c r="X21" s="8">
        <f>'lead  charge'!J10</f>
        <v>0</v>
      </c>
      <c r="Y21" s="667">
        <v>13080</v>
      </c>
      <c r="Z21" s="8">
        <f>'lead  charge'!K12</f>
        <v>0</v>
      </c>
      <c r="AA21" s="1">
        <f t="shared" si="1"/>
        <v>13080</v>
      </c>
      <c r="AB21" s="1" t="s">
        <v>2353</v>
      </c>
      <c r="AC21" s="849">
        <f t="shared" si="2"/>
        <v>331.8</v>
      </c>
      <c r="AD21" s="57">
        <v>316</v>
      </c>
      <c r="AE21" s="8">
        <f t="shared" si="0"/>
        <v>347.6</v>
      </c>
      <c r="AF21">
        <f t="shared" si="3"/>
        <v>379.2</v>
      </c>
      <c r="AG21">
        <f t="shared" si="4"/>
        <v>474</v>
      </c>
      <c r="AH21">
        <f t="shared" si="5"/>
        <v>331.8</v>
      </c>
      <c r="AI21">
        <f t="shared" si="6"/>
        <v>395</v>
      </c>
    </row>
    <row r="22" spans="1:35" ht="24" customHeight="1">
      <c r="A22" s="285">
        <f t="shared" si="7"/>
        <v>13</v>
      </c>
      <c r="B22" s="286" t="s">
        <v>1768</v>
      </c>
      <c r="C22" s="57">
        <v>44.65</v>
      </c>
      <c r="D22" s="286" t="s">
        <v>884</v>
      </c>
      <c r="K22" s="5" t="s">
        <v>1667</v>
      </c>
      <c r="M22" s="8">
        <v>1</v>
      </c>
      <c r="N22" s="1" t="s">
        <v>884</v>
      </c>
      <c r="O22" s="1" t="s">
        <v>2075</v>
      </c>
      <c r="P22" s="8">
        <f>C79</f>
        <v>740.98</v>
      </c>
      <c r="Q22" s="1" t="s">
        <v>884</v>
      </c>
      <c r="R22" s="8">
        <f>(M22*P22)</f>
        <v>740.98</v>
      </c>
      <c r="T22" s="2" t="s">
        <v>2076</v>
      </c>
      <c r="U22" s="1" t="s">
        <v>2077</v>
      </c>
      <c r="V22" s="1" t="s">
        <v>881</v>
      </c>
      <c r="W22" s="12" t="s">
        <v>2352</v>
      </c>
      <c r="X22" s="8"/>
      <c r="Y22" s="667">
        <v>1200</v>
      </c>
      <c r="Z22" s="8"/>
      <c r="AA22" s="1">
        <f t="shared" si="1"/>
        <v>1200</v>
      </c>
      <c r="AB22" s="1" t="s">
        <v>2078</v>
      </c>
      <c r="AC22" s="849">
        <f t="shared" si="2"/>
        <v>305.55</v>
      </c>
      <c r="AD22" s="57">
        <v>291</v>
      </c>
      <c r="AE22" s="8">
        <f t="shared" si="0"/>
        <v>320.10000000000002</v>
      </c>
      <c r="AF22">
        <f t="shared" si="3"/>
        <v>349.2</v>
      </c>
      <c r="AG22">
        <f t="shared" si="4"/>
        <v>436.5</v>
      </c>
      <c r="AH22">
        <f t="shared" si="5"/>
        <v>305.55</v>
      </c>
      <c r="AI22">
        <f t="shared" si="6"/>
        <v>363.75</v>
      </c>
    </row>
    <row r="23" spans="1:35" ht="24" customHeight="1">
      <c r="A23" s="285">
        <f t="shared" si="7"/>
        <v>14</v>
      </c>
      <c r="B23" s="286" t="s">
        <v>288</v>
      </c>
      <c r="C23" s="57">
        <v>89</v>
      </c>
      <c r="D23" s="286" t="s">
        <v>884</v>
      </c>
      <c r="H23" s="1" t="s">
        <v>1578</v>
      </c>
      <c r="K23" s="40">
        <f>SUM(K18:K21)</f>
        <v>4823.01</v>
      </c>
      <c r="M23" s="8">
        <v>1</v>
      </c>
      <c r="N23" s="1" t="s">
        <v>884</v>
      </c>
      <c r="O23" s="1" t="s">
        <v>289</v>
      </c>
      <c r="P23" s="8">
        <f>C85</f>
        <v>1026.7</v>
      </c>
      <c r="Q23" s="1" t="s">
        <v>884</v>
      </c>
      <c r="R23" s="8">
        <f>(M23*P23)</f>
        <v>1026.7</v>
      </c>
      <c r="T23" s="2" t="s">
        <v>842</v>
      </c>
      <c r="U23" s="1" t="s">
        <v>843</v>
      </c>
      <c r="V23" s="1" t="s">
        <v>881</v>
      </c>
      <c r="W23" s="663" t="s">
        <v>3784</v>
      </c>
      <c r="X23" s="8">
        <f>'lead  charge'!P11</f>
        <v>27</v>
      </c>
      <c r="Y23" s="667">
        <v>885</v>
      </c>
      <c r="Z23" s="8">
        <v>141.69999999999999</v>
      </c>
      <c r="AA23" s="1">
        <f t="shared" si="1"/>
        <v>1026.7</v>
      </c>
      <c r="AB23" s="1" t="s">
        <v>844</v>
      </c>
      <c r="AC23" s="849">
        <f t="shared" si="2"/>
        <v>332.85</v>
      </c>
      <c r="AD23" s="57">
        <v>317</v>
      </c>
      <c r="AE23" s="8">
        <f t="shared" si="0"/>
        <v>348.7</v>
      </c>
      <c r="AF23">
        <f t="shared" si="3"/>
        <v>380.4</v>
      </c>
      <c r="AG23">
        <f t="shared" si="4"/>
        <v>475.5</v>
      </c>
      <c r="AH23">
        <f t="shared" si="5"/>
        <v>332.85</v>
      </c>
      <c r="AI23">
        <f t="shared" si="6"/>
        <v>396.25</v>
      </c>
    </row>
    <row r="24" spans="1:35" ht="24" customHeight="1">
      <c r="A24" s="285">
        <f t="shared" si="7"/>
        <v>15</v>
      </c>
      <c r="B24" s="286" t="s">
        <v>845</v>
      </c>
      <c r="C24" s="57">
        <v>89</v>
      </c>
      <c r="D24" s="286" t="s">
        <v>884</v>
      </c>
      <c r="K24" s="5" t="s">
        <v>1667</v>
      </c>
      <c r="M24" s="8">
        <v>1.5</v>
      </c>
      <c r="N24" s="1" t="s">
        <v>884</v>
      </c>
      <c r="O24" s="1" t="s">
        <v>1872</v>
      </c>
      <c r="P24" s="8">
        <f>C18</f>
        <v>50.03</v>
      </c>
      <c r="Q24" s="1" t="s">
        <v>884</v>
      </c>
      <c r="R24" s="8">
        <f>(M24*P24)</f>
        <v>75.05</v>
      </c>
      <c r="T24" s="2" t="s">
        <v>1873</v>
      </c>
      <c r="U24" s="1" t="s">
        <v>2</v>
      </c>
      <c r="V24" s="1" t="s">
        <v>881</v>
      </c>
      <c r="W24" s="1" t="s">
        <v>1874</v>
      </c>
      <c r="Y24" s="667">
        <v>31660</v>
      </c>
      <c r="Z24">
        <f>'lead  charge'!Q12</f>
        <v>0</v>
      </c>
      <c r="AA24" s="1">
        <f t="shared" si="1"/>
        <v>31660</v>
      </c>
      <c r="AB24" s="1" t="s">
        <v>1875</v>
      </c>
      <c r="AC24" s="849">
        <f t="shared" si="2"/>
        <v>50.03</v>
      </c>
      <c r="AD24" s="504">
        <v>47.65</v>
      </c>
      <c r="AE24" s="504">
        <f>AD24</f>
        <v>47.65</v>
      </c>
      <c r="AF24" s="505">
        <f>AD24</f>
        <v>47.65</v>
      </c>
      <c r="AG24" s="505">
        <f>AD24</f>
        <v>47.65</v>
      </c>
      <c r="AH24">
        <f t="shared" si="5"/>
        <v>50.03</v>
      </c>
      <c r="AI24" s="505">
        <f>AH24</f>
        <v>50.03</v>
      </c>
    </row>
    <row r="25" spans="1:35" ht="24" customHeight="1">
      <c r="A25" s="285">
        <f t="shared" si="7"/>
        <v>16</v>
      </c>
      <c r="B25" s="286" t="s">
        <v>1876</v>
      </c>
      <c r="C25" s="287">
        <f>AC25</f>
        <v>40.69</v>
      </c>
      <c r="D25" s="286" t="s">
        <v>884</v>
      </c>
      <c r="G25" s="7" t="s">
        <v>2338</v>
      </c>
      <c r="H25" s="1" t="s">
        <v>1414</v>
      </c>
      <c r="M25" s="8">
        <v>1.5</v>
      </c>
      <c r="N25" s="1" t="s">
        <v>884</v>
      </c>
      <c r="O25" s="1" t="s">
        <v>1415</v>
      </c>
      <c r="P25" s="8">
        <f>C27</f>
        <v>14.96</v>
      </c>
      <c r="Q25" s="1" t="s">
        <v>884</v>
      </c>
      <c r="R25" s="8">
        <f>(M25*P25)</f>
        <v>22.44</v>
      </c>
      <c r="T25" s="2" t="s">
        <v>1416</v>
      </c>
      <c r="U25" s="85" t="s">
        <v>1417</v>
      </c>
      <c r="V25" s="1" t="s">
        <v>881</v>
      </c>
      <c r="W25" s="12" t="s">
        <v>1874</v>
      </c>
      <c r="Y25" s="667">
        <v>36330</v>
      </c>
      <c r="Z25">
        <f>Z24</f>
        <v>0</v>
      </c>
      <c r="AA25" s="1">
        <f t="shared" si="1"/>
        <v>36330</v>
      </c>
      <c r="AB25" s="1" t="s">
        <v>296</v>
      </c>
      <c r="AC25" s="849">
        <f t="shared" si="2"/>
        <v>40.69</v>
      </c>
      <c r="AD25" s="504">
        <v>38.75</v>
      </c>
      <c r="AE25" s="504">
        <f>AD25</f>
        <v>38.75</v>
      </c>
      <c r="AF25" s="505">
        <f>AD25</f>
        <v>38.75</v>
      </c>
      <c r="AG25" s="505">
        <f>AD25</f>
        <v>38.75</v>
      </c>
      <c r="AH25">
        <f t="shared" si="5"/>
        <v>40.69</v>
      </c>
      <c r="AI25" s="505">
        <f>AH25</f>
        <v>40.69</v>
      </c>
    </row>
    <row r="26" spans="1:35" ht="24" customHeight="1">
      <c r="A26" s="285">
        <f t="shared" si="7"/>
        <v>17</v>
      </c>
      <c r="B26" s="286" t="s">
        <v>1109</v>
      </c>
      <c r="C26" s="287">
        <f>+AC28</f>
        <v>16.96</v>
      </c>
      <c r="D26" s="286" t="s">
        <v>2120</v>
      </c>
      <c r="H26" s="5" t="s">
        <v>1667</v>
      </c>
      <c r="N26" s="1" t="s">
        <v>448</v>
      </c>
      <c r="O26" s="1" t="s">
        <v>449</v>
      </c>
      <c r="P26" s="1" t="s">
        <v>995</v>
      </c>
      <c r="Q26" s="1" t="s">
        <v>448</v>
      </c>
      <c r="R26" s="8">
        <v>0</v>
      </c>
      <c r="T26" s="2" t="s">
        <v>2121</v>
      </c>
      <c r="U26" s="1" t="s">
        <v>2975</v>
      </c>
      <c r="V26" s="1" t="s">
        <v>881</v>
      </c>
      <c r="W26" s="12" t="s">
        <v>1874</v>
      </c>
      <c r="Y26" s="667">
        <v>102600</v>
      </c>
      <c r="Z26">
        <f>Z25</f>
        <v>0</v>
      </c>
      <c r="AA26" s="1">
        <f t="shared" si="1"/>
        <v>102600</v>
      </c>
      <c r="AB26" s="1" t="s">
        <v>1551</v>
      </c>
      <c r="AC26" s="849">
        <f t="shared" si="2"/>
        <v>30.24</v>
      </c>
      <c r="AD26" s="504">
        <v>28.8</v>
      </c>
      <c r="AE26" s="504">
        <f>AD26</f>
        <v>28.8</v>
      </c>
      <c r="AF26" s="505">
        <f>AD26</f>
        <v>28.8</v>
      </c>
      <c r="AG26" s="505">
        <f>AD26</f>
        <v>28.8</v>
      </c>
      <c r="AH26">
        <f t="shared" si="5"/>
        <v>30.24</v>
      </c>
      <c r="AI26" s="505">
        <f>AH26</f>
        <v>30.24</v>
      </c>
    </row>
    <row r="27" spans="1:35" ht="24" customHeight="1">
      <c r="A27" s="285">
        <f t="shared" si="7"/>
        <v>18</v>
      </c>
      <c r="B27" s="286" t="s">
        <v>1552</v>
      </c>
      <c r="C27" s="287">
        <f>+AC27</f>
        <v>14.96</v>
      </c>
      <c r="D27" s="286" t="s">
        <v>2120</v>
      </c>
      <c r="F27" s="8">
        <v>0.48</v>
      </c>
      <c r="G27" s="7" t="s">
        <v>876</v>
      </c>
      <c r="H27" s="1" t="s">
        <v>877</v>
      </c>
      <c r="I27" s="8">
        <f>(C67)</f>
        <v>5600</v>
      </c>
      <c r="J27" s="1" t="s">
        <v>876</v>
      </c>
      <c r="K27" s="8">
        <f>(F27*I27)</f>
        <v>2688</v>
      </c>
      <c r="R27" s="5" t="s">
        <v>1667</v>
      </c>
      <c r="T27" s="2" t="s">
        <v>1553</v>
      </c>
      <c r="U27" s="1" t="s">
        <v>2976</v>
      </c>
      <c r="V27" s="1" t="s">
        <v>881</v>
      </c>
      <c r="W27" s="12" t="s">
        <v>1874</v>
      </c>
      <c r="Y27" s="667">
        <v>91300</v>
      </c>
      <c r="Z27">
        <f>Z26</f>
        <v>0</v>
      </c>
      <c r="AA27" s="1">
        <f t="shared" si="1"/>
        <v>91300</v>
      </c>
      <c r="AB27" s="1" t="s">
        <v>1554</v>
      </c>
      <c r="AC27" s="849">
        <f t="shared" si="2"/>
        <v>14.96</v>
      </c>
      <c r="AD27" s="57">
        <v>14.25</v>
      </c>
      <c r="AE27" s="8">
        <f>AD27*1.1</f>
        <v>15.68</v>
      </c>
      <c r="AF27">
        <f t="shared" si="3"/>
        <v>17.100000000000001</v>
      </c>
      <c r="AG27">
        <f>AD27*1.5</f>
        <v>21.38</v>
      </c>
      <c r="AH27">
        <f t="shared" si="5"/>
        <v>14.96</v>
      </c>
      <c r="AI27">
        <f t="shared" si="6"/>
        <v>17.809999999999999</v>
      </c>
    </row>
    <row r="28" spans="1:35" ht="24" customHeight="1">
      <c r="A28" s="285">
        <f t="shared" si="7"/>
        <v>19</v>
      </c>
      <c r="B28" s="286" t="s">
        <v>2307</v>
      </c>
      <c r="C28" s="57">
        <v>80.67</v>
      </c>
      <c r="D28" s="286" t="s">
        <v>448</v>
      </c>
      <c r="E28">
        <f>60.5+84.7+96.8</f>
        <v>242</v>
      </c>
      <c r="F28" s="8">
        <v>1</v>
      </c>
      <c r="G28" s="7" t="s">
        <v>884</v>
      </c>
      <c r="H28" s="1" t="s">
        <v>885</v>
      </c>
      <c r="I28" s="8">
        <f>(C78)</f>
        <v>740.98</v>
      </c>
      <c r="J28" s="1" t="s">
        <v>884</v>
      </c>
      <c r="K28" s="8">
        <f>(F28*I28)</f>
        <v>740.98</v>
      </c>
      <c r="O28" s="1" t="s">
        <v>172</v>
      </c>
      <c r="R28" s="8">
        <f>SUM(R22:R26)</f>
        <v>1865.17</v>
      </c>
      <c r="T28" s="2" t="s">
        <v>901</v>
      </c>
      <c r="U28" s="1" t="s">
        <v>2357</v>
      </c>
      <c r="V28" s="1" t="s">
        <v>881</v>
      </c>
      <c r="W28" s="12" t="s">
        <v>1874</v>
      </c>
      <c r="Y28" s="667">
        <v>87300</v>
      </c>
      <c r="Z28">
        <f>Z27</f>
        <v>0</v>
      </c>
      <c r="AA28" s="1">
        <f t="shared" si="1"/>
        <v>87300</v>
      </c>
      <c r="AB28" s="1" t="s">
        <v>2358</v>
      </c>
      <c r="AC28" s="849">
        <f t="shared" si="2"/>
        <v>16.96</v>
      </c>
      <c r="AD28" s="57">
        <v>16.149999999999999</v>
      </c>
      <c r="AE28" s="8">
        <f>AD28*1.1</f>
        <v>17.77</v>
      </c>
      <c r="AF28">
        <f t="shared" si="3"/>
        <v>19.38</v>
      </c>
      <c r="AG28">
        <f>AD28*1.5</f>
        <v>24.23</v>
      </c>
      <c r="AH28">
        <f t="shared" si="5"/>
        <v>16.96</v>
      </c>
      <c r="AI28">
        <f t="shared" si="6"/>
        <v>20.190000000000001</v>
      </c>
    </row>
    <row r="29" spans="1:35" ht="24" customHeight="1">
      <c r="A29" s="285">
        <f t="shared" si="7"/>
        <v>20</v>
      </c>
      <c r="B29" s="286" t="s">
        <v>780</v>
      </c>
      <c r="C29" s="287">
        <f>AC23</f>
        <v>332.85</v>
      </c>
      <c r="D29" s="286" t="s">
        <v>781</v>
      </c>
      <c r="E29">
        <f>E28/3</f>
        <v>80.67</v>
      </c>
      <c r="F29" s="8">
        <v>1</v>
      </c>
      <c r="G29" s="7" t="s">
        <v>884</v>
      </c>
      <c r="H29" s="1" t="s">
        <v>889</v>
      </c>
      <c r="I29" s="8">
        <f>(C18)</f>
        <v>50.03</v>
      </c>
      <c r="J29" s="1" t="s">
        <v>884</v>
      </c>
      <c r="K29" s="8">
        <f>(F29*I29)</f>
        <v>50.03</v>
      </c>
      <c r="R29" s="5" t="s">
        <v>1667</v>
      </c>
      <c r="T29" s="2" t="s">
        <v>782</v>
      </c>
      <c r="U29" s="1" t="s">
        <v>783</v>
      </c>
      <c r="V29" s="1" t="s">
        <v>1508</v>
      </c>
      <c r="W29" s="8" t="str">
        <f>W18</f>
        <v>Omalur</v>
      </c>
      <c r="X29" s="8">
        <f>X18</f>
        <v>16</v>
      </c>
      <c r="Y29" s="667">
        <v>3185</v>
      </c>
      <c r="Z29" s="8">
        <v>110.98</v>
      </c>
      <c r="AA29" s="1">
        <f t="shared" si="1"/>
        <v>3295.98</v>
      </c>
      <c r="AB29" s="1" t="s">
        <v>3719</v>
      </c>
      <c r="AC29" s="849">
        <f t="shared" si="2"/>
        <v>48.3</v>
      </c>
      <c r="AD29" s="57">
        <v>46</v>
      </c>
      <c r="AE29" s="8">
        <f>AD29*1.1</f>
        <v>50.6</v>
      </c>
      <c r="AF29">
        <f t="shared" si="3"/>
        <v>55.2</v>
      </c>
      <c r="AG29">
        <f>AD29*1.5</f>
        <v>69</v>
      </c>
      <c r="AH29">
        <f t="shared" si="5"/>
        <v>48.3</v>
      </c>
      <c r="AI29">
        <f t="shared" si="6"/>
        <v>57.5</v>
      </c>
    </row>
    <row r="30" spans="1:35" ht="24" customHeight="1">
      <c r="A30" s="285">
        <f t="shared" si="7"/>
        <v>21</v>
      </c>
      <c r="B30" s="286" t="s">
        <v>784</v>
      </c>
      <c r="C30" s="287">
        <f>AC33</f>
        <v>5906.25</v>
      </c>
      <c r="D30" s="287">
        <f>AC31</f>
        <v>554.4</v>
      </c>
      <c r="G30" s="7" t="s">
        <v>448</v>
      </c>
      <c r="H30" s="1" t="s">
        <v>449</v>
      </c>
      <c r="I30" s="1" t="s">
        <v>995</v>
      </c>
      <c r="J30" s="1" t="s">
        <v>448</v>
      </c>
      <c r="K30" s="8">
        <v>0</v>
      </c>
      <c r="O30" s="1" t="s">
        <v>785</v>
      </c>
      <c r="R30" s="8">
        <f>(R28/1.5)</f>
        <v>1243.45</v>
      </c>
      <c r="T30" s="2" t="s">
        <v>2243</v>
      </c>
      <c r="U30" s="1" t="s">
        <v>17</v>
      </c>
      <c r="V30" s="1" t="s">
        <v>1508</v>
      </c>
      <c r="W30" s="12" t="s">
        <v>1874</v>
      </c>
      <c r="X30" s="8"/>
      <c r="Y30" s="667">
        <v>11600</v>
      </c>
      <c r="Z30" s="8"/>
      <c r="AA30" s="1">
        <f t="shared" si="1"/>
        <v>11600</v>
      </c>
      <c r="AB30" s="1" t="s">
        <v>3720</v>
      </c>
      <c r="AC30" s="849">
        <f t="shared" si="2"/>
        <v>666.75</v>
      </c>
      <c r="AD30" s="504">
        <v>635</v>
      </c>
      <c r="AE30" s="504">
        <f t="shared" ref="AE30:AE35" si="8">AD30</f>
        <v>635</v>
      </c>
      <c r="AF30" s="505">
        <f t="shared" ref="AF30:AF35" si="9">AD30</f>
        <v>635</v>
      </c>
      <c r="AG30" s="505">
        <f t="shared" ref="AG30:AG35" si="10">AD30</f>
        <v>635</v>
      </c>
      <c r="AH30">
        <f t="shared" si="5"/>
        <v>666.75</v>
      </c>
      <c r="AI30" s="598">
        <f t="shared" ref="AI30:AI35" si="11">AH30</f>
        <v>666.75</v>
      </c>
    </row>
    <row r="31" spans="1:35" ht="24" customHeight="1">
      <c r="A31" s="285">
        <f t="shared" si="7"/>
        <v>22</v>
      </c>
      <c r="B31" s="286" t="s">
        <v>18</v>
      </c>
      <c r="C31" s="287">
        <f>AC30</f>
        <v>666.75</v>
      </c>
      <c r="D31" s="287">
        <f>AC32</f>
        <v>619.5</v>
      </c>
      <c r="K31" s="5" t="s">
        <v>1667</v>
      </c>
      <c r="O31" s="1" t="s">
        <v>246</v>
      </c>
      <c r="R31" s="5" t="s">
        <v>2130</v>
      </c>
      <c r="T31" s="2" t="s">
        <v>19</v>
      </c>
      <c r="U31" s="1" t="s">
        <v>20</v>
      </c>
      <c r="V31" s="1" t="s">
        <v>876</v>
      </c>
      <c r="W31" s="1" t="s">
        <v>1874</v>
      </c>
      <c r="X31" s="8"/>
      <c r="Y31" s="667">
        <v>5600</v>
      </c>
      <c r="Z31" s="8">
        <f>'lead  charge'!E14</f>
        <v>0</v>
      </c>
      <c r="AA31" s="1">
        <f t="shared" si="1"/>
        <v>5600</v>
      </c>
      <c r="AB31" s="1" t="s">
        <v>3721</v>
      </c>
      <c r="AC31" s="849">
        <f t="shared" si="2"/>
        <v>554.4</v>
      </c>
      <c r="AD31" s="504">
        <v>528</v>
      </c>
      <c r="AE31" s="504">
        <f t="shared" si="8"/>
        <v>528</v>
      </c>
      <c r="AF31" s="505">
        <f t="shared" si="9"/>
        <v>528</v>
      </c>
      <c r="AG31" s="505">
        <f t="shared" si="10"/>
        <v>528</v>
      </c>
      <c r="AH31">
        <f t="shared" si="5"/>
        <v>554.4</v>
      </c>
      <c r="AI31" s="598">
        <f t="shared" si="11"/>
        <v>554.4</v>
      </c>
    </row>
    <row r="32" spans="1:35" ht="24" customHeight="1">
      <c r="A32" s="285">
        <f t="shared" si="7"/>
        <v>23</v>
      </c>
      <c r="B32" s="286" t="s">
        <v>1877</v>
      </c>
      <c r="C32" s="206">
        <v>2.5</v>
      </c>
      <c r="D32" s="287">
        <f>AC34</f>
        <v>517.65</v>
      </c>
      <c r="H32" s="1" t="s">
        <v>1578</v>
      </c>
      <c r="K32" s="40">
        <f>SUM(K27:K30)</f>
        <v>3479.01</v>
      </c>
      <c r="T32" s="2" t="s">
        <v>1878</v>
      </c>
      <c r="U32" s="1" t="s">
        <v>1879</v>
      </c>
      <c r="V32" s="1" t="s">
        <v>876</v>
      </c>
      <c r="W32" s="1" t="s">
        <v>2352</v>
      </c>
      <c r="X32" s="8"/>
      <c r="Y32" s="667">
        <v>48000</v>
      </c>
      <c r="Z32" s="8">
        <f>Z31</f>
        <v>0</v>
      </c>
      <c r="AA32" s="1">
        <f t="shared" si="1"/>
        <v>48000</v>
      </c>
      <c r="AB32" s="1" t="s">
        <v>3722</v>
      </c>
      <c r="AC32" s="849">
        <f t="shared" si="2"/>
        <v>619.5</v>
      </c>
      <c r="AD32" s="504">
        <v>590</v>
      </c>
      <c r="AE32" s="504">
        <f t="shared" si="8"/>
        <v>590</v>
      </c>
      <c r="AF32" s="505">
        <f t="shared" si="9"/>
        <v>590</v>
      </c>
      <c r="AG32" s="505">
        <f t="shared" si="10"/>
        <v>590</v>
      </c>
      <c r="AH32">
        <f t="shared" si="5"/>
        <v>619.5</v>
      </c>
      <c r="AI32" s="598">
        <f t="shared" si="11"/>
        <v>619.5</v>
      </c>
    </row>
    <row r="33" spans="1:35" ht="24" customHeight="1">
      <c r="A33" s="285">
        <f t="shared" si="7"/>
        <v>24</v>
      </c>
      <c r="B33" s="286" t="s">
        <v>443</v>
      </c>
      <c r="C33" s="206">
        <v>3.64</v>
      </c>
      <c r="D33" s="287">
        <f>AC35</f>
        <v>462</v>
      </c>
      <c r="K33" s="5" t="s">
        <v>1667</v>
      </c>
      <c r="T33" s="13" t="s">
        <v>444</v>
      </c>
      <c r="U33" s="1" t="s">
        <v>1478</v>
      </c>
      <c r="V33" s="1" t="s">
        <v>876</v>
      </c>
      <c r="W33" s="1" t="s">
        <v>2352</v>
      </c>
      <c r="X33" s="8"/>
      <c r="Y33" s="667">
        <v>48000</v>
      </c>
      <c r="Z33" s="8">
        <f>Z32</f>
        <v>0</v>
      </c>
      <c r="AA33" s="1">
        <f t="shared" si="1"/>
        <v>48000</v>
      </c>
      <c r="AB33" s="1" t="s">
        <v>3723</v>
      </c>
      <c r="AC33" s="849">
        <f t="shared" si="2"/>
        <v>5906.25</v>
      </c>
      <c r="AD33" s="504">
        <v>5625</v>
      </c>
      <c r="AE33" s="504">
        <f t="shared" si="8"/>
        <v>5625</v>
      </c>
      <c r="AF33" s="505">
        <f t="shared" si="9"/>
        <v>5625</v>
      </c>
      <c r="AG33" s="505">
        <f t="shared" si="10"/>
        <v>5625</v>
      </c>
      <c r="AH33">
        <f t="shared" si="5"/>
        <v>5906.25</v>
      </c>
      <c r="AI33" s="598">
        <f t="shared" si="11"/>
        <v>5906.25</v>
      </c>
    </row>
    <row r="34" spans="1:35" ht="24" customHeight="1">
      <c r="A34" s="285">
        <f t="shared" si="7"/>
        <v>25</v>
      </c>
      <c r="B34" s="286" t="s">
        <v>1479</v>
      </c>
      <c r="C34" s="57">
        <v>48000</v>
      </c>
      <c r="D34" s="57">
        <v>48000</v>
      </c>
      <c r="G34" s="7" t="s">
        <v>2338</v>
      </c>
      <c r="H34" s="1" t="s">
        <v>1364</v>
      </c>
      <c r="T34" s="13" t="s">
        <v>1480</v>
      </c>
      <c r="U34" s="1" t="s">
        <v>1481</v>
      </c>
      <c r="V34" s="1" t="s">
        <v>1508</v>
      </c>
      <c r="W34" s="8" t="str">
        <f>W18</f>
        <v>Omalur</v>
      </c>
      <c r="X34" s="8"/>
      <c r="Y34" s="667">
        <v>3185</v>
      </c>
      <c r="Z34" s="8">
        <f>Z29</f>
        <v>110.98</v>
      </c>
      <c r="AA34" s="1">
        <f t="shared" si="1"/>
        <v>3295.98</v>
      </c>
      <c r="AB34" s="1" t="s">
        <v>3724</v>
      </c>
      <c r="AC34" s="849">
        <f t="shared" si="2"/>
        <v>517.65</v>
      </c>
      <c r="AD34" s="504">
        <v>493</v>
      </c>
      <c r="AE34" s="504">
        <f t="shared" si="8"/>
        <v>493</v>
      </c>
      <c r="AF34" s="505">
        <f t="shared" si="9"/>
        <v>493</v>
      </c>
      <c r="AG34" s="505">
        <f t="shared" si="10"/>
        <v>493</v>
      </c>
      <c r="AH34">
        <f t="shared" si="5"/>
        <v>517.65</v>
      </c>
      <c r="AI34" s="598">
        <f t="shared" si="11"/>
        <v>517.65</v>
      </c>
    </row>
    <row r="35" spans="1:35" ht="24" customHeight="1">
      <c r="A35" s="285">
        <f t="shared" si="7"/>
        <v>26</v>
      </c>
      <c r="B35" s="286" t="s">
        <v>211</v>
      </c>
      <c r="C35" s="287">
        <f>AA38</f>
        <v>274.54000000000002</v>
      </c>
      <c r="D35" s="288"/>
      <c r="F35" s="8">
        <v>0.36</v>
      </c>
      <c r="G35" s="7" t="s">
        <v>876</v>
      </c>
      <c r="H35" s="1" t="s">
        <v>877</v>
      </c>
      <c r="I35" s="8">
        <f>C67</f>
        <v>5600</v>
      </c>
      <c r="J35" s="1" t="s">
        <v>876</v>
      </c>
      <c r="K35" s="8">
        <f>(F35*I35)</f>
        <v>2016</v>
      </c>
      <c r="T35" s="2" t="s">
        <v>1482</v>
      </c>
      <c r="U35" s="1" t="s">
        <v>398</v>
      </c>
      <c r="V35" s="1" t="s">
        <v>881</v>
      </c>
      <c r="W35" s="1" t="str">
        <f>W11</f>
        <v>Gajjelnaickenpatti</v>
      </c>
      <c r="X35" s="8">
        <f>X11</f>
        <v>12</v>
      </c>
      <c r="Y35" s="668">
        <v>553</v>
      </c>
      <c r="Z35" s="8">
        <f>Z11</f>
        <v>101.78</v>
      </c>
      <c r="AA35" s="1">
        <f t="shared" si="1"/>
        <v>654.78</v>
      </c>
      <c r="AB35" s="1" t="s">
        <v>3725</v>
      </c>
      <c r="AC35" s="849">
        <f t="shared" si="2"/>
        <v>462</v>
      </c>
      <c r="AD35" s="504">
        <v>440</v>
      </c>
      <c r="AE35" s="504">
        <f t="shared" si="8"/>
        <v>440</v>
      </c>
      <c r="AF35" s="505">
        <f t="shared" si="9"/>
        <v>440</v>
      </c>
      <c r="AG35" s="505">
        <f t="shared" si="10"/>
        <v>440</v>
      </c>
      <c r="AH35">
        <f t="shared" si="5"/>
        <v>462</v>
      </c>
      <c r="AI35" s="598">
        <f t="shared" si="11"/>
        <v>462</v>
      </c>
    </row>
    <row r="36" spans="1:35" ht="24" customHeight="1">
      <c r="A36" s="288"/>
      <c r="B36" s="286" t="s">
        <v>760</v>
      </c>
      <c r="C36" s="57">
        <v>4.2</v>
      </c>
      <c r="D36" s="288"/>
      <c r="F36" s="8">
        <v>1</v>
      </c>
      <c r="G36" s="7" t="s">
        <v>884</v>
      </c>
      <c r="H36" s="1" t="s">
        <v>885</v>
      </c>
      <c r="I36" s="8">
        <f>C78</f>
        <v>740.98</v>
      </c>
      <c r="J36" s="1" t="s">
        <v>884</v>
      </c>
      <c r="K36" s="8">
        <f>(F36*I36)</f>
        <v>740.98</v>
      </c>
      <c r="T36" s="2" t="s">
        <v>230</v>
      </c>
      <c r="U36" s="1" t="s">
        <v>397</v>
      </c>
      <c r="V36" s="1" t="s">
        <v>881</v>
      </c>
      <c r="W36" s="1" t="str">
        <f>W12</f>
        <v>Gajjelnaickenpatti</v>
      </c>
      <c r="X36" s="8">
        <f>X11</f>
        <v>12</v>
      </c>
      <c r="Y36" s="668">
        <v>566.5</v>
      </c>
      <c r="Z36" s="8">
        <f>Z11</f>
        <v>101.78</v>
      </c>
      <c r="AA36" s="1">
        <f t="shared" si="1"/>
        <v>668.28</v>
      </c>
      <c r="AB36" s="1" t="s">
        <v>3726</v>
      </c>
      <c r="AC36" s="849">
        <f t="shared" si="2"/>
        <v>71.930000000000007</v>
      </c>
      <c r="AD36" s="57">
        <v>68.5</v>
      </c>
      <c r="AE36" s="8">
        <f>AD36*1.1</f>
        <v>75.349999999999994</v>
      </c>
      <c r="AF36">
        <f t="shared" si="3"/>
        <v>82.2</v>
      </c>
      <c r="AG36">
        <f>AD36*1.5</f>
        <v>102.75</v>
      </c>
      <c r="AH36">
        <f t="shared" si="5"/>
        <v>71.930000000000007</v>
      </c>
      <c r="AI36">
        <f t="shared" si="6"/>
        <v>85.63</v>
      </c>
    </row>
    <row r="37" spans="1:35" ht="24" customHeight="1">
      <c r="A37" s="288"/>
      <c r="B37" s="286" t="s">
        <v>1357</v>
      </c>
      <c r="C37" s="130">
        <v>20.8</v>
      </c>
      <c r="D37" s="288"/>
      <c r="F37" s="8">
        <v>1</v>
      </c>
      <c r="G37" s="7" t="s">
        <v>884</v>
      </c>
      <c r="H37" s="1" t="s">
        <v>889</v>
      </c>
      <c r="I37" s="8">
        <f>C18</f>
        <v>50.03</v>
      </c>
      <c r="J37" s="1" t="s">
        <v>884</v>
      </c>
      <c r="K37" s="8">
        <f>(F37*I37)</f>
        <v>50.03</v>
      </c>
      <c r="T37" s="2" t="s">
        <v>1759</v>
      </c>
      <c r="U37" s="1" t="s">
        <v>415</v>
      </c>
      <c r="V37" s="1" t="s">
        <v>881</v>
      </c>
      <c r="W37" s="1" t="str">
        <f>W13</f>
        <v>Gajjelnaickenpatti</v>
      </c>
      <c r="X37" s="8">
        <f>X10</f>
        <v>12</v>
      </c>
      <c r="Y37" s="668">
        <v>493.67</v>
      </c>
      <c r="Z37" s="8">
        <f>Z11</f>
        <v>101.78</v>
      </c>
      <c r="AA37" s="1">
        <f t="shared" si="1"/>
        <v>595.45000000000005</v>
      </c>
      <c r="AB37" s="1" t="s">
        <v>2973</v>
      </c>
      <c r="AC37" s="849">
        <f t="shared" si="2"/>
        <v>347.55</v>
      </c>
      <c r="AD37" s="57">
        <v>331</v>
      </c>
      <c r="AE37" s="8">
        <f>AD37*1.1</f>
        <v>364.1</v>
      </c>
      <c r="AF37">
        <f t="shared" si="3"/>
        <v>397.2</v>
      </c>
      <c r="AG37">
        <f>AD37*1.5</f>
        <v>496.5</v>
      </c>
      <c r="AH37">
        <f t="shared" si="5"/>
        <v>347.55</v>
      </c>
      <c r="AI37">
        <f t="shared" si="6"/>
        <v>413.75</v>
      </c>
    </row>
    <row r="38" spans="1:35" ht="24" customHeight="1">
      <c r="A38" s="285">
        <f>(A35+1)</f>
        <v>27</v>
      </c>
      <c r="B38" s="286" t="s">
        <v>1760</v>
      </c>
      <c r="C38" s="206">
        <v>40</v>
      </c>
      <c r="D38" s="286" t="s">
        <v>883</v>
      </c>
      <c r="G38" s="7" t="s">
        <v>448</v>
      </c>
      <c r="H38" s="1" t="s">
        <v>449</v>
      </c>
      <c r="I38" s="1" t="s">
        <v>995</v>
      </c>
      <c r="J38" s="1" t="s">
        <v>448</v>
      </c>
      <c r="K38" s="8">
        <v>0</v>
      </c>
      <c r="T38" s="2" t="s">
        <v>210</v>
      </c>
      <c r="U38" s="1" t="s">
        <v>522</v>
      </c>
      <c r="V38" s="1" t="s">
        <v>881</v>
      </c>
      <c r="W38" s="1" t="s">
        <v>4105</v>
      </c>
      <c r="X38" s="8">
        <v>16</v>
      </c>
      <c r="Y38" s="669">
        <v>143</v>
      </c>
      <c r="Z38" s="8">
        <v>131.54</v>
      </c>
      <c r="AA38" s="1">
        <f t="shared" si="1"/>
        <v>274.54000000000002</v>
      </c>
      <c r="AB38" s="1" t="s">
        <v>2974</v>
      </c>
      <c r="AC38" s="849">
        <f t="shared" si="2"/>
        <v>374.85</v>
      </c>
      <c r="AD38" s="57">
        <v>357</v>
      </c>
      <c r="AE38" s="8">
        <f>AD38*1.1</f>
        <v>392.7</v>
      </c>
      <c r="AF38">
        <f t="shared" si="3"/>
        <v>428.4</v>
      </c>
      <c r="AG38">
        <f>AD38*1.5</f>
        <v>535.5</v>
      </c>
      <c r="AH38">
        <f t="shared" si="5"/>
        <v>374.85</v>
      </c>
      <c r="AI38">
        <f t="shared" si="6"/>
        <v>446.25</v>
      </c>
    </row>
    <row r="39" spans="1:35" ht="24" customHeight="1">
      <c r="A39" s="285">
        <f t="shared" ref="A39:A58" si="12">(A38+1)</f>
        <v>28</v>
      </c>
      <c r="B39" s="286" t="s">
        <v>212</v>
      </c>
      <c r="C39" s="206">
        <v>41</v>
      </c>
      <c r="D39" s="287">
        <v>500</v>
      </c>
      <c r="K39" s="5" t="s">
        <v>1667</v>
      </c>
      <c r="T39" s="5" t="s">
        <v>1667</v>
      </c>
      <c r="U39" s="5" t="s">
        <v>1667</v>
      </c>
      <c r="V39" s="5" t="s">
        <v>1667</v>
      </c>
      <c r="W39" s="5" t="s">
        <v>1667</v>
      </c>
      <c r="X39" s="5" t="s">
        <v>1667</v>
      </c>
      <c r="Y39" s="671" t="s">
        <v>1667</v>
      </c>
      <c r="Z39" s="5" t="s">
        <v>1667</v>
      </c>
      <c r="AA39" s="5" t="s">
        <v>1667</v>
      </c>
      <c r="AB39" s="5" t="s">
        <v>1667</v>
      </c>
      <c r="AC39" s="130"/>
      <c r="AD39" s="130"/>
      <c r="AE39" s="1"/>
    </row>
    <row r="40" spans="1:35" ht="24" customHeight="1">
      <c r="A40" s="285">
        <f t="shared" si="12"/>
        <v>29</v>
      </c>
      <c r="B40" s="286" t="s">
        <v>1035</v>
      </c>
      <c r="C40" s="206">
        <v>28</v>
      </c>
      <c r="D40" s="287">
        <v>115</v>
      </c>
      <c r="H40" s="1" t="s">
        <v>1578</v>
      </c>
      <c r="K40" s="40">
        <f>SUM(K35:K38)</f>
        <v>2807.01</v>
      </c>
      <c r="U40" s="1"/>
      <c r="V40" s="1"/>
      <c r="W40" s="1"/>
      <c r="X40" s="8"/>
      <c r="Y40" s="667"/>
      <c r="Z40" s="8"/>
      <c r="AA40" s="1"/>
      <c r="AC40" s="69"/>
      <c r="AD40" s="344" t="s">
        <v>1667</v>
      </c>
      <c r="AE40" s="1"/>
    </row>
    <row r="41" spans="1:35" ht="24" customHeight="1">
      <c r="A41" s="285">
        <f t="shared" si="12"/>
        <v>30</v>
      </c>
      <c r="B41" s="286" t="s">
        <v>1852</v>
      </c>
      <c r="C41" s="287">
        <f>AC22</f>
        <v>305.55</v>
      </c>
      <c r="D41" s="286" t="s">
        <v>781</v>
      </c>
      <c r="K41" s="5" t="s">
        <v>1667</v>
      </c>
      <c r="U41" t="s">
        <v>1570</v>
      </c>
      <c r="Y41" s="670"/>
      <c r="AC41" s="69"/>
      <c r="AE41" s="1"/>
    </row>
    <row r="42" spans="1:35" ht="24" customHeight="1">
      <c r="A42" s="285">
        <f t="shared" si="12"/>
        <v>31</v>
      </c>
      <c r="B42" s="286" t="s">
        <v>1853</v>
      </c>
      <c r="C42" s="206">
        <v>5</v>
      </c>
      <c r="D42" s="202" t="s">
        <v>1854</v>
      </c>
      <c r="G42" s="7" t="s">
        <v>2338</v>
      </c>
      <c r="H42" s="1" t="s">
        <v>1710</v>
      </c>
      <c r="W42" s="1" t="s">
        <v>1748</v>
      </c>
      <c r="Y42" s="670"/>
      <c r="AC42" s="69"/>
      <c r="AE42" s="1"/>
    </row>
    <row r="43" spans="1:35" ht="24" customHeight="1">
      <c r="A43" s="285">
        <f t="shared" si="12"/>
        <v>32</v>
      </c>
      <c r="B43" s="286" t="s">
        <v>1711</v>
      </c>
      <c r="C43" s="57">
        <v>3.6</v>
      </c>
      <c r="D43" s="202" t="s">
        <v>781</v>
      </c>
      <c r="H43" s="5" t="s">
        <v>1667</v>
      </c>
      <c r="Y43" s="670"/>
      <c r="AC43" s="69"/>
      <c r="AE43" s="1"/>
    </row>
    <row r="44" spans="1:35" ht="24" customHeight="1">
      <c r="A44" s="285">
        <f t="shared" si="12"/>
        <v>33</v>
      </c>
      <c r="B44" s="286" t="s">
        <v>259</v>
      </c>
      <c r="C44" s="57">
        <v>3.6</v>
      </c>
      <c r="D44" s="202" t="s">
        <v>781</v>
      </c>
      <c r="F44" s="14">
        <v>0.28799999999999998</v>
      </c>
      <c r="G44" s="7" t="s">
        <v>876</v>
      </c>
      <c r="H44" s="1" t="s">
        <v>877</v>
      </c>
      <c r="I44" s="8">
        <f>(C67)</f>
        <v>5600</v>
      </c>
      <c r="J44" s="1" t="s">
        <v>876</v>
      </c>
      <c r="K44" s="8">
        <f>(F44*I44)</f>
        <v>1612.8</v>
      </c>
      <c r="AC44" s="69"/>
      <c r="AE44" s="1"/>
    </row>
    <row r="45" spans="1:35" ht="24" customHeight="1">
      <c r="A45" s="285">
        <f t="shared" si="12"/>
        <v>34</v>
      </c>
      <c r="B45" s="286" t="s">
        <v>1986</v>
      </c>
      <c r="C45" s="57">
        <v>4.4000000000000004</v>
      </c>
      <c r="D45" s="202" t="s">
        <v>781</v>
      </c>
      <c r="F45" s="8">
        <v>1</v>
      </c>
      <c r="G45" s="7" t="s">
        <v>884</v>
      </c>
      <c r="H45" s="1" t="str">
        <f>H36</f>
        <v>SAND</v>
      </c>
      <c r="I45" s="8">
        <f>I36</f>
        <v>740.98</v>
      </c>
      <c r="J45" s="1" t="s">
        <v>884</v>
      </c>
      <c r="K45" s="8">
        <f>(F45*I45)</f>
        <v>740.98</v>
      </c>
      <c r="AC45" s="69"/>
      <c r="AE45" s="1"/>
    </row>
    <row r="46" spans="1:35" ht="24" customHeight="1">
      <c r="A46" s="285">
        <f t="shared" si="12"/>
        <v>35</v>
      </c>
      <c r="B46" s="286" t="s">
        <v>80</v>
      </c>
      <c r="C46" s="57">
        <v>5.25</v>
      </c>
      <c r="D46" s="202" t="s">
        <v>781</v>
      </c>
      <c r="F46" s="8">
        <v>1</v>
      </c>
      <c r="G46" s="7" t="s">
        <v>884</v>
      </c>
      <c r="H46" s="1" t="s">
        <v>889</v>
      </c>
      <c r="I46" s="8">
        <f>(C18)</f>
        <v>50.03</v>
      </c>
      <c r="J46" s="1" t="s">
        <v>884</v>
      </c>
      <c r="K46" s="8">
        <f>(F46*I46)</f>
        <v>50.03</v>
      </c>
      <c r="Y46" s="670"/>
      <c r="AC46" s="69"/>
      <c r="AE46" s="1"/>
    </row>
    <row r="47" spans="1:35" ht="24" customHeight="1">
      <c r="A47" s="285">
        <f t="shared" si="12"/>
        <v>36</v>
      </c>
      <c r="B47" s="286" t="s">
        <v>82</v>
      </c>
      <c r="C47" s="57">
        <v>6.95</v>
      </c>
      <c r="D47" s="202" t="s">
        <v>781</v>
      </c>
      <c r="G47" s="7" t="s">
        <v>448</v>
      </c>
      <c r="H47" s="1" t="s">
        <v>449</v>
      </c>
      <c r="I47" s="1" t="s">
        <v>995</v>
      </c>
      <c r="J47" s="1" t="s">
        <v>448</v>
      </c>
      <c r="K47" s="8">
        <v>0</v>
      </c>
      <c r="N47" s="1" t="s">
        <v>2338</v>
      </c>
      <c r="O47" s="1" t="s">
        <v>1314</v>
      </c>
      <c r="AC47" s="69"/>
      <c r="AE47" s="1"/>
    </row>
    <row r="48" spans="1:35" ht="24" customHeight="1">
      <c r="A48" s="285">
        <f t="shared" si="12"/>
        <v>37</v>
      </c>
      <c r="B48" s="286" t="s">
        <v>1315</v>
      </c>
      <c r="C48" s="57">
        <v>8.9</v>
      </c>
      <c r="D48" s="206">
        <v>17.850000000000001</v>
      </c>
      <c r="K48" s="5" t="s">
        <v>1667</v>
      </c>
      <c r="O48" s="1" t="s">
        <v>651</v>
      </c>
      <c r="AC48" s="69">
        <f t="shared" ref="AC48:AC72" si="13">AH49</f>
        <v>0</v>
      </c>
      <c r="AE48" s="1"/>
    </row>
    <row r="49" spans="1:31" ht="24" customHeight="1">
      <c r="A49" s="285">
        <f t="shared" si="12"/>
        <v>38</v>
      </c>
      <c r="B49" s="286" t="s">
        <v>1785</v>
      </c>
      <c r="C49" s="57">
        <v>9.65</v>
      </c>
      <c r="D49" s="206">
        <v>12.5</v>
      </c>
      <c r="H49" s="1" t="s">
        <v>1578</v>
      </c>
      <c r="K49" s="40">
        <f>SUM(K44:K47)</f>
        <v>2403.81</v>
      </c>
      <c r="O49" s="5" t="s">
        <v>1667</v>
      </c>
      <c r="AC49" s="69">
        <f t="shared" si="13"/>
        <v>0</v>
      </c>
      <c r="AE49" s="1"/>
    </row>
    <row r="50" spans="1:31" ht="24" customHeight="1">
      <c r="A50" s="285">
        <f t="shared" si="12"/>
        <v>39</v>
      </c>
      <c r="B50" s="286" t="s">
        <v>1714</v>
      </c>
      <c r="C50" s="57">
        <v>5.05</v>
      </c>
      <c r="D50" s="202" t="s">
        <v>781</v>
      </c>
      <c r="K50" s="5" t="s">
        <v>1667</v>
      </c>
      <c r="M50" s="8">
        <v>9</v>
      </c>
      <c r="N50" s="1" t="s">
        <v>884</v>
      </c>
      <c r="O50" s="1" t="s">
        <v>651</v>
      </c>
      <c r="P50" s="8">
        <f>(C81)</f>
        <v>614.41999999999996</v>
      </c>
      <c r="Q50" s="1" t="s">
        <v>884</v>
      </c>
      <c r="R50" s="8">
        <f>(M50*P50)</f>
        <v>5529.78</v>
      </c>
      <c r="AC50" s="69">
        <f t="shared" si="13"/>
        <v>0</v>
      </c>
      <c r="AE50" s="1"/>
    </row>
    <row r="51" spans="1:31" ht="24" customHeight="1">
      <c r="A51" s="285">
        <f t="shared" si="12"/>
        <v>40</v>
      </c>
      <c r="B51" s="286" t="s">
        <v>1715</v>
      </c>
      <c r="C51" s="57">
        <v>5.25</v>
      </c>
      <c r="D51" s="202" t="s">
        <v>781</v>
      </c>
      <c r="G51" s="7" t="s">
        <v>2338</v>
      </c>
      <c r="H51" s="1" t="s">
        <v>1716</v>
      </c>
      <c r="M51" s="8">
        <v>4.5</v>
      </c>
      <c r="N51" s="1" t="s">
        <v>884</v>
      </c>
      <c r="O51" s="1" t="s">
        <v>1717</v>
      </c>
      <c r="P51" s="8">
        <f>(K77)</f>
        <v>1799.01</v>
      </c>
      <c r="Q51" s="1" t="s">
        <v>884</v>
      </c>
      <c r="R51" s="8">
        <f>(M51*P51)</f>
        <v>8095.55</v>
      </c>
      <c r="AC51" s="69">
        <f t="shared" si="13"/>
        <v>0</v>
      </c>
      <c r="AE51" s="1"/>
    </row>
    <row r="52" spans="1:31" ht="24" customHeight="1">
      <c r="A52" s="285">
        <f t="shared" si="12"/>
        <v>41</v>
      </c>
      <c r="B52" s="286" t="s">
        <v>1790</v>
      </c>
      <c r="C52" s="57">
        <v>10.55</v>
      </c>
      <c r="D52" s="202" t="s">
        <v>781</v>
      </c>
      <c r="H52" s="5" t="s">
        <v>1667</v>
      </c>
      <c r="M52" s="8">
        <v>1.8</v>
      </c>
      <c r="N52" s="1" t="s">
        <v>883</v>
      </c>
      <c r="O52" s="1" t="s">
        <v>1791</v>
      </c>
      <c r="P52" s="8">
        <f>(C11)</f>
        <v>386.4</v>
      </c>
      <c r="Q52" s="1" t="s">
        <v>883</v>
      </c>
      <c r="R52" s="8">
        <f>(M52*P52)</f>
        <v>695.52</v>
      </c>
      <c r="AC52" s="69">
        <f t="shared" si="13"/>
        <v>0</v>
      </c>
      <c r="AE52" s="1"/>
    </row>
    <row r="53" spans="1:31" ht="24" customHeight="1">
      <c r="A53" s="285">
        <f t="shared" si="12"/>
        <v>42</v>
      </c>
      <c r="B53" s="286" t="s">
        <v>1978</v>
      </c>
      <c r="C53" s="57">
        <v>14.25</v>
      </c>
      <c r="D53" s="206">
        <v>35.700000000000003</v>
      </c>
      <c r="F53" s="8">
        <v>0.24</v>
      </c>
      <c r="G53" s="7" t="s">
        <v>876</v>
      </c>
      <c r="H53" s="1" t="s">
        <v>877</v>
      </c>
      <c r="I53" s="8">
        <f>(C67)</f>
        <v>5600</v>
      </c>
      <c r="J53" s="1" t="s">
        <v>876</v>
      </c>
      <c r="K53" s="8">
        <f>(F53*I53)</f>
        <v>1344</v>
      </c>
      <c r="M53" s="8">
        <v>17.7</v>
      </c>
      <c r="N53" s="1" t="s">
        <v>883</v>
      </c>
      <c r="O53" s="1" t="s">
        <v>1979</v>
      </c>
      <c r="P53" s="8">
        <f>(C12)</f>
        <v>269.85000000000002</v>
      </c>
      <c r="Q53" s="1" t="s">
        <v>883</v>
      </c>
      <c r="R53" s="8">
        <f>(M53*P53)</f>
        <v>4776.3500000000004</v>
      </c>
      <c r="AC53" s="69">
        <f t="shared" si="13"/>
        <v>0</v>
      </c>
      <c r="AE53" s="1"/>
    </row>
    <row r="54" spans="1:31" ht="24" customHeight="1">
      <c r="A54" s="285">
        <f t="shared" si="12"/>
        <v>43</v>
      </c>
      <c r="B54" s="286" t="s">
        <v>323</v>
      </c>
      <c r="C54" s="615">
        <v>16</v>
      </c>
      <c r="D54" s="206">
        <v>26.95</v>
      </c>
      <c r="F54" s="8">
        <v>1</v>
      </c>
      <c r="G54" s="7" t="s">
        <v>884</v>
      </c>
      <c r="H54" s="1" t="s">
        <v>4035</v>
      </c>
      <c r="I54" s="8">
        <f>I45</f>
        <v>740.98</v>
      </c>
      <c r="J54" s="1" t="s">
        <v>884</v>
      </c>
      <c r="K54" s="8">
        <f>(F54*I54)</f>
        <v>740.98</v>
      </c>
      <c r="M54" s="8">
        <v>14.1</v>
      </c>
      <c r="N54" s="1" t="s">
        <v>883</v>
      </c>
      <c r="O54" s="1" t="s">
        <v>324</v>
      </c>
      <c r="P54" s="8">
        <f>(C13)</f>
        <v>243.6</v>
      </c>
      <c r="Q54" s="1" t="s">
        <v>883</v>
      </c>
      <c r="R54" s="8">
        <f>(M54*P54)</f>
        <v>3434.76</v>
      </c>
      <c r="AC54" s="69">
        <f t="shared" si="13"/>
        <v>0</v>
      </c>
      <c r="AE54" s="1"/>
    </row>
    <row r="55" spans="1:31" ht="24" customHeight="1">
      <c r="A55" s="285">
        <f t="shared" si="12"/>
        <v>44</v>
      </c>
      <c r="B55" s="286" t="s">
        <v>326</v>
      </c>
      <c r="C55" s="57">
        <v>17.850000000000001</v>
      </c>
      <c r="D55" s="206">
        <v>21.45</v>
      </c>
      <c r="F55" s="8">
        <v>1</v>
      </c>
      <c r="G55" s="7" t="s">
        <v>884</v>
      </c>
      <c r="H55" s="1" t="s">
        <v>889</v>
      </c>
      <c r="I55" s="8">
        <f>(C18)</f>
        <v>50.03</v>
      </c>
      <c r="J55" s="1" t="s">
        <v>884</v>
      </c>
      <c r="K55" s="8">
        <f>(F55*I55)</f>
        <v>50.03</v>
      </c>
      <c r="N55" s="1" t="s">
        <v>448</v>
      </c>
      <c r="O55" s="1" t="s">
        <v>449</v>
      </c>
      <c r="Q55" s="1" t="s">
        <v>448</v>
      </c>
      <c r="R55" s="8">
        <v>0</v>
      </c>
      <c r="AC55" s="69">
        <f t="shared" si="13"/>
        <v>0</v>
      </c>
    </row>
    <row r="56" spans="1:31" ht="24" customHeight="1">
      <c r="A56" s="285">
        <f t="shared" si="12"/>
        <v>45</v>
      </c>
      <c r="B56" s="286" t="s">
        <v>327</v>
      </c>
      <c r="C56" s="287">
        <v>12.1</v>
      </c>
      <c r="D56" s="286" t="s">
        <v>448</v>
      </c>
      <c r="G56" s="7" t="s">
        <v>448</v>
      </c>
      <c r="H56" s="1" t="s">
        <v>449</v>
      </c>
      <c r="I56" s="1" t="s">
        <v>995</v>
      </c>
      <c r="J56" s="1" t="s">
        <v>448</v>
      </c>
      <c r="K56" s="8">
        <v>0</v>
      </c>
      <c r="R56" s="5" t="s">
        <v>1667</v>
      </c>
      <c r="AC56" s="69">
        <f t="shared" si="13"/>
        <v>0</v>
      </c>
    </row>
    <row r="57" spans="1:31" ht="24" customHeight="1">
      <c r="A57" s="285">
        <f t="shared" si="12"/>
        <v>46</v>
      </c>
      <c r="B57" s="286" t="s">
        <v>617</v>
      </c>
      <c r="C57" s="287">
        <v>35</v>
      </c>
      <c r="D57" s="286" t="s">
        <v>448</v>
      </c>
      <c r="K57" s="5" t="s">
        <v>1667</v>
      </c>
      <c r="O57" s="1" t="s">
        <v>618</v>
      </c>
      <c r="R57" s="8">
        <f>SUM(R50:R55)</f>
        <v>22531.96</v>
      </c>
      <c r="AC57" s="69">
        <f t="shared" si="13"/>
        <v>0</v>
      </c>
      <c r="AE57" s="1"/>
    </row>
    <row r="58" spans="1:31" ht="24" customHeight="1">
      <c r="A58" s="285">
        <f t="shared" si="12"/>
        <v>47</v>
      </c>
      <c r="B58" s="286" t="s">
        <v>619</v>
      </c>
      <c r="C58" s="287">
        <v>15</v>
      </c>
      <c r="D58" s="286" t="s">
        <v>448</v>
      </c>
      <c r="H58" s="1" t="s">
        <v>1578</v>
      </c>
      <c r="K58" s="40">
        <f>SUM(K53:K56)</f>
        <v>2135.0100000000002</v>
      </c>
      <c r="R58" s="5" t="s">
        <v>1667</v>
      </c>
      <c r="AC58" s="69">
        <f t="shared" si="13"/>
        <v>0</v>
      </c>
      <c r="AE58" s="1"/>
    </row>
    <row r="59" spans="1:31" ht="24" customHeight="1">
      <c r="A59" s="288"/>
      <c r="B59" s="288"/>
      <c r="C59" s="288"/>
      <c r="D59" s="288"/>
      <c r="F59" s="1" t="s">
        <v>995</v>
      </c>
      <c r="AC59" s="69">
        <f t="shared" si="13"/>
        <v>0</v>
      </c>
    </row>
    <row r="60" spans="1:31" ht="24" customHeight="1">
      <c r="A60" s="285">
        <f>(A58+1)</f>
        <v>48</v>
      </c>
      <c r="B60" s="286" t="s">
        <v>620</v>
      </c>
      <c r="C60" s="57">
        <v>11.2</v>
      </c>
      <c r="D60" s="286" t="s">
        <v>2150</v>
      </c>
      <c r="K60" s="5" t="s">
        <v>1667</v>
      </c>
      <c r="O60" s="1" t="s">
        <v>785</v>
      </c>
      <c r="R60" s="8">
        <f>(R57/10)</f>
        <v>2253.1999999999998</v>
      </c>
      <c r="AC60" s="69">
        <f t="shared" si="13"/>
        <v>0</v>
      </c>
      <c r="AE60" s="1"/>
    </row>
    <row r="61" spans="1:31" ht="24" customHeight="1">
      <c r="A61" s="285">
        <f t="shared" ref="A61:A91" si="14">(A60+1)</f>
        <v>49</v>
      </c>
      <c r="B61" s="286" t="s">
        <v>2151</v>
      </c>
      <c r="C61" s="287">
        <f>AC29</f>
        <v>48.3</v>
      </c>
      <c r="D61" s="287">
        <f>AC36</f>
        <v>71.930000000000007</v>
      </c>
      <c r="G61" s="7" t="s">
        <v>2338</v>
      </c>
      <c r="H61" s="1" t="s">
        <v>2152</v>
      </c>
      <c r="R61" s="5" t="s">
        <v>2130</v>
      </c>
      <c r="AC61" s="69">
        <f t="shared" si="13"/>
        <v>0</v>
      </c>
      <c r="AE61" s="1"/>
    </row>
    <row r="62" spans="1:31" ht="24" customHeight="1">
      <c r="A62" s="285">
        <f t="shared" si="14"/>
        <v>50</v>
      </c>
      <c r="B62" s="286" t="s">
        <v>2153</v>
      </c>
      <c r="C62" s="57">
        <v>248</v>
      </c>
      <c r="D62" s="286" t="s">
        <v>883</v>
      </c>
      <c r="H62" s="5" t="s">
        <v>1667</v>
      </c>
      <c r="N62" s="1" t="s">
        <v>2338</v>
      </c>
      <c r="O62" s="1" t="s">
        <v>1418</v>
      </c>
      <c r="AC62" s="69">
        <f t="shared" si="13"/>
        <v>0</v>
      </c>
      <c r="AE62" s="1"/>
    </row>
    <row r="63" spans="1:31" ht="24" customHeight="1">
      <c r="A63" s="285">
        <f t="shared" si="14"/>
        <v>51</v>
      </c>
      <c r="B63" s="286" t="s">
        <v>2122</v>
      </c>
      <c r="C63" s="287">
        <v>42</v>
      </c>
      <c r="D63" s="286" t="s">
        <v>448</v>
      </c>
      <c r="F63" s="14">
        <v>0.20599999999999999</v>
      </c>
      <c r="G63" s="7" t="s">
        <v>876</v>
      </c>
      <c r="H63" s="1" t="s">
        <v>877</v>
      </c>
      <c r="I63" s="8">
        <f>(C67)</f>
        <v>5600</v>
      </c>
      <c r="J63" s="1" t="s">
        <v>876</v>
      </c>
      <c r="K63" s="8">
        <f>(F63*I63)</f>
        <v>1153.5999999999999</v>
      </c>
      <c r="O63" s="1" t="s">
        <v>1550</v>
      </c>
      <c r="AC63" s="69">
        <f t="shared" si="13"/>
        <v>0</v>
      </c>
      <c r="AE63" s="1"/>
    </row>
    <row r="64" spans="1:31" ht="24" customHeight="1">
      <c r="A64" s="285">
        <f t="shared" si="14"/>
        <v>52</v>
      </c>
      <c r="B64" s="286" t="s">
        <v>1624</v>
      </c>
      <c r="C64" s="57">
        <v>105.9</v>
      </c>
      <c r="D64" s="286" t="s">
        <v>884</v>
      </c>
      <c r="F64" s="8">
        <v>1</v>
      </c>
      <c r="G64" s="7" t="s">
        <v>884</v>
      </c>
      <c r="H64" s="1" t="s">
        <v>885</v>
      </c>
      <c r="I64" s="8">
        <f>(C78)</f>
        <v>740.98</v>
      </c>
      <c r="J64" s="1" t="s">
        <v>884</v>
      </c>
      <c r="K64" s="8">
        <f>(F64*I64)</f>
        <v>740.98</v>
      </c>
      <c r="O64" s="5" t="s">
        <v>1667</v>
      </c>
      <c r="AC64" s="69">
        <f t="shared" si="13"/>
        <v>0</v>
      </c>
      <c r="AE64" s="1"/>
    </row>
    <row r="65" spans="1:31" ht="24" customHeight="1">
      <c r="A65" s="285">
        <f t="shared" si="14"/>
        <v>53</v>
      </c>
      <c r="B65" s="286" t="s">
        <v>2119</v>
      </c>
      <c r="C65" s="536">
        <v>335</v>
      </c>
      <c r="D65" s="286" t="s">
        <v>1420</v>
      </c>
      <c r="F65" s="8">
        <v>1</v>
      </c>
      <c r="G65" s="7" t="s">
        <v>884</v>
      </c>
      <c r="H65" s="1" t="s">
        <v>889</v>
      </c>
      <c r="I65" s="8">
        <f>(C18)</f>
        <v>50.03</v>
      </c>
      <c r="J65" s="1" t="s">
        <v>884</v>
      </c>
      <c r="K65" s="8">
        <f>(F65*I65)</f>
        <v>50.03</v>
      </c>
      <c r="M65" s="8">
        <v>9</v>
      </c>
      <c r="N65" s="1" t="s">
        <v>884</v>
      </c>
      <c r="O65" s="1" t="s">
        <v>1550</v>
      </c>
      <c r="P65" s="8">
        <f>(C73)</f>
        <v>1236.78</v>
      </c>
      <c r="Q65" s="1" t="s">
        <v>884</v>
      </c>
      <c r="R65" s="8">
        <f>(M65*P65)</f>
        <v>11131.02</v>
      </c>
      <c r="AC65" s="69">
        <f t="shared" si="13"/>
        <v>0</v>
      </c>
      <c r="AE65" s="1"/>
    </row>
    <row r="66" spans="1:31" ht="24" customHeight="1">
      <c r="A66" s="285">
        <f t="shared" si="14"/>
        <v>54</v>
      </c>
      <c r="B66" s="286" t="s">
        <v>1557</v>
      </c>
      <c r="C66" s="287">
        <f>AC18</f>
        <v>355.95</v>
      </c>
      <c r="D66" s="286" t="s">
        <v>883</v>
      </c>
      <c r="G66" s="7" t="s">
        <v>448</v>
      </c>
      <c r="H66" s="1" t="s">
        <v>449</v>
      </c>
      <c r="I66" s="1" t="s">
        <v>995</v>
      </c>
      <c r="J66" s="1" t="s">
        <v>448</v>
      </c>
      <c r="K66" s="8">
        <v>0</v>
      </c>
      <c r="M66" s="8">
        <v>4.5</v>
      </c>
      <c r="N66" s="1" t="s">
        <v>884</v>
      </c>
      <c r="O66" s="1" t="s">
        <v>123</v>
      </c>
      <c r="P66" s="8">
        <f>(K23)</f>
        <v>4823.01</v>
      </c>
      <c r="Q66" s="1" t="s">
        <v>884</v>
      </c>
      <c r="R66" s="8">
        <f>(M66*P66)</f>
        <v>21703.55</v>
      </c>
      <c r="AC66" s="69">
        <f t="shared" si="13"/>
        <v>0</v>
      </c>
      <c r="AE66" s="1"/>
    </row>
    <row r="67" spans="1:31" ht="24" customHeight="1">
      <c r="A67" s="285">
        <f t="shared" si="14"/>
        <v>55</v>
      </c>
      <c r="B67" s="286" t="s">
        <v>877</v>
      </c>
      <c r="C67" s="287">
        <f>AA31</f>
        <v>5600</v>
      </c>
      <c r="D67" s="286" t="s">
        <v>876</v>
      </c>
      <c r="K67" s="5" t="s">
        <v>1667</v>
      </c>
      <c r="M67" s="8">
        <v>1.8</v>
      </c>
      <c r="N67" s="1" t="s">
        <v>883</v>
      </c>
      <c r="O67" s="1" t="s">
        <v>1791</v>
      </c>
      <c r="P67" s="8">
        <f>(C11)</f>
        <v>386.4</v>
      </c>
      <c r="Q67" s="1" t="s">
        <v>883</v>
      </c>
      <c r="R67" s="8">
        <f>(M67*P67)</f>
        <v>695.52</v>
      </c>
      <c r="AC67" s="69">
        <f t="shared" si="13"/>
        <v>0</v>
      </c>
      <c r="AE67" s="1"/>
    </row>
    <row r="68" spans="1:31" ht="24" customHeight="1">
      <c r="A68" s="285">
        <f t="shared" si="14"/>
        <v>56</v>
      </c>
      <c r="B68" s="286" t="s">
        <v>1558</v>
      </c>
      <c r="C68" s="287">
        <f t="shared" ref="C68:C74" si="15">AA9</f>
        <v>466.78</v>
      </c>
      <c r="D68" s="286" t="s">
        <v>884</v>
      </c>
      <c r="H68" s="1" t="s">
        <v>1578</v>
      </c>
      <c r="K68" s="40">
        <f>SUM(K63:K66)</f>
        <v>1944.61</v>
      </c>
      <c r="M68" s="8">
        <v>17.7</v>
      </c>
      <c r="N68" s="1" t="s">
        <v>883</v>
      </c>
      <c r="O68" s="1" t="s">
        <v>1979</v>
      </c>
      <c r="P68" s="8">
        <f>(C12)</f>
        <v>269.85000000000002</v>
      </c>
      <c r="Q68" s="1" t="s">
        <v>883</v>
      </c>
      <c r="R68" s="8">
        <f>(M68*P68)</f>
        <v>4776.3500000000004</v>
      </c>
      <c r="AC68" s="69">
        <f t="shared" si="13"/>
        <v>0</v>
      </c>
      <c r="AE68" s="1"/>
    </row>
    <row r="69" spans="1:31" ht="24" customHeight="1">
      <c r="A69" s="285">
        <f t="shared" si="14"/>
        <v>57</v>
      </c>
      <c r="B69" s="286" t="s">
        <v>887</v>
      </c>
      <c r="C69" s="287">
        <f t="shared" si="15"/>
        <v>602.28</v>
      </c>
      <c r="D69" s="286" t="s">
        <v>884</v>
      </c>
      <c r="K69" s="5" t="s">
        <v>1667</v>
      </c>
      <c r="M69" s="8">
        <v>14.1</v>
      </c>
      <c r="N69" s="1" t="s">
        <v>883</v>
      </c>
      <c r="O69" s="1" t="s">
        <v>324</v>
      </c>
      <c r="P69" s="8">
        <f>(C13)</f>
        <v>243.6</v>
      </c>
      <c r="Q69" s="1" t="s">
        <v>883</v>
      </c>
      <c r="R69" s="8">
        <f>(M69*P69)</f>
        <v>3434.76</v>
      </c>
      <c r="AC69" s="69">
        <f t="shared" si="13"/>
        <v>0</v>
      </c>
      <c r="AE69" s="1"/>
    </row>
    <row r="70" spans="1:31" ht="24" customHeight="1">
      <c r="A70" s="285">
        <f t="shared" si="14"/>
        <v>58</v>
      </c>
      <c r="B70" s="286" t="s">
        <v>1559</v>
      </c>
      <c r="C70" s="287">
        <f t="shared" si="15"/>
        <v>726.28</v>
      </c>
      <c r="D70" s="286" t="s">
        <v>884</v>
      </c>
      <c r="G70" s="7" t="s">
        <v>2338</v>
      </c>
      <c r="H70" s="1" t="s">
        <v>1717</v>
      </c>
      <c r="N70" s="1" t="s">
        <v>448</v>
      </c>
      <c r="O70" s="1" t="s">
        <v>449</v>
      </c>
      <c r="Q70" s="1" t="s">
        <v>448</v>
      </c>
      <c r="R70" s="8">
        <v>0</v>
      </c>
      <c r="AC70" s="69">
        <f t="shared" si="13"/>
        <v>0</v>
      </c>
      <c r="AE70" s="1"/>
    </row>
    <row r="71" spans="1:31" ht="24" customHeight="1">
      <c r="A71" s="285">
        <f t="shared" si="14"/>
        <v>59</v>
      </c>
      <c r="B71" s="286" t="s">
        <v>1560</v>
      </c>
      <c r="C71" s="287">
        <f t="shared" si="15"/>
        <v>876.78</v>
      </c>
      <c r="D71" s="286" t="s">
        <v>884</v>
      </c>
      <c r="H71" s="5" t="s">
        <v>1667</v>
      </c>
      <c r="R71" s="5" t="s">
        <v>1667</v>
      </c>
      <c r="AC71" s="69">
        <f t="shared" si="13"/>
        <v>0</v>
      </c>
      <c r="AE71" s="1"/>
    </row>
    <row r="72" spans="1:31" ht="24" customHeight="1">
      <c r="A72" s="285">
        <f t="shared" si="14"/>
        <v>60</v>
      </c>
      <c r="B72" s="286" t="s">
        <v>1561</v>
      </c>
      <c r="C72" s="287">
        <f t="shared" si="15"/>
        <v>1154.78</v>
      </c>
      <c r="D72" s="286" t="s">
        <v>884</v>
      </c>
      <c r="F72" s="8">
        <v>0.18</v>
      </c>
      <c r="G72" s="7" t="s">
        <v>876</v>
      </c>
      <c r="H72" s="1" t="s">
        <v>877</v>
      </c>
      <c r="I72" s="8">
        <f>(C67)</f>
        <v>5600</v>
      </c>
      <c r="J72" s="1" t="s">
        <v>876</v>
      </c>
      <c r="K72" s="8">
        <f>(F72*I72)</f>
        <v>1008</v>
      </c>
      <c r="O72" s="1" t="s">
        <v>618</v>
      </c>
      <c r="R72" s="8">
        <f>SUM(R65:R70)</f>
        <v>41741.199999999997</v>
      </c>
      <c r="AC72" s="69">
        <f t="shared" si="13"/>
        <v>0</v>
      </c>
      <c r="AE72" s="1"/>
    </row>
    <row r="73" spans="1:31" ht="24" customHeight="1">
      <c r="A73" s="285">
        <f t="shared" si="14"/>
        <v>61</v>
      </c>
      <c r="B73" s="286" t="s">
        <v>663</v>
      </c>
      <c r="C73" s="287">
        <f t="shared" si="15"/>
        <v>1236.78</v>
      </c>
      <c r="D73" s="286" t="s">
        <v>884</v>
      </c>
      <c r="F73" s="8">
        <v>1</v>
      </c>
      <c r="G73" s="7" t="s">
        <v>884</v>
      </c>
      <c r="H73" s="1" t="s">
        <v>885</v>
      </c>
      <c r="I73" s="8">
        <f>(C78)</f>
        <v>740.98</v>
      </c>
      <c r="J73" s="1" t="s">
        <v>884</v>
      </c>
      <c r="K73" s="8">
        <f>(F73*I73)</f>
        <v>740.98</v>
      </c>
      <c r="R73" s="5" t="s">
        <v>1667</v>
      </c>
      <c r="AC73" s="69">
        <f t="shared" ref="AC73:AC136" si="16">AH74</f>
        <v>0</v>
      </c>
      <c r="AE73" s="1"/>
    </row>
    <row r="74" spans="1:31" ht="24" customHeight="1">
      <c r="A74" s="285">
        <f t="shared" si="14"/>
        <v>62</v>
      </c>
      <c r="B74" s="286" t="s">
        <v>973</v>
      </c>
      <c r="C74" s="287">
        <f t="shared" si="15"/>
        <v>917.78</v>
      </c>
      <c r="D74" s="286" t="s">
        <v>884</v>
      </c>
      <c r="F74" s="8">
        <v>1</v>
      </c>
      <c r="G74" s="7" t="s">
        <v>884</v>
      </c>
      <c r="H74" s="1" t="s">
        <v>889</v>
      </c>
      <c r="I74" s="8">
        <f>(C18)</f>
        <v>50.03</v>
      </c>
      <c r="J74" s="1" t="s">
        <v>884</v>
      </c>
      <c r="K74" s="8">
        <f>(F74*I74)</f>
        <v>50.03</v>
      </c>
      <c r="O74" s="1" t="s">
        <v>785</v>
      </c>
      <c r="R74" s="8">
        <f>(R72/10)</f>
        <v>4174.12</v>
      </c>
      <c r="AC74" s="69">
        <f t="shared" si="16"/>
        <v>0</v>
      </c>
      <c r="AE74" s="1"/>
    </row>
    <row r="75" spans="1:31" ht="24" customHeight="1">
      <c r="A75" s="285">
        <f t="shared" si="14"/>
        <v>63</v>
      </c>
      <c r="B75" s="286" t="s">
        <v>974</v>
      </c>
      <c r="C75" s="206">
        <v>20</v>
      </c>
      <c r="D75" s="286" t="s">
        <v>2338</v>
      </c>
      <c r="G75" s="7" t="s">
        <v>448</v>
      </c>
      <c r="H75" s="1" t="s">
        <v>449</v>
      </c>
      <c r="I75" s="1" t="s">
        <v>995</v>
      </c>
      <c r="J75" s="1" t="s">
        <v>448</v>
      </c>
      <c r="K75" s="8">
        <v>0</v>
      </c>
      <c r="R75" s="5" t="s">
        <v>2130</v>
      </c>
      <c r="AC75" s="69">
        <f t="shared" si="16"/>
        <v>0</v>
      </c>
      <c r="AE75" s="1"/>
    </row>
    <row r="76" spans="1:31" ht="24" customHeight="1">
      <c r="A76" s="285">
        <f t="shared" si="14"/>
        <v>64</v>
      </c>
      <c r="B76" s="286" t="s">
        <v>975</v>
      </c>
      <c r="C76" s="206">
        <v>475</v>
      </c>
      <c r="D76" s="287">
        <v>270</v>
      </c>
      <c r="K76" s="5" t="s">
        <v>1667</v>
      </c>
      <c r="N76" s="1" t="s">
        <v>2338</v>
      </c>
      <c r="O76" s="1" t="s">
        <v>976</v>
      </c>
      <c r="AC76" s="69">
        <f t="shared" si="16"/>
        <v>0</v>
      </c>
      <c r="AE76" s="1"/>
    </row>
    <row r="77" spans="1:31" ht="24" customHeight="1">
      <c r="A77" s="285">
        <f t="shared" si="14"/>
        <v>65</v>
      </c>
      <c r="B77" s="286" t="s">
        <v>1629</v>
      </c>
      <c r="C77" s="287">
        <f>AA34</f>
        <v>3295.98</v>
      </c>
      <c r="D77" s="286" t="s">
        <v>884</v>
      </c>
      <c r="H77" s="1" t="s">
        <v>1578</v>
      </c>
      <c r="K77" s="40">
        <f>SUM(K72:K75)</f>
        <v>1799.01</v>
      </c>
      <c r="O77" s="1" t="s">
        <v>426</v>
      </c>
      <c r="AC77" s="69">
        <f t="shared" si="16"/>
        <v>0</v>
      </c>
      <c r="AE77" s="1"/>
    </row>
    <row r="78" spans="1:31" ht="24" customHeight="1">
      <c r="A78" s="285">
        <f t="shared" si="14"/>
        <v>66</v>
      </c>
      <c r="B78" s="286" t="s">
        <v>1483</v>
      </c>
      <c r="C78" s="287">
        <f t="shared" ref="C78:C91" si="17">AA16</f>
        <v>740.98</v>
      </c>
      <c r="D78" s="286" t="s">
        <v>884</v>
      </c>
      <c r="K78" s="5" t="s">
        <v>1667</v>
      </c>
      <c r="O78" s="5" t="s">
        <v>1667</v>
      </c>
      <c r="T78" s="7" t="s">
        <v>995</v>
      </c>
      <c r="U78" s="35" t="s">
        <v>2237</v>
      </c>
      <c r="W78" s="11"/>
      <c r="AC78" s="69">
        <f t="shared" si="16"/>
        <v>0</v>
      </c>
      <c r="AE78" s="1"/>
    </row>
    <row r="79" spans="1:31" ht="24" customHeight="1">
      <c r="A79" s="285">
        <f t="shared" si="14"/>
        <v>67</v>
      </c>
      <c r="B79" s="286" t="s">
        <v>1064</v>
      </c>
      <c r="C79" s="287">
        <f t="shared" si="17"/>
        <v>740.98</v>
      </c>
      <c r="D79" s="286" t="s">
        <v>884</v>
      </c>
      <c r="F79" s="26">
        <v>1.1000000000000001</v>
      </c>
      <c r="G79" s="7" t="s">
        <v>995</v>
      </c>
      <c r="H79" s="1" t="s">
        <v>1484</v>
      </c>
      <c r="M79" s="8">
        <v>4600</v>
      </c>
      <c r="N79" s="1" t="s">
        <v>1485</v>
      </c>
      <c r="O79" s="1" t="s">
        <v>1156</v>
      </c>
      <c r="P79" s="8">
        <f>AA40</f>
        <v>0</v>
      </c>
      <c r="Q79" s="1" t="s">
        <v>1675</v>
      </c>
      <c r="R79" s="8">
        <f>(M79*P79)/1000</f>
        <v>0</v>
      </c>
      <c r="S79" s="22">
        <v>1.1000000000000001</v>
      </c>
      <c r="T79" s="3"/>
      <c r="U79" s="1" t="s">
        <v>1545</v>
      </c>
      <c r="W79" s="11"/>
      <c r="AC79" s="69">
        <f t="shared" si="16"/>
        <v>0</v>
      </c>
      <c r="AE79" s="1"/>
    </row>
    <row r="80" spans="1:31" ht="24" customHeight="1">
      <c r="A80" s="285">
        <f t="shared" si="14"/>
        <v>68</v>
      </c>
      <c r="B80" s="286" t="s">
        <v>1543</v>
      </c>
      <c r="C80" s="287">
        <f t="shared" si="17"/>
        <v>5204.96</v>
      </c>
      <c r="D80" s="286" t="s">
        <v>1544</v>
      </c>
      <c r="F80" s="15" t="s">
        <v>995</v>
      </c>
      <c r="H80" s="1" t="s">
        <v>1545</v>
      </c>
      <c r="M80" s="8">
        <v>2.5</v>
      </c>
      <c r="N80" s="1" t="s">
        <v>884</v>
      </c>
      <c r="O80" s="1" t="s">
        <v>1710</v>
      </c>
      <c r="P80" s="8">
        <f>(K49)</f>
        <v>2403.81</v>
      </c>
      <c r="Q80" s="1" t="s">
        <v>884</v>
      </c>
      <c r="R80" s="8">
        <f>(M80*P80)</f>
        <v>6009.53</v>
      </c>
      <c r="S80" s="605" t="s">
        <v>995</v>
      </c>
      <c r="T80" s="7" t="s">
        <v>884</v>
      </c>
      <c r="U80" s="1" t="s">
        <v>1227</v>
      </c>
      <c r="V80" s="8">
        <v>28</v>
      </c>
      <c r="W80" s="1" t="s">
        <v>884</v>
      </c>
      <c r="X80" s="8">
        <f>(S81*V80)</f>
        <v>280</v>
      </c>
      <c r="AC80" s="69">
        <f t="shared" si="16"/>
        <v>0</v>
      </c>
      <c r="AE80" s="1"/>
    </row>
    <row r="81" spans="1:31" ht="24" customHeight="1">
      <c r="A81" s="285">
        <f t="shared" si="14"/>
        <v>69</v>
      </c>
      <c r="B81" s="286" t="s">
        <v>70</v>
      </c>
      <c r="C81" s="287">
        <f>R19</f>
        <v>614.41999999999996</v>
      </c>
      <c r="D81" s="286" t="s">
        <v>884</v>
      </c>
      <c r="F81" s="8">
        <v>10</v>
      </c>
      <c r="G81" s="7" t="s">
        <v>884</v>
      </c>
      <c r="H81" s="1" t="s">
        <v>1227</v>
      </c>
      <c r="I81" s="8">
        <f>(C61)</f>
        <v>48.3</v>
      </c>
      <c r="J81" s="1" t="s">
        <v>884</v>
      </c>
      <c r="K81" s="8">
        <f>(F81*I81)</f>
        <v>483</v>
      </c>
      <c r="M81" s="8">
        <v>3.5</v>
      </c>
      <c r="N81" s="1" t="s">
        <v>883</v>
      </c>
      <c r="O81" s="1" t="s">
        <v>2082</v>
      </c>
      <c r="P81" s="8">
        <f>(C10)</f>
        <v>430.5</v>
      </c>
      <c r="Q81" s="1" t="s">
        <v>883</v>
      </c>
      <c r="R81" s="8">
        <f>(M81*P81)</f>
        <v>1506.75</v>
      </c>
      <c r="S81" s="14">
        <v>10</v>
      </c>
      <c r="T81" s="7" t="s">
        <v>884</v>
      </c>
      <c r="U81" s="1" t="s">
        <v>2084</v>
      </c>
      <c r="V81" s="8">
        <f>V80</f>
        <v>28</v>
      </c>
      <c r="W81" s="1" t="s">
        <v>884</v>
      </c>
      <c r="X81" s="8">
        <f>(S82*V81)</f>
        <v>280</v>
      </c>
      <c r="AC81" s="69">
        <f t="shared" si="16"/>
        <v>0</v>
      </c>
      <c r="AE81" s="1"/>
    </row>
    <row r="82" spans="1:31" ht="24" customHeight="1">
      <c r="A82" s="285">
        <f t="shared" si="14"/>
        <v>70</v>
      </c>
      <c r="B82" s="286" t="s">
        <v>2083</v>
      </c>
      <c r="C82" s="287">
        <f t="shared" si="17"/>
        <v>673.42</v>
      </c>
      <c r="D82" s="286" t="s">
        <v>884</v>
      </c>
      <c r="F82" s="8">
        <v>10</v>
      </c>
      <c r="G82" s="7" t="s">
        <v>884</v>
      </c>
      <c r="H82" s="1" t="s">
        <v>2084</v>
      </c>
      <c r="I82" s="8">
        <f>(C61)</f>
        <v>48.3</v>
      </c>
      <c r="J82" s="1" t="s">
        <v>884</v>
      </c>
      <c r="K82" s="8">
        <f>(F82*I82)</f>
        <v>483</v>
      </c>
      <c r="L82">
        <f>I82+I81</f>
        <v>96.6</v>
      </c>
      <c r="M82" s="8">
        <v>10.6</v>
      </c>
      <c r="N82" s="1" t="s">
        <v>883</v>
      </c>
      <c r="O82" s="1" t="s">
        <v>1791</v>
      </c>
      <c r="P82" s="8">
        <f>(C11)</f>
        <v>386.4</v>
      </c>
      <c r="Q82" s="1" t="s">
        <v>883</v>
      </c>
      <c r="R82" s="8">
        <f>(M82*P82)</f>
        <v>4095.84</v>
      </c>
      <c r="S82" s="14">
        <v>10</v>
      </c>
      <c r="T82" s="7" t="s">
        <v>884</v>
      </c>
      <c r="U82" s="1" t="s">
        <v>2086</v>
      </c>
      <c r="V82" s="8">
        <f>AC27/3</f>
        <v>4.99</v>
      </c>
      <c r="W82" s="1" t="s">
        <v>884</v>
      </c>
      <c r="X82" s="8">
        <f>(S83*V82)</f>
        <v>49.9</v>
      </c>
      <c r="AC82" s="69">
        <f t="shared" si="16"/>
        <v>0</v>
      </c>
      <c r="AE82" s="1"/>
    </row>
    <row r="83" spans="1:31" ht="24" customHeight="1">
      <c r="A83" s="285">
        <f t="shared" si="14"/>
        <v>71</v>
      </c>
      <c r="B83" s="286" t="s">
        <v>2085</v>
      </c>
      <c r="C83" s="287">
        <f t="shared" si="17"/>
        <v>13080</v>
      </c>
      <c r="D83" s="286" t="s">
        <v>1544</v>
      </c>
      <c r="E83">
        <v>8710</v>
      </c>
      <c r="F83" s="8">
        <v>10</v>
      </c>
      <c r="G83" s="7" t="s">
        <v>884</v>
      </c>
      <c r="H83" s="1" t="s">
        <v>2086</v>
      </c>
      <c r="I83" s="8">
        <f>(C26)/3</f>
        <v>5.65</v>
      </c>
      <c r="J83" s="1" t="s">
        <v>884</v>
      </c>
      <c r="K83" s="8">
        <f>(F83*I83)</f>
        <v>56.5</v>
      </c>
      <c r="M83" s="8">
        <v>7.1</v>
      </c>
      <c r="N83" s="1" t="s">
        <v>883</v>
      </c>
      <c r="O83" s="1" t="s">
        <v>1979</v>
      </c>
      <c r="P83" s="8">
        <f>(C12)</f>
        <v>269.85000000000002</v>
      </c>
      <c r="Q83" s="1" t="s">
        <v>883</v>
      </c>
      <c r="R83" s="8">
        <f>(M83*P83)</f>
        <v>1915.94</v>
      </c>
      <c r="S83" s="14">
        <v>10</v>
      </c>
      <c r="T83" s="7" t="s">
        <v>448</v>
      </c>
      <c r="U83" s="1" t="s">
        <v>449</v>
      </c>
      <c r="W83" s="1" t="s">
        <v>448</v>
      </c>
      <c r="X83" s="8">
        <v>0</v>
      </c>
      <c r="AC83" s="69">
        <f t="shared" si="16"/>
        <v>0</v>
      </c>
      <c r="AE83" s="1"/>
    </row>
    <row r="84" spans="1:31" ht="24" customHeight="1">
      <c r="A84" s="285">
        <f t="shared" si="14"/>
        <v>72</v>
      </c>
      <c r="B84" s="286" t="s">
        <v>2087</v>
      </c>
      <c r="C84" s="287">
        <f t="shared" si="17"/>
        <v>1200</v>
      </c>
      <c r="D84" s="286" t="s">
        <v>884</v>
      </c>
      <c r="G84" s="7" t="s">
        <v>448</v>
      </c>
      <c r="H84" s="1" t="s">
        <v>449</v>
      </c>
      <c r="J84" s="1" t="s">
        <v>448</v>
      </c>
      <c r="K84" s="8">
        <v>0</v>
      </c>
      <c r="M84" s="57">
        <v>21.2</v>
      </c>
      <c r="N84" s="1" t="s">
        <v>883</v>
      </c>
      <c r="O84" s="1" t="s">
        <v>324</v>
      </c>
      <c r="P84" s="8">
        <f>(C13)</f>
        <v>243.6</v>
      </c>
      <c r="Q84" s="1" t="s">
        <v>883</v>
      </c>
      <c r="R84" s="8">
        <f>(M84*P84)</f>
        <v>5164.32</v>
      </c>
      <c r="T84" s="3"/>
      <c r="W84" s="11"/>
      <c r="X84" s="5" t="s">
        <v>1667</v>
      </c>
      <c r="AC84" s="69">
        <f t="shared" si="16"/>
        <v>0</v>
      </c>
      <c r="AE84" s="1"/>
    </row>
    <row r="85" spans="1:31" ht="24" customHeight="1">
      <c r="A85" s="285">
        <f t="shared" si="14"/>
        <v>73</v>
      </c>
      <c r="B85" s="286" t="s">
        <v>2077</v>
      </c>
      <c r="C85" s="287">
        <f t="shared" si="17"/>
        <v>1026.7</v>
      </c>
      <c r="D85" s="286" t="s">
        <v>884</v>
      </c>
      <c r="K85" s="5" t="s">
        <v>1667</v>
      </c>
      <c r="N85" s="1" t="s">
        <v>448</v>
      </c>
      <c r="O85" s="1" t="s">
        <v>449</v>
      </c>
      <c r="Q85" s="1" t="s">
        <v>448</v>
      </c>
      <c r="R85" s="8">
        <v>0</v>
      </c>
      <c r="T85" s="3"/>
      <c r="U85" s="1" t="s">
        <v>618</v>
      </c>
      <c r="W85" s="11"/>
      <c r="X85" s="8">
        <f>SUM(X80:X83)</f>
        <v>609.9</v>
      </c>
      <c r="AC85" s="69">
        <f t="shared" si="16"/>
        <v>0</v>
      </c>
      <c r="AE85" s="1"/>
    </row>
    <row r="86" spans="1:31" ht="24" customHeight="1">
      <c r="A86" s="285">
        <f t="shared" si="14"/>
        <v>74</v>
      </c>
      <c r="B86" s="286" t="s">
        <v>2088</v>
      </c>
      <c r="C86" s="287">
        <f t="shared" si="17"/>
        <v>31660</v>
      </c>
      <c r="D86" s="286" t="s">
        <v>884</v>
      </c>
      <c r="H86" s="1" t="s">
        <v>618</v>
      </c>
      <c r="K86" s="8">
        <f>SUM(K81:K84)</f>
        <v>1022.5</v>
      </c>
      <c r="R86" s="5" t="s">
        <v>1667</v>
      </c>
      <c r="T86" s="3"/>
      <c r="W86" s="11"/>
      <c r="X86" s="5" t="s">
        <v>1667</v>
      </c>
      <c r="AC86" s="69">
        <f t="shared" si="16"/>
        <v>0</v>
      </c>
      <c r="AE86" s="1"/>
    </row>
    <row r="87" spans="1:31" ht="24" customHeight="1">
      <c r="A87" s="285">
        <f t="shared" si="14"/>
        <v>75</v>
      </c>
      <c r="B87" s="286" t="s">
        <v>2089</v>
      </c>
      <c r="C87" s="287">
        <f t="shared" si="17"/>
        <v>36330</v>
      </c>
      <c r="D87" s="286" t="s">
        <v>884</v>
      </c>
      <c r="K87" s="5" t="s">
        <v>1667</v>
      </c>
      <c r="O87" s="1" t="s">
        <v>618</v>
      </c>
      <c r="R87" s="8">
        <f>SUM(R79:R85)</f>
        <v>18692.38</v>
      </c>
      <c r="T87" s="3"/>
      <c r="U87" s="35" t="s">
        <v>2126</v>
      </c>
      <c r="V87" s="38" t="s">
        <v>1459</v>
      </c>
      <c r="W87" s="104"/>
      <c r="X87" s="40">
        <f>(X85/10)</f>
        <v>60.99</v>
      </c>
      <c r="AC87" s="69">
        <f t="shared" si="16"/>
        <v>0</v>
      </c>
      <c r="AE87" s="1"/>
    </row>
    <row r="88" spans="1:31" ht="24" customHeight="1">
      <c r="A88" s="285">
        <f t="shared" si="14"/>
        <v>76</v>
      </c>
      <c r="B88" s="286" t="s">
        <v>2090</v>
      </c>
      <c r="C88" s="287">
        <f t="shared" si="17"/>
        <v>102600</v>
      </c>
      <c r="D88" s="286" t="s">
        <v>884</v>
      </c>
      <c r="H88" s="35" t="s">
        <v>2126</v>
      </c>
      <c r="I88" s="38" t="s">
        <v>1459</v>
      </c>
      <c r="J88" s="104"/>
      <c r="K88" s="639">
        <f>(K86/10)</f>
        <v>102.25</v>
      </c>
      <c r="R88" s="5" t="s">
        <v>1667</v>
      </c>
      <c r="T88" s="3"/>
      <c r="V88" s="38" t="s">
        <v>1425</v>
      </c>
      <c r="W88" s="104"/>
      <c r="X88" s="43">
        <f>ROUND(X87+C36,2)</f>
        <v>65.19</v>
      </c>
      <c r="AC88" s="69">
        <f t="shared" si="16"/>
        <v>0</v>
      </c>
      <c r="AE88" s="1"/>
    </row>
    <row r="89" spans="1:31" ht="18" customHeight="1">
      <c r="A89" s="285">
        <f t="shared" si="14"/>
        <v>77</v>
      </c>
      <c r="B89" s="286" t="s">
        <v>299</v>
      </c>
      <c r="C89" s="287">
        <f t="shared" si="17"/>
        <v>91300</v>
      </c>
      <c r="D89" s="286" t="s">
        <v>884</v>
      </c>
      <c r="I89" s="38" t="s">
        <v>1425</v>
      </c>
      <c r="J89" s="104"/>
      <c r="K89" s="43">
        <f>ROUND(K88+C36,2)</f>
        <v>106.45</v>
      </c>
      <c r="O89" s="1" t="s">
        <v>785</v>
      </c>
      <c r="R89" s="8">
        <f>(R87/10)</f>
        <v>1869.24</v>
      </c>
      <c r="T89" s="3"/>
      <c r="U89" s="39" t="s">
        <v>163</v>
      </c>
      <c r="V89" s="38" t="s">
        <v>1459</v>
      </c>
      <c r="W89" s="104"/>
      <c r="X89" s="40">
        <f>X87-X82/10</f>
        <v>56</v>
      </c>
      <c r="AC89" s="69">
        <f t="shared" si="16"/>
        <v>0</v>
      </c>
      <c r="AE89" s="1"/>
    </row>
    <row r="90" spans="1:31" ht="42" customHeight="1">
      <c r="A90" s="285">
        <f t="shared" si="14"/>
        <v>78</v>
      </c>
      <c r="B90" s="286" t="s">
        <v>300</v>
      </c>
      <c r="C90" s="287">
        <f>AA28</f>
        <v>87300</v>
      </c>
      <c r="D90" s="286" t="s">
        <v>884</v>
      </c>
      <c r="F90" s="13" t="s">
        <v>1589</v>
      </c>
      <c r="H90" s="39" t="s">
        <v>2017</v>
      </c>
      <c r="I90" s="38" t="s">
        <v>1459</v>
      </c>
      <c r="J90" s="104"/>
      <c r="K90" s="40">
        <f>K88-K83/10</f>
        <v>96.6</v>
      </c>
      <c r="R90" s="5" t="s">
        <v>2130</v>
      </c>
      <c r="S90" s="22" t="s">
        <v>1589</v>
      </c>
      <c r="T90" s="3"/>
      <c r="V90" s="38" t="s">
        <v>1425</v>
      </c>
      <c r="W90" s="104"/>
      <c r="X90" s="43">
        <f>ROUND(X89+C36,2)</f>
        <v>60.2</v>
      </c>
      <c r="AC90" s="69">
        <f t="shared" si="16"/>
        <v>0</v>
      </c>
      <c r="AE90" s="1"/>
    </row>
    <row r="91" spans="1:31" ht="24" customHeight="1">
      <c r="A91" s="285">
        <f t="shared" si="14"/>
        <v>79</v>
      </c>
      <c r="B91" s="286" t="s">
        <v>1630</v>
      </c>
      <c r="C91" s="287">
        <f t="shared" si="17"/>
        <v>3295.98</v>
      </c>
      <c r="D91" s="286" t="s">
        <v>1544</v>
      </c>
      <c r="I91" s="38" t="s">
        <v>1425</v>
      </c>
      <c r="J91" s="104"/>
      <c r="K91" s="43">
        <f>ROUND(K90+C36,2)</f>
        <v>100.8</v>
      </c>
      <c r="T91" s="7" t="s">
        <v>995</v>
      </c>
      <c r="U91" s="1" t="s">
        <v>508</v>
      </c>
      <c r="W91" s="11"/>
      <c r="AC91" s="69">
        <f t="shared" si="16"/>
        <v>0</v>
      </c>
      <c r="AE91" s="1"/>
    </row>
    <row r="92" spans="1:31" ht="24" customHeight="1">
      <c r="A92" s="288"/>
      <c r="B92" s="288"/>
      <c r="C92" s="288"/>
      <c r="D92" s="288"/>
      <c r="F92" s="13" t="s">
        <v>2168</v>
      </c>
      <c r="G92" s="7" t="s">
        <v>995</v>
      </c>
      <c r="H92" s="1" t="s">
        <v>508</v>
      </c>
      <c r="S92" s="22" t="s">
        <v>2168</v>
      </c>
      <c r="T92" s="3"/>
      <c r="U92" s="5" t="s">
        <v>1667</v>
      </c>
      <c r="W92" s="11"/>
      <c r="AC92" s="69">
        <f t="shared" si="16"/>
        <v>0</v>
      </c>
    </row>
    <row r="93" spans="1:31" ht="24" customHeight="1">
      <c r="A93" s="288"/>
      <c r="B93" s="288"/>
      <c r="C93" s="288"/>
      <c r="D93" s="288"/>
      <c r="F93" s="15" t="s">
        <v>995</v>
      </c>
      <c r="H93" s="5" t="s">
        <v>1667</v>
      </c>
      <c r="M93" t="s">
        <v>3421</v>
      </c>
      <c r="S93" s="605" t="s">
        <v>995</v>
      </c>
      <c r="T93" s="7" t="s">
        <v>884</v>
      </c>
      <c r="U93" s="1" t="s">
        <v>383</v>
      </c>
      <c r="V93" s="8">
        <f>Q61</f>
        <v>0</v>
      </c>
      <c r="W93" s="1" t="s">
        <v>884</v>
      </c>
      <c r="X93" s="8">
        <f>(S94*V93)</f>
        <v>0</v>
      </c>
      <c r="AC93" s="69">
        <f t="shared" si="16"/>
        <v>0</v>
      </c>
    </row>
    <row r="94" spans="1:31" ht="24" customHeight="1">
      <c r="A94" s="288"/>
      <c r="B94" s="288"/>
      <c r="C94" s="288"/>
      <c r="D94" s="288"/>
      <c r="F94" s="8">
        <v>10</v>
      </c>
      <c r="G94" s="7" t="s">
        <v>884</v>
      </c>
      <c r="H94" s="1" t="s">
        <v>383</v>
      </c>
      <c r="I94" s="8">
        <f>D61</f>
        <v>71.930000000000007</v>
      </c>
      <c r="J94" s="1" t="s">
        <v>884</v>
      </c>
      <c r="K94" s="8">
        <f>(F94*I94)</f>
        <v>719.3</v>
      </c>
      <c r="M94">
        <v>23.2</v>
      </c>
      <c r="S94" s="14">
        <v>10</v>
      </c>
      <c r="T94" s="7" t="s">
        <v>884</v>
      </c>
      <c r="U94" s="1" t="s">
        <v>2084</v>
      </c>
      <c r="V94" s="8">
        <f>Q61</f>
        <v>0</v>
      </c>
      <c r="W94" s="1" t="s">
        <v>884</v>
      </c>
      <c r="X94" s="8">
        <f>(S95*V94)</f>
        <v>0</v>
      </c>
      <c r="AC94" s="69">
        <f t="shared" si="16"/>
        <v>0</v>
      </c>
    </row>
    <row r="95" spans="1:31" ht="24" customHeight="1">
      <c r="A95" s="288"/>
      <c r="B95" s="288"/>
      <c r="C95" s="288"/>
      <c r="D95" s="288"/>
      <c r="F95" s="8">
        <v>10</v>
      </c>
      <c r="G95" s="7" t="s">
        <v>884</v>
      </c>
      <c r="H95" s="1" t="s">
        <v>2084</v>
      </c>
      <c r="I95" s="8">
        <f>D61</f>
        <v>71.930000000000007</v>
      </c>
      <c r="J95" s="1" t="s">
        <v>884</v>
      </c>
      <c r="K95" s="8">
        <f>(F95*I95)</f>
        <v>719.3</v>
      </c>
      <c r="M95">
        <v>23.2</v>
      </c>
      <c r="S95" s="14">
        <v>10</v>
      </c>
      <c r="T95" s="7" t="s">
        <v>884</v>
      </c>
      <c r="U95" s="1" t="s">
        <v>2086</v>
      </c>
      <c r="V95" s="8">
        <f>V82</f>
        <v>4.99</v>
      </c>
      <c r="W95" s="1" t="s">
        <v>884</v>
      </c>
      <c r="X95" s="8">
        <f>(S96*V95)</f>
        <v>49.9</v>
      </c>
      <c r="AC95" s="69">
        <f t="shared" si="16"/>
        <v>0</v>
      </c>
    </row>
    <row r="96" spans="1:31" ht="24" customHeight="1">
      <c r="A96" s="288"/>
      <c r="B96" s="288"/>
      <c r="C96" s="288"/>
      <c r="D96" s="288"/>
      <c r="F96" s="8">
        <v>10</v>
      </c>
      <c r="G96" s="7" t="s">
        <v>884</v>
      </c>
      <c r="H96" s="1" t="s">
        <v>2086</v>
      </c>
      <c r="I96" s="8">
        <f>I83</f>
        <v>5.65</v>
      </c>
      <c r="J96" s="1" t="s">
        <v>884</v>
      </c>
      <c r="K96" s="8">
        <f>(F96*I96)</f>
        <v>56.5</v>
      </c>
      <c r="M96">
        <f>I96</f>
        <v>5.65</v>
      </c>
      <c r="S96" s="14">
        <v>10</v>
      </c>
      <c r="T96" s="7" t="s">
        <v>448</v>
      </c>
      <c r="U96" s="1" t="s">
        <v>449</v>
      </c>
      <c r="W96" s="1" t="s">
        <v>448</v>
      </c>
      <c r="X96" s="8">
        <v>0</v>
      </c>
      <c r="AC96" s="69">
        <f t="shared" si="16"/>
        <v>0</v>
      </c>
    </row>
    <row r="97" spans="1:29" ht="24" customHeight="1">
      <c r="A97" s="288"/>
      <c r="B97" s="288"/>
      <c r="C97" s="288"/>
      <c r="D97" s="288"/>
      <c r="G97" s="7" t="s">
        <v>448</v>
      </c>
      <c r="H97" s="1" t="s">
        <v>449</v>
      </c>
      <c r="J97" s="1" t="s">
        <v>448</v>
      </c>
      <c r="K97" s="8">
        <v>0</v>
      </c>
      <c r="M97">
        <f>SUM(M94:M96)</f>
        <v>52.05</v>
      </c>
      <c r="T97" s="3"/>
      <c r="W97" s="11"/>
      <c r="X97" s="5" t="s">
        <v>1667</v>
      </c>
      <c r="AC97" s="69">
        <f t="shared" si="16"/>
        <v>0</v>
      </c>
    </row>
    <row r="98" spans="1:29" ht="24" customHeight="1">
      <c r="A98" s="288"/>
      <c r="B98" s="288"/>
      <c r="C98" s="288"/>
      <c r="D98" s="288"/>
      <c r="K98" s="5" t="s">
        <v>1667</v>
      </c>
      <c r="T98" s="3"/>
      <c r="U98" s="1" t="s">
        <v>618</v>
      </c>
      <c r="W98" s="11"/>
      <c r="X98" s="8">
        <f>SUM(X93:X96)</f>
        <v>49.9</v>
      </c>
      <c r="AC98" s="69">
        <f t="shared" si="16"/>
        <v>0</v>
      </c>
    </row>
    <row r="99" spans="1:29" ht="24" customHeight="1">
      <c r="A99" s="288"/>
      <c r="B99" s="288"/>
      <c r="C99" s="288"/>
      <c r="D99" s="288"/>
      <c r="H99" s="1" t="s">
        <v>618</v>
      </c>
      <c r="K99" s="8">
        <f>SUM(K94:K97)</f>
        <v>1495.1</v>
      </c>
      <c r="T99" s="3"/>
      <c r="W99" s="11"/>
      <c r="X99" s="5" t="s">
        <v>1667</v>
      </c>
      <c r="AC99" s="69">
        <f t="shared" si="16"/>
        <v>0</v>
      </c>
    </row>
    <row r="100" spans="1:29" ht="24" customHeight="1">
      <c r="A100" s="288"/>
      <c r="B100" s="288"/>
      <c r="C100" s="288"/>
      <c r="D100" s="288"/>
      <c r="K100" s="5" t="s">
        <v>1667</v>
      </c>
      <c r="T100" s="3"/>
      <c r="U100" s="35" t="s">
        <v>2126</v>
      </c>
      <c r="V100" s="38" t="s">
        <v>1459</v>
      </c>
      <c r="W100" s="104"/>
      <c r="X100" s="40">
        <f>(X98/10)</f>
        <v>4.99</v>
      </c>
      <c r="AC100" s="69">
        <f t="shared" si="16"/>
        <v>0</v>
      </c>
    </row>
    <row r="101" spans="1:29" ht="24" customHeight="1">
      <c r="A101" s="288"/>
      <c r="B101" s="288"/>
      <c r="C101" s="288"/>
      <c r="D101" s="288"/>
      <c r="H101" s="35" t="s">
        <v>2126</v>
      </c>
      <c r="I101" s="38" t="s">
        <v>1459</v>
      </c>
      <c r="J101" s="104"/>
      <c r="K101" s="40">
        <f>(K99/10)</f>
        <v>149.51</v>
      </c>
      <c r="M101">
        <f>SUM(M94:M95)</f>
        <v>46.4</v>
      </c>
      <c r="T101" s="3"/>
      <c r="V101" s="38" t="s">
        <v>1425</v>
      </c>
      <c r="W101" s="104"/>
      <c r="X101" s="43">
        <f>ROUND(X100+P36,2)</f>
        <v>4.99</v>
      </c>
      <c r="AC101" s="69">
        <f t="shared" si="16"/>
        <v>0</v>
      </c>
    </row>
    <row r="102" spans="1:29" ht="24" customHeight="1">
      <c r="A102" s="288"/>
      <c r="B102" s="288"/>
      <c r="C102" s="288"/>
      <c r="D102" s="288"/>
      <c r="I102" s="38" t="s">
        <v>1425</v>
      </c>
      <c r="J102" s="104"/>
      <c r="K102" s="43">
        <f>ROUND(K101+C36,2)</f>
        <v>153.71</v>
      </c>
      <c r="T102" s="3"/>
      <c r="V102" s="38"/>
      <c r="W102" s="104"/>
      <c r="X102" s="42"/>
      <c r="AC102" s="69">
        <f t="shared" si="16"/>
        <v>0</v>
      </c>
    </row>
    <row r="103" spans="1:29" ht="24" customHeight="1">
      <c r="A103" s="288"/>
      <c r="B103" s="288"/>
      <c r="C103" s="288"/>
      <c r="D103" s="288"/>
      <c r="I103" s="38"/>
      <c r="J103" s="104"/>
      <c r="K103" s="42"/>
      <c r="T103" s="3"/>
      <c r="U103" s="39" t="s">
        <v>666</v>
      </c>
      <c r="V103" s="38" t="s">
        <v>1459</v>
      </c>
      <c r="W103" s="104"/>
      <c r="X103" s="43">
        <f>ROUND(X100-X95/10,2)</f>
        <v>0</v>
      </c>
      <c r="AC103" s="69">
        <f t="shared" si="16"/>
        <v>0</v>
      </c>
    </row>
    <row r="104" spans="1:29" ht="24" customHeight="1">
      <c r="A104" s="288"/>
      <c r="B104" s="288"/>
      <c r="C104" s="288"/>
      <c r="D104" s="288"/>
      <c r="F104" s="26">
        <v>1.7</v>
      </c>
      <c r="H104" s="39" t="s">
        <v>666</v>
      </c>
      <c r="I104" s="38" t="s">
        <v>1459</v>
      </c>
      <c r="J104" s="104"/>
      <c r="K104" s="43">
        <f>ROUND(K101-K96/10,2)</f>
        <v>143.86000000000001</v>
      </c>
      <c r="S104" s="22">
        <v>1.7</v>
      </c>
      <c r="T104" s="3"/>
      <c r="V104" s="38" t="s">
        <v>1425</v>
      </c>
      <c r="W104" s="104"/>
      <c r="X104" s="43">
        <f>ROUND(X103+P36,2)</f>
        <v>0</v>
      </c>
      <c r="AC104" s="69">
        <f t="shared" si="16"/>
        <v>0</v>
      </c>
    </row>
    <row r="105" spans="1:29" ht="24" customHeight="1">
      <c r="A105" s="288"/>
      <c r="B105" s="288"/>
      <c r="C105" s="288"/>
      <c r="D105" s="288"/>
      <c r="I105" s="38" t="s">
        <v>1425</v>
      </c>
      <c r="J105" s="104"/>
      <c r="K105" s="43">
        <f>ROUND(K104+C36,2)</f>
        <v>148.06</v>
      </c>
      <c r="T105" s="3"/>
      <c r="W105" s="11"/>
      <c r="X105" s="5"/>
      <c r="AC105" s="69">
        <f t="shared" si="16"/>
        <v>0</v>
      </c>
    </row>
    <row r="106" spans="1:29" ht="24" customHeight="1">
      <c r="A106" s="288"/>
      <c r="B106" s="288"/>
      <c r="C106" s="288"/>
      <c r="D106" s="288"/>
      <c r="K106" s="5"/>
      <c r="T106" s="3"/>
      <c r="W106" s="11"/>
      <c r="X106" s="5"/>
      <c r="AC106" s="69">
        <f t="shared" si="16"/>
        <v>0</v>
      </c>
    </row>
    <row r="107" spans="1:29" ht="24" customHeight="1">
      <c r="A107" s="288"/>
      <c r="B107" s="288"/>
      <c r="C107" s="288"/>
      <c r="D107" s="288"/>
      <c r="K107" s="5"/>
      <c r="T107" s="7" t="s">
        <v>995</v>
      </c>
      <c r="U107" s="24" t="s">
        <v>436</v>
      </c>
      <c r="W107" s="11"/>
      <c r="AC107" s="69">
        <f t="shared" si="16"/>
        <v>0</v>
      </c>
    </row>
    <row r="108" spans="1:29" ht="38.25" customHeight="1">
      <c r="A108" s="288"/>
      <c r="B108" s="288"/>
      <c r="C108" s="288"/>
      <c r="D108" s="288"/>
      <c r="F108" s="26">
        <v>1.4</v>
      </c>
      <c r="G108" s="7" t="s">
        <v>995</v>
      </c>
      <c r="H108" s="24" t="s">
        <v>436</v>
      </c>
      <c r="S108" s="22">
        <v>1.4</v>
      </c>
      <c r="T108" s="3"/>
      <c r="W108" s="11"/>
      <c r="AC108" s="69">
        <f t="shared" si="16"/>
        <v>0</v>
      </c>
    </row>
    <row r="109" spans="1:29" ht="24" customHeight="1">
      <c r="A109" s="288"/>
      <c r="B109" s="288"/>
      <c r="C109" s="288"/>
      <c r="D109" s="288"/>
      <c r="T109" s="7" t="s">
        <v>884</v>
      </c>
      <c r="U109" s="1" t="s">
        <v>1227</v>
      </c>
      <c r="V109" s="8">
        <f>V80</f>
        <v>28</v>
      </c>
      <c r="W109" s="1" t="s">
        <v>884</v>
      </c>
      <c r="X109" s="8">
        <f>(S110*V109)</f>
        <v>280</v>
      </c>
      <c r="AC109" s="69">
        <f t="shared" si="16"/>
        <v>0</v>
      </c>
    </row>
    <row r="110" spans="1:29" ht="24" customHeight="1">
      <c r="A110" s="288"/>
      <c r="B110" s="288"/>
      <c r="C110" s="288"/>
      <c r="D110" s="288"/>
      <c r="F110" s="8">
        <v>10</v>
      </c>
      <c r="G110" s="7" t="s">
        <v>884</v>
      </c>
      <c r="H110" s="1" t="s">
        <v>1227</v>
      </c>
      <c r="I110" s="8">
        <f>C61</f>
        <v>48.3</v>
      </c>
      <c r="J110" s="1" t="s">
        <v>884</v>
      </c>
      <c r="K110" s="8">
        <f>(F110*I110)</f>
        <v>483</v>
      </c>
      <c r="S110" s="14">
        <v>10</v>
      </c>
      <c r="T110" s="7" t="s">
        <v>884</v>
      </c>
      <c r="U110" s="1" t="s">
        <v>2086</v>
      </c>
      <c r="V110" s="8">
        <f>V82</f>
        <v>4.99</v>
      </c>
      <c r="W110" s="1" t="s">
        <v>884</v>
      </c>
      <c r="X110" s="8">
        <f>(S111*V110)</f>
        <v>49.9</v>
      </c>
      <c r="AC110" s="69">
        <f t="shared" si="16"/>
        <v>0</v>
      </c>
    </row>
    <row r="111" spans="1:29" ht="24" customHeight="1">
      <c r="A111" s="288"/>
      <c r="B111" s="288"/>
      <c r="C111" s="288"/>
      <c r="D111" s="288"/>
      <c r="F111" s="8">
        <v>10</v>
      </c>
      <c r="G111" s="7" t="s">
        <v>884</v>
      </c>
      <c r="H111" s="1" t="s">
        <v>2086</v>
      </c>
      <c r="I111" s="8">
        <f>I83</f>
        <v>5.65</v>
      </c>
      <c r="J111" s="1" t="s">
        <v>884</v>
      </c>
      <c r="K111" s="8">
        <f>(F111*I111)</f>
        <v>56.5</v>
      </c>
      <c r="S111" s="14">
        <v>10</v>
      </c>
      <c r="T111" s="7" t="s">
        <v>448</v>
      </c>
      <c r="U111" s="1" t="s">
        <v>449</v>
      </c>
      <c r="W111" s="1" t="s">
        <v>448</v>
      </c>
      <c r="X111" s="8">
        <v>0</v>
      </c>
      <c r="AC111" s="69">
        <f t="shared" si="16"/>
        <v>0</v>
      </c>
    </row>
    <row r="112" spans="1:29" ht="24" customHeight="1">
      <c r="A112" s="288"/>
      <c r="B112" s="288"/>
      <c r="C112" s="288"/>
      <c r="D112" s="288"/>
      <c r="G112" s="7" t="s">
        <v>448</v>
      </c>
      <c r="H112" s="1" t="s">
        <v>449</v>
      </c>
      <c r="J112" s="1" t="s">
        <v>448</v>
      </c>
      <c r="K112" s="8">
        <v>0</v>
      </c>
      <c r="T112" s="3"/>
      <c r="W112" s="11"/>
      <c r="X112" s="5" t="s">
        <v>1667</v>
      </c>
      <c r="AC112" s="69">
        <f t="shared" si="16"/>
        <v>0</v>
      </c>
    </row>
    <row r="113" spans="1:29" ht="24" customHeight="1">
      <c r="A113" s="288"/>
      <c r="B113" s="288"/>
      <c r="C113" s="288"/>
      <c r="D113" s="288"/>
      <c r="K113" s="5" t="s">
        <v>1667</v>
      </c>
      <c r="T113" s="3"/>
      <c r="U113" s="1" t="s">
        <v>618</v>
      </c>
      <c r="W113" s="11"/>
      <c r="X113" s="8">
        <f>SUM(X109:X111)</f>
        <v>329.9</v>
      </c>
      <c r="AC113" s="69">
        <f t="shared" si="16"/>
        <v>0</v>
      </c>
    </row>
    <row r="114" spans="1:29" ht="24" customHeight="1">
      <c r="A114" s="288"/>
      <c r="B114" s="288"/>
      <c r="C114" s="288"/>
      <c r="D114" s="288"/>
      <c r="H114" s="1" t="s">
        <v>618</v>
      </c>
      <c r="K114" s="8">
        <f>SUM(K110:K112)</f>
        <v>539.5</v>
      </c>
      <c r="T114" s="3"/>
      <c r="W114" s="11"/>
      <c r="X114" s="5" t="s">
        <v>1667</v>
      </c>
      <c r="AC114" s="69">
        <f t="shared" si="16"/>
        <v>0</v>
      </c>
    </row>
    <row r="115" spans="1:29" ht="24" customHeight="1">
      <c r="A115" s="288"/>
      <c r="B115" s="288"/>
      <c r="C115" s="288"/>
      <c r="D115" s="288"/>
      <c r="K115" s="5" t="s">
        <v>1667</v>
      </c>
      <c r="T115" s="3"/>
      <c r="U115" s="1"/>
      <c r="W115" s="11"/>
      <c r="X115" s="40">
        <f>(X113/10)</f>
        <v>32.99</v>
      </c>
      <c r="AC115" s="69">
        <f t="shared" si="16"/>
        <v>0</v>
      </c>
    </row>
    <row r="116" spans="1:29" ht="24" customHeight="1">
      <c r="A116" s="288"/>
      <c r="B116" s="288"/>
      <c r="C116" s="288"/>
      <c r="D116" s="288"/>
      <c r="H116" s="1"/>
      <c r="K116" s="40">
        <f>(K114/10)</f>
        <v>53.95</v>
      </c>
      <c r="L116" s="38">
        <f>K116+C36</f>
        <v>58.15</v>
      </c>
      <c r="M116">
        <f>M94</f>
        <v>23.2</v>
      </c>
      <c r="T116" s="3"/>
      <c r="W116" s="11"/>
      <c r="X116" s="5"/>
      <c r="AC116" s="69">
        <f t="shared" si="16"/>
        <v>0</v>
      </c>
    </row>
    <row r="117" spans="1:29" ht="24" customHeight="1">
      <c r="A117" s="288"/>
      <c r="B117" s="288"/>
      <c r="C117" s="288"/>
      <c r="D117" s="288"/>
      <c r="K117" s="5"/>
      <c r="T117" s="3"/>
      <c r="U117" s="1" t="s">
        <v>2111</v>
      </c>
      <c r="V117" s="38" t="s">
        <v>1459</v>
      </c>
      <c r="W117" s="11"/>
      <c r="X117" s="40">
        <f>X115-X110/10</f>
        <v>28</v>
      </c>
      <c r="AC117" s="69">
        <f t="shared" si="16"/>
        <v>0</v>
      </c>
    </row>
    <row r="118" spans="1:29" ht="24" customHeight="1">
      <c r="A118" s="288"/>
      <c r="B118" s="288"/>
      <c r="C118" s="288"/>
      <c r="D118" s="288"/>
      <c r="F118" s="26">
        <v>1.5</v>
      </c>
      <c r="H118" s="1" t="s">
        <v>2111</v>
      </c>
      <c r="I118" s="38" t="s">
        <v>1459</v>
      </c>
      <c r="K118" s="40">
        <f>K116-K111/10</f>
        <v>48.3</v>
      </c>
      <c r="S118" s="22">
        <v>1.5</v>
      </c>
      <c r="T118" s="3"/>
      <c r="V118" s="38" t="s">
        <v>1425</v>
      </c>
      <c r="W118" s="11"/>
      <c r="X118" s="43">
        <f>ROUND(X117+P36,2)</f>
        <v>28</v>
      </c>
      <c r="AC118" s="69">
        <f t="shared" si="16"/>
        <v>0</v>
      </c>
    </row>
    <row r="119" spans="1:29" ht="24" customHeight="1">
      <c r="A119" s="288"/>
      <c r="B119" s="288"/>
      <c r="C119" s="288"/>
      <c r="D119" s="288"/>
      <c r="I119" s="38" t="s">
        <v>1425</v>
      </c>
      <c r="K119" s="43">
        <f>ROUND(K118+C36,2)</f>
        <v>52.5</v>
      </c>
      <c r="T119" s="3"/>
      <c r="W119" s="11"/>
      <c r="X119" s="5"/>
      <c r="AC119" s="69">
        <f t="shared" si="16"/>
        <v>0</v>
      </c>
    </row>
    <row r="120" spans="1:29" ht="24" customHeight="1">
      <c r="A120" s="288"/>
      <c r="B120" s="288"/>
      <c r="C120" s="288"/>
      <c r="D120" s="288"/>
      <c r="K120" s="5"/>
      <c r="T120" s="3"/>
      <c r="U120" s="24"/>
      <c r="W120" s="11"/>
      <c r="X120" s="5"/>
      <c r="AC120" s="69">
        <f t="shared" si="16"/>
        <v>0</v>
      </c>
    </row>
    <row r="121" spans="1:29" ht="39.75" customHeight="1">
      <c r="A121" s="288"/>
      <c r="B121" s="288"/>
      <c r="C121" s="288"/>
      <c r="D121" s="288"/>
      <c r="F121" s="27">
        <v>1.8</v>
      </c>
      <c r="H121" s="24" t="s">
        <v>2141</v>
      </c>
      <c r="K121" s="5"/>
      <c r="S121" s="606"/>
      <c r="T121" s="3"/>
      <c r="W121" s="11"/>
      <c r="X121" s="5"/>
      <c r="AC121" s="69">
        <f t="shared" si="16"/>
        <v>0</v>
      </c>
    </row>
    <row r="122" spans="1:29" ht="24" customHeight="1">
      <c r="A122" s="288"/>
      <c r="B122" s="288"/>
      <c r="C122" s="288"/>
      <c r="D122" s="288"/>
      <c r="K122" s="5"/>
      <c r="T122" s="7"/>
      <c r="U122" s="1"/>
      <c r="W122" s="1" t="s">
        <v>884</v>
      </c>
      <c r="X122" s="8"/>
      <c r="AC122" s="69">
        <f t="shared" si="16"/>
        <v>0</v>
      </c>
    </row>
    <row r="123" spans="1:29" ht="24" customHeight="1">
      <c r="A123" s="288"/>
      <c r="B123" s="288"/>
      <c r="C123" s="288"/>
      <c r="D123" s="288"/>
      <c r="F123" s="8">
        <v>10</v>
      </c>
      <c r="G123" s="7" t="s">
        <v>884</v>
      </c>
      <c r="H123" s="1" t="s">
        <v>383</v>
      </c>
      <c r="I123">
        <f>D61</f>
        <v>71.930000000000007</v>
      </c>
      <c r="J123" s="1" t="s">
        <v>884</v>
      </c>
      <c r="K123" s="8">
        <f>(F123*I123)</f>
        <v>719.3</v>
      </c>
      <c r="S123" s="14"/>
      <c r="T123" s="3"/>
      <c r="W123" s="11" t="s">
        <v>667</v>
      </c>
      <c r="X123" s="8"/>
      <c r="AC123" s="69">
        <f t="shared" si="16"/>
        <v>0</v>
      </c>
    </row>
    <row r="124" spans="1:29" ht="24" customHeight="1">
      <c r="A124" s="288"/>
      <c r="B124" s="288"/>
      <c r="C124" s="288"/>
      <c r="D124" s="288"/>
      <c r="G124" s="3" t="s">
        <v>667</v>
      </c>
      <c r="J124" s="11" t="s">
        <v>667</v>
      </c>
      <c r="K124" s="8">
        <v>0</v>
      </c>
      <c r="T124" s="3"/>
      <c r="W124" s="11"/>
      <c r="X124" s="5"/>
      <c r="AC124" s="69">
        <f t="shared" si="16"/>
        <v>0</v>
      </c>
    </row>
    <row r="125" spans="1:29" ht="24" customHeight="1">
      <c r="A125" s="288"/>
      <c r="B125" s="288"/>
      <c r="C125" s="288"/>
      <c r="D125" s="288"/>
      <c r="K125" s="5" t="s">
        <v>1667</v>
      </c>
      <c r="T125" s="3"/>
      <c r="U125" s="1"/>
      <c r="W125" s="11"/>
      <c r="X125" s="8"/>
      <c r="AC125" s="69">
        <f t="shared" si="16"/>
        <v>0</v>
      </c>
    </row>
    <row r="126" spans="1:29" ht="24" customHeight="1">
      <c r="A126" s="288"/>
      <c r="B126" s="288"/>
      <c r="C126" s="288"/>
      <c r="D126" s="288"/>
      <c r="H126" s="1" t="s">
        <v>618</v>
      </c>
      <c r="K126" s="8">
        <f>SUM(K123:K124)</f>
        <v>719.3</v>
      </c>
      <c r="T126" s="3"/>
      <c r="W126" s="11"/>
      <c r="X126" s="5"/>
      <c r="AC126" s="69">
        <f t="shared" si="16"/>
        <v>0</v>
      </c>
    </row>
    <row r="127" spans="1:29" ht="24" customHeight="1">
      <c r="A127" s="288"/>
      <c r="B127" s="288"/>
      <c r="C127" s="288"/>
      <c r="D127" s="288"/>
      <c r="K127" s="5" t="s">
        <v>1667</v>
      </c>
      <c r="T127" s="3"/>
      <c r="U127" s="28"/>
      <c r="V127" s="38"/>
      <c r="W127" s="11"/>
      <c r="X127" s="43"/>
      <c r="AC127" s="69">
        <f t="shared" si="16"/>
        <v>0</v>
      </c>
    </row>
    <row r="128" spans="1:29" ht="38.25" customHeight="1">
      <c r="A128" s="288"/>
      <c r="B128" s="288"/>
      <c r="C128" s="288"/>
      <c r="D128" s="288"/>
      <c r="F128" s="44"/>
      <c r="H128" s="28" t="s">
        <v>2222</v>
      </c>
      <c r="I128" s="38" t="s">
        <v>1459</v>
      </c>
      <c r="K128" s="43">
        <f>ROUND(K126/10,2)</f>
        <v>71.930000000000007</v>
      </c>
      <c r="S128" s="607"/>
      <c r="T128" s="3"/>
      <c r="V128" s="38"/>
      <c r="W128" s="11"/>
      <c r="X128" s="43"/>
      <c r="AC128" s="69">
        <f t="shared" si="16"/>
        <v>0</v>
      </c>
    </row>
    <row r="129" spans="1:31" ht="24" customHeight="1">
      <c r="A129" s="288"/>
      <c r="B129" s="288"/>
      <c r="C129" s="288"/>
      <c r="D129" s="288"/>
      <c r="I129" s="38" t="s">
        <v>1425</v>
      </c>
      <c r="K129" s="43">
        <f>ROUND(K128+C36,2)</f>
        <v>76.13</v>
      </c>
      <c r="T129" s="3"/>
      <c r="V129" s="38"/>
      <c r="W129" s="11"/>
      <c r="X129" s="5"/>
      <c r="AC129" s="69">
        <f t="shared" si="16"/>
        <v>0</v>
      </c>
    </row>
    <row r="130" spans="1:31" ht="24" customHeight="1">
      <c r="A130" s="288"/>
      <c r="B130" s="288"/>
      <c r="C130" s="288"/>
      <c r="D130" s="288"/>
      <c r="I130" s="38"/>
      <c r="K130" s="5"/>
      <c r="T130" s="3"/>
      <c r="U130" s="1" t="s">
        <v>812</v>
      </c>
      <c r="V130" s="38"/>
      <c r="W130" s="11"/>
      <c r="AC130" s="69">
        <f t="shared" si="16"/>
        <v>0</v>
      </c>
    </row>
    <row r="131" spans="1:31" ht="24" customHeight="1">
      <c r="A131" s="288"/>
      <c r="B131" s="288"/>
      <c r="C131" s="288"/>
      <c r="D131" s="288"/>
      <c r="F131" s="26">
        <v>1.6</v>
      </c>
      <c r="H131" s="1" t="s">
        <v>812</v>
      </c>
      <c r="I131" s="38"/>
      <c r="S131" s="22">
        <v>1.6</v>
      </c>
      <c r="T131" s="3"/>
      <c r="U131" s="1" t="s">
        <v>384</v>
      </c>
      <c r="V131" s="38" t="s">
        <v>1459</v>
      </c>
      <c r="W131" s="11"/>
      <c r="X131" s="40">
        <f>V80*1.5</f>
        <v>42</v>
      </c>
      <c r="AC131" s="69">
        <f t="shared" si="16"/>
        <v>0</v>
      </c>
    </row>
    <row r="132" spans="1:31" ht="24" customHeight="1">
      <c r="A132" s="288"/>
      <c r="B132" s="288"/>
      <c r="C132" s="288"/>
      <c r="D132" s="288"/>
      <c r="H132" s="1" t="s">
        <v>384</v>
      </c>
      <c r="I132" s="38" t="s">
        <v>1459</v>
      </c>
      <c r="K132" s="40">
        <f>C61*1.5</f>
        <v>72.45</v>
      </c>
      <c r="L132" s="40"/>
      <c r="M132">
        <f>M116*1.5</f>
        <v>34.799999999999997</v>
      </c>
      <c r="T132" s="3"/>
      <c r="U132" s="1" t="s">
        <v>385</v>
      </c>
      <c r="V132" s="38" t="s">
        <v>1425</v>
      </c>
      <c r="W132" s="11"/>
      <c r="X132" s="43">
        <f>ROUND(X131+C36,2)</f>
        <v>46.2</v>
      </c>
      <c r="AC132" s="69">
        <f t="shared" si="16"/>
        <v>0</v>
      </c>
    </row>
    <row r="133" spans="1:31" ht="24" customHeight="1">
      <c r="A133" s="288"/>
      <c r="B133" s="288"/>
      <c r="C133" s="288"/>
      <c r="D133" s="288"/>
      <c r="F133" s="1" t="s">
        <v>995</v>
      </c>
      <c r="H133" s="1" t="s">
        <v>385</v>
      </c>
      <c r="I133" s="38" t="s">
        <v>1425</v>
      </c>
      <c r="K133" s="43">
        <f>ROUND(K132+C36,2)</f>
        <v>76.650000000000006</v>
      </c>
      <c r="S133" s="605" t="s">
        <v>995</v>
      </c>
      <c r="T133" s="3"/>
      <c r="W133" s="11"/>
      <c r="X133" s="5" t="s">
        <v>2130</v>
      </c>
      <c r="AC133" s="69">
        <f t="shared" si="16"/>
        <v>0</v>
      </c>
    </row>
    <row r="134" spans="1:31" ht="24" customHeight="1">
      <c r="A134" s="288"/>
      <c r="B134" s="288"/>
      <c r="C134" s="288"/>
      <c r="D134" s="288"/>
      <c r="K134" s="5" t="s">
        <v>2130</v>
      </c>
      <c r="T134" s="3"/>
      <c r="U134" s="35" t="s">
        <v>1444</v>
      </c>
      <c r="V134" s="38" t="s">
        <v>1459</v>
      </c>
      <c r="W134" s="11"/>
      <c r="X134" s="40">
        <f>V80*1.25</f>
        <v>35</v>
      </c>
      <c r="AC134" s="69">
        <f t="shared" si="16"/>
        <v>0</v>
      </c>
    </row>
    <row r="135" spans="1:31" ht="24" customHeight="1">
      <c r="A135" s="288"/>
      <c r="B135" s="288"/>
      <c r="C135" s="288"/>
      <c r="D135" s="288"/>
      <c r="H135" s="35" t="s">
        <v>1444</v>
      </c>
      <c r="I135" s="38" t="s">
        <v>1459</v>
      </c>
      <c r="K135" s="40">
        <f>C61*1.25</f>
        <v>60.38</v>
      </c>
      <c r="AC135" s="69">
        <f t="shared" si="16"/>
        <v>0</v>
      </c>
    </row>
    <row r="136" spans="1:31" ht="24" customHeight="1">
      <c r="A136" s="285">
        <f>(A91+1)</f>
        <v>80</v>
      </c>
      <c r="B136" s="286" t="s">
        <v>1625</v>
      </c>
      <c r="C136" s="287">
        <f>AA30</f>
        <v>11600</v>
      </c>
      <c r="D136" s="287">
        <v>13.87</v>
      </c>
      <c r="E136" s="1" t="s">
        <v>995</v>
      </c>
      <c r="F136" s="2" t="s">
        <v>386</v>
      </c>
      <c r="G136" s="7" t="s">
        <v>2338</v>
      </c>
      <c r="H136" s="1" t="s">
        <v>387</v>
      </c>
      <c r="M136" s="2" t="s">
        <v>386</v>
      </c>
      <c r="N136" s="7" t="s">
        <v>2338</v>
      </c>
      <c r="O136" s="1" t="s">
        <v>387</v>
      </c>
      <c r="Q136" s="11"/>
      <c r="AC136" s="69">
        <f t="shared" si="16"/>
        <v>0</v>
      </c>
      <c r="AE136" s="1" t="s">
        <v>2346</v>
      </c>
    </row>
    <row r="137" spans="1:31" ht="24" customHeight="1">
      <c r="A137" s="285">
        <f t="shared" ref="A137:A142" si="18">(A136+1)</f>
        <v>81</v>
      </c>
      <c r="B137" s="286" t="s">
        <v>389</v>
      </c>
      <c r="C137" s="287">
        <f>AA33</f>
        <v>48000</v>
      </c>
      <c r="D137" s="286" t="s">
        <v>876</v>
      </c>
      <c r="H137" s="1" t="s">
        <v>1054</v>
      </c>
      <c r="N137" s="3"/>
      <c r="O137" s="1" t="s">
        <v>1996</v>
      </c>
      <c r="Q137" s="11"/>
      <c r="AC137" s="69">
        <f t="shared" ref="AC137:AC200" si="19">AH138</f>
        <v>0</v>
      </c>
      <c r="AE137" s="1" t="s">
        <v>2346</v>
      </c>
    </row>
    <row r="138" spans="1:31" ht="24" customHeight="1">
      <c r="A138" s="285">
        <f t="shared" si="18"/>
        <v>82</v>
      </c>
      <c r="B138" s="286" t="s">
        <v>1882</v>
      </c>
      <c r="C138" s="287">
        <f>AA32</f>
        <v>48000</v>
      </c>
      <c r="D138" s="286" t="s">
        <v>876</v>
      </c>
      <c r="H138" s="5" t="s">
        <v>1667</v>
      </c>
      <c r="N138" s="3"/>
      <c r="O138" s="5" t="s">
        <v>1667</v>
      </c>
      <c r="Q138" s="11"/>
      <c r="AC138" s="69">
        <f t="shared" si="19"/>
        <v>0</v>
      </c>
      <c r="AE138" s="1" t="s">
        <v>2346</v>
      </c>
    </row>
    <row r="139" spans="1:31" ht="24" customHeight="1">
      <c r="A139" s="285">
        <f t="shared" si="18"/>
        <v>83</v>
      </c>
      <c r="B139" s="286" t="s">
        <v>380</v>
      </c>
      <c r="C139" s="287">
        <f>AA33</f>
        <v>48000</v>
      </c>
      <c r="D139" s="286" t="s">
        <v>876</v>
      </c>
      <c r="F139" s="8">
        <v>1</v>
      </c>
      <c r="G139" s="7" t="s">
        <v>884</v>
      </c>
      <c r="H139" s="1" t="s">
        <v>381</v>
      </c>
      <c r="I139" s="8">
        <f>C79</f>
        <v>740.98</v>
      </c>
      <c r="J139" s="1" t="s">
        <v>884</v>
      </c>
      <c r="K139" s="8">
        <f>(F139*I139)</f>
        <v>740.98</v>
      </c>
      <c r="M139" s="8">
        <v>1</v>
      </c>
      <c r="N139" s="7" t="s">
        <v>884</v>
      </c>
      <c r="O139" s="1" t="s">
        <v>1997</v>
      </c>
      <c r="P139" s="8">
        <f>AA38</f>
        <v>274.54000000000002</v>
      </c>
      <c r="Q139" s="1" t="s">
        <v>884</v>
      </c>
      <c r="R139" s="8">
        <f>(M139*P139)</f>
        <v>274.54000000000002</v>
      </c>
      <c r="AC139" s="69">
        <f t="shared" si="19"/>
        <v>0</v>
      </c>
      <c r="AE139" s="1" t="s">
        <v>2346</v>
      </c>
    </row>
    <row r="140" spans="1:31" ht="24" customHeight="1">
      <c r="A140" s="285">
        <f t="shared" si="18"/>
        <v>84</v>
      </c>
      <c r="B140" s="286" t="s">
        <v>1623</v>
      </c>
      <c r="C140" s="287">
        <f>AA38</f>
        <v>274.54000000000002</v>
      </c>
      <c r="D140" s="286" t="s">
        <v>884</v>
      </c>
      <c r="F140" s="8">
        <v>1</v>
      </c>
      <c r="G140" s="7" t="s">
        <v>884</v>
      </c>
      <c r="H140" s="1" t="s">
        <v>1415</v>
      </c>
      <c r="I140" s="8">
        <f>C27</f>
        <v>14.96</v>
      </c>
      <c r="J140" s="1" t="s">
        <v>884</v>
      </c>
      <c r="K140" s="8">
        <f>(F140*I140)</f>
        <v>14.96</v>
      </c>
      <c r="M140" s="8">
        <v>1</v>
      </c>
      <c r="N140" s="7" t="s">
        <v>884</v>
      </c>
      <c r="O140" s="1" t="s">
        <v>1415</v>
      </c>
      <c r="P140" s="8">
        <f>C26</f>
        <v>16.96</v>
      </c>
      <c r="Q140" s="1" t="s">
        <v>884</v>
      </c>
      <c r="R140" s="8">
        <f>(M140*P140)</f>
        <v>16.96</v>
      </c>
      <c r="AC140" s="69">
        <f t="shared" si="19"/>
        <v>0</v>
      </c>
      <c r="AE140" s="1" t="s">
        <v>2346</v>
      </c>
    </row>
    <row r="141" spans="1:31" ht="24" customHeight="1">
      <c r="A141" s="285">
        <f t="shared" si="18"/>
        <v>85</v>
      </c>
      <c r="B141" s="286" t="s">
        <v>192</v>
      </c>
      <c r="C141" s="287">
        <v>43563.69</v>
      </c>
      <c r="D141" s="286" t="s">
        <v>876</v>
      </c>
      <c r="G141" s="7" t="s">
        <v>448</v>
      </c>
      <c r="H141" s="1" t="s">
        <v>449</v>
      </c>
      <c r="I141" s="1" t="s">
        <v>995</v>
      </c>
      <c r="J141" s="1" t="s">
        <v>448</v>
      </c>
      <c r="K141" s="8">
        <v>0</v>
      </c>
      <c r="N141" s="7" t="s">
        <v>448</v>
      </c>
      <c r="O141" s="1" t="s">
        <v>449</v>
      </c>
      <c r="P141" s="1" t="s">
        <v>995</v>
      </c>
      <c r="Q141" s="1" t="s">
        <v>448</v>
      </c>
      <c r="R141" s="8">
        <v>0</v>
      </c>
      <c r="AC141" s="69">
        <f t="shared" si="19"/>
        <v>0</v>
      </c>
      <c r="AE141" s="1" t="s">
        <v>2346</v>
      </c>
    </row>
    <row r="142" spans="1:31" ht="24" customHeight="1">
      <c r="A142" s="285">
        <f t="shared" si="18"/>
        <v>86</v>
      </c>
      <c r="B142" s="286" t="s">
        <v>193</v>
      </c>
      <c r="C142" s="57">
        <v>48000</v>
      </c>
      <c r="D142" s="286" t="s">
        <v>876</v>
      </c>
      <c r="K142" s="5" t="s">
        <v>1667</v>
      </c>
      <c r="N142" s="3"/>
      <c r="Q142" s="11"/>
      <c r="R142" s="5" t="s">
        <v>1667</v>
      </c>
      <c r="AC142" s="69">
        <f t="shared" si="19"/>
        <v>0</v>
      </c>
      <c r="AE142" s="1" t="s">
        <v>2346</v>
      </c>
    </row>
    <row r="143" spans="1:31" ht="24" customHeight="1">
      <c r="A143" s="288"/>
      <c r="B143" s="286" t="s">
        <v>995</v>
      </c>
      <c r="C143" s="288"/>
      <c r="D143" s="288"/>
      <c r="H143" s="1" t="s">
        <v>194</v>
      </c>
      <c r="K143" s="40">
        <f>SUM(K137:K141)</f>
        <v>755.94</v>
      </c>
      <c r="N143" s="3"/>
      <c r="O143" s="1" t="s">
        <v>1578</v>
      </c>
      <c r="Q143" s="11"/>
      <c r="R143" s="8">
        <f>SUM(R139:R141)</f>
        <v>291.5</v>
      </c>
      <c r="AC143" s="69">
        <f t="shared" si="19"/>
        <v>0</v>
      </c>
      <c r="AE143" s="1" t="s">
        <v>2346</v>
      </c>
    </row>
    <row r="144" spans="1:31" ht="24" customHeight="1">
      <c r="A144" s="285">
        <f>(A142+1)</f>
        <v>87</v>
      </c>
      <c r="B144" s="286" t="s">
        <v>195</v>
      </c>
      <c r="C144" s="206">
        <v>7.5</v>
      </c>
      <c r="D144" s="286" t="s">
        <v>448</v>
      </c>
      <c r="K144" s="5" t="s">
        <v>1667</v>
      </c>
      <c r="N144" s="3"/>
      <c r="O144" s="1" t="s">
        <v>2103</v>
      </c>
      <c r="Q144" s="11"/>
      <c r="R144" s="5" t="s">
        <v>1667</v>
      </c>
      <c r="AC144" s="69">
        <f t="shared" si="19"/>
        <v>0</v>
      </c>
      <c r="AE144" s="1" t="s">
        <v>2346</v>
      </c>
    </row>
    <row r="145" spans="1:29" ht="24" customHeight="1">
      <c r="A145" s="288"/>
      <c r="B145" s="1" t="s">
        <v>1727</v>
      </c>
      <c r="C145" s="347">
        <v>6.04</v>
      </c>
      <c r="D145" s="288"/>
      <c r="F145" s="2" t="s">
        <v>196</v>
      </c>
      <c r="G145" s="7" t="s">
        <v>2338</v>
      </c>
      <c r="H145" s="1" t="s">
        <v>1055</v>
      </c>
      <c r="AC145" s="69">
        <f t="shared" si="19"/>
        <v>0</v>
      </c>
    </row>
    <row r="146" spans="1:29" ht="24" customHeight="1">
      <c r="A146" s="288"/>
      <c r="B146" s="288"/>
      <c r="C146" s="288"/>
      <c r="D146" s="288"/>
      <c r="H146" s="1" t="s">
        <v>1056</v>
      </c>
      <c r="AC146" s="69">
        <f t="shared" si="19"/>
        <v>0</v>
      </c>
    </row>
    <row r="147" spans="1:29" ht="24" customHeight="1">
      <c r="A147" s="288"/>
      <c r="B147" s="288"/>
      <c r="C147" s="288"/>
      <c r="D147" s="288"/>
      <c r="H147" s="1" t="s">
        <v>484</v>
      </c>
      <c r="AC147" s="69">
        <f t="shared" si="19"/>
        <v>0</v>
      </c>
    </row>
    <row r="148" spans="1:29" ht="24" customHeight="1">
      <c r="A148" s="288"/>
      <c r="B148" s="288"/>
      <c r="C148" s="288"/>
      <c r="D148" s="288"/>
      <c r="H148" s="1" t="s">
        <v>523</v>
      </c>
      <c r="AC148" s="69">
        <f t="shared" si="19"/>
        <v>0</v>
      </c>
    </row>
    <row r="149" spans="1:29" ht="24" customHeight="1">
      <c r="A149" s="288"/>
      <c r="B149" s="288"/>
      <c r="C149" s="288"/>
      <c r="D149" s="288"/>
      <c r="H149" s="1" t="s">
        <v>524</v>
      </c>
      <c r="AC149" s="69">
        <f t="shared" si="19"/>
        <v>0</v>
      </c>
    </row>
    <row r="150" spans="1:29" ht="24" customHeight="1">
      <c r="A150" s="288"/>
      <c r="B150" s="288"/>
      <c r="C150" s="288"/>
      <c r="D150" s="288"/>
      <c r="H150" s="5" t="s">
        <v>1667</v>
      </c>
      <c r="AC150" s="69">
        <f t="shared" si="19"/>
        <v>0</v>
      </c>
    </row>
    <row r="151" spans="1:29" ht="24" customHeight="1">
      <c r="A151" s="288"/>
      <c r="B151" s="288"/>
      <c r="C151" s="288"/>
      <c r="D151" s="288"/>
      <c r="F151" s="8">
        <v>0.7</v>
      </c>
      <c r="G151" s="7" t="s">
        <v>884</v>
      </c>
      <c r="H151" s="1" t="s">
        <v>2075</v>
      </c>
      <c r="I151" s="8">
        <f>C79</f>
        <v>740.98</v>
      </c>
      <c r="J151" s="1" t="s">
        <v>884</v>
      </c>
      <c r="K151" s="8">
        <f t="shared" ref="K151:K156" si="20">(F151*I151)</f>
        <v>518.69000000000005</v>
      </c>
      <c r="AC151" s="69">
        <f t="shared" si="19"/>
        <v>0</v>
      </c>
    </row>
    <row r="152" spans="1:29" ht="24" customHeight="1">
      <c r="A152" s="288"/>
      <c r="B152" s="288"/>
      <c r="C152" s="288"/>
      <c r="D152" s="288"/>
      <c r="F152" s="8">
        <v>0.7</v>
      </c>
      <c r="G152" s="7" t="s">
        <v>884</v>
      </c>
      <c r="H152" s="1" t="s">
        <v>525</v>
      </c>
      <c r="I152" s="347">
        <f>C781</f>
        <v>3.15</v>
      </c>
      <c r="J152" s="1" t="s">
        <v>884</v>
      </c>
      <c r="K152" s="8">
        <f t="shared" si="20"/>
        <v>2.21</v>
      </c>
      <c r="AC152" s="69">
        <f t="shared" si="19"/>
        <v>0</v>
      </c>
    </row>
    <row r="153" spans="1:29" ht="24" customHeight="1">
      <c r="A153" s="288"/>
      <c r="B153" s="288"/>
      <c r="C153" s="288"/>
      <c r="D153" s="288"/>
      <c r="F153" s="8">
        <v>0.72</v>
      </c>
      <c r="G153" s="7" t="s">
        <v>884</v>
      </c>
      <c r="H153" s="1" t="s">
        <v>1726</v>
      </c>
      <c r="I153" s="8">
        <f>C35</f>
        <v>274.54000000000002</v>
      </c>
      <c r="J153" s="1" t="s">
        <v>884</v>
      </c>
      <c r="K153" s="8">
        <f t="shared" si="20"/>
        <v>197.67</v>
      </c>
      <c r="O153" t="s">
        <v>246</v>
      </c>
      <c r="AC153" s="69">
        <f t="shared" si="19"/>
        <v>0</v>
      </c>
    </row>
    <row r="154" spans="1:29" ht="24" customHeight="1">
      <c r="A154" s="288"/>
      <c r="B154" s="288"/>
      <c r="C154" s="288"/>
      <c r="D154" s="288"/>
      <c r="F154" s="8">
        <v>0.72</v>
      </c>
      <c r="G154" s="7" t="s">
        <v>884</v>
      </c>
      <c r="H154" s="1" t="s">
        <v>525</v>
      </c>
      <c r="I154" s="347">
        <f>C781</f>
        <v>3.15</v>
      </c>
      <c r="J154" s="1" t="s">
        <v>884</v>
      </c>
      <c r="K154" s="8">
        <f t="shared" si="20"/>
        <v>2.27</v>
      </c>
      <c r="O154" t="s">
        <v>1220</v>
      </c>
      <c r="AC154" s="69">
        <f t="shared" si="19"/>
        <v>0</v>
      </c>
    </row>
    <row r="155" spans="1:29" ht="24" customHeight="1">
      <c r="A155" s="288"/>
      <c r="B155" s="288"/>
      <c r="C155" s="288"/>
      <c r="D155" s="288"/>
      <c r="F155" s="8">
        <v>1</v>
      </c>
      <c r="G155" s="7" t="s">
        <v>884</v>
      </c>
      <c r="H155" s="1" t="s">
        <v>1872</v>
      </c>
      <c r="I155" s="8">
        <f>C18</f>
        <v>50.03</v>
      </c>
      <c r="J155" s="1" t="s">
        <v>884</v>
      </c>
      <c r="K155" s="8">
        <f t="shared" si="20"/>
        <v>50.03</v>
      </c>
      <c r="AC155" s="69">
        <f t="shared" si="19"/>
        <v>0</v>
      </c>
    </row>
    <row r="156" spans="1:29" ht="24" customHeight="1">
      <c r="A156" s="288"/>
      <c r="B156" s="288"/>
      <c r="C156" s="288"/>
      <c r="D156" s="288"/>
      <c r="F156" s="8">
        <v>1</v>
      </c>
      <c r="G156" s="7" t="s">
        <v>884</v>
      </c>
      <c r="H156" s="1" t="s">
        <v>1727</v>
      </c>
      <c r="I156" s="347">
        <f>C145</f>
        <v>6.04</v>
      </c>
      <c r="J156" s="1" t="s">
        <v>884</v>
      </c>
      <c r="K156" s="8">
        <f t="shared" si="20"/>
        <v>6.04</v>
      </c>
      <c r="AC156" s="69">
        <f t="shared" si="19"/>
        <v>0</v>
      </c>
    </row>
    <row r="157" spans="1:29" ht="24" customHeight="1">
      <c r="A157" s="288"/>
      <c r="B157" s="288"/>
      <c r="C157" s="288"/>
      <c r="D157" s="288"/>
      <c r="H157" s="1" t="s">
        <v>1728</v>
      </c>
      <c r="AC157" s="69">
        <f t="shared" si="19"/>
        <v>0</v>
      </c>
    </row>
    <row r="158" spans="1:29" ht="24" customHeight="1">
      <c r="A158" s="288"/>
      <c r="B158" s="288"/>
      <c r="C158" s="288"/>
      <c r="D158" s="288"/>
      <c r="G158" s="7" t="s">
        <v>448</v>
      </c>
      <c r="H158" s="1" t="s">
        <v>449</v>
      </c>
      <c r="I158" s="1" t="s">
        <v>995</v>
      </c>
      <c r="J158" s="1" t="s">
        <v>448</v>
      </c>
      <c r="K158" s="8">
        <v>0</v>
      </c>
      <c r="AC158" s="69">
        <f t="shared" si="19"/>
        <v>0</v>
      </c>
    </row>
    <row r="159" spans="1:29" ht="24" customHeight="1">
      <c r="A159" s="288"/>
      <c r="B159" s="288"/>
      <c r="C159" s="288"/>
      <c r="D159" s="288"/>
      <c r="K159" s="5" t="s">
        <v>1667</v>
      </c>
      <c r="M159" s="2" t="s">
        <v>676</v>
      </c>
      <c r="N159" s="7" t="s">
        <v>2338</v>
      </c>
      <c r="O159" s="1" t="s">
        <v>549</v>
      </c>
      <c r="Q159" s="11"/>
      <c r="AC159" s="69">
        <f t="shared" si="19"/>
        <v>0</v>
      </c>
    </row>
    <row r="160" spans="1:29" ht="24" customHeight="1">
      <c r="A160" s="288"/>
      <c r="B160" s="288"/>
      <c r="C160" s="288"/>
      <c r="D160" s="288"/>
      <c r="H160" s="64" t="s">
        <v>194</v>
      </c>
      <c r="K160" s="40">
        <f>SUM(K151:K158)</f>
        <v>776.91</v>
      </c>
      <c r="N160" s="3"/>
      <c r="O160" s="1" t="s">
        <v>679</v>
      </c>
      <c r="Q160" s="11"/>
      <c r="AC160" s="69">
        <f t="shared" si="19"/>
        <v>0</v>
      </c>
    </row>
    <row r="161" spans="1:29" ht="24" customHeight="1">
      <c r="A161" s="288"/>
      <c r="B161" s="288"/>
      <c r="C161" s="288"/>
      <c r="D161" s="288"/>
      <c r="K161" s="5" t="s">
        <v>1667</v>
      </c>
      <c r="N161" s="3"/>
      <c r="O161" s="5" t="s">
        <v>1667</v>
      </c>
      <c r="Q161" s="11"/>
      <c r="AC161" s="69">
        <f t="shared" si="19"/>
        <v>0</v>
      </c>
    </row>
    <row r="162" spans="1:29" ht="24" customHeight="1">
      <c r="A162" s="288"/>
      <c r="B162" s="288"/>
      <c r="C162" s="288"/>
      <c r="D162" s="288"/>
      <c r="H162" s="1" t="s">
        <v>995</v>
      </c>
      <c r="K162" s="1" t="s">
        <v>995</v>
      </c>
      <c r="M162" s="8">
        <v>9</v>
      </c>
      <c r="N162" s="7" t="s">
        <v>884</v>
      </c>
      <c r="O162" s="1" t="s">
        <v>1723</v>
      </c>
      <c r="P162" s="8">
        <f>I194</f>
        <v>917.78</v>
      </c>
      <c r="Q162" s="1" t="s">
        <v>884</v>
      </c>
      <c r="R162" s="8">
        <f>(M162*P162)</f>
        <v>8260.02</v>
      </c>
      <c r="AC162" s="69">
        <f t="shared" si="19"/>
        <v>0</v>
      </c>
    </row>
    <row r="163" spans="1:29" ht="24" customHeight="1">
      <c r="A163" s="288"/>
      <c r="B163" s="288"/>
      <c r="C163" s="288"/>
      <c r="D163" s="288"/>
      <c r="K163" s="1" t="s">
        <v>995</v>
      </c>
      <c r="M163" s="8">
        <v>4.5</v>
      </c>
      <c r="N163" s="7" t="s">
        <v>884</v>
      </c>
      <c r="O163" s="1" t="s">
        <v>1364</v>
      </c>
      <c r="P163" s="8">
        <f>K40</f>
        <v>2807.01</v>
      </c>
      <c r="Q163" s="1" t="s">
        <v>884</v>
      </c>
      <c r="R163" s="8">
        <f>(M163*P163)</f>
        <v>12631.55</v>
      </c>
      <c r="AC163" s="69">
        <f t="shared" si="19"/>
        <v>0</v>
      </c>
    </row>
    <row r="164" spans="1:29" ht="24" customHeight="1">
      <c r="A164" s="289">
        <v>2.2999999999999998</v>
      </c>
      <c r="B164" s="286" t="s">
        <v>243</v>
      </c>
      <c r="C164" s="288">
        <f>R19+I167</f>
        <v>631.38</v>
      </c>
      <c r="D164" s="288"/>
      <c r="F164" s="26">
        <v>2.6</v>
      </c>
      <c r="G164" s="7" t="s">
        <v>2338</v>
      </c>
      <c r="H164" s="1" t="s">
        <v>1221</v>
      </c>
      <c r="M164" s="8">
        <v>1.8</v>
      </c>
      <c r="N164" s="7" t="s">
        <v>883</v>
      </c>
      <c r="O164" s="1" t="s">
        <v>1791</v>
      </c>
      <c r="P164" s="8">
        <f>I196</f>
        <v>386.4</v>
      </c>
      <c r="Q164" s="1" t="s">
        <v>883</v>
      </c>
      <c r="R164" s="8">
        <f>(M164*P164)</f>
        <v>695.52</v>
      </c>
      <c r="AC164" s="69">
        <f t="shared" si="19"/>
        <v>0</v>
      </c>
    </row>
    <row r="165" spans="1:29" ht="24" customHeight="1">
      <c r="A165" s="289">
        <v>2.4</v>
      </c>
      <c r="B165" s="286" t="s">
        <v>796</v>
      </c>
      <c r="C165" s="288">
        <f>AA20+I167</f>
        <v>690.38</v>
      </c>
      <c r="D165" s="288"/>
      <c r="H165" s="5" t="s">
        <v>1667</v>
      </c>
      <c r="M165" s="8">
        <v>17.7</v>
      </c>
      <c r="N165" s="7" t="s">
        <v>883</v>
      </c>
      <c r="O165" s="1" t="s">
        <v>1979</v>
      </c>
      <c r="P165" s="8">
        <f>I197</f>
        <v>269.85000000000002</v>
      </c>
      <c r="Q165" s="1" t="s">
        <v>883</v>
      </c>
      <c r="R165" s="8">
        <f>(M165*P165)</f>
        <v>4776.3500000000004</v>
      </c>
      <c r="AC165" s="69">
        <f t="shared" si="19"/>
        <v>0</v>
      </c>
    </row>
    <row r="166" spans="1:29" ht="24" customHeight="1">
      <c r="A166" s="288"/>
      <c r="B166" s="288"/>
      <c r="C166" s="288"/>
      <c r="D166" s="288"/>
      <c r="F166" s="8">
        <v>1</v>
      </c>
      <c r="G166" s="7" t="s">
        <v>884</v>
      </c>
      <c r="H166" s="1" t="s">
        <v>1127</v>
      </c>
      <c r="I166" s="8">
        <f>AA15</f>
        <v>917.78</v>
      </c>
      <c r="J166" s="1" t="s">
        <v>884</v>
      </c>
      <c r="K166" s="8">
        <f>(F166*I166)</f>
        <v>917.78</v>
      </c>
      <c r="M166" s="8">
        <v>14.1</v>
      </c>
      <c r="N166" s="7" t="s">
        <v>883</v>
      </c>
      <c r="O166" s="1" t="s">
        <v>324</v>
      </c>
      <c r="P166" s="8">
        <f>I198</f>
        <v>243.6</v>
      </c>
      <c r="Q166" s="1" t="s">
        <v>883</v>
      </c>
      <c r="R166" s="8">
        <f>(M166*P166)</f>
        <v>3434.76</v>
      </c>
      <c r="AC166" s="69">
        <f t="shared" si="19"/>
        <v>0</v>
      </c>
    </row>
    <row r="167" spans="1:29" ht="24" customHeight="1">
      <c r="A167" s="288"/>
      <c r="B167" s="288"/>
      <c r="C167" s="288"/>
      <c r="D167" s="288"/>
      <c r="F167" s="8">
        <v>1</v>
      </c>
      <c r="G167" s="7" t="s">
        <v>884</v>
      </c>
      <c r="H167" s="1" t="s">
        <v>1415</v>
      </c>
      <c r="I167" s="8">
        <f>C26</f>
        <v>16.96</v>
      </c>
      <c r="J167" s="1" t="s">
        <v>884</v>
      </c>
      <c r="K167" s="8">
        <f>(F167*I167)</f>
        <v>16.96</v>
      </c>
      <c r="N167" s="7" t="s">
        <v>448</v>
      </c>
      <c r="O167" s="1" t="s">
        <v>449</v>
      </c>
      <c r="Q167" s="1" t="s">
        <v>448</v>
      </c>
      <c r="R167" s="8">
        <v>0</v>
      </c>
      <c r="AC167" s="69">
        <f t="shared" si="19"/>
        <v>0</v>
      </c>
    </row>
    <row r="168" spans="1:29" ht="24" customHeight="1">
      <c r="A168" s="288"/>
      <c r="B168" s="288"/>
      <c r="C168" s="288"/>
      <c r="D168" s="288"/>
      <c r="G168" s="7" t="s">
        <v>448</v>
      </c>
      <c r="H168" s="1" t="s">
        <v>449</v>
      </c>
      <c r="I168" s="1" t="s">
        <v>995</v>
      </c>
      <c r="J168" s="1" t="s">
        <v>448</v>
      </c>
      <c r="K168" s="8">
        <v>0</v>
      </c>
      <c r="N168" s="3"/>
      <c r="Q168" s="11"/>
      <c r="R168" s="5" t="s">
        <v>1667</v>
      </c>
      <c r="AC168" s="69">
        <f t="shared" si="19"/>
        <v>0</v>
      </c>
    </row>
    <row r="169" spans="1:29" ht="24" customHeight="1">
      <c r="A169" s="288"/>
      <c r="B169" s="288"/>
      <c r="C169" s="288"/>
      <c r="D169" s="288"/>
      <c r="K169" s="5" t="s">
        <v>1667</v>
      </c>
      <c r="N169" s="3"/>
      <c r="Q169" s="11"/>
      <c r="R169" s="8">
        <f>SUM(R162:R167)</f>
        <v>29798.2</v>
      </c>
      <c r="AC169" s="69">
        <f t="shared" si="19"/>
        <v>0</v>
      </c>
    </row>
    <row r="170" spans="1:29" ht="24" customHeight="1">
      <c r="A170" s="288"/>
      <c r="B170" s="288"/>
      <c r="C170" s="288"/>
      <c r="D170" s="288"/>
      <c r="H170" s="64" t="s">
        <v>194</v>
      </c>
      <c r="K170" s="40">
        <f>SUM(K165:K168)</f>
        <v>934.74</v>
      </c>
      <c r="N170" s="3"/>
      <c r="O170" s="66" t="s">
        <v>618</v>
      </c>
      <c r="Q170" s="11"/>
      <c r="R170" s="5" t="s">
        <v>1667</v>
      </c>
      <c r="AC170" s="69">
        <f t="shared" si="19"/>
        <v>0</v>
      </c>
    </row>
    <row r="171" spans="1:29" ht="24" customHeight="1">
      <c r="A171" s="288"/>
      <c r="B171" s="288"/>
      <c r="C171" s="288"/>
      <c r="D171" s="288"/>
      <c r="K171" s="5" t="s">
        <v>1667</v>
      </c>
      <c r="N171" s="3"/>
      <c r="Q171" s="11"/>
      <c r="R171" s="40">
        <f>(R169/10)</f>
        <v>2979.82</v>
      </c>
      <c r="AC171" s="69">
        <f t="shared" si="19"/>
        <v>0</v>
      </c>
    </row>
    <row r="172" spans="1:29" ht="24" customHeight="1">
      <c r="A172" s="288"/>
      <c r="B172" s="288"/>
      <c r="C172" s="288"/>
      <c r="D172" s="288"/>
      <c r="F172" s="26">
        <v>2.7</v>
      </c>
      <c r="G172" s="7" t="s">
        <v>2338</v>
      </c>
      <c r="H172" s="1" t="s">
        <v>2065</v>
      </c>
      <c r="N172" s="3"/>
      <c r="O172" s="64" t="s">
        <v>785</v>
      </c>
      <c r="Q172" s="11"/>
      <c r="R172" s="5" t="s">
        <v>2130</v>
      </c>
      <c r="AC172" s="69">
        <f t="shared" si="19"/>
        <v>0</v>
      </c>
    </row>
    <row r="173" spans="1:29" ht="24" customHeight="1">
      <c r="A173" s="288"/>
      <c r="B173" s="288"/>
      <c r="C173" s="288"/>
      <c r="D173" s="288"/>
      <c r="H173" s="5" t="s">
        <v>1667</v>
      </c>
      <c r="AC173" s="69">
        <f t="shared" si="19"/>
        <v>0</v>
      </c>
    </row>
    <row r="174" spans="1:29" ht="24" customHeight="1">
      <c r="A174" s="288"/>
      <c r="B174" s="288"/>
      <c r="C174" s="288"/>
      <c r="D174" s="288"/>
      <c r="F174" s="8">
        <v>1</v>
      </c>
      <c r="G174" s="7" t="s">
        <v>884</v>
      </c>
      <c r="H174" s="1" t="s">
        <v>846</v>
      </c>
      <c r="I174" s="8">
        <f>AA14</f>
        <v>1236.78</v>
      </c>
      <c r="J174" s="1" t="s">
        <v>884</v>
      </c>
      <c r="K174" s="8">
        <f>(F174*I174)</f>
        <v>1236.78</v>
      </c>
      <c r="AC174" s="69">
        <f t="shared" si="19"/>
        <v>0</v>
      </c>
    </row>
    <row r="175" spans="1:29" ht="24" customHeight="1">
      <c r="A175" s="288"/>
      <c r="B175" s="288"/>
      <c r="C175" s="288"/>
      <c r="D175" s="288"/>
      <c r="F175" s="8">
        <v>1</v>
      </c>
      <c r="G175" s="7" t="s">
        <v>884</v>
      </c>
      <c r="H175" s="1" t="s">
        <v>1415</v>
      </c>
      <c r="I175" s="8">
        <f>C26</f>
        <v>16.96</v>
      </c>
      <c r="J175" s="1" t="s">
        <v>884</v>
      </c>
      <c r="K175" s="8">
        <f>(F175*I175)</f>
        <v>16.96</v>
      </c>
      <c r="AC175" s="69">
        <f t="shared" si="19"/>
        <v>0</v>
      </c>
    </row>
    <row r="176" spans="1:29" ht="24" customHeight="1">
      <c r="A176" s="288"/>
      <c r="B176" s="288"/>
      <c r="C176" s="288"/>
      <c r="D176" s="288"/>
      <c r="G176" s="7" t="s">
        <v>448</v>
      </c>
      <c r="H176" s="1" t="s">
        <v>449</v>
      </c>
      <c r="I176" s="1" t="s">
        <v>995</v>
      </c>
      <c r="J176" s="1" t="s">
        <v>448</v>
      </c>
      <c r="K176" s="8">
        <v>0</v>
      </c>
      <c r="AC176" s="69">
        <f t="shared" si="19"/>
        <v>0</v>
      </c>
    </row>
    <row r="177" spans="1:31" ht="24" customHeight="1">
      <c r="A177" s="288"/>
      <c r="B177" s="288"/>
      <c r="C177" s="288"/>
      <c r="D177" s="288"/>
      <c r="K177" s="5" t="s">
        <v>1667</v>
      </c>
      <c r="AC177" s="69">
        <f t="shared" si="19"/>
        <v>0</v>
      </c>
    </row>
    <row r="178" spans="1:31" ht="24" customHeight="1">
      <c r="A178" s="288"/>
      <c r="B178" s="288"/>
      <c r="C178" s="288"/>
      <c r="D178" s="288"/>
      <c r="H178" s="64" t="s">
        <v>194</v>
      </c>
      <c r="K178" s="40">
        <f>SUM(K173:K176)</f>
        <v>1253.74</v>
      </c>
      <c r="AC178" s="69">
        <f t="shared" si="19"/>
        <v>0</v>
      </c>
    </row>
    <row r="179" spans="1:31" ht="24" customHeight="1">
      <c r="A179" s="285">
        <f>(A144+1)</f>
        <v>88</v>
      </c>
      <c r="B179" s="286" t="s">
        <v>1729</v>
      </c>
      <c r="C179" s="287">
        <v>15.25</v>
      </c>
      <c r="D179" s="286" t="s">
        <v>1730</v>
      </c>
      <c r="K179" s="5" t="s">
        <v>1667</v>
      </c>
      <c r="M179" s="8">
        <v>2.5</v>
      </c>
      <c r="N179" s="1" t="s">
        <v>884</v>
      </c>
      <c r="O179" s="1" t="s">
        <v>1716</v>
      </c>
      <c r="P179" s="8">
        <f>(K58)</f>
        <v>2135.0100000000002</v>
      </c>
      <c r="Q179" s="1" t="s">
        <v>884</v>
      </c>
      <c r="R179" s="8">
        <f>(M179*P179)</f>
        <v>5337.53</v>
      </c>
      <c r="AC179" s="69">
        <f t="shared" si="19"/>
        <v>0</v>
      </c>
      <c r="AE179" s="1" t="s">
        <v>2346</v>
      </c>
    </row>
    <row r="180" spans="1:31" ht="24" customHeight="1">
      <c r="A180" s="285">
        <f>(A179+1)</f>
        <v>89</v>
      </c>
      <c r="B180" s="286" t="s">
        <v>1731</v>
      </c>
      <c r="C180" s="615">
        <v>127</v>
      </c>
      <c r="D180" s="286" t="s">
        <v>1730</v>
      </c>
      <c r="H180" s="1" t="s">
        <v>995</v>
      </c>
      <c r="M180" s="8">
        <v>3.5</v>
      </c>
      <c r="N180" s="1" t="s">
        <v>883</v>
      </c>
      <c r="O180" s="1" t="s">
        <v>2082</v>
      </c>
      <c r="P180" s="8">
        <f>(C10)</f>
        <v>430.5</v>
      </c>
      <c r="Q180" s="1" t="s">
        <v>883</v>
      </c>
      <c r="R180" s="8">
        <f>(M180*P180)</f>
        <v>1506.75</v>
      </c>
      <c r="AC180" s="69">
        <f t="shared" si="19"/>
        <v>0</v>
      </c>
      <c r="AE180" s="1" t="s">
        <v>2346</v>
      </c>
    </row>
    <row r="181" spans="1:31" ht="24" customHeight="1">
      <c r="A181" s="288"/>
      <c r="B181" s="288"/>
      <c r="C181" s="288"/>
      <c r="D181" s="288"/>
      <c r="F181" s="2" t="s">
        <v>1732</v>
      </c>
      <c r="H181" s="1" t="s">
        <v>964</v>
      </c>
      <c r="AC181" s="69">
        <f t="shared" si="19"/>
        <v>0</v>
      </c>
    </row>
    <row r="182" spans="1:31" ht="24" customHeight="1">
      <c r="A182" s="288"/>
      <c r="B182" s="288"/>
      <c r="C182" s="288"/>
      <c r="D182" s="288"/>
      <c r="AC182" s="69">
        <f t="shared" si="19"/>
        <v>0</v>
      </c>
    </row>
    <row r="183" spans="1:31" ht="24" customHeight="1">
      <c r="A183" s="288"/>
      <c r="B183" s="288"/>
      <c r="C183" s="288"/>
      <c r="D183" s="288"/>
      <c r="F183" s="8">
        <v>1</v>
      </c>
      <c r="G183" s="7" t="s">
        <v>884</v>
      </c>
      <c r="H183" s="1" t="s">
        <v>69</v>
      </c>
      <c r="I183" s="8">
        <f>C35</f>
        <v>274.54000000000002</v>
      </c>
      <c r="J183" s="1" t="s">
        <v>884</v>
      </c>
      <c r="K183" s="8">
        <f>(F183*I183)</f>
        <v>274.54000000000002</v>
      </c>
      <c r="AC183" s="69">
        <f t="shared" si="19"/>
        <v>0</v>
      </c>
    </row>
    <row r="184" spans="1:31" ht="24" customHeight="1">
      <c r="A184" s="288"/>
      <c r="B184" s="288"/>
      <c r="C184" s="288"/>
      <c r="D184" s="288"/>
      <c r="F184" s="8">
        <v>1</v>
      </c>
      <c r="G184" s="7" t="s">
        <v>884</v>
      </c>
      <c r="H184" s="1" t="s">
        <v>525</v>
      </c>
      <c r="I184" s="347">
        <f>C781</f>
        <v>3.15</v>
      </c>
      <c r="J184" s="1" t="s">
        <v>884</v>
      </c>
      <c r="K184" s="8">
        <f>(F184*I184)</f>
        <v>3.15</v>
      </c>
      <c r="AC184" s="69">
        <f t="shared" si="19"/>
        <v>0</v>
      </c>
    </row>
    <row r="185" spans="1:31" ht="24" customHeight="1">
      <c r="A185" s="288"/>
      <c r="B185" s="288"/>
      <c r="C185" s="288"/>
      <c r="D185" s="288"/>
      <c r="F185" s="8">
        <v>1</v>
      </c>
      <c r="G185" s="7" t="s">
        <v>884</v>
      </c>
      <c r="H185" s="1" t="s">
        <v>1727</v>
      </c>
      <c r="I185" s="347">
        <f>C145</f>
        <v>6.04</v>
      </c>
      <c r="J185" s="1" t="s">
        <v>884</v>
      </c>
      <c r="K185" s="8">
        <f>(F185*I185)</f>
        <v>6.04</v>
      </c>
      <c r="AC185" s="69">
        <f t="shared" si="19"/>
        <v>0</v>
      </c>
    </row>
    <row r="186" spans="1:31" ht="24" customHeight="1">
      <c r="A186" s="288"/>
      <c r="B186" s="288"/>
      <c r="C186" s="288"/>
      <c r="D186" s="288"/>
      <c r="H186" s="1" t="s">
        <v>1728</v>
      </c>
      <c r="AC186" s="69">
        <f t="shared" si="19"/>
        <v>0</v>
      </c>
    </row>
    <row r="187" spans="1:31" ht="24" customHeight="1">
      <c r="A187" s="288"/>
      <c r="B187" s="288"/>
      <c r="C187" s="288"/>
      <c r="D187" s="288"/>
      <c r="K187" s="5" t="s">
        <v>1667</v>
      </c>
      <c r="AC187" s="69">
        <f t="shared" si="19"/>
        <v>0</v>
      </c>
    </row>
    <row r="188" spans="1:31" ht="24" customHeight="1">
      <c r="A188" s="288"/>
      <c r="B188" s="288"/>
      <c r="C188" s="288"/>
      <c r="D188" s="288"/>
      <c r="H188" s="64" t="s">
        <v>194</v>
      </c>
      <c r="K188" s="40">
        <f>SUM(K181:K186)</f>
        <v>283.73</v>
      </c>
      <c r="AC188" s="69">
        <f t="shared" si="19"/>
        <v>0</v>
      </c>
    </row>
    <row r="189" spans="1:31" ht="24" customHeight="1">
      <c r="A189" s="288"/>
      <c r="B189" s="288"/>
      <c r="C189" s="288"/>
      <c r="D189" s="288"/>
      <c r="F189" s="1" t="s">
        <v>995</v>
      </c>
      <c r="K189" s="5" t="s">
        <v>1667</v>
      </c>
      <c r="AC189" s="69">
        <f t="shared" si="19"/>
        <v>0</v>
      </c>
    </row>
    <row r="190" spans="1:31" ht="24" customHeight="1">
      <c r="A190" s="288"/>
      <c r="B190" s="288"/>
      <c r="C190" s="288"/>
      <c r="D190" s="288"/>
      <c r="K190" s="1" t="s">
        <v>995</v>
      </c>
      <c r="AC190" s="69">
        <f t="shared" si="19"/>
        <v>0</v>
      </c>
    </row>
    <row r="191" spans="1:31" ht="24" customHeight="1">
      <c r="A191" s="285">
        <f>(A180+1)</f>
        <v>90</v>
      </c>
      <c r="B191" s="286" t="s">
        <v>674</v>
      </c>
      <c r="C191" s="287">
        <v>65</v>
      </c>
      <c r="D191" s="286" t="s">
        <v>675</v>
      </c>
      <c r="F191" s="2" t="s">
        <v>676</v>
      </c>
      <c r="G191" s="7" t="s">
        <v>2338</v>
      </c>
      <c r="H191" s="1" t="s">
        <v>677</v>
      </c>
      <c r="M191" s="2" t="s">
        <v>676</v>
      </c>
      <c r="N191" s="7" t="s">
        <v>2338</v>
      </c>
      <c r="O191" s="1" t="s">
        <v>214</v>
      </c>
      <c r="Q191" s="11"/>
      <c r="AC191" s="69">
        <f t="shared" si="19"/>
        <v>0</v>
      </c>
      <c r="AE191" s="1" t="s">
        <v>2346</v>
      </c>
    </row>
    <row r="192" spans="1:31" ht="24" customHeight="1">
      <c r="A192" s="285">
        <f t="shared" ref="A192:A207" si="21">(A191+1)</f>
        <v>91</v>
      </c>
      <c r="B192" s="286" t="s">
        <v>678</v>
      </c>
      <c r="C192" s="287">
        <v>25</v>
      </c>
      <c r="D192" s="286" t="s">
        <v>675</v>
      </c>
      <c r="H192" s="1" t="s">
        <v>679</v>
      </c>
      <c r="N192" s="3"/>
      <c r="O192" s="1" t="s">
        <v>1550</v>
      </c>
      <c r="Q192" s="11"/>
      <c r="AC192" s="69">
        <f t="shared" si="19"/>
        <v>0</v>
      </c>
      <c r="AE192" s="1" t="s">
        <v>2346</v>
      </c>
    </row>
    <row r="193" spans="1:31" ht="24" customHeight="1">
      <c r="A193" s="285">
        <f t="shared" si="21"/>
        <v>92</v>
      </c>
      <c r="B193" s="286" t="s">
        <v>625</v>
      </c>
      <c r="C193" s="615">
        <v>290</v>
      </c>
      <c r="D193" s="286" t="s">
        <v>675</v>
      </c>
      <c r="H193" s="5" t="s">
        <v>1667</v>
      </c>
      <c r="N193" s="3"/>
      <c r="O193" s="5" t="s">
        <v>1667</v>
      </c>
      <c r="Q193" s="11"/>
      <c r="AC193" s="69">
        <f t="shared" si="19"/>
        <v>0</v>
      </c>
      <c r="AE193" s="1" t="s">
        <v>2346</v>
      </c>
    </row>
    <row r="194" spans="1:31" ht="24" customHeight="1">
      <c r="A194" s="285">
        <f t="shared" si="21"/>
        <v>93</v>
      </c>
      <c r="B194" s="286" t="s">
        <v>1722</v>
      </c>
      <c r="C194" s="290">
        <v>254.1</v>
      </c>
      <c r="D194" s="287">
        <v>96.11</v>
      </c>
      <c r="F194" s="8">
        <v>9</v>
      </c>
      <c r="G194" s="7" t="s">
        <v>884</v>
      </c>
      <c r="H194" s="1" t="s">
        <v>1723</v>
      </c>
      <c r="I194" s="8">
        <f>(C74)</f>
        <v>917.78</v>
      </c>
      <c r="J194" s="1" t="s">
        <v>884</v>
      </c>
      <c r="K194" s="8">
        <f>(F194*I194)</f>
        <v>8260.02</v>
      </c>
      <c r="M194" s="8">
        <v>9</v>
      </c>
      <c r="N194" s="7" t="s">
        <v>884</v>
      </c>
      <c r="O194" s="1" t="s">
        <v>701</v>
      </c>
      <c r="P194" s="8">
        <f>I194</f>
        <v>917.78</v>
      </c>
      <c r="Q194" s="1" t="s">
        <v>884</v>
      </c>
      <c r="R194" s="8">
        <f>(M194*P194)</f>
        <v>8260.02</v>
      </c>
      <c r="AC194" s="69">
        <f t="shared" si="19"/>
        <v>0</v>
      </c>
      <c r="AE194" s="1" t="s">
        <v>2346</v>
      </c>
    </row>
    <row r="195" spans="1:31" ht="24" customHeight="1">
      <c r="A195" s="285">
        <f t="shared" si="21"/>
        <v>94</v>
      </c>
      <c r="B195" s="286" t="s">
        <v>850</v>
      </c>
      <c r="C195" s="290">
        <v>156.75</v>
      </c>
      <c r="D195" s="286" t="s">
        <v>675</v>
      </c>
      <c r="F195" s="8">
        <v>4.5</v>
      </c>
      <c r="G195" s="7" t="s">
        <v>884</v>
      </c>
      <c r="H195" s="1" t="s">
        <v>1710</v>
      </c>
      <c r="I195" s="8">
        <f>(K49)</f>
        <v>2403.81</v>
      </c>
      <c r="J195" s="1" t="s">
        <v>884</v>
      </c>
      <c r="K195" s="8">
        <f>(F195*I195)</f>
        <v>10817.15</v>
      </c>
      <c r="M195" s="8">
        <v>4.5</v>
      </c>
      <c r="N195" s="7" t="s">
        <v>884</v>
      </c>
      <c r="O195" s="1" t="s">
        <v>1414</v>
      </c>
      <c r="P195" s="8">
        <f>K32</f>
        <v>3479.01</v>
      </c>
      <c r="Q195" s="1" t="s">
        <v>884</v>
      </c>
      <c r="R195" s="8">
        <f>(M195*P195)</f>
        <v>15655.55</v>
      </c>
      <c r="AC195" s="69">
        <f t="shared" si="19"/>
        <v>0</v>
      </c>
      <c r="AE195" s="1" t="s">
        <v>2346</v>
      </c>
    </row>
    <row r="196" spans="1:31" ht="24" customHeight="1">
      <c r="A196" s="285">
        <f t="shared" si="21"/>
        <v>95</v>
      </c>
      <c r="B196" s="286" t="s">
        <v>851</v>
      </c>
      <c r="C196" s="287">
        <v>0.25</v>
      </c>
      <c r="D196" s="286" t="s">
        <v>883</v>
      </c>
      <c r="F196" s="8">
        <v>1.8</v>
      </c>
      <c r="G196" s="7" t="s">
        <v>883</v>
      </c>
      <c r="H196" s="1" t="s">
        <v>1791</v>
      </c>
      <c r="I196" s="8">
        <f>(C11)</f>
        <v>386.4</v>
      </c>
      <c r="J196" s="1" t="s">
        <v>883</v>
      </c>
      <c r="K196" s="8">
        <f>(F196*I196)</f>
        <v>695.52</v>
      </c>
      <c r="M196" s="8">
        <v>1.8</v>
      </c>
      <c r="N196" s="7" t="s">
        <v>883</v>
      </c>
      <c r="O196" s="1" t="s">
        <v>1791</v>
      </c>
      <c r="P196" s="8">
        <f>I196</f>
        <v>386.4</v>
      </c>
      <c r="Q196" s="1" t="s">
        <v>883</v>
      </c>
      <c r="R196" s="8">
        <f>(M196*P196)</f>
        <v>695.52</v>
      </c>
      <c r="AC196" s="69">
        <f t="shared" si="19"/>
        <v>0</v>
      </c>
      <c r="AE196" s="1" t="s">
        <v>2346</v>
      </c>
    </row>
    <row r="197" spans="1:31" ht="24" customHeight="1">
      <c r="A197" s="285">
        <f t="shared" si="21"/>
        <v>96</v>
      </c>
      <c r="B197" s="286" t="s">
        <v>610</v>
      </c>
      <c r="C197" s="57">
        <v>35</v>
      </c>
      <c r="D197" s="286" t="s">
        <v>611</v>
      </c>
      <c r="F197" s="8">
        <v>17.7</v>
      </c>
      <c r="G197" s="7" t="s">
        <v>883</v>
      </c>
      <c r="H197" s="1" t="s">
        <v>1979</v>
      </c>
      <c r="I197" s="8">
        <f>(C12)</f>
        <v>269.85000000000002</v>
      </c>
      <c r="J197" s="1" t="s">
        <v>883</v>
      </c>
      <c r="K197" s="8">
        <f>(F197*I197)</f>
        <v>4776.3500000000004</v>
      </c>
      <c r="M197" s="8">
        <v>17.7</v>
      </c>
      <c r="N197" s="7" t="s">
        <v>883</v>
      </c>
      <c r="O197" s="1" t="s">
        <v>1979</v>
      </c>
      <c r="P197" s="8">
        <f>I197</f>
        <v>269.85000000000002</v>
      </c>
      <c r="Q197" s="1" t="s">
        <v>883</v>
      </c>
      <c r="R197" s="8">
        <f>(M197*P197)</f>
        <v>4776.3500000000004</v>
      </c>
      <c r="AC197" s="69">
        <f t="shared" si="19"/>
        <v>0</v>
      </c>
      <c r="AE197" s="1" t="s">
        <v>2346</v>
      </c>
    </row>
    <row r="198" spans="1:31" ht="24" customHeight="1">
      <c r="A198" s="285">
        <f t="shared" si="21"/>
        <v>97</v>
      </c>
      <c r="B198" s="286" t="s">
        <v>2694</v>
      </c>
      <c r="C198" s="57">
        <v>325</v>
      </c>
      <c r="D198" s="130">
        <v>100</v>
      </c>
      <c r="E198" s="286" t="s">
        <v>611</v>
      </c>
      <c r="F198" s="8">
        <v>14.1</v>
      </c>
      <c r="G198" s="7" t="s">
        <v>883</v>
      </c>
      <c r="H198" s="1" t="s">
        <v>324</v>
      </c>
      <c r="I198" s="8">
        <f>(C13)</f>
        <v>243.6</v>
      </c>
      <c r="J198" s="1" t="s">
        <v>883</v>
      </c>
      <c r="K198" s="8">
        <f>(F198*I198)</f>
        <v>3434.76</v>
      </c>
      <c r="M198" s="8">
        <v>14.1</v>
      </c>
      <c r="N198" s="7" t="s">
        <v>883</v>
      </c>
      <c r="O198" s="1" t="s">
        <v>324</v>
      </c>
      <c r="P198" s="8">
        <f>I198</f>
        <v>243.6</v>
      </c>
      <c r="Q198" s="1" t="s">
        <v>883</v>
      </c>
      <c r="R198" s="8">
        <f>(M198*P198)</f>
        <v>3434.76</v>
      </c>
      <c r="AC198" s="69">
        <f t="shared" si="19"/>
        <v>0</v>
      </c>
      <c r="AE198" s="1" t="s">
        <v>2346</v>
      </c>
    </row>
    <row r="199" spans="1:31" ht="24" customHeight="1">
      <c r="A199" s="285">
        <f t="shared" si="21"/>
        <v>98</v>
      </c>
      <c r="B199" s="286" t="s">
        <v>2170</v>
      </c>
      <c r="C199" s="57">
        <v>158</v>
      </c>
      <c r="D199" s="286" t="s">
        <v>781</v>
      </c>
      <c r="G199" s="7" t="s">
        <v>448</v>
      </c>
      <c r="H199" s="1" t="s">
        <v>449</v>
      </c>
      <c r="J199" s="1" t="s">
        <v>448</v>
      </c>
      <c r="K199" s="8">
        <v>0</v>
      </c>
      <c r="N199" s="7" t="s">
        <v>448</v>
      </c>
      <c r="O199" s="1" t="s">
        <v>449</v>
      </c>
      <c r="Q199" s="1" t="s">
        <v>448</v>
      </c>
      <c r="R199" s="8">
        <v>0</v>
      </c>
      <c r="AC199" s="69">
        <f t="shared" si="19"/>
        <v>0</v>
      </c>
      <c r="AE199" s="1" t="s">
        <v>2346</v>
      </c>
    </row>
    <row r="200" spans="1:31" ht="24" customHeight="1">
      <c r="A200" s="285">
        <f t="shared" si="21"/>
        <v>99</v>
      </c>
      <c r="B200" s="286" t="s">
        <v>1195</v>
      </c>
      <c r="C200" s="57">
        <v>1089</v>
      </c>
      <c r="D200" s="286" t="s">
        <v>781</v>
      </c>
      <c r="K200" s="5" t="s">
        <v>1667</v>
      </c>
      <c r="N200" s="3"/>
      <c r="Q200" s="11"/>
      <c r="R200" s="5" t="s">
        <v>1667</v>
      </c>
      <c r="AC200" s="69">
        <f t="shared" si="19"/>
        <v>0</v>
      </c>
      <c r="AE200" s="1" t="s">
        <v>2346</v>
      </c>
    </row>
    <row r="201" spans="1:31" ht="24" customHeight="1">
      <c r="A201" s="285">
        <f t="shared" si="21"/>
        <v>100</v>
      </c>
      <c r="B201" s="286" t="s">
        <v>1196</v>
      </c>
      <c r="C201" s="206">
        <v>47.2</v>
      </c>
      <c r="D201" s="286" t="s">
        <v>781</v>
      </c>
      <c r="K201" s="8">
        <f>SUM(K194:K199)</f>
        <v>27983.8</v>
      </c>
      <c r="N201" s="3"/>
      <c r="Q201" s="11"/>
      <c r="R201" s="8">
        <f>SUM(R194:R199)</f>
        <v>32822.199999999997</v>
      </c>
      <c r="AC201" s="69">
        <f t="shared" ref="AC201:AC264" si="22">AH202</f>
        <v>0</v>
      </c>
      <c r="AE201" s="1" t="s">
        <v>2346</v>
      </c>
    </row>
    <row r="202" spans="1:31" ht="24" customHeight="1">
      <c r="A202" s="285">
        <f t="shared" si="21"/>
        <v>101</v>
      </c>
      <c r="B202" s="286" t="s">
        <v>2860</v>
      </c>
      <c r="C202" s="207">
        <v>121</v>
      </c>
      <c r="D202" s="286" t="s">
        <v>781</v>
      </c>
      <c r="E202" s="208">
        <v>157</v>
      </c>
      <c r="H202" s="66" t="s">
        <v>618</v>
      </c>
      <c r="K202" s="5" t="s">
        <v>1667</v>
      </c>
      <c r="N202" s="3"/>
      <c r="O202" s="1" t="s">
        <v>618</v>
      </c>
      <c r="Q202" s="11"/>
      <c r="R202" s="5" t="s">
        <v>1667</v>
      </c>
      <c r="AC202" s="69">
        <f t="shared" si="22"/>
        <v>0</v>
      </c>
      <c r="AE202" s="1" t="s">
        <v>325</v>
      </c>
    </row>
    <row r="203" spans="1:31" ht="24" customHeight="1">
      <c r="A203" s="285">
        <f t="shared" si="21"/>
        <v>102</v>
      </c>
      <c r="B203" s="286" t="s">
        <v>694</v>
      </c>
      <c r="C203" s="207">
        <v>60</v>
      </c>
      <c r="D203" s="286" t="s">
        <v>781</v>
      </c>
      <c r="K203" s="639">
        <f>(K201/10)</f>
        <v>2798.38</v>
      </c>
      <c r="N203" s="3"/>
      <c r="Q203" s="11"/>
      <c r="R203" s="8">
        <f>(R201/10)</f>
        <v>3282.22</v>
      </c>
      <c r="AC203" s="69">
        <f t="shared" si="22"/>
        <v>0</v>
      </c>
    </row>
    <row r="204" spans="1:31" ht="24" customHeight="1">
      <c r="A204" s="285">
        <f t="shared" si="21"/>
        <v>103</v>
      </c>
      <c r="B204" s="286" t="s">
        <v>626</v>
      </c>
      <c r="C204" s="207">
        <v>96.5</v>
      </c>
      <c r="D204" s="286" t="s">
        <v>781</v>
      </c>
      <c r="H204" s="64" t="s">
        <v>785</v>
      </c>
      <c r="K204" s="5" t="s">
        <v>2130</v>
      </c>
      <c r="N204" s="3"/>
      <c r="O204" s="1" t="s">
        <v>785</v>
      </c>
      <c r="Q204" s="11"/>
      <c r="R204" s="5" t="s">
        <v>2130</v>
      </c>
      <c r="AC204" s="69">
        <f t="shared" si="22"/>
        <v>0</v>
      </c>
    </row>
    <row r="205" spans="1:31" ht="24" customHeight="1">
      <c r="A205" s="285">
        <f t="shared" si="21"/>
        <v>104</v>
      </c>
      <c r="B205" s="286" t="s">
        <v>2859</v>
      </c>
      <c r="C205" s="207">
        <v>96</v>
      </c>
      <c r="D205" s="286" t="s">
        <v>781</v>
      </c>
      <c r="E205" s="208">
        <v>133</v>
      </c>
      <c r="AC205" s="69">
        <f t="shared" si="22"/>
        <v>0</v>
      </c>
      <c r="AE205" s="1" t="s">
        <v>2346</v>
      </c>
    </row>
    <row r="206" spans="1:31" ht="24" customHeight="1">
      <c r="A206" s="285">
        <f t="shared" si="21"/>
        <v>105</v>
      </c>
      <c r="B206" s="286" t="s">
        <v>695</v>
      </c>
      <c r="C206" s="207">
        <v>242.55</v>
      </c>
      <c r="D206" s="286" t="s">
        <v>696</v>
      </c>
      <c r="F206" s="2" t="s">
        <v>697</v>
      </c>
      <c r="G206" s="7" t="s">
        <v>2338</v>
      </c>
      <c r="H206" s="1" t="s">
        <v>1008</v>
      </c>
      <c r="AC206" s="69">
        <f t="shared" si="22"/>
        <v>0</v>
      </c>
    </row>
    <row r="207" spans="1:31" ht="24" customHeight="1">
      <c r="A207" s="285">
        <f t="shared" si="21"/>
        <v>106</v>
      </c>
      <c r="B207" s="286" t="s">
        <v>698</v>
      </c>
      <c r="C207" s="207">
        <v>157</v>
      </c>
      <c r="D207" s="286" t="s">
        <v>781</v>
      </c>
      <c r="H207" s="1" t="s">
        <v>1550</v>
      </c>
      <c r="N207" s="1" t="s">
        <v>699</v>
      </c>
      <c r="O207" s="1" t="s">
        <v>700</v>
      </c>
      <c r="AC207" s="69">
        <f t="shared" si="22"/>
        <v>0</v>
      </c>
    </row>
    <row r="208" spans="1:31" ht="24" customHeight="1">
      <c r="A208" s="288"/>
      <c r="B208" s="288"/>
      <c r="C208" s="288"/>
      <c r="D208" s="288"/>
      <c r="H208" s="5" t="s">
        <v>1667</v>
      </c>
      <c r="O208" s="5" t="s">
        <v>1667</v>
      </c>
      <c r="AC208" s="69">
        <f t="shared" si="22"/>
        <v>0</v>
      </c>
    </row>
    <row r="209" spans="1:29" ht="24" customHeight="1">
      <c r="A209" s="288"/>
      <c r="B209" s="288"/>
      <c r="C209" s="288"/>
      <c r="D209" s="288"/>
      <c r="F209" s="8">
        <v>9</v>
      </c>
      <c r="G209" s="7" t="s">
        <v>884</v>
      </c>
      <c r="H209" s="1" t="s">
        <v>701</v>
      </c>
      <c r="I209" s="8">
        <f>C73</f>
        <v>1236.78</v>
      </c>
      <c r="J209" s="1" t="s">
        <v>884</v>
      </c>
      <c r="K209" s="8">
        <f>(F209*I209)</f>
        <v>11131.02</v>
      </c>
      <c r="M209" s="16">
        <v>1.153E-2</v>
      </c>
      <c r="N209" s="1" t="s">
        <v>884</v>
      </c>
      <c r="O209" s="1" t="s">
        <v>702</v>
      </c>
      <c r="P209" s="8">
        <f>C88</f>
        <v>102600</v>
      </c>
      <c r="Q209" s="1" t="s">
        <v>884</v>
      </c>
      <c r="R209" s="8">
        <f t="shared" ref="R209:R218" si="23">(M209*P209)</f>
        <v>1182.98</v>
      </c>
      <c r="AC209" s="69">
        <f t="shared" si="22"/>
        <v>0</v>
      </c>
    </row>
    <row r="210" spans="1:29" ht="24" customHeight="1">
      <c r="A210" s="288"/>
      <c r="B210" s="288"/>
      <c r="C210" s="288"/>
      <c r="D210" s="288"/>
      <c r="F210" s="8">
        <v>4.5</v>
      </c>
      <c r="G210" s="7" t="s">
        <v>884</v>
      </c>
      <c r="H210" s="1" t="s">
        <v>123</v>
      </c>
      <c r="I210" s="8">
        <f>K23</f>
        <v>4823.01</v>
      </c>
      <c r="J210" s="1" t="s">
        <v>884</v>
      </c>
      <c r="K210" s="8">
        <f>(F210*I210)</f>
        <v>21703.55</v>
      </c>
      <c r="M210" s="16">
        <v>1.013E-2</v>
      </c>
      <c r="N210" s="1" t="s">
        <v>884</v>
      </c>
      <c r="O210" s="1" t="s">
        <v>703</v>
      </c>
      <c r="P210" s="8">
        <f>C89</f>
        <v>91300</v>
      </c>
      <c r="Q210" s="1" t="s">
        <v>884</v>
      </c>
      <c r="R210" s="8">
        <f t="shared" si="23"/>
        <v>924.87</v>
      </c>
      <c r="AC210" s="69">
        <f t="shared" si="22"/>
        <v>0</v>
      </c>
    </row>
    <row r="211" spans="1:29" ht="24" customHeight="1">
      <c r="A211" s="288"/>
      <c r="B211" s="288"/>
      <c r="C211" s="288"/>
      <c r="D211" s="288"/>
      <c r="F211" s="8">
        <v>1.8</v>
      </c>
      <c r="G211" s="7" t="s">
        <v>883</v>
      </c>
      <c r="H211" s="1" t="s">
        <v>1791</v>
      </c>
      <c r="I211" s="8">
        <f>C11</f>
        <v>386.4</v>
      </c>
      <c r="J211" s="1" t="s">
        <v>883</v>
      </c>
      <c r="K211" s="8">
        <f>(F211*I211)</f>
        <v>695.52</v>
      </c>
      <c r="M211" s="16">
        <v>0.77780000000000005</v>
      </c>
      <c r="N211" s="1" t="s">
        <v>611</v>
      </c>
      <c r="O211" s="1" t="s">
        <v>2163</v>
      </c>
      <c r="P211" s="8">
        <f>C752</f>
        <v>387.5</v>
      </c>
      <c r="Q211" s="1" t="s">
        <v>611</v>
      </c>
      <c r="R211" s="8">
        <f t="shared" si="23"/>
        <v>301.39999999999998</v>
      </c>
      <c r="AC211" s="69">
        <f t="shared" si="22"/>
        <v>0</v>
      </c>
    </row>
    <row r="212" spans="1:29" ht="24" customHeight="1">
      <c r="A212" s="288"/>
      <c r="B212" s="288"/>
      <c r="C212" s="288"/>
      <c r="D212" s="288"/>
      <c r="F212" s="8">
        <v>17.7</v>
      </c>
      <c r="G212" s="7" t="s">
        <v>883</v>
      </c>
      <c r="H212" s="1" t="s">
        <v>1979</v>
      </c>
      <c r="I212" s="8">
        <f>C12</f>
        <v>269.85000000000002</v>
      </c>
      <c r="J212" s="1" t="s">
        <v>883</v>
      </c>
      <c r="K212" s="8">
        <f>(F212*I212)</f>
        <v>4776.3500000000004</v>
      </c>
      <c r="M212" s="16">
        <v>1.23</v>
      </c>
      <c r="N212" s="1" t="s">
        <v>611</v>
      </c>
      <c r="O212" s="1" t="s">
        <v>2164</v>
      </c>
      <c r="P212" s="8">
        <f>D30</f>
        <v>554.4</v>
      </c>
      <c r="Q212" s="1" t="s">
        <v>611</v>
      </c>
      <c r="R212" s="8">
        <f t="shared" si="23"/>
        <v>681.91</v>
      </c>
      <c r="AC212" s="69">
        <f t="shared" si="22"/>
        <v>0</v>
      </c>
    </row>
    <row r="213" spans="1:29" ht="24" customHeight="1">
      <c r="A213" s="288"/>
      <c r="B213" s="288"/>
      <c r="C213" s="288"/>
      <c r="D213" s="288"/>
      <c r="F213" s="8">
        <v>14.1</v>
      </c>
      <c r="G213" s="7" t="s">
        <v>883</v>
      </c>
      <c r="H213" s="1" t="s">
        <v>324</v>
      </c>
      <c r="I213" s="8">
        <f>C13</f>
        <v>243.6</v>
      </c>
      <c r="J213" s="1" t="s">
        <v>883</v>
      </c>
      <c r="K213" s="8">
        <f>(F213*I213)</f>
        <v>3434.76</v>
      </c>
      <c r="M213" s="8">
        <v>2</v>
      </c>
      <c r="N213" s="1" t="s">
        <v>883</v>
      </c>
      <c r="O213" s="1" t="s">
        <v>2165</v>
      </c>
      <c r="P213" s="8">
        <f>C283</f>
        <v>50.6</v>
      </c>
      <c r="Q213" s="1" t="s">
        <v>883</v>
      </c>
      <c r="R213" s="8">
        <f t="shared" si="23"/>
        <v>101.2</v>
      </c>
      <c r="AC213" s="69">
        <f t="shared" si="22"/>
        <v>0</v>
      </c>
    </row>
    <row r="214" spans="1:29" ht="24" customHeight="1">
      <c r="A214" s="288"/>
      <c r="B214" s="288"/>
      <c r="C214" s="288"/>
      <c r="D214" s="288"/>
      <c r="G214" s="7" t="s">
        <v>448</v>
      </c>
      <c r="H214" s="1" t="s">
        <v>449</v>
      </c>
      <c r="J214" s="1" t="s">
        <v>448</v>
      </c>
      <c r="K214" s="8">
        <v>0</v>
      </c>
      <c r="M214" s="8">
        <v>3</v>
      </c>
      <c r="N214" s="1" t="s">
        <v>883</v>
      </c>
      <c r="O214" s="1" t="s">
        <v>2166</v>
      </c>
      <c r="P214" s="8">
        <f>C278</f>
        <v>69.849999999999994</v>
      </c>
      <c r="Q214" s="1" t="s">
        <v>883</v>
      </c>
      <c r="R214" s="8">
        <f t="shared" si="23"/>
        <v>209.55</v>
      </c>
      <c r="T214">
        <v>0</v>
      </c>
      <c r="AC214" s="69">
        <f t="shared" si="22"/>
        <v>0</v>
      </c>
    </row>
    <row r="215" spans="1:29" ht="24" customHeight="1">
      <c r="A215" s="288"/>
      <c r="B215" s="288"/>
      <c r="C215" s="288"/>
      <c r="D215" s="288"/>
      <c r="K215" s="5" t="s">
        <v>1667</v>
      </c>
      <c r="M215" s="8">
        <v>1</v>
      </c>
      <c r="N215" s="1" t="s">
        <v>883</v>
      </c>
      <c r="O215" s="1" t="s">
        <v>2055</v>
      </c>
      <c r="P215" s="8">
        <f>C285</f>
        <v>158.4</v>
      </c>
      <c r="Q215" s="1" t="s">
        <v>883</v>
      </c>
      <c r="R215" s="8">
        <f t="shared" si="23"/>
        <v>158.4</v>
      </c>
      <c r="AC215" s="69">
        <f t="shared" si="22"/>
        <v>0</v>
      </c>
    </row>
    <row r="216" spans="1:29" ht="24" customHeight="1">
      <c r="A216" s="288"/>
      <c r="B216" s="288"/>
      <c r="C216" s="288"/>
      <c r="D216" s="288"/>
      <c r="K216" s="8">
        <f>SUM(K209:K214)</f>
        <v>41741.199999999997</v>
      </c>
      <c r="M216" s="8">
        <v>1</v>
      </c>
      <c r="N216" s="1" t="s">
        <v>883</v>
      </c>
      <c r="O216" s="1" t="s">
        <v>2056</v>
      </c>
      <c r="P216" s="8">
        <f>C287</f>
        <v>7.5</v>
      </c>
      <c r="Q216" s="1" t="s">
        <v>883</v>
      </c>
      <c r="R216" s="8">
        <f t="shared" si="23"/>
        <v>7.5</v>
      </c>
      <c r="AC216" s="69">
        <f t="shared" si="22"/>
        <v>0</v>
      </c>
    </row>
    <row r="217" spans="1:29" ht="24" customHeight="1">
      <c r="A217" s="288"/>
      <c r="B217" s="288"/>
      <c r="C217" s="288"/>
      <c r="D217" s="288"/>
      <c r="H217" s="1" t="s">
        <v>618</v>
      </c>
      <c r="K217" s="5" t="s">
        <v>1667</v>
      </c>
      <c r="M217" s="8">
        <v>1</v>
      </c>
      <c r="N217" s="1" t="s">
        <v>883</v>
      </c>
      <c r="O217" s="1" t="s">
        <v>2057</v>
      </c>
      <c r="P217" s="8">
        <f>C575</f>
        <v>50.6</v>
      </c>
      <c r="Q217" s="1" t="s">
        <v>883</v>
      </c>
      <c r="R217" s="8">
        <f t="shared" si="23"/>
        <v>50.6</v>
      </c>
      <c r="AC217" s="69">
        <f t="shared" si="22"/>
        <v>0</v>
      </c>
    </row>
    <row r="218" spans="1:29" ht="24" customHeight="1">
      <c r="A218" s="288"/>
      <c r="B218" s="288"/>
      <c r="C218" s="288"/>
      <c r="D218" s="288"/>
      <c r="K218" s="40">
        <f>(K216/10)</f>
        <v>4174.12</v>
      </c>
      <c r="M218" s="8">
        <v>1</v>
      </c>
      <c r="N218" s="1" t="s">
        <v>883</v>
      </c>
      <c r="O218" s="1" t="s">
        <v>2058</v>
      </c>
      <c r="P218" s="8">
        <f>D575</f>
        <v>44.4</v>
      </c>
      <c r="Q218" s="1" t="s">
        <v>883</v>
      </c>
      <c r="R218" s="8">
        <f t="shared" si="23"/>
        <v>44.4</v>
      </c>
      <c r="AC218" s="69">
        <f t="shared" si="22"/>
        <v>0</v>
      </c>
    </row>
    <row r="219" spans="1:29" ht="24" customHeight="1">
      <c r="A219" s="288"/>
      <c r="B219" s="288"/>
      <c r="C219" s="288"/>
      <c r="D219" s="288"/>
      <c r="H219" s="64" t="s">
        <v>785</v>
      </c>
      <c r="K219" s="5" t="s">
        <v>2130</v>
      </c>
      <c r="R219" s="5" t="s">
        <v>1667</v>
      </c>
      <c r="AC219" s="69">
        <f t="shared" si="22"/>
        <v>0</v>
      </c>
    </row>
    <row r="220" spans="1:29" ht="24" customHeight="1">
      <c r="A220" s="288"/>
      <c r="B220" s="288"/>
      <c r="C220" s="288"/>
      <c r="D220" s="288"/>
      <c r="O220" s="2" t="s">
        <v>2059</v>
      </c>
      <c r="R220" s="8">
        <f>SUM(R209:R218)</f>
        <v>3662.81</v>
      </c>
      <c r="AC220" s="69">
        <f t="shared" si="22"/>
        <v>0</v>
      </c>
    </row>
    <row r="221" spans="1:29" ht="24" customHeight="1">
      <c r="A221" s="288"/>
      <c r="B221" s="288"/>
      <c r="C221" s="288"/>
      <c r="D221" s="288"/>
      <c r="F221" s="2" t="s">
        <v>2144</v>
      </c>
      <c r="G221" s="7" t="s">
        <v>2338</v>
      </c>
      <c r="H221" s="1" t="s">
        <v>1009</v>
      </c>
      <c r="N221" s="1" t="s">
        <v>995</v>
      </c>
      <c r="R221" s="5" t="s">
        <v>1667</v>
      </c>
      <c r="AC221" s="69">
        <f t="shared" si="22"/>
        <v>0</v>
      </c>
    </row>
    <row r="222" spans="1:29" ht="24" customHeight="1">
      <c r="A222" s="288"/>
      <c r="B222" s="288"/>
      <c r="C222" s="288"/>
      <c r="D222" s="288"/>
      <c r="H222" s="1" t="s">
        <v>2145</v>
      </c>
      <c r="M222" s="1" t="s">
        <v>995</v>
      </c>
      <c r="AC222" s="69">
        <f t="shared" si="22"/>
        <v>0</v>
      </c>
    </row>
    <row r="223" spans="1:29" ht="24" customHeight="1">
      <c r="A223" s="288"/>
      <c r="B223" s="288"/>
      <c r="C223" s="288"/>
      <c r="D223" s="288"/>
      <c r="H223" s="5" t="s">
        <v>1667</v>
      </c>
      <c r="O223" s="2" t="s">
        <v>555</v>
      </c>
      <c r="R223" s="8">
        <f>R220/M212</f>
        <v>2977.89</v>
      </c>
      <c r="AC223" s="69">
        <f t="shared" si="22"/>
        <v>0</v>
      </c>
    </row>
    <row r="224" spans="1:29" ht="24" customHeight="1">
      <c r="A224" s="288"/>
      <c r="B224" s="288"/>
      <c r="C224" s="288"/>
      <c r="D224" s="288"/>
      <c r="F224" s="8">
        <v>9</v>
      </c>
      <c r="G224" s="7" t="s">
        <v>884</v>
      </c>
      <c r="H224" s="1" t="s">
        <v>1888</v>
      </c>
      <c r="I224" s="8">
        <f>AA20</f>
        <v>673.42</v>
      </c>
      <c r="J224" s="1" t="s">
        <v>884</v>
      </c>
      <c r="K224" s="8">
        <f>(F224*I224)</f>
        <v>6060.78</v>
      </c>
      <c r="M224" s="1" t="s">
        <v>325</v>
      </c>
      <c r="AC224" s="69">
        <f t="shared" si="22"/>
        <v>0</v>
      </c>
    </row>
    <row r="225" spans="1:29" ht="24" customHeight="1">
      <c r="A225" s="288"/>
      <c r="B225" s="288"/>
      <c r="C225" s="288"/>
      <c r="D225" s="288"/>
      <c r="F225" s="8">
        <v>4.5</v>
      </c>
      <c r="G225" s="7" t="s">
        <v>884</v>
      </c>
      <c r="H225" s="1" t="s">
        <v>1717</v>
      </c>
      <c r="I225" s="8">
        <f>K77</f>
        <v>1799.01</v>
      </c>
      <c r="J225" s="1" t="s">
        <v>884</v>
      </c>
      <c r="K225" s="8">
        <f>(F225*I225)</f>
        <v>8095.55</v>
      </c>
      <c r="AC225" s="69">
        <f t="shared" si="22"/>
        <v>0</v>
      </c>
    </row>
    <row r="226" spans="1:29" ht="24" customHeight="1">
      <c r="A226" s="288"/>
      <c r="B226" s="288"/>
      <c r="C226" s="288"/>
      <c r="D226" s="288"/>
      <c r="F226" s="8">
        <v>1.8</v>
      </c>
      <c r="G226" s="7" t="s">
        <v>883</v>
      </c>
      <c r="H226" s="1" t="s">
        <v>1791</v>
      </c>
      <c r="I226" s="8">
        <f>C11</f>
        <v>386.4</v>
      </c>
      <c r="J226" s="1" t="s">
        <v>883</v>
      </c>
      <c r="K226" s="8">
        <f>(F226*I226)</f>
        <v>695.52</v>
      </c>
      <c r="AC226" s="69">
        <f t="shared" si="22"/>
        <v>0</v>
      </c>
    </row>
    <row r="227" spans="1:29" ht="24" customHeight="1">
      <c r="A227" s="288"/>
      <c r="B227" s="288"/>
      <c r="C227" s="288"/>
      <c r="D227" s="288"/>
      <c r="F227" s="8">
        <v>17.7</v>
      </c>
      <c r="G227" s="7" t="s">
        <v>883</v>
      </c>
      <c r="H227" s="1" t="s">
        <v>1979</v>
      </c>
      <c r="I227" s="8">
        <f>C12</f>
        <v>269.85000000000002</v>
      </c>
      <c r="J227" s="1" t="s">
        <v>883</v>
      </c>
      <c r="K227" s="8">
        <f>(F227*I227)</f>
        <v>4776.3500000000004</v>
      </c>
      <c r="M227" s="2" t="s">
        <v>2144</v>
      </c>
      <c r="N227" s="7" t="s">
        <v>2338</v>
      </c>
      <c r="O227" s="1" t="s">
        <v>546</v>
      </c>
      <c r="Q227" s="11"/>
      <c r="AC227" s="69">
        <f t="shared" si="22"/>
        <v>0</v>
      </c>
    </row>
    <row r="228" spans="1:29" ht="24" customHeight="1">
      <c r="A228" s="288"/>
      <c r="B228" s="288"/>
      <c r="C228" s="288"/>
      <c r="D228" s="288"/>
      <c r="F228" s="8">
        <v>14.1</v>
      </c>
      <c r="G228" s="7" t="s">
        <v>883</v>
      </c>
      <c r="H228" s="1" t="s">
        <v>324</v>
      </c>
      <c r="I228" s="8">
        <f>C13</f>
        <v>243.6</v>
      </c>
      <c r="J228" s="1" t="s">
        <v>883</v>
      </c>
      <c r="K228" s="8">
        <f>(F228*I228)</f>
        <v>3434.76</v>
      </c>
      <c r="N228" s="3"/>
      <c r="O228" s="1" t="s">
        <v>2145</v>
      </c>
      <c r="Q228" s="11"/>
      <c r="AC228" s="69">
        <f t="shared" si="22"/>
        <v>0</v>
      </c>
    </row>
    <row r="229" spans="1:29" ht="24" customHeight="1">
      <c r="A229" s="288"/>
      <c r="B229" s="288"/>
      <c r="C229" s="288"/>
      <c r="D229" s="288"/>
      <c r="G229" s="7" t="s">
        <v>448</v>
      </c>
      <c r="H229" s="1" t="s">
        <v>449</v>
      </c>
      <c r="J229" s="1" t="s">
        <v>448</v>
      </c>
      <c r="K229" s="8">
        <v>0</v>
      </c>
      <c r="N229" s="3"/>
      <c r="O229" s="5" t="s">
        <v>1667</v>
      </c>
      <c r="Q229" s="11"/>
      <c r="AC229" s="69">
        <f t="shared" si="22"/>
        <v>0</v>
      </c>
    </row>
    <row r="230" spans="1:29" ht="24" customHeight="1">
      <c r="A230" s="288"/>
      <c r="B230" s="288"/>
      <c r="C230" s="288"/>
      <c r="D230" s="288"/>
      <c r="K230" s="5" t="s">
        <v>1667</v>
      </c>
      <c r="M230" s="8">
        <v>9</v>
      </c>
      <c r="N230" s="7" t="s">
        <v>884</v>
      </c>
      <c r="O230" s="1" t="s">
        <v>2362</v>
      </c>
      <c r="P230" s="8">
        <f>AA15</f>
        <v>917.78</v>
      </c>
      <c r="Q230" s="1" t="s">
        <v>884</v>
      </c>
      <c r="R230" s="8">
        <f>(M230*P230)</f>
        <v>8260.02</v>
      </c>
      <c r="AC230" s="69">
        <f t="shared" si="22"/>
        <v>0</v>
      </c>
    </row>
    <row r="231" spans="1:29" ht="24" customHeight="1">
      <c r="A231" s="288"/>
      <c r="B231" s="288"/>
      <c r="C231" s="288"/>
      <c r="D231" s="288"/>
      <c r="K231" s="8">
        <f>SUM(K224:K229)</f>
        <v>23062.959999999999</v>
      </c>
      <c r="M231" s="8">
        <v>4.5</v>
      </c>
      <c r="N231" s="7" t="s">
        <v>884</v>
      </c>
      <c r="O231" s="1" t="s">
        <v>1364</v>
      </c>
      <c r="P231" s="8">
        <f>K40</f>
        <v>2807.01</v>
      </c>
      <c r="Q231" s="1" t="s">
        <v>884</v>
      </c>
      <c r="R231" s="8">
        <f>(M231*P231)</f>
        <v>12631.55</v>
      </c>
      <c r="AC231" s="69">
        <f t="shared" si="22"/>
        <v>0</v>
      </c>
    </row>
    <row r="232" spans="1:29" ht="24" customHeight="1">
      <c r="A232" s="288"/>
      <c r="B232" s="288"/>
      <c r="C232" s="288"/>
      <c r="D232" s="288"/>
      <c r="H232" s="1" t="s">
        <v>618</v>
      </c>
      <c r="K232" s="5" t="s">
        <v>1667</v>
      </c>
      <c r="M232" s="8">
        <v>1.8</v>
      </c>
      <c r="N232" s="7" t="s">
        <v>883</v>
      </c>
      <c r="O232" s="1" t="s">
        <v>1791</v>
      </c>
      <c r="P232" s="8">
        <f>I226</f>
        <v>386.4</v>
      </c>
      <c r="Q232" s="1" t="s">
        <v>883</v>
      </c>
      <c r="R232" s="8">
        <f>(M232*P232)</f>
        <v>695.52</v>
      </c>
      <c r="AC232" s="69">
        <f t="shared" si="22"/>
        <v>0</v>
      </c>
    </row>
    <row r="233" spans="1:29" ht="24" customHeight="1">
      <c r="A233" s="288"/>
      <c r="B233" s="288"/>
      <c r="C233" s="288"/>
      <c r="D233" s="288"/>
      <c r="K233" s="40">
        <f>(K231/10)</f>
        <v>2306.3000000000002</v>
      </c>
      <c r="M233" s="8">
        <v>17.7</v>
      </c>
      <c r="N233" s="7" t="s">
        <v>883</v>
      </c>
      <c r="O233" s="1" t="s">
        <v>1979</v>
      </c>
      <c r="P233" s="8">
        <f>I227</f>
        <v>269.85000000000002</v>
      </c>
      <c r="Q233" s="1" t="s">
        <v>883</v>
      </c>
      <c r="R233" s="8">
        <f>(M233*P233)</f>
        <v>4776.3500000000004</v>
      </c>
      <c r="AC233" s="69">
        <f t="shared" si="22"/>
        <v>0</v>
      </c>
    </row>
    <row r="234" spans="1:29" ht="24" customHeight="1">
      <c r="A234" s="288"/>
      <c r="B234" s="288"/>
      <c r="C234" s="288"/>
      <c r="D234" s="288"/>
      <c r="H234" s="64" t="s">
        <v>785</v>
      </c>
      <c r="K234" s="5" t="s">
        <v>2130</v>
      </c>
      <c r="M234" s="8">
        <v>14.1</v>
      </c>
      <c r="N234" s="7" t="s">
        <v>883</v>
      </c>
      <c r="O234" s="1" t="s">
        <v>324</v>
      </c>
      <c r="P234" s="8">
        <f>I228</f>
        <v>243.6</v>
      </c>
      <c r="Q234" s="1" t="s">
        <v>883</v>
      </c>
      <c r="R234" s="8">
        <f>(M234*P234)</f>
        <v>3434.76</v>
      </c>
      <c r="AC234" s="69">
        <f t="shared" si="22"/>
        <v>0</v>
      </c>
    </row>
    <row r="235" spans="1:29" ht="24" customHeight="1">
      <c r="A235" s="288"/>
      <c r="B235" s="288"/>
      <c r="C235" s="288"/>
      <c r="D235" s="288"/>
      <c r="N235" s="7" t="s">
        <v>448</v>
      </c>
      <c r="O235" s="1" t="s">
        <v>449</v>
      </c>
      <c r="Q235" s="1" t="s">
        <v>448</v>
      </c>
      <c r="R235" s="8">
        <v>0</v>
      </c>
      <c r="AC235" s="69">
        <f t="shared" si="22"/>
        <v>0</v>
      </c>
    </row>
    <row r="236" spans="1:29" ht="24" customHeight="1">
      <c r="A236" s="288"/>
      <c r="B236" s="288"/>
      <c r="C236" s="288"/>
      <c r="D236" s="288"/>
      <c r="N236" s="3"/>
      <c r="Q236" s="11"/>
      <c r="R236" s="5" t="s">
        <v>1667</v>
      </c>
      <c r="AC236" s="69">
        <f t="shared" si="22"/>
        <v>0</v>
      </c>
    </row>
    <row r="237" spans="1:29" ht="24" customHeight="1">
      <c r="A237" s="288"/>
      <c r="B237" s="288"/>
      <c r="C237" s="288"/>
      <c r="D237" s="288"/>
      <c r="F237" s="26">
        <v>3.6</v>
      </c>
      <c r="H237" s="1" t="s">
        <v>3</v>
      </c>
      <c r="N237" s="3"/>
      <c r="Q237" s="11"/>
      <c r="R237" s="8">
        <f>SUM(R230:R235)</f>
        <v>29798.2</v>
      </c>
      <c r="AC237" s="69">
        <f t="shared" si="22"/>
        <v>0</v>
      </c>
    </row>
    <row r="238" spans="1:29" ht="24" customHeight="1">
      <c r="A238" s="288"/>
      <c r="B238" s="288"/>
      <c r="C238" s="288"/>
      <c r="D238" s="288"/>
      <c r="H238" s="1" t="s">
        <v>649</v>
      </c>
      <c r="N238" s="3"/>
      <c r="O238" s="1" t="s">
        <v>618</v>
      </c>
      <c r="Q238" s="11"/>
      <c r="R238" s="5" t="s">
        <v>1667</v>
      </c>
      <c r="AC238" s="69">
        <f t="shared" si="22"/>
        <v>0</v>
      </c>
    </row>
    <row r="239" spans="1:29" ht="24" customHeight="1">
      <c r="A239" s="288"/>
      <c r="B239" s="288"/>
      <c r="C239" s="288"/>
      <c r="D239" s="288"/>
      <c r="H239" s="5" t="s">
        <v>2130</v>
      </c>
      <c r="N239" s="3"/>
      <c r="Q239" s="11"/>
      <c r="R239" s="40">
        <f>(R237/10)</f>
        <v>2979.82</v>
      </c>
      <c r="AC239" s="69">
        <f t="shared" si="22"/>
        <v>0</v>
      </c>
    </row>
    <row r="240" spans="1:29" ht="24" customHeight="1">
      <c r="A240" s="288"/>
      <c r="B240" s="288"/>
      <c r="C240" s="288"/>
      <c r="D240" s="288"/>
      <c r="F240" s="8">
        <v>1.25</v>
      </c>
      <c r="G240" s="7" t="s">
        <v>1402</v>
      </c>
      <c r="H240" s="1" t="s">
        <v>1567</v>
      </c>
      <c r="I240" s="347">
        <f>C781</f>
        <v>3.15</v>
      </c>
      <c r="J240" s="1" t="s">
        <v>1402</v>
      </c>
      <c r="K240" s="8">
        <f>(F240*I240)</f>
        <v>3.94</v>
      </c>
      <c r="N240" s="3"/>
      <c r="O240" s="64" t="s">
        <v>785</v>
      </c>
      <c r="Q240" s="11"/>
      <c r="R240" s="5" t="s">
        <v>2130</v>
      </c>
      <c r="AC240" s="69">
        <f t="shared" si="22"/>
        <v>0</v>
      </c>
    </row>
    <row r="241" spans="1:29" ht="24" customHeight="1">
      <c r="A241" s="288"/>
      <c r="B241" s="288"/>
      <c r="C241" s="288"/>
      <c r="D241" s="288"/>
      <c r="F241" s="8">
        <v>0.75</v>
      </c>
      <c r="G241" s="7" t="s">
        <v>1402</v>
      </c>
      <c r="H241" s="1" t="s">
        <v>759</v>
      </c>
      <c r="I241" s="8">
        <f>AA37</f>
        <v>595.45000000000005</v>
      </c>
      <c r="J241" s="1" t="s">
        <v>1402</v>
      </c>
      <c r="K241" s="8">
        <f>(F241*I241)</f>
        <v>446.59</v>
      </c>
      <c r="AC241" s="69">
        <f t="shared" si="22"/>
        <v>0</v>
      </c>
    </row>
    <row r="242" spans="1:29" ht="24" customHeight="1">
      <c r="A242" s="288"/>
      <c r="B242" s="288"/>
      <c r="C242" s="288"/>
      <c r="D242" s="288"/>
      <c r="F242" s="8">
        <v>0.5</v>
      </c>
      <c r="G242" s="7" t="s">
        <v>1402</v>
      </c>
      <c r="H242" s="1" t="s">
        <v>2171</v>
      </c>
      <c r="I242" s="8">
        <f>AA36</f>
        <v>668.28</v>
      </c>
      <c r="J242" s="1" t="s">
        <v>1402</v>
      </c>
      <c r="K242" s="8">
        <f>(F242*I242)</f>
        <v>334.14</v>
      </c>
      <c r="AC242" s="69">
        <f t="shared" si="22"/>
        <v>0</v>
      </c>
    </row>
    <row r="243" spans="1:29" ht="24" customHeight="1">
      <c r="A243" s="288"/>
      <c r="B243" s="288"/>
      <c r="C243" s="288"/>
      <c r="D243" s="288"/>
      <c r="F243" s="8">
        <v>0.45</v>
      </c>
      <c r="G243" s="7" t="s">
        <v>1402</v>
      </c>
      <c r="H243" s="1" t="s">
        <v>940</v>
      </c>
      <c r="I243" s="8">
        <f>AA38</f>
        <v>274.54000000000002</v>
      </c>
      <c r="J243" s="1" t="s">
        <v>1402</v>
      </c>
      <c r="K243" s="8">
        <f>(F243*I243)</f>
        <v>123.54</v>
      </c>
      <c r="AC243" s="69">
        <f t="shared" si="22"/>
        <v>0</v>
      </c>
    </row>
    <row r="244" spans="1:29" ht="24" customHeight="1">
      <c r="A244" s="288"/>
      <c r="B244" s="288"/>
      <c r="C244" s="288"/>
      <c r="D244" s="288"/>
      <c r="F244" s="8">
        <v>10</v>
      </c>
      <c r="G244" s="7" t="s">
        <v>234</v>
      </c>
      <c r="H244" s="1" t="s">
        <v>1989</v>
      </c>
      <c r="I244" s="347">
        <v>17.82</v>
      </c>
      <c r="J244" s="1" t="s">
        <v>234</v>
      </c>
      <c r="K244" s="8">
        <f>(F244*I244)</f>
        <v>178.2</v>
      </c>
      <c r="AC244" s="69">
        <f t="shared" si="22"/>
        <v>0</v>
      </c>
    </row>
    <row r="245" spans="1:29" ht="24" customHeight="1">
      <c r="A245" s="288"/>
      <c r="B245" s="288"/>
      <c r="C245" s="288"/>
      <c r="D245" s="288"/>
      <c r="H245" s="1" t="s">
        <v>1990</v>
      </c>
      <c r="K245" s="5" t="s">
        <v>1667</v>
      </c>
      <c r="AC245" s="69">
        <f t="shared" si="22"/>
        <v>0</v>
      </c>
    </row>
    <row r="246" spans="1:29" ht="24" customHeight="1">
      <c r="A246" s="288"/>
      <c r="B246" s="288"/>
      <c r="C246" s="288"/>
      <c r="D246" s="288"/>
      <c r="H246" s="1" t="s">
        <v>1991</v>
      </c>
      <c r="K246" s="8">
        <f>SUM(K240:K244)</f>
        <v>1086.4100000000001</v>
      </c>
      <c r="AC246" s="69">
        <f t="shared" si="22"/>
        <v>0</v>
      </c>
    </row>
    <row r="247" spans="1:29" ht="24" customHeight="1">
      <c r="A247" s="288"/>
      <c r="B247" s="288"/>
      <c r="C247" s="288"/>
      <c r="D247" s="288"/>
      <c r="K247" s="5" t="s">
        <v>1667</v>
      </c>
      <c r="AC247" s="69">
        <f t="shared" si="22"/>
        <v>0</v>
      </c>
    </row>
    <row r="248" spans="1:29" ht="24" customHeight="1">
      <c r="A248" s="288"/>
      <c r="B248" s="288"/>
      <c r="C248" s="288"/>
      <c r="D248" s="288"/>
      <c r="H248" s="64" t="s">
        <v>1992</v>
      </c>
      <c r="K248" s="40">
        <f>K246/10</f>
        <v>108.64</v>
      </c>
      <c r="AC248" s="69">
        <f t="shared" si="22"/>
        <v>0</v>
      </c>
    </row>
    <row r="249" spans="1:29" ht="24" customHeight="1">
      <c r="A249" s="288"/>
      <c r="B249" s="288"/>
      <c r="C249" s="288"/>
      <c r="D249" s="288"/>
      <c r="K249" s="5" t="s">
        <v>2130</v>
      </c>
      <c r="AC249" s="69">
        <f t="shared" si="22"/>
        <v>0</v>
      </c>
    </row>
    <row r="250" spans="1:29" ht="24" customHeight="1">
      <c r="A250" s="288"/>
      <c r="B250" s="288"/>
      <c r="C250" s="288"/>
      <c r="D250" s="288"/>
      <c r="AC250" s="69">
        <f t="shared" si="22"/>
        <v>0</v>
      </c>
    </row>
    <row r="251" spans="1:29" ht="24" customHeight="1">
      <c r="A251" s="288"/>
      <c r="B251" s="288"/>
      <c r="C251" s="288"/>
      <c r="D251" s="288"/>
      <c r="F251" s="26">
        <v>3.7</v>
      </c>
      <c r="H251" s="1" t="s">
        <v>4</v>
      </c>
      <c r="AC251" s="69">
        <f t="shared" si="22"/>
        <v>0</v>
      </c>
    </row>
    <row r="252" spans="1:29" ht="24" customHeight="1">
      <c r="A252" s="288"/>
      <c r="B252" s="288"/>
      <c r="C252" s="288"/>
      <c r="D252" s="288"/>
      <c r="H252" s="5" t="s">
        <v>1667</v>
      </c>
      <c r="AC252" s="69">
        <f t="shared" si="22"/>
        <v>0</v>
      </c>
    </row>
    <row r="253" spans="1:29" ht="24" customHeight="1">
      <c r="A253" s="288"/>
      <c r="B253" s="288"/>
      <c r="C253" s="288"/>
      <c r="D253" s="288"/>
      <c r="F253" s="8">
        <v>2.7</v>
      </c>
      <c r="G253" s="7" t="s">
        <v>1402</v>
      </c>
      <c r="H253" s="1" t="s">
        <v>158</v>
      </c>
      <c r="I253" s="8">
        <f>AA35</f>
        <v>654.78</v>
      </c>
      <c r="J253" s="1" t="s">
        <v>1402</v>
      </c>
      <c r="K253" s="8">
        <f>(F253*I253)</f>
        <v>1767.91</v>
      </c>
      <c r="AC253" s="69">
        <f t="shared" si="22"/>
        <v>0</v>
      </c>
    </row>
    <row r="254" spans="1:29" ht="24" customHeight="1">
      <c r="A254" s="288"/>
      <c r="B254" s="288"/>
      <c r="C254" s="288"/>
      <c r="D254" s="288"/>
      <c r="F254" s="17">
        <v>0.14499999999999999</v>
      </c>
      <c r="G254" s="7" t="s">
        <v>1402</v>
      </c>
      <c r="H254" s="1" t="s">
        <v>928</v>
      </c>
      <c r="I254" s="8">
        <f>AA17</f>
        <v>740.98</v>
      </c>
      <c r="J254" s="1" t="s">
        <v>1402</v>
      </c>
      <c r="K254" s="8">
        <f>(F254*I254)</f>
        <v>107.44</v>
      </c>
      <c r="AC254" s="69">
        <f t="shared" si="22"/>
        <v>0</v>
      </c>
    </row>
    <row r="255" spans="1:29" ht="24" customHeight="1">
      <c r="A255" s="288"/>
      <c r="B255" s="288"/>
      <c r="C255" s="288"/>
      <c r="D255" s="288"/>
      <c r="F255" s="8">
        <v>218.8</v>
      </c>
      <c r="G255" s="7" t="s">
        <v>929</v>
      </c>
      <c r="H255" s="1" t="s">
        <v>930</v>
      </c>
      <c r="I255" s="8">
        <f>C141</f>
        <v>43563.69</v>
      </c>
      <c r="J255" s="1" t="s">
        <v>929</v>
      </c>
      <c r="K255" s="8">
        <f>(F255*I255)/1000</f>
        <v>9531.74</v>
      </c>
      <c r="AC255" s="69">
        <f t="shared" si="22"/>
        <v>0</v>
      </c>
    </row>
    <row r="256" spans="1:29" ht="24" customHeight="1">
      <c r="A256" s="288"/>
      <c r="B256" s="288"/>
      <c r="C256" s="288"/>
      <c r="D256" s="288"/>
      <c r="F256" s="8">
        <v>100</v>
      </c>
      <c r="G256" s="7" t="s">
        <v>234</v>
      </c>
      <c r="H256" s="1" t="s">
        <v>931</v>
      </c>
      <c r="I256" s="347">
        <v>14.3</v>
      </c>
      <c r="J256" s="1" t="s">
        <v>234</v>
      </c>
      <c r="K256" s="8">
        <f>(F256*I256)</f>
        <v>1430</v>
      </c>
      <c r="AC256" s="69">
        <f t="shared" si="22"/>
        <v>0</v>
      </c>
    </row>
    <row r="257" spans="1:31" ht="24" customHeight="1">
      <c r="A257" s="288"/>
      <c r="B257" s="288"/>
      <c r="C257" s="288"/>
      <c r="D257" s="288"/>
      <c r="K257" s="5" t="s">
        <v>1667</v>
      </c>
      <c r="AC257" s="69">
        <f t="shared" si="22"/>
        <v>0</v>
      </c>
    </row>
    <row r="258" spans="1:31" ht="24" customHeight="1">
      <c r="A258" s="288"/>
      <c r="B258" s="288"/>
      <c r="C258" s="288"/>
      <c r="D258" s="288"/>
      <c r="H258" s="1" t="s">
        <v>932</v>
      </c>
      <c r="K258" s="8">
        <f>SUM(K253:K256)</f>
        <v>12837.09</v>
      </c>
      <c r="AC258" s="69">
        <f t="shared" si="22"/>
        <v>0</v>
      </c>
    </row>
    <row r="259" spans="1:31" ht="24" customHeight="1">
      <c r="A259" s="288"/>
      <c r="B259" s="288"/>
      <c r="C259" s="288"/>
      <c r="D259" s="288"/>
      <c r="K259" s="5" t="s">
        <v>1667</v>
      </c>
      <c r="AC259" s="69">
        <f t="shared" si="22"/>
        <v>0</v>
      </c>
    </row>
    <row r="260" spans="1:31" ht="24" customHeight="1">
      <c r="A260" s="288"/>
      <c r="B260" s="288"/>
      <c r="C260" s="288"/>
      <c r="D260" s="288"/>
      <c r="H260" s="64" t="s">
        <v>1992</v>
      </c>
      <c r="K260" s="40">
        <f>K258/100</f>
        <v>128.37</v>
      </c>
      <c r="AC260" s="69">
        <f t="shared" si="22"/>
        <v>0</v>
      </c>
    </row>
    <row r="261" spans="1:31" ht="24" customHeight="1">
      <c r="A261" s="288"/>
      <c r="B261" s="288"/>
      <c r="C261" s="288"/>
      <c r="D261" s="288"/>
      <c r="F261" s="1" t="s">
        <v>995</v>
      </c>
      <c r="G261" s="7" t="s">
        <v>995</v>
      </c>
      <c r="K261" s="5" t="s">
        <v>2130</v>
      </c>
      <c r="AC261" s="69">
        <f t="shared" si="22"/>
        <v>0</v>
      </c>
    </row>
    <row r="262" spans="1:31" ht="24" customHeight="1">
      <c r="A262" s="288"/>
      <c r="B262" s="288"/>
      <c r="C262" s="288"/>
      <c r="D262" s="288"/>
      <c r="AC262" s="69">
        <f t="shared" si="22"/>
        <v>0</v>
      </c>
    </row>
    <row r="263" spans="1:31" ht="24" customHeight="1">
      <c r="A263" s="288"/>
      <c r="B263" s="288"/>
      <c r="C263" s="288"/>
      <c r="D263" s="288"/>
      <c r="AC263" s="69">
        <f t="shared" si="22"/>
        <v>0</v>
      </c>
    </row>
    <row r="264" spans="1:31" ht="24" customHeight="1">
      <c r="A264" s="285">
        <f>(A205+1)</f>
        <v>105</v>
      </c>
      <c r="B264" s="286" t="s">
        <v>1889</v>
      </c>
      <c r="C264" s="57">
        <v>133</v>
      </c>
      <c r="D264" s="286" t="s">
        <v>781</v>
      </c>
      <c r="F264" s="2" t="s">
        <v>684</v>
      </c>
      <c r="H264" s="1" t="s">
        <v>1687</v>
      </c>
      <c r="N264" s="1" t="s">
        <v>685</v>
      </c>
      <c r="O264" s="1" t="s">
        <v>848</v>
      </c>
      <c r="AC264" s="69">
        <f t="shared" si="22"/>
        <v>0</v>
      </c>
      <c r="AE264" s="1" t="s">
        <v>2346</v>
      </c>
    </row>
    <row r="265" spans="1:31" ht="24" customHeight="1">
      <c r="A265" s="285">
        <f t="shared" ref="A265:A279" si="24">(A264+1)</f>
        <v>106</v>
      </c>
      <c r="B265" s="286" t="s">
        <v>849</v>
      </c>
      <c r="C265" s="207">
        <v>169</v>
      </c>
      <c r="D265" s="286" t="s">
        <v>781</v>
      </c>
      <c r="H265" s="5" t="s">
        <v>2130</v>
      </c>
      <c r="O265" s="5" t="s">
        <v>1667</v>
      </c>
      <c r="AC265" s="69">
        <f t="shared" ref="AC265:AC305" si="25">AH266</f>
        <v>0</v>
      </c>
      <c r="AE265" s="1" t="s">
        <v>2346</v>
      </c>
    </row>
    <row r="266" spans="1:31" ht="24" customHeight="1">
      <c r="A266" s="285">
        <f t="shared" si="24"/>
        <v>107</v>
      </c>
      <c r="B266" s="286" t="s">
        <v>1631</v>
      </c>
      <c r="C266" s="219">
        <v>63</v>
      </c>
      <c r="D266" s="207">
        <v>132</v>
      </c>
      <c r="G266" s="7" t="s">
        <v>2338</v>
      </c>
      <c r="H266" s="1" t="s">
        <v>400</v>
      </c>
      <c r="M266" s="8">
        <v>1.1399999999999999</v>
      </c>
      <c r="N266" s="1" t="s">
        <v>884</v>
      </c>
      <c r="O266" s="1" t="s">
        <v>2367</v>
      </c>
      <c r="P266" s="8">
        <f>(K419)</f>
        <v>3936.94</v>
      </c>
      <c r="Q266" s="1" t="s">
        <v>883</v>
      </c>
      <c r="R266" s="8">
        <f>(M266*P266)</f>
        <v>4488.1099999999997</v>
      </c>
      <c r="AC266" s="69">
        <f t="shared" si="25"/>
        <v>0</v>
      </c>
      <c r="AE266" s="1" t="s">
        <v>2346</v>
      </c>
    </row>
    <row r="267" spans="1:31" ht="24" customHeight="1">
      <c r="A267" s="285">
        <f t="shared" si="24"/>
        <v>108</v>
      </c>
      <c r="B267" s="286" t="s">
        <v>1246</v>
      </c>
      <c r="C267" s="57">
        <v>14880</v>
      </c>
      <c r="D267" s="286" t="s">
        <v>884</v>
      </c>
      <c r="H267" s="1" t="s">
        <v>2356</v>
      </c>
      <c r="M267" s="8">
        <v>1</v>
      </c>
      <c r="N267" s="1" t="s">
        <v>781</v>
      </c>
      <c r="O267" s="1" t="s">
        <v>2082</v>
      </c>
      <c r="P267" s="8">
        <f>(C10)</f>
        <v>430.5</v>
      </c>
      <c r="Q267" s="1" t="s">
        <v>883</v>
      </c>
      <c r="R267" s="8">
        <f>(M267*P267)</f>
        <v>430.5</v>
      </c>
      <c r="AC267" s="69">
        <f t="shared" si="25"/>
        <v>0</v>
      </c>
      <c r="AE267" s="1" t="s">
        <v>2346</v>
      </c>
    </row>
    <row r="268" spans="1:31" ht="24" customHeight="1">
      <c r="A268" s="285">
        <f t="shared" si="24"/>
        <v>109</v>
      </c>
      <c r="B268" s="286" t="s">
        <v>1247</v>
      </c>
      <c r="C268" s="57">
        <v>13060</v>
      </c>
      <c r="D268" s="286" t="s">
        <v>884</v>
      </c>
      <c r="H268" s="5" t="s">
        <v>1667</v>
      </c>
      <c r="N268" s="1" t="s">
        <v>448</v>
      </c>
      <c r="O268" s="1" t="s">
        <v>449</v>
      </c>
      <c r="P268" s="1" t="s">
        <v>995</v>
      </c>
      <c r="Q268" s="1" t="s">
        <v>448</v>
      </c>
      <c r="R268" s="8">
        <v>0.05</v>
      </c>
      <c r="AC268" s="69">
        <f t="shared" si="25"/>
        <v>0</v>
      </c>
      <c r="AE268" s="1" t="s">
        <v>2346</v>
      </c>
    </row>
    <row r="269" spans="1:31" ht="24" customHeight="1">
      <c r="A269" s="285">
        <f t="shared" si="24"/>
        <v>110</v>
      </c>
      <c r="B269" s="286" t="s">
        <v>2308</v>
      </c>
      <c r="C269" s="57">
        <v>21.1</v>
      </c>
      <c r="D269" s="286" t="s">
        <v>781</v>
      </c>
      <c r="F269" s="8">
        <v>9</v>
      </c>
      <c r="G269" s="7" t="s">
        <v>884</v>
      </c>
      <c r="H269" s="1" t="s">
        <v>438</v>
      </c>
      <c r="I269" s="8">
        <f>(C73)</f>
        <v>1236.78</v>
      </c>
      <c r="J269" s="1" t="s">
        <v>884</v>
      </c>
      <c r="K269" s="8">
        <f t="shared" ref="K269:K274" si="26">(F269*I269)</f>
        <v>11131.02</v>
      </c>
      <c r="R269" s="5" t="s">
        <v>1667</v>
      </c>
      <c r="AC269" s="69">
        <f t="shared" si="25"/>
        <v>0</v>
      </c>
      <c r="AE269" s="1" t="s">
        <v>2346</v>
      </c>
    </row>
    <row r="270" spans="1:31" ht="24" customHeight="1">
      <c r="A270" s="285">
        <f t="shared" si="24"/>
        <v>111</v>
      </c>
      <c r="B270" s="286" t="s">
        <v>1626</v>
      </c>
      <c r="C270" s="290">
        <v>53.1</v>
      </c>
      <c r="D270" s="286" t="s">
        <v>1730</v>
      </c>
      <c r="E270" s="208">
        <v>169</v>
      </c>
      <c r="F270" s="14">
        <v>3.2309999999999999</v>
      </c>
      <c r="G270" s="7" t="s">
        <v>876</v>
      </c>
      <c r="H270" s="1" t="s">
        <v>877</v>
      </c>
      <c r="I270" s="8">
        <f>(C67)</f>
        <v>5600</v>
      </c>
      <c r="J270" s="1" t="s">
        <v>876</v>
      </c>
      <c r="K270" s="8">
        <f t="shared" si="26"/>
        <v>18093.599999999999</v>
      </c>
      <c r="O270" s="1" t="s">
        <v>440</v>
      </c>
      <c r="R270" s="8">
        <f>SUM(R266:R268)</f>
        <v>4918.66</v>
      </c>
      <c r="AC270" s="69">
        <f t="shared" si="25"/>
        <v>0</v>
      </c>
      <c r="AE270" s="1" t="s">
        <v>2346</v>
      </c>
    </row>
    <row r="271" spans="1:31" ht="24" customHeight="1">
      <c r="A271" s="285">
        <f t="shared" si="24"/>
        <v>112</v>
      </c>
      <c r="B271" s="286" t="s">
        <v>627</v>
      </c>
      <c r="C271" s="206">
        <v>326.7</v>
      </c>
      <c r="D271" s="287">
        <v>452.09</v>
      </c>
      <c r="E271">
        <v>250</v>
      </c>
      <c r="F271" s="8">
        <v>4.5</v>
      </c>
      <c r="G271" s="7" t="s">
        <v>884</v>
      </c>
      <c r="H271" s="1" t="s">
        <v>885</v>
      </c>
      <c r="I271" s="8">
        <f>(C78)</f>
        <v>740.98</v>
      </c>
      <c r="J271" s="1" t="s">
        <v>884</v>
      </c>
      <c r="K271" s="8">
        <f t="shared" si="26"/>
        <v>3334.41</v>
      </c>
      <c r="R271" s="5" t="s">
        <v>1667</v>
      </c>
      <c r="AC271" s="69">
        <f t="shared" si="25"/>
        <v>0</v>
      </c>
      <c r="AE271" s="1" t="s">
        <v>2346</v>
      </c>
    </row>
    <row r="272" spans="1:31" ht="24" customHeight="1">
      <c r="A272" s="285">
        <f t="shared" si="24"/>
        <v>113</v>
      </c>
      <c r="B272" s="286" t="s">
        <v>1437</v>
      </c>
      <c r="C272" s="207">
        <v>133.35</v>
      </c>
      <c r="D272" s="286" t="s">
        <v>1854</v>
      </c>
      <c r="F272" s="8">
        <v>3.5</v>
      </c>
      <c r="G272" s="7" t="s">
        <v>883</v>
      </c>
      <c r="H272" s="1" t="s">
        <v>1791</v>
      </c>
      <c r="I272" s="8">
        <f>(C11)</f>
        <v>386.4</v>
      </c>
      <c r="J272" s="1" t="s">
        <v>883</v>
      </c>
      <c r="K272" s="8">
        <f t="shared" si="26"/>
        <v>1352.4</v>
      </c>
      <c r="O272" s="1" t="s">
        <v>555</v>
      </c>
      <c r="R272" s="8">
        <f>(R270/10)</f>
        <v>491.87</v>
      </c>
      <c r="Y272" s="56">
        <v>1.51</v>
      </c>
      <c r="Z272" s="56">
        <v>1.08</v>
      </c>
      <c r="AA272" t="e">
        <f>Y272*#REF!</f>
        <v>#REF!</v>
      </c>
      <c r="AB272" t="e">
        <f>Z272*#REF!</f>
        <v>#REF!</v>
      </c>
      <c r="AC272" s="69">
        <f t="shared" si="25"/>
        <v>0</v>
      </c>
      <c r="AE272" s="1" t="s">
        <v>2346</v>
      </c>
    </row>
    <row r="273" spans="1:31" ht="24" customHeight="1">
      <c r="A273" s="285">
        <f t="shared" si="24"/>
        <v>114</v>
      </c>
      <c r="B273" s="286" t="s">
        <v>1438</v>
      </c>
      <c r="C273" s="206">
        <v>48.5</v>
      </c>
      <c r="D273" s="286" t="s">
        <v>781</v>
      </c>
      <c r="F273" s="8">
        <v>21.2</v>
      </c>
      <c r="G273" s="7" t="s">
        <v>883</v>
      </c>
      <c r="H273" s="1" t="s">
        <v>1979</v>
      </c>
      <c r="I273" s="8">
        <f>(C12)</f>
        <v>269.85000000000002</v>
      </c>
      <c r="J273" s="1" t="s">
        <v>883</v>
      </c>
      <c r="K273" s="8">
        <f t="shared" si="26"/>
        <v>5720.82</v>
      </c>
      <c r="R273" s="5" t="s">
        <v>2130</v>
      </c>
      <c r="Y273" s="56">
        <v>0.216</v>
      </c>
      <c r="Z273" s="56">
        <v>0.216</v>
      </c>
      <c r="AA273" t="e">
        <f>Y273*#REF!</f>
        <v>#REF!</v>
      </c>
      <c r="AB273" t="e">
        <f>Z273*#REF!</f>
        <v>#REF!</v>
      </c>
      <c r="AC273" s="69">
        <f t="shared" si="25"/>
        <v>0</v>
      </c>
      <c r="AE273" s="1" t="s">
        <v>2346</v>
      </c>
    </row>
    <row r="274" spans="1:31" ht="24" customHeight="1">
      <c r="A274" s="285">
        <f t="shared" si="24"/>
        <v>115</v>
      </c>
      <c r="B274" s="286" t="s">
        <v>1439</v>
      </c>
      <c r="C274" s="206">
        <v>42.4</v>
      </c>
      <c r="D274" s="286" t="s">
        <v>781</v>
      </c>
      <c r="F274" s="8">
        <v>35.299999999999997</v>
      </c>
      <c r="G274" s="7" t="s">
        <v>883</v>
      </c>
      <c r="H274" s="1" t="s">
        <v>324</v>
      </c>
      <c r="I274" s="8">
        <f>(C13)</f>
        <v>243.6</v>
      </c>
      <c r="J274" s="1" t="s">
        <v>883</v>
      </c>
      <c r="K274" s="8">
        <f t="shared" si="26"/>
        <v>8599.08</v>
      </c>
      <c r="N274" s="1" t="s">
        <v>1178</v>
      </c>
      <c r="O274" s="1" t="s">
        <v>388</v>
      </c>
      <c r="R274" s="8">
        <f>(R272+C19/10*M266)</f>
        <v>495.58</v>
      </c>
      <c r="Y274" s="56">
        <v>0.71599999999999997</v>
      </c>
      <c r="Z274" s="56">
        <v>0.48699999999999999</v>
      </c>
      <c r="AA274" t="e">
        <f>Y274*#REF!</f>
        <v>#REF!</v>
      </c>
      <c r="AB274" t="e">
        <f>Z274*#REF!</f>
        <v>#REF!</v>
      </c>
      <c r="AC274" s="69">
        <f t="shared" si="25"/>
        <v>0</v>
      </c>
      <c r="AE274" s="1" t="s">
        <v>2346</v>
      </c>
    </row>
    <row r="275" spans="1:31" ht="24" customHeight="1">
      <c r="A275" s="285">
        <f t="shared" si="24"/>
        <v>116</v>
      </c>
      <c r="B275" s="286" t="s">
        <v>669</v>
      </c>
      <c r="C275" s="206">
        <v>16.440000000000001</v>
      </c>
      <c r="D275" s="286" t="s">
        <v>781</v>
      </c>
      <c r="G275" s="7" t="s">
        <v>448</v>
      </c>
      <c r="H275" s="1" t="s">
        <v>449</v>
      </c>
      <c r="I275" s="1" t="s">
        <v>995</v>
      </c>
      <c r="J275" s="1" t="s">
        <v>448</v>
      </c>
      <c r="K275" s="8">
        <v>0</v>
      </c>
      <c r="N275" s="1" t="s">
        <v>670</v>
      </c>
      <c r="O275" s="1" t="s">
        <v>390</v>
      </c>
      <c r="R275" s="8">
        <f>(R274+C20/10*M266)</f>
        <v>503.02</v>
      </c>
      <c r="Y275" s="56">
        <v>7.35</v>
      </c>
      <c r="Z275" s="56">
        <v>5.36</v>
      </c>
      <c r="AA275" t="e">
        <f>Y275*#REF!</f>
        <v>#REF!</v>
      </c>
      <c r="AB275" t="e">
        <f>Z275*#REF!</f>
        <v>#REF!</v>
      </c>
      <c r="AC275" s="69">
        <f t="shared" si="25"/>
        <v>0</v>
      </c>
      <c r="AE275" s="1" t="s">
        <v>2346</v>
      </c>
    </row>
    <row r="276" spans="1:31" ht="24" customHeight="1">
      <c r="A276" s="285">
        <f t="shared" si="24"/>
        <v>117</v>
      </c>
      <c r="B276" s="286" t="s">
        <v>671</v>
      </c>
      <c r="C276" s="206">
        <v>29.3</v>
      </c>
      <c r="D276" s="287">
        <v>6.25</v>
      </c>
      <c r="K276" s="5" t="s">
        <v>1667</v>
      </c>
      <c r="N276" s="1" t="s">
        <v>682</v>
      </c>
      <c r="O276" s="1" t="s">
        <v>2319</v>
      </c>
      <c r="R276" s="8">
        <f>(R275+C21/10*M266)</f>
        <v>510.46</v>
      </c>
      <c r="Y276" s="56">
        <v>3.2000000000000001E-2</v>
      </c>
      <c r="Z276" s="56">
        <v>3.2000000000000001E-2</v>
      </c>
      <c r="AA276" t="e">
        <f>Y276*#REF!</f>
        <v>#REF!</v>
      </c>
      <c r="AB276" t="e">
        <f>Z276*#REF!</f>
        <v>#REF!</v>
      </c>
      <c r="AC276" s="69">
        <f t="shared" si="25"/>
        <v>0</v>
      </c>
      <c r="AE276" s="1" t="s">
        <v>2346</v>
      </c>
    </row>
    <row r="277" spans="1:31" ht="24" customHeight="1">
      <c r="A277" s="285">
        <f t="shared" si="24"/>
        <v>118</v>
      </c>
      <c r="B277" s="286" t="s">
        <v>683</v>
      </c>
      <c r="C277" s="206">
        <v>332</v>
      </c>
      <c r="D277" s="286" t="s">
        <v>611</v>
      </c>
      <c r="H277" s="1" t="s">
        <v>2246</v>
      </c>
      <c r="K277" s="8">
        <f>SUM(K269:K275)</f>
        <v>48231.33</v>
      </c>
      <c r="N277" s="1" t="s">
        <v>2247</v>
      </c>
      <c r="O277" s="1" t="s">
        <v>382</v>
      </c>
      <c r="R277" s="8">
        <f>(R276+C21/10*M266)</f>
        <v>517.9</v>
      </c>
      <c r="Z277" s="56"/>
      <c r="AB277">
        <v>13.38</v>
      </c>
      <c r="AC277" s="69">
        <f t="shared" si="25"/>
        <v>0</v>
      </c>
      <c r="AE277" s="1" t="s">
        <v>2346</v>
      </c>
    </row>
    <row r="278" spans="1:31" ht="24" customHeight="1">
      <c r="A278" s="285">
        <f t="shared" si="24"/>
        <v>119</v>
      </c>
      <c r="B278" s="286" t="s">
        <v>628</v>
      </c>
      <c r="C278" s="290">
        <v>69.849999999999994</v>
      </c>
      <c r="D278" s="286" t="s">
        <v>781</v>
      </c>
      <c r="K278" s="5" t="s">
        <v>1667</v>
      </c>
      <c r="AA278" t="e">
        <f>SUM(AA272:AA277)</f>
        <v>#REF!</v>
      </c>
      <c r="AB278" t="e">
        <f>SUM(AB272:AB277)</f>
        <v>#REF!</v>
      </c>
      <c r="AC278" s="69">
        <f t="shared" si="25"/>
        <v>0</v>
      </c>
      <c r="AE278" s="1" t="s">
        <v>2346</v>
      </c>
    </row>
    <row r="279" spans="1:31" ht="24" customHeight="1">
      <c r="A279" s="285">
        <f t="shared" si="24"/>
        <v>120</v>
      </c>
      <c r="B279" s="286" t="s">
        <v>629</v>
      </c>
      <c r="C279" s="290">
        <v>56.1</v>
      </c>
      <c r="D279" s="286" t="s">
        <v>781</v>
      </c>
      <c r="H279" s="64" t="s">
        <v>785</v>
      </c>
      <c r="K279" s="40">
        <f>(K277/10)</f>
        <v>4823.13</v>
      </c>
      <c r="R279" s="1" t="s">
        <v>995</v>
      </c>
      <c r="AC279" s="69">
        <f t="shared" si="25"/>
        <v>0</v>
      </c>
      <c r="AE279" s="1" t="s">
        <v>2346</v>
      </c>
    </row>
    <row r="280" spans="1:31" ht="24" customHeight="1">
      <c r="A280" s="288"/>
      <c r="B280" s="288"/>
      <c r="C280" s="288"/>
      <c r="D280" s="288"/>
      <c r="F280" s="1" t="s">
        <v>995</v>
      </c>
      <c r="N280" s="1" t="s">
        <v>685</v>
      </c>
      <c r="O280" s="1" t="s">
        <v>2248</v>
      </c>
      <c r="AC280" s="69">
        <f t="shared" si="25"/>
        <v>0</v>
      </c>
    </row>
    <row r="281" spans="1:31" ht="24" customHeight="1">
      <c r="A281" s="285">
        <f>(A279+1)</f>
        <v>121</v>
      </c>
      <c r="B281" s="286" t="s">
        <v>252</v>
      </c>
      <c r="C281" s="290">
        <v>38.5</v>
      </c>
      <c r="D281" s="286" t="s">
        <v>781</v>
      </c>
      <c r="O281" s="1" t="s">
        <v>1665</v>
      </c>
      <c r="AC281" s="69">
        <f t="shared" si="25"/>
        <v>0</v>
      </c>
      <c r="AE281" s="1" t="s">
        <v>2346</v>
      </c>
    </row>
    <row r="282" spans="1:31" ht="24" customHeight="1">
      <c r="A282" s="285">
        <f t="shared" ref="A282:A345" si="27">(A281+1)</f>
        <v>122</v>
      </c>
      <c r="B282" s="286" t="s">
        <v>274</v>
      </c>
      <c r="C282" s="290">
        <v>31.1</v>
      </c>
      <c r="D282" s="286" t="s">
        <v>781</v>
      </c>
      <c r="F282" s="8">
        <v>1</v>
      </c>
      <c r="G282" s="7" t="s">
        <v>884</v>
      </c>
      <c r="H282" s="1" t="s">
        <v>50</v>
      </c>
      <c r="K282" s="8">
        <f>(C25)</f>
        <v>40.69</v>
      </c>
      <c r="O282" s="5" t="s">
        <v>1667</v>
      </c>
      <c r="AC282" s="69">
        <f t="shared" si="25"/>
        <v>0</v>
      </c>
      <c r="AE282" s="1" t="s">
        <v>2346</v>
      </c>
    </row>
    <row r="283" spans="1:31" ht="24" customHeight="1">
      <c r="A283" s="285">
        <f t="shared" si="27"/>
        <v>123</v>
      </c>
      <c r="B283" s="286" t="s">
        <v>275</v>
      </c>
      <c r="C283" s="290">
        <v>50.6</v>
      </c>
      <c r="D283" s="286" t="s">
        <v>781</v>
      </c>
      <c r="K283" s="5" t="s">
        <v>1667</v>
      </c>
      <c r="M283" s="8">
        <v>10</v>
      </c>
      <c r="N283" s="1" t="s">
        <v>611</v>
      </c>
      <c r="O283" s="1" t="s">
        <v>51</v>
      </c>
      <c r="P283" s="8">
        <f>(K1188)</f>
        <v>679.18</v>
      </c>
      <c r="Q283" s="1" t="s">
        <v>611</v>
      </c>
      <c r="R283" s="8">
        <f>(M283*P283)</f>
        <v>6791.8</v>
      </c>
      <c r="AC283" s="69">
        <f t="shared" si="25"/>
        <v>0</v>
      </c>
      <c r="AE283" s="1" t="s">
        <v>2346</v>
      </c>
    </row>
    <row r="284" spans="1:31" ht="24" customHeight="1">
      <c r="A284" s="285">
        <f t="shared" si="27"/>
        <v>124</v>
      </c>
      <c r="B284" s="286" t="s">
        <v>276</v>
      </c>
      <c r="C284" s="290">
        <v>31.1</v>
      </c>
      <c r="D284" s="286" t="s">
        <v>781</v>
      </c>
      <c r="E284" s="208">
        <v>44.4</v>
      </c>
      <c r="H284" s="1" t="s">
        <v>604</v>
      </c>
      <c r="K284" s="639">
        <f>SUM(K279:K282)</f>
        <v>4863.82</v>
      </c>
      <c r="M284" s="8">
        <v>1.1000000000000001</v>
      </c>
      <c r="N284" s="1" t="s">
        <v>883</v>
      </c>
      <c r="O284" s="1" t="s">
        <v>1791</v>
      </c>
      <c r="P284" s="8">
        <f>(C11)</f>
        <v>386.4</v>
      </c>
      <c r="Q284" s="1" t="s">
        <v>883</v>
      </c>
      <c r="R284" s="8">
        <f>(M284*P284)</f>
        <v>425.04</v>
      </c>
      <c r="AC284" s="69">
        <f t="shared" si="25"/>
        <v>0</v>
      </c>
      <c r="AE284" s="1" t="s">
        <v>2346</v>
      </c>
    </row>
    <row r="285" spans="1:31" ht="24" customHeight="1">
      <c r="A285" s="285">
        <f t="shared" si="27"/>
        <v>125</v>
      </c>
      <c r="B285" s="286" t="s">
        <v>605</v>
      </c>
      <c r="C285" s="290">
        <v>158.4</v>
      </c>
      <c r="D285" s="286" t="s">
        <v>781</v>
      </c>
      <c r="K285" s="5" t="s">
        <v>1667</v>
      </c>
      <c r="M285" s="8">
        <v>1.1000000000000001</v>
      </c>
      <c r="N285" s="1" t="s">
        <v>883</v>
      </c>
      <c r="O285" s="1" t="s">
        <v>1979</v>
      </c>
      <c r="P285" s="8">
        <f>(C12)</f>
        <v>269.85000000000002</v>
      </c>
      <c r="Q285" s="1" t="s">
        <v>883</v>
      </c>
      <c r="R285" s="8">
        <f>(M285*P285)</f>
        <v>296.83999999999997</v>
      </c>
      <c r="AC285" s="69">
        <f t="shared" si="25"/>
        <v>0</v>
      </c>
      <c r="AE285" s="1" t="s">
        <v>2346</v>
      </c>
    </row>
    <row r="286" spans="1:31" ht="24" customHeight="1">
      <c r="A286" s="285">
        <f t="shared" si="27"/>
        <v>126</v>
      </c>
      <c r="B286" s="286" t="s">
        <v>442</v>
      </c>
      <c r="C286" s="290">
        <v>89.1</v>
      </c>
      <c r="D286" s="286" t="s">
        <v>781</v>
      </c>
      <c r="H286" s="1" t="s">
        <v>388</v>
      </c>
      <c r="K286" s="40">
        <f>(K284+C22)</f>
        <v>4908.47</v>
      </c>
      <c r="M286" s="8">
        <v>1.1000000000000001</v>
      </c>
      <c r="N286" s="1" t="s">
        <v>883</v>
      </c>
      <c r="O286" s="1" t="s">
        <v>246</v>
      </c>
      <c r="P286" s="8">
        <f>(C13)</f>
        <v>243.6</v>
      </c>
      <c r="Q286" s="1" t="s">
        <v>883</v>
      </c>
      <c r="R286" s="8">
        <f>(M286*P286)</f>
        <v>267.95999999999998</v>
      </c>
      <c r="AC286" s="69">
        <f t="shared" si="25"/>
        <v>0</v>
      </c>
      <c r="AE286" s="1" t="s">
        <v>2346</v>
      </c>
    </row>
    <row r="287" spans="1:31" ht="24" customHeight="1">
      <c r="A287" s="285">
        <f t="shared" si="27"/>
        <v>127</v>
      </c>
      <c r="B287" s="286" t="s">
        <v>1884</v>
      </c>
      <c r="C287" s="206">
        <v>7.5</v>
      </c>
      <c r="D287" s="286" t="s">
        <v>781</v>
      </c>
      <c r="H287" s="1" t="s">
        <v>390</v>
      </c>
      <c r="K287" s="40">
        <f>(K286+C23)</f>
        <v>4997.47</v>
      </c>
      <c r="R287" s="5" t="s">
        <v>1667</v>
      </c>
      <c r="AC287" s="69">
        <f t="shared" si="25"/>
        <v>0</v>
      </c>
      <c r="AE287" s="1" t="s">
        <v>2346</v>
      </c>
    </row>
    <row r="288" spans="1:31" ht="24" customHeight="1">
      <c r="A288" s="285">
        <f t="shared" si="27"/>
        <v>128</v>
      </c>
      <c r="B288" s="286" t="s">
        <v>1197</v>
      </c>
      <c r="C288" s="206">
        <v>7.5</v>
      </c>
      <c r="D288" s="286" t="s">
        <v>781</v>
      </c>
      <c r="H288" s="1" t="s">
        <v>2319</v>
      </c>
      <c r="K288" s="40">
        <f>(K287+C24)</f>
        <v>5086.47</v>
      </c>
      <c r="O288" s="1" t="s">
        <v>440</v>
      </c>
      <c r="R288" s="8">
        <f>SUM(R283:R286)</f>
        <v>7781.64</v>
      </c>
      <c r="AC288" s="69">
        <f t="shared" si="25"/>
        <v>0</v>
      </c>
      <c r="AE288" s="1" t="s">
        <v>2346</v>
      </c>
    </row>
    <row r="289" spans="1:31" ht="24" customHeight="1">
      <c r="A289" s="285">
        <f t="shared" si="27"/>
        <v>129</v>
      </c>
      <c r="B289" s="286" t="s">
        <v>1198</v>
      </c>
      <c r="C289" s="206">
        <v>2.9</v>
      </c>
      <c r="D289" s="286" t="s">
        <v>1199</v>
      </c>
      <c r="H289" s="1" t="s">
        <v>382</v>
      </c>
      <c r="K289" s="40">
        <f>(K288+C24)</f>
        <v>5175.47</v>
      </c>
      <c r="R289" s="5" t="s">
        <v>1667</v>
      </c>
      <c r="AC289" s="69">
        <f t="shared" si="25"/>
        <v>0</v>
      </c>
      <c r="AE289" s="1" t="s">
        <v>2346</v>
      </c>
    </row>
    <row r="290" spans="1:31" ht="24" customHeight="1">
      <c r="A290" s="285">
        <f t="shared" si="27"/>
        <v>130</v>
      </c>
      <c r="B290" s="286" t="s">
        <v>1200</v>
      </c>
      <c r="C290" s="206">
        <v>12</v>
      </c>
      <c r="D290" s="286" t="s">
        <v>1199</v>
      </c>
      <c r="H290" s="1" t="s">
        <v>485</v>
      </c>
      <c r="K290" s="40">
        <f>(K289+C24)</f>
        <v>5264.47</v>
      </c>
      <c r="O290" s="1" t="s">
        <v>555</v>
      </c>
      <c r="R290" s="8">
        <f>(R288/10)</f>
        <v>778.16</v>
      </c>
      <c r="AC290" s="69">
        <f t="shared" si="25"/>
        <v>0</v>
      </c>
      <c r="AE290" s="1" t="s">
        <v>2346</v>
      </c>
    </row>
    <row r="291" spans="1:31" ht="24" customHeight="1">
      <c r="A291" s="285">
        <f t="shared" si="27"/>
        <v>131</v>
      </c>
      <c r="B291" s="286" t="s">
        <v>486</v>
      </c>
      <c r="C291" s="206">
        <v>9</v>
      </c>
      <c r="D291" s="286" t="s">
        <v>781</v>
      </c>
      <c r="R291" s="5" t="s">
        <v>2130</v>
      </c>
      <c r="AC291" s="69">
        <f t="shared" si="25"/>
        <v>0</v>
      </c>
      <c r="AE291" s="1" t="s">
        <v>2346</v>
      </c>
    </row>
    <row r="292" spans="1:31" ht="24" customHeight="1">
      <c r="A292" s="285">
        <f t="shared" si="27"/>
        <v>132</v>
      </c>
      <c r="B292" s="286" t="s">
        <v>487</v>
      </c>
      <c r="C292" s="206">
        <v>6</v>
      </c>
      <c r="D292" s="286" t="s">
        <v>781</v>
      </c>
      <c r="F292" s="2" t="s">
        <v>1574</v>
      </c>
      <c r="G292" s="7" t="s">
        <v>2338</v>
      </c>
      <c r="H292" s="1" t="s">
        <v>488</v>
      </c>
      <c r="AC292" s="69">
        <f t="shared" si="25"/>
        <v>0</v>
      </c>
      <c r="AE292" s="1" t="s">
        <v>2346</v>
      </c>
    </row>
    <row r="293" spans="1:31" ht="24" customHeight="1">
      <c r="A293" s="285">
        <f t="shared" si="27"/>
        <v>133</v>
      </c>
      <c r="B293" s="286" t="s">
        <v>489</v>
      </c>
      <c r="C293" s="206">
        <v>5.75</v>
      </c>
      <c r="D293" s="286" t="s">
        <v>781</v>
      </c>
      <c r="H293" s="5" t="s">
        <v>2130</v>
      </c>
      <c r="N293" s="1" t="s">
        <v>2338</v>
      </c>
      <c r="O293" s="1" t="s">
        <v>1169</v>
      </c>
      <c r="AC293" s="69">
        <f t="shared" si="25"/>
        <v>0</v>
      </c>
      <c r="AE293" s="1" t="s">
        <v>2346</v>
      </c>
    </row>
    <row r="294" spans="1:31" ht="24" customHeight="1">
      <c r="A294" s="285">
        <f t="shared" si="27"/>
        <v>134</v>
      </c>
      <c r="B294" s="286" t="s">
        <v>1170</v>
      </c>
      <c r="C294" s="206">
        <v>8.5</v>
      </c>
      <c r="D294" s="286" t="s">
        <v>781</v>
      </c>
      <c r="F294" s="8">
        <v>10</v>
      </c>
      <c r="G294" s="7" t="s">
        <v>884</v>
      </c>
      <c r="H294" s="1" t="s">
        <v>880</v>
      </c>
      <c r="I294" s="8">
        <f>(C68)</f>
        <v>466.78</v>
      </c>
      <c r="J294" s="1" t="s">
        <v>884</v>
      </c>
      <c r="K294" s="8">
        <f t="shared" ref="K294:K300" si="28">(F294*I294)</f>
        <v>4667.8</v>
      </c>
      <c r="O294" s="5" t="s">
        <v>1667</v>
      </c>
      <c r="AC294" s="69">
        <f t="shared" si="25"/>
        <v>0</v>
      </c>
      <c r="AE294" s="1" t="s">
        <v>2346</v>
      </c>
    </row>
    <row r="295" spans="1:31" ht="24" customHeight="1">
      <c r="A295" s="285">
        <f t="shared" si="27"/>
        <v>135</v>
      </c>
      <c r="B295" s="286" t="s">
        <v>1319</v>
      </c>
      <c r="C295" s="206">
        <v>10</v>
      </c>
      <c r="D295" s="286" t="s">
        <v>781</v>
      </c>
      <c r="F295" s="8">
        <v>1</v>
      </c>
      <c r="G295" s="7" t="s">
        <v>884</v>
      </c>
      <c r="H295" s="1" t="s">
        <v>887</v>
      </c>
      <c r="I295" s="8">
        <f>(C69)</f>
        <v>602.28</v>
      </c>
      <c r="J295" s="1" t="s">
        <v>884</v>
      </c>
      <c r="K295" s="8">
        <f t="shared" si="28"/>
        <v>602.28</v>
      </c>
      <c r="M295" s="8">
        <v>0.14000000000000001</v>
      </c>
      <c r="N295" s="1" t="s">
        <v>884</v>
      </c>
      <c r="O295" s="1" t="s">
        <v>1414</v>
      </c>
      <c r="P295" s="8">
        <f>(K32)</f>
        <v>3479.01</v>
      </c>
      <c r="Q295" s="1" t="s">
        <v>884</v>
      </c>
      <c r="R295" s="8">
        <f>(M295*P295)</f>
        <v>487.06</v>
      </c>
      <c r="AC295" s="69">
        <f t="shared" si="25"/>
        <v>0</v>
      </c>
      <c r="AE295" s="1" t="s">
        <v>2346</v>
      </c>
    </row>
    <row r="296" spans="1:31" ht="24" customHeight="1">
      <c r="A296" s="285">
        <f t="shared" si="27"/>
        <v>136</v>
      </c>
      <c r="B296" s="286" t="s">
        <v>1320</v>
      </c>
      <c r="C296" s="206">
        <v>8</v>
      </c>
      <c r="D296" s="286" t="s">
        <v>781</v>
      </c>
      <c r="F296" s="8">
        <v>3.4</v>
      </c>
      <c r="G296" s="7" t="s">
        <v>884</v>
      </c>
      <c r="H296" s="1" t="s">
        <v>1710</v>
      </c>
      <c r="I296" s="8">
        <f>(K49)</f>
        <v>2403.81</v>
      </c>
      <c r="J296" s="1" t="s">
        <v>884</v>
      </c>
      <c r="K296" s="8">
        <f t="shared" si="28"/>
        <v>8172.95</v>
      </c>
      <c r="M296" s="8">
        <v>1.1000000000000001</v>
      </c>
      <c r="N296" s="1" t="s">
        <v>883</v>
      </c>
      <c r="O296" s="1" t="s">
        <v>2082</v>
      </c>
      <c r="P296" s="8">
        <f>(C10)</f>
        <v>430.5</v>
      </c>
      <c r="Q296" s="1" t="s">
        <v>883</v>
      </c>
      <c r="R296" s="8">
        <f>(M296*P296)</f>
        <v>473.55</v>
      </c>
      <c r="AC296" s="69">
        <f t="shared" si="25"/>
        <v>0</v>
      </c>
      <c r="AE296" s="1" t="s">
        <v>2346</v>
      </c>
    </row>
    <row r="297" spans="1:31" ht="24" customHeight="1">
      <c r="A297" s="285">
        <f t="shared" si="27"/>
        <v>137</v>
      </c>
      <c r="B297" s="286" t="s">
        <v>1321</v>
      </c>
      <c r="C297" s="206">
        <v>2.2000000000000002</v>
      </c>
      <c r="D297" s="286" t="s">
        <v>781</v>
      </c>
      <c r="F297" s="8">
        <v>7.1</v>
      </c>
      <c r="G297" s="7" t="s">
        <v>883</v>
      </c>
      <c r="H297" s="1" t="s">
        <v>2082</v>
      </c>
      <c r="I297" s="8">
        <f>(C10)</f>
        <v>430.5</v>
      </c>
      <c r="J297" s="1" t="s">
        <v>883</v>
      </c>
      <c r="K297" s="8">
        <f t="shared" si="28"/>
        <v>3056.55</v>
      </c>
      <c r="M297" s="8">
        <v>0.5</v>
      </c>
      <c r="N297" s="1" t="s">
        <v>883</v>
      </c>
      <c r="O297" s="1" t="s">
        <v>1979</v>
      </c>
      <c r="P297" s="8">
        <f>(C12)</f>
        <v>269.85000000000002</v>
      </c>
      <c r="Q297" s="1" t="s">
        <v>883</v>
      </c>
      <c r="R297" s="8">
        <f>(M297*P297)</f>
        <v>134.93</v>
      </c>
      <c r="AC297" s="69">
        <f t="shared" si="25"/>
        <v>0</v>
      </c>
      <c r="AE297" s="1" t="s">
        <v>2346</v>
      </c>
    </row>
    <row r="298" spans="1:31" ht="24" customHeight="1">
      <c r="A298" s="285">
        <f t="shared" si="27"/>
        <v>138</v>
      </c>
      <c r="B298" s="286" t="s">
        <v>1512</v>
      </c>
      <c r="C298" s="206">
        <v>10.5</v>
      </c>
      <c r="D298" s="286" t="s">
        <v>781</v>
      </c>
      <c r="F298" s="8">
        <v>10.6</v>
      </c>
      <c r="G298" s="7" t="s">
        <v>883</v>
      </c>
      <c r="H298" s="1" t="s">
        <v>1791</v>
      </c>
      <c r="I298" s="8">
        <f>(C11)</f>
        <v>386.4</v>
      </c>
      <c r="J298" s="1" t="s">
        <v>883</v>
      </c>
      <c r="K298" s="8">
        <f t="shared" si="28"/>
        <v>4095.84</v>
      </c>
      <c r="M298" s="8">
        <v>1.1000000000000001</v>
      </c>
      <c r="N298" s="1" t="s">
        <v>883</v>
      </c>
      <c r="O298" s="1" t="s">
        <v>324</v>
      </c>
      <c r="P298" s="8">
        <f>(C13)</f>
        <v>243.6</v>
      </c>
      <c r="Q298" s="1" t="s">
        <v>883</v>
      </c>
      <c r="R298" s="8">
        <f>(M298*P298)</f>
        <v>267.95999999999998</v>
      </c>
      <c r="AC298" s="69">
        <f t="shared" si="25"/>
        <v>0</v>
      </c>
      <c r="AE298" s="1" t="s">
        <v>2346</v>
      </c>
    </row>
    <row r="299" spans="1:31" ht="24" customHeight="1">
      <c r="A299" s="285">
        <f t="shared" si="27"/>
        <v>139</v>
      </c>
      <c r="B299" s="286" t="s">
        <v>1513</v>
      </c>
      <c r="C299" s="206">
        <v>5.5</v>
      </c>
      <c r="D299" s="286" t="s">
        <v>781</v>
      </c>
      <c r="F299" s="8">
        <v>14.1</v>
      </c>
      <c r="G299" s="7" t="s">
        <v>883</v>
      </c>
      <c r="H299" s="1" t="s">
        <v>1979</v>
      </c>
      <c r="I299" s="8">
        <f>(C12)</f>
        <v>269.85000000000002</v>
      </c>
      <c r="J299" s="1" t="s">
        <v>883</v>
      </c>
      <c r="K299" s="8">
        <f t="shared" si="28"/>
        <v>3804.89</v>
      </c>
      <c r="N299" s="1" t="s">
        <v>448</v>
      </c>
      <c r="O299" s="1" t="s">
        <v>449</v>
      </c>
      <c r="P299" s="1" t="s">
        <v>995</v>
      </c>
      <c r="Q299" s="1" t="s">
        <v>448</v>
      </c>
      <c r="R299" s="8">
        <v>0</v>
      </c>
      <c r="AC299" s="69">
        <f t="shared" si="25"/>
        <v>0</v>
      </c>
      <c r="AE299" s="1" t="s">
        <v>2346</v>
      </c>
    </row>
    <row r="300" spans="1:31" ht="24" customHeight="1">
      <c r="A300" s="285">
        <f t="shared" si="27"/>
        <v>140</v>
      </c>
      <c r="B300" s="286" t="s">
        <v>492</v>
      </c>
      <c r="C300" s="206">
        <v>21</v>
      </c>
      <c r="D300" s="286" t="s">
        <v>781</v>
      </c>
      <c r="F300" s="8">
        <v>14.1</v>
      </c>
      <c r="G300" s="7" t="s">
        <v>883</v>
      </c>
      <c r="H300" s="1" t="s">
        <v>324</v>
      </c>
      <c r="I300" s="8">
        <f>(C13)</f>
        <v>243.6</v>
      </c>
      <c r="J300" s="1" t="s">
        <v>883</v>
      </c>
      <c r="K300" s="8">
        <f t="shared" si="28"/>
        <v>3434.76</v>
      </c>
      <c r="R300" s="5" t="s">
        <v>1667</v>
      </c>
      <c r="AC300" s="69">
        <f t="shared" si="25"/>
        <v>0</v>
      </c>
      <c r="AE300" s="1" t="s">
        <v>2346</v>
      </c>
    </row>
    <row r="301" spans="1:31" ht="24" customHeight="1">
      <c r="A301" s="285">
        <f t="shared" si="27"/>
        <v>141</v>
      </c>
      <c r="B301" s="286" t="s">
        <v>493</v>
      </c>
      <c r="C301" s="206">
        <v>10</v>
      </c>
      <c r="D301" s="286" t="s">
        <v>781</v>
      </c>
      <c r="G301" s="7" t="s">
        <v>448</v>
      </c>
      <c r="H301" s="1" t="s">
        <v>449</v>
      </c>
      <c r="J301" s="1" t="s">
        <v>448</v>
      </c>
      <c r="K301" s="8">
        <v>0</v>
      </c>
      <c r="O301" s="1" t="s">
        <v>995</v>
      </c>
      <c r="R301" s="8">
        <f>SUM(R295:R299)</f>
        <v>1363.5</v>
      </c>
      <c r="AC301" s="69">
        <f t="shared" si="25"/>
        <v>0</v>
      </c>
      <c r="AE301" s="1" t="s">
        <v>2346</v>
      </c>
    </row>
    <row r="302" spans="1:31" ht="24" customHeight="1">
      <c r="A302" s="285">
        <f t="shared" si="27"/>
        <v>142</v>
      </c>
      <c r="B302" s="286" t="s">
        <v>1884</v>
      </c>
      <c r="C302" s="206">
        <v>4</v>
      </c>
      <c r="D302" s="286" t="s">
        <v>781</v>
      </c>
      <c r="K302" s="5" t="s">
        <v>1667</v>
      </c>
      <c r="R302" s="5" t="s">
        <v>1667</v>
      </c>
      <c r="AC302" s="69">
        <f t="shared" si="25"/>
        <v>0</v>
      </c>
      <c r="AE302" s="1" t="s">
        <v>2346</v>
      </c>
    </row>
    <row r="303" spans="1:31" ht="24" customHeight="1">
      <c r="A303" s="285">
        <f t="shared" si="27"/>
        <v>143</v>
      </c>
      <c r="B303" s="286" t="s">
        <v>1197</v>
      </c>
      <c r="C303" s="206">
        <v>8</v>
      </c>
      <c r="D303" s="286" t="s">
        <v>883</v>
      </c>
      <c r="H303" s="1" t="s">
        <v>618</v>
      </c>
      <c r="K303" s="8">
        <f>SUM(K294:K301)</f>
        <v>27835.07</v>
      </c>
      <c r="O303" s="1" t="s">
        <v>555</v>
      </c>
      <c r="R303" s="8">
        <f>(R301/10)</f>
        <v>136.35</v>
      </c>
      <c r="AC303" s="69">
        <f t="shared" si="25"/>
        <v>0</v>
      </c>
      <c r="AE303" s="1" t="s">
        <v>2346</v>
      </c>
    </row>
    <row r="304" spans="1:31" ht="24" customHeight="1">
      <c r="A304" s="285">
        <f t="shared" si="27"/>
        <v>144</v>
      </c>
      <c r="B304" s="286" t="s">
        <v>1198</v>
      </c>
      <c r="C304" s="206">
        <v>8.5</v>
      </c>
      <c r="D304" s="286" t="s">
        <v>781</v>
      </c>
      <c r="K304" s="5" t="s">
        <v>1667</v>
      </c>
      <c r="N304" s="1" t="s">
        <v>2338</v>
      </c>
      <c r="O304" s="1" t="s">
        <v>494</v>
      </c>
      <c r="R304" s="5" t="s">
        <v>2130</v>
      </c>
      <c r="AC304" s="69">
        <f t="shared" si="25"/>
        <v>0</v>
      </c>
      <c r="AE304" s="1" t="s">
        <v>2346</v>
      </c>
    </row>
    <row r="305" spans="1:31" ht="24" customHeight="1">
      <c r="A305" s="285">
        <f t="shared" si="27"/>
        <v>145</v>
      </c>
      <c r="B305" s="286" t="s">
        <v>606</v>
      </c>
      <c r="C305" s="206">
        <v>2.8</v>
      </c>
      <c r="D305" s="286" t="s">
        <v>781</v>
      </c>
      <c r="H305" s="64" t="s">
        <v>785</v>
      </c>
      <c r="K305" s="639">
        <f>(K303/10)</f>
        <v>2783.51</v>
      </c>
      <c r="O305" s="5" t="s">
        <v>1667</v>
      </c>
      <c r="AC305" s="69">
        <f t="shared" si="25"/>
        <v>0</v>
      </c>
      <c r="AE305" s="1" t="s">
        <v>2346</v>
      </c>
    </row>
    <row r="306" spans="1:31" ht="24" customHeight="1">
      <c r="A306" s="285">
        <f t="shared" si="27"/>
        <v>146</v>
      </c>
      <c r="B306" s="286" t="s">
        <v>2060</v>
      </c>
      <c r="C306" s="206">
        <v>1.8</v>
      </c>
      <c r="D306" s="286" t="s">
        <v>781</v>
      </c>
      <c r="K306" s="5" t="s">
        <v>2130</v>
      </c>
      <c r="M306" s="8">
        <v>0.14000000000000001</v>
      </c>
      <c r="N306" s="1" t="s">
        <v>884</v>
      </c>
      <c r="O306" s="1" t="s">
        <v>123</v>
      </c>
      <c r="P306" s="8">
        <f>(K23)</f>
        <v>4823.01</v>
      </c>
      <c r="Q306" s="1" t="s">
        <v>884</v>
      </c>
      <c r="R306" s="8">
        <f>(M306*P306)</f>
        <v>675.22</v>
      </c>
      <c r="T306" t="s">
        <v>2338</v>
      </c>
      <c r="U306" t="s">
        <v>2324</v>
      </c>
      <c r="AA306" s="7" t="s">
        <v>2338</v>
      </c>
      <c r="AB306" s="1" t="s">
        <v>3739</v>
      </c>
      <c r="AE306" s="1" t="s">
        <v>2346</v>
      </c>
    </row>
    <row r="307" spans="1:31" ht="24" customHeight="1">
      <c r="A307" s="285">
        <f t="shared" si="27"/>
        <v>147</v>
      </c>
      <c r="B307" s="286" t="s">
        <v>2061</v>
      </c>
      <c r="C307" s="206">
        <v>4</v>
      </c>
      <c r="D307" s="286" t="s">
        <v>781</v>
      </c>
      <c r="F307" s="26">
        <v>6.5</v>
      </c>
      <c r="G307" s="7" t="s">
        <v>2338</v>
      </c>
      <c r="H307" s="244" t="s">
        <v>2324</v>
      </c>
      <c r="M307" s="8">
        <v>1.1000000000000001</v>
      </c>
      <c r="N307" s="1" t="s">
        <v>883</v>
      </c>
      <c r="O307" s="1" t="s">
        <v>2082</v>
      </c>
      <c r="P307" s="8">
        <f>(C10)</f>
        <v>430.5</v>
      </c>
      <c r="Q307" s="1" t="s">
        <v>883</v>
      </c>
      <c r="R307" s="8">
        <f>(M307*P307)</f>
        <v>473.55</v>
      </c>
      <c r="S307" s="56">
        <v>6.1</v>
      </c>
      <c r="U307" t="s">
        <v>425</v>
      </c>
      <c r="AA307" s="3"/>
      <c r="AB307" s="1" t="s">
        <v>3740</v>
      </c>
      <c r="AD307" s="11"/>
    </row>
    <row r="308" spans="1:31" ht="24" customHeight="1">
      <c r="A308" s="285">
        <f t="shared" si="27"/>
        <v>148</v>
      </c>
      <c r="B308" s="286" t="s">
        <v>2062</v>
      </c>
      <c r="C308" s="286" t="s">
        <v>995</v>
      </c>
      <c r="D308" s="288"/>
      <c r="H308" s="244" t="s">
        <v>3740</v>
      </c>
      <c r="M308" s="8">
        <v>0.5</v>
      </c>
      <c r="N308" s="1" t="s">
        <v>883</v>
      </c>
      <c r="O308" s="1" t="s">
        <v>1979</v>
      </c>
      <c r="P308" s="8">
        <f>(C12)</f>
        <v>269.85000000000002</v>
      </c>
      <c r="Q308" s="1" t="s">
        <v>883</v>
      </c>
      <c r="R308" s="8">
        <f>(M308*P308)</f>
        <v>134.93</v>
      </c>
      <c r="U308" t="s">
        <v>1667</v>
      </c>
      <c r="AA308" s="3"/>
      <c r="AB308" s="5" t="s">
        <v>1667</v>
      </c>
      <c r="AD308" s="11"/>
    </row>
    <row r="309" spans="1:31" ht="24" customHeight="1">
      <c r="A309" s="285">
        <f t="shared" si="27"/>
        <v>149</v>
      </c>
      <c r="B309" s="286" t="s">
        <v>237</v>
      </c>
      <c r="C309" s="616">
        <v>66.44</v>
      </c>
      <c r="D309" s="617" t="s">
        <v>1854</v>
      </c>
      <c r="H309" s="5" t="s">
        <v>1667</v>
      </c>
      <c r="M309" s="8">
        <v>1.1000000000000001</v>
      </c>
      <c r="N309" s="1" t="s">
        <v>883</v>
      </c>
      <c r="O309" s="1" t="s">
        <v>324</v>
      </c>
      <c r="P309" s="8">
        <f>(C13)</f>
        <v>243.6</v>
      </c>
      <c r="Q309" s="1" t="s">
        <v>883</v>
      </c>
      <c r="R309" s="8">
        <f>(M309*P309)</f>
        <v>267.95999999999998</v>
      </c>
      <c r="T309" t="s">
        <v>1485</v>
      </c>
      <c r="U309" t="s">
        <v>425</v>
      </c>
      <c r="V309" s="34">
        <f>AA40</f>
        <v>0</v>
      </c>
      <c r="W309" s="56" t="s">
        <v>1348</v>
      </c>
      <c r="X309">
        <f>(V309*S310)/1000</f>
        <v>0</v>
      </c>
      <c r="AA309" s="7" t="s">
        <v>1485</v>
      </c>
      <c r="AB309" s="8" t="str">
        <f>AB307</f>
        <v>Bricks of size 23x11.4x7.5 cm</v>
      </c>
      <c r="AC309" s="8" t="e">
        <f>#REF!</f>
        <v>#REF!</v>
      </c>
      <c r="AD309" s="11"/>
    </row>
    <row r="310" spans="1:31" ht="24" customHeight="1">
      <c r="A310" s="285">
        <f t="shared" si="27"/>
        <v>150</v>
      </c>
      <c r="B310" s="286" t="s">
        <v>238</v>
      </c>
      <c r="C310" s="616">
        <v>83.5</v>
      </c>
      <c r="D310" s="617" t="s">
        <v>1854</v>
      </c>
      <c r="F310" s="8">
        <v>4240</v>
      </c>
      <c r="G310" s="7" t="s">
        <v>1485</v>
      </c>
      <c r="H310" s="8" t="str">
        <f>H308</f>
        <v>Bricks of size 23x11.4x7.5 cm</v>
      </c>
      <c r="I310" s="8">
        <f>C80</f>
        <v>5204.96</v>
      </c>
      <c r="J310" s="1" t="s">
        <v>1675</v>
      </c>
      <c r="K310" s="8">
        <f>(F310*I310)/1000</f>
        <v>22069.03</v>
      </c>
      <c r="N310" s="1" t="s">
        <v>448</v>
      </c>
      <c r="O310" s="1" t="s">
        <v>449</v>
      </c>
      <c r="P310" s="1" t="s">
        <v>995</v>
      </c>
      <c r="Q310" s="1" t="s">
        <v>448</v>
      </c>
      <c r="R310" s="8">
        <v>0</v>
      </c>
      <c r="S310" s="56">
        <v>4600</v>
      </c>
      <c r="T310" t="s">
        <v>884</v>
      </c>
      <c r="U310" t="s">
        <v>1710</v>
      </c>
      <c r="V310" s="34">
        <f>K49</f>
        <v>2403.81</v>
      </c>
      <c r="W310" t="s">
        <v>884</v>
      </c>
      <c r="X310">
        <f>V310*S311</f>
        <v>6009.53</v>
      </c>
      <c r="AA310" s="7" t="s">
        <v>884</v>
      </c>
      <c r="AB310" s="1" t="s">
        <v>1710</v>
      </c>
      <c r="AC310" s="8">
        <f>K49</f>
        <v>2403.81</v>
      </c>
      <c r="AD310" s="1" t="s">
        <v>1675</v>
      </c>
      <c r="AE310" s="8" t="e">
        <f>(#REF!*AC309)/1000</f>
        <v>#REF!</v>
      </c>
    </row>
    <row r="311" spans="1:31" ht="24" customHeight="1">
      <c r="A311" s="285">
        <f t="shared" si="27"/>
        <v>151</v>
      </c>
      <c r="B311" s="286" t="s">
        <v>239</v>
      </c>
      <c r="C311" s="616">
        <v>102.12</v>
      </c>
      <c r="D311" s="617" t="s">
        <v>1854</v>
      </c>
      <c r="F311" s="8">
        <v>2.5</v>
      </c>
      <c r="G311" s="7" t="s">
        <v>884</v>
      </c>
      <c r="H311" s="1" t="s">
        <v>1710</v>
      </c>
      <c r="I311" s="8">
        <f>K49</f>
        <v>2403.81</v>
      </c>
      <c r="J311" s="1" t="s">
        <v>884</v>
      </c>
      <c r="K311" s="8">
        <f>(F311*I311)</f>
        <v>6009.53</v>
      </c>
      <c r="R311" s="5" t="s">
        <v>1667</v>
      </c>
      <c r="S311" s="56">
        <v>2.5</v>
      </c>
      <c r="T311" t="s">
        <v>883</v>
      </c>
      <c r="U311" t="s">
        <v>2082</v>
      </c>
      <c r="V311" s="34">
        <f>I312</f>
        <v>430.5</v>
      </c>
      <c r="W311" t="s">
        <v>883</v>
      </c>
      <c r="X311">
        <f>V311*S312</f>
        <v>1506.75</v>
      </c>
      <c r="AA311" s="7" t="s">
        <v>883</v>
      </c>
      <c r="AB311" s="1" t="s">
        <v>2082</v>
      </c>
      <c r="AC311" s="8">
        <f>V311</f>
        <v>430.5</v>
      </c>
      <c r="AD311" s="1" t="s">
        <v>884</v>
      </c>
      <c r="AE311" s="8" t="e">
        <f>(#REF!*AC310)</f>
        <v>#REF!</v>
      </c>
    </row>
    <row r="312" spans="1:31" ht="24" customHeight="1">
      <c r="A312" s="285">
        <f t="shared" si="27"/>
        <v>152</v>
      </c>
      <c r="B312" s="286" t="s">
        <v>2301</v>
      </c>
      <c r="C312" s="616">
        <v>182.52</v>
      </c>
      <c r="D312" s="617" t="s">
        <v>1854</v>
      </c>
      <c r="F312" s="8">
        <v>3.5</v>
      </c>
      <c r="G312" s="7" t="s">
        <v>883</v>
      </c>
      <c r="H312" s="1" t="s">
        <v>2082</v>
      </c>
      <c r="I312" s="8">
        <f>C10</f>
        <v>430.5</v>
      </c>
      <c r="J312" s="1" t="s">
        <v>883</v>
      </c>
      <c r="K312" s="8">
        <f>(F312*I312)</f>
        <v>1506.75</v>
      </c>
      <c r="O312" s="1" t="s">
        <v>440</v>
      </c>
      <c r="R312" s="8">
        <f>SUM(R306:R310)</f>
        <v>1551.66</v>
      </c>
      <c r="S312" s="56">
        <v>3.5</v>
      </c>
      <c r="T312" t="s">
        <v>883</v>
      </c>
      <c r="U312" t="s">
        <v>1791</v>
      </c>
      <c r="V312" s="34">
        <f>I313</f>
        <v>386.4</v>
      </c>
      <c r="W312" t="s">
        <v>883</v>
      </c>
      <c r="X312">
        <f>V312*S313</f>
        <v>4095.84</v>
      </c>
      <c r="AA312" s="7" t="s">
        <v>883</v>
      </c>
      <c r="AB312" s="1" t="s">
        <v>1791</v>
      </c>
      <c r="AC312" s="8">
        <f>V312</f>
        <v>386.4</v>
      </c>
      <c r="AD312" s="1" t="s">
        <v>883</v>
      </c>
      <c r="AE312" s="8" t="e">
        <f>(#REF!*AC311)</f>
        <v>#REF!</v>
      </c>
    </row>
    <row r="313" spans="1:31" ht="24" customHeight="1">
      <c r="A313" s="285">
        <f t="shared" si="27"/>
        <v>153</v>
      </c>
      <c r="B313" s="286" t="s">
        <v>2302</v>
      </c>
      <c r="C313" s="618"/>
      <c r="D313" s="618"/>
      <c r="F313" s="8">
        <v>10.6</v>
      </c>
      <c r="G313" s="7" t="s">
        <v>883</v>
      </c>
      <c r="H313" s="1" t="s">
        <v>1791</v>
      </c>
      <c r="I313" s="8">
        <f>C11</f>
        <v>386.4</v>
      </c>
      <c r="J313" s="1" t="s">
        <v>883</v>
      </c>
      <c r="K313" s="8">
        <f>(F313*I313)</f>
        <v>4095.84</v>
      </c>
      <c r="R313" s="5" t="s">
        <v>1667</v>
      </c>
      <c r="S313" s="56">
        <v>10.6</v>
      </c>
      <c r="T313" t="s">
        <v>883</v>
      </c>
      <c r="U313" t="s">
        <v>1979</v>
      </c>
      <c r="V313" s="34">
        <f>I314</f>
        <v>269.85000000000002</v>
      </c>
      <c r="W313" t="s">
        <v>883</v>
      </c>
      <c r="X313">
        <f>V313*S314</f>
        <v>1915.94</v>
      </c>
      <c r="AA313" s="7" t="s">
        <v>883</v>
      </c>
      <c r="AB313" s="1" t="s">
        <v>1979</v>
      </c>
      <c r="AC313" s="8">
        <f>V313</f>
        <v>269.85000000000002</v>
      </c>
      <c r="AD313" s="1" t="s">
        <v>883</v>
      </c>
      <c r="AE313" s="8" t="e">
        <f>(#REF!*AC312)</f>
        <v>#REF!</v>
      </c>
    </row>
    <row r="314" spans="1:31" ht="24" customHeight="1">
      <c r="A314" s="285">
        <f t="shared" si="27"/>
        <v>154</v>
      </c>
      <c r="B314" s="286" t="s">
        <v>237</v>
      </c>
      <c r="C314" s="616">
        <v>26.62</v>
      </c>
      <c r="D314" s="617" t="s">
        <v>781</v>
      </c>
      <c r="F314" s="8">
        <v>7.1</v>
      </c>
      <c r="G314" s="7" t="s">
        <v>883</v>
      </c>
      <c r="H314" s="1" t="s">
        <v>1979</v>
      </c>
      <c r="I314" s="8">
        <f>C12</f>
        <v>269.85000000000002</v>
      </c>
      <c r="J314" s="1" t="s">
        <v>883</v>
      </c>
      <c r="K314" s="8">
        <f>(F314*I314)</f>
        <v>1915.94</v>
      </c>
      <c r="O314" s="1" t="s">
        <v>555</v>
      </c>
      <c r="R314" s="8">
        <f>(R312/10)</f>
        <v>155.16999999999999</v>
      </c>
      <c r="S314" s="56">
        <v>7.1</v>
      </c>
      <c r="T314" t="s">
        <v>883</v>
      </c>
      <c r="U314" t="s">
        <v>324</v>
      </c>
      <c r="V314" s="34">
        <f>I315</f>
        <v>243.6</v>
      </c>
      <c r="W314" t="s">
        <v>883</v>
      </c>
      <c r="X314">
        <f>V314*S315</f>
        <v>5164.32</v>
      </c>
      <c r="AA314" s="7" t="s">
        <v>883</v>
      </c>
      <c r="AB314" s="1" t="s">
        <v>324</v>
      </c>
      <c r="AC314" s="8">
        <f>V314</f>
        <v>243.6</v>
      </c>
      <c r="AD314" s="1" t="s">
        <v>883</v>
      </c>
      <c r="AE314" s="8" t="e">
        <f>(#REF!*AC313)</f>
        <v>#REF!</v>
      </c>
    </row>
    <row r="315" spans="1:31" ht="24" customHeight="1">
      <c r="A315" s="285">
        <f t="shared" si="27"/>
        <v>155</v>
      </c>
      <c r="B315" s="286" t="s">
        <v>238</v>
      </c>
      <c r="C315" s="616">
        <v>34.869999999999997</v>
      </c>
      <c r="D315" s="617" t="s">
        <v>781</v>
      </c>
      <c r="F315" s="8">
        <v>21.2</v>
      </c>
      <c r="G315" s="7" t="s">
        <v>883</v>
      </c>
      <c r="H315" s="1" t="s">
        <v>324</v>
      </c>
      <c r="I315" s="8">
        <f>C13</f>
        <v>243.6</v>
      </c>
      <c r="J315" s="1" t="s">
        <v>883</v>
      </c>
      <c r="K315" s="8">
        <f>(F315*I315)</f>
        <v>5164.32</v>
      </c>
      <c r="R315" s="5" t="s">
        <v>2130</v>
      </c>
      <c r="S315" s="56">
        <v>21.2</v>
      </c>
      <c r="T315" t="s">
        <v>448</v>
      </c>
      <c r="U315" t="s">
        <v>449</v>
      </c>
      <c r="W315" t="s">
        <v>448</v>
      </c>
      <c r="X315">
        <v>0</v>
      </c>
      <c r="AA315" s="7" t="s">
        <v>448</v>
      </c>
      <c r="AB315" s="1" t="s">
        <v>449</v>
      </c>
      <c r="AD315" s="1" t="s">
        <v>883</v>
      </c>
      <c r="AE315" s="8" t="e">
        <f>(#REF!*AC314)</f>
        <v>#REF!</v>
      </c>
    </row>
    <row r="316" spans="1:31" ht="24" customHeight="1">
      <c r="A316" s="285">
        <f t="shared" si="27"/>
        <v>156</v>
      </c>
      <c r="B316" s="286" t="s">
        <v>239</v>
      </c>
      <c r="C316" s="616">
        <v>45</v>
      </c>
      <c r="D316" s="617" t="s">
        <v>781</v>
      </c>
      <c r="G316" s="7" t="s">
        <v>448</v>
      </c>
      <c r="H316" s="1" t="s">
        <v>449</v>
      </c>
      <c r="J316" s="1" t="s">
        <v>448</v>
      </c>
      <c r="K316" s="8">
        <v>0</v>
      </c>
      <c r="N316" s="1" t="s">
        <v>2338</v>
      </c>
      <c r="O316" s="1" t="s">
        <v>2303</v>
      </c>
      <c r="X316" t="s">
        <v>1667</v>
      </c>
      <c r="AA316" s="3"/>
      <c r="AD316" s="1" t="s">
        <v>448</v>
      </c>
      <c r="AE316" s="8">
        <v>0</v>
      </c>
    </row>
    <row r="317" spans="1:31" ht="24" customHeight="1">
      <c r="A317" s="285">
        <f t="shared" si="27"/>
        <v>157</v>
      </c>
      <c r="B317" s="286" t="s">
        <v>2301</v>
      </c>
      <c r="C317" s="616">
        <v>99.75</v>
      </c>
      <c r="D317" s="617" t="s">
        <v>781</v>
      </c>
      <c r="K317" s="5" t="s">
        <v>1667</v>
      </c>
      <c r="O317" s="5" t="s">
        <v>1667</v>
      </c>
      <c r="U317" t="s">
        <v>618</v>
      </c>
      <c r="X317">
        <f>SUM(X309:X316)</f>
        <v>18692.38</v>
      </c>
      <c r="AA317" s="3"/>
      <c r="AB317" s="1" t="s">
        <v>618</v>
      </c>
      <c r="AD317" s="11"/>
      <c r="AE317" s="5" t="s">
        <v>1667</v>
      </c>
    </row>
    <row r="318" spans="1:31" ht="24" customHeight="1">
      <c r="A318" s="285">
        <f t="shared" si="27"/>
        <v>158</v>
      </c>
      <c r="B318" s="286" t="s">
        <v>2262</v>
      </c>
      <c r="C318" s="618"/>
      <c r="D318" s="618"/>
      <c r="H318" s="1" t="s">
        <v>618</v>
      </c>
      <c r="K318" s="8">
        <f>SUM(K310:K316)</f>
        <v>40761.410000000003</v>
      </c>
      <c r="M318" s="8">
        <v>0.1</v>
      </c>
      <c r="N318" s="1" t="s">
        <v>884</v>
      </c>
      <c r="O318" s="1" t="s">
        <v>123</v>
      </c>
      <c r="P318" s="8">
        <f>(K23)</f>
        <v>4823.01</v>
      </c>
      <c r="Q318" s="1" t="s">
        <v>884</v>
      </c>
      <c r="R318" s="8">
        <f>(M318*P318)</f>
        <v>482.3</v>
      </c>
      <c r="X318" t="s">
        <v>1667</v>
      </c>
      <c r="AA318" s="3"/>
      <c r="AD318" s="11"/>
      <c r="AE318" s="8" t="e">
        <f>SUM(AE310:AE316)</f>
        <v>#REF!</v>
      </c>
    </row>
    <row r="319" spans="1:31" ht="24" customHeight="1">
      <c r="A319" s="285">
        <f t="shared" si="27"/>
        <v>159</v>
      </c>
      <c r="B319" s="286" t="s">
        <v>237</v>
      </c>
      <c r="C319" s="616">
        <v>43.47</v>
      </c>
      <c r="D319" s="617" t="s">
        <v>781</v>
      </c>
      <c r="K319" s="5" t="s">
        <v>1667</v>
      </c>
      <c r="M319" s="8">
        <v>1.1000000000000001</v>
      </c>
      <c r="N319" s="1" t="s">
        <v>883</v>
      </c>
      <c r="O319" s="1" t="s">
        <v>2082</v>
      </c>
      <c r="P319" s="8">
        <f>(C10)</f>
        <v>430.5</v>
      </c>
      <c r="Q319" s="1" t="s">
        <v>883</v>
      </c>
      <c r="R319" s="8">
        <f>(M319*P319)</f>
        <v>473.55</v>
      </c>
      <c r="U319" t="s">
        <v>785</v>
      </c>
      <c r="X319" s="38">
        <f>X317/10</f>
        <v>1869.24</v>
      </c>
      <c r="AA319" s="3"/>
      <c r="AB319" s="64" t="s">
        <v>785</v>
      </c>
      <c r="AD319" s="11"/>
      <c r="AE319" s="5" t="s">
        <v>1667</v>
      </c>
    </row>
    <row r="320" spans="1:31" ht="24" customHeight="1">
      <c r="A320" s="285">
        <f t="shared" si="27"/>
        <v>160</v>
      </c>
      <c r="B320" s="286" t="s">
        <v>238</v>
      </c>
      <c r="C320" s="616">
        <v>50.34</v>
      </c>
      <c r="D320" s="617" t="s">
        <v>781</v>
      </c>
      <c r="H320" s="64" t="s">
        <v>785</v>
      </c>
      <c r="K320" s="40">
        <f>(K318/10)</f>
        <v>4076.14</v>
      </c>
      <c r="M320" s="8">
        <v>1.1000000000000001</v>
      </c>
      <c r="N320" s="1" t="s">
        <v>883</v>
      </c>
      <c r="O320" s="1" t="s">
        <v>1979</v>
      </c>
      <c r="P320" s="8">
        <f>(C12)</f>
        <v>269.85000000000002</v>
      </c>
      <c r="Q320" s="1" t="s">
        <v>883</v>
      </c>
      <c r="R320" s="8">
        <f>(M320*P320)</f>
        <v>296.83999999999997</v>
      </c>
      <c r="AA320" s="3"/>
      <c r="AD320" s="11"/>
      <c r="AE320" s="40" t="e">
        <f>(AE318/10)</f>
        <v>#REF!</v>
      </c>
    </row>
    <row r="321" spans="1:32" ht="24" customHeight="1">
      <c r="A321" s="285">
        <f t="shared" si="27"/>
        <v>161</v>
      </c>
      <c r="B321" s="286" t="s">
        <v>239</v>
      </c>
      <c r="C321" s="616">
        <v>65.209999999999994</v>
      </c>
      <c r="D321" s="617" t="s">
        <v>781</v>
      </c>
      <c r="K321" s="5" t="s">
        <v>2130</v>
      </c>
      <c r="M321" s="8">
        <v>1.1000000000000001</v>
      </c>
      <c r="N321" s="1" t="s">
        <v>883</v>
      </c>
      <c r="O321" s="1" t="s">
        <v>324</v>
      </c>
      <c r="P321" s="8">
        <f>(C13)</f>
        <v>243.6</v>
      </c>
      <c r="Q321" s="1" t="s">
        <v>883</v>
      </c>
      <c r="R321" s="8">
        <f>(M321*P321)</f>
        <v>267.95999999999998</v>
      </c>
      <c r="U321" t="s">
        <v>388</v>
      </c>
      <c r="X321">
        <f>X319+C19</f>
        <v>1901.74</v>
      </c>
      <c r="Y321">
        <f>X321-X319</f>
        <v>32.5</v>
      </c>
      <c r="AA321" s="3"/>
      <c r="AB321" s="1" t="s">
        <v>388</v>
      </c>
      <c r="AD321" s="11"/>
      <c r="AE321" s="5" t="s">
        <v>2130</v>
      </c>
    </row>
    <row r="322" spans="1:32" ht="24" customHeight="1">
      <c r="A322" s="285">
        <f t="shared" si="27"/>
        <v>162</v>
      </c>
      <c r="B322" s="286" t="s">
        <v>2301</v>
      </c>
      <c r="C322" s="616">
        <v>145.29</v>
      </c>
      <c r="D322" s="617" t="s">
        <v>781</v>
      </c>
      <c r="H322" s="1" t="s">
        <v>388</v>
      </c>
      <c r="K322" s="615">
        <f>(K320+C19)</f>
        <v>4108.6400000000003</v>
      </c>
      <c r="L322">
        <f>K322-K320</f>
        <v>32.5</v>
      </c>
      <c r="N322" s="1" t="s">
        <v>448</v>
      </c>
      <c r="O322" s="1" t="s">
        <v>449</v>
      </c>
      <c r="P322" s="1" t="s">
        <v>995</v>
      </c>
      <c r="Q322" s="1" t="s">
        <v>448</v>
      </c>
      <c r="R322" s="8">
        <v>0</v>
      </c>
      <c r="U322" t="s">
        <v>390</v>
      </c>
      <c r="X322">
        <f>X321+C20</f>
        <v>1967.04</v>
      </c>
      <c r="Y322">
        <f>X322-X321</f>
        <v>65.3</v>
      </c>
      <c r="AA322" s="3"/>
      <c r="AB322" s="1" t="s">
        <v>390</v>
      </c>
      <c r="AD322" s="11"/>
      <c r="AE322" s="8" t="e">
        <f>AE320+C19</f>
        <v>#REF!</v>
      </c>
      <c r="AF322" t="e">
        <f>AE322-AE320</f>
        <v>#REF!</v>
      </c>
    </row>
    <row r="323" spans="1:32" ht="24" customHeight="1">
      <c r="A323" s="285">
        <f t="shared" si="27"/>
        <v>163</v>
      </c>
      <c r="B323" s="286" t="s">
        <v>2263</v>
      </c>
      <c r="C323" s="618"/>
      <c r="D323" s="618"/>
      <c r="H323" s="1" t="s">
        <v>390</v>
      </c>
      <c r="K323" s="8">
        <f>(K322+C20)</f>
        <v>4173.9399999999996</v>
      </c>
      <c r="L323">
        <f>K323-K322</f>
        <v>65.3</v>
      </c>
      <c r="R323" s="5" t="s">
        <v>1667</v>
      </c>
      <c r="U323" t="s">
        <v>2319</v>
      </c>
      <c r="X323">
        <f>X322+C20</f>
        <v>2032.34</v>
      </c>
      <c r="AA323" s="3"/>
      <c r="AB323" s="1" t="s">
        <v>2319</v>
      </c>
      <c r="AD323" s="11"/>
      <c r="AE323" s="8" t="e">
        <f>AE322+C20</f>
        <v>#REF!</v>
      </c>
      <c r="AF323" t="e">
        <f>AE323-AE322</f>
        <v>#REF!</v>
      </c>
    </row>
    <row r="324" spans="1:32" ht="24" customHeight="1">
      <c r="A324" s="285">
        <f t="shared" si="27"/>
        <v>164</v>
      </c>
      <c r="B324" s="286" t="s">
        <v>237</v>
      </c>
      <c r="C324" s="616">
        <v>14.91</v>
      </c>
      <c r="D324" s="617" t="s">
        <v>1854</v>
      </c>
      <c r="H324" s="1" t="s">
        <v>2319</v>
      </c>
      <c r="K324" s="8">
        <f>(K323+C21)</f>
        <v>4239.24</v>
      </c>
      <c r="O324" s="1" t="s">
        <v>440</v>
      </c>
      <c r="R324" s="8">
        <f>SUM(R318:R322)</f>
        <v>1520.65</v>
      </c>
      <c r="U324" t="s">
        <v>382</v>
      </c>
      <c r="X324">
        <f>X323+C20</f>
        <v>2097.64</v>
      </c>
      <c r="AA324" s="3"/>
      <c r="AB324" s="1" t="s">
        <v>382</v>
      </c>
      <c r="AD324" s="11"/>
      <c r="AE324" s="8" t="e">
        <f>AE323+C20</f>
        <v>#REF!</v>
      </c>
      <c r="AF324" t="e">
        <f>AE323-AE322</f>
        <v>#REF!</v>
      </c>
    </row>
    <row r="325" spans="1:32" ht="24" customHeight="1">
      <c r="A325" s="285">
        <f t="shared" si="27"/>
        <v>165</v>
      </c>
      <c r="B325" s="286" t="s">
        <v>238</v>
      </c>
      <c r="C325" s="616">
        <v>19.41</v>
      </c>
      <c r="D325" s="617" t="s">
        <v>1854</v>
      </c>
      <c r="H325" s="1" t="s">
        <v>382</v>
      </c>
      <c r="K325" s="8">
        <f>(K324+C21)</f>
        <v>4304.54</v>
      </c>
      <c r="R325" s="5" t="s">
        <v>1667</v>
      </c>
      <c r="U325" t="s">
        <v>485</v>
      </c>
      <c r="X325">
        <f>X324+C20</f>
        <v>2162.94</v>
      </c>
      <c r="AA325" s="3"/>
      <c r="AB325" s="1" t="s">
        <v>485</v>
      </c>
      <c r="AD325" s="11"/>
      <c r="AE325" s="8" t="e">
        <f>AE324+C20</f>
        <v>#REF!</v>
      </c>
    </row>
    <row r="326" spans="1:32" ht="24" customHeight="1">
      <c r="A326" s="285">
        <f t="shared" si="27"/>
        <v>166</v>
      </c>
      <c r="B326" s="286" t="s">
        <v>239</v>
      </c>
      <c r="C326" s="616">
        <v>22.22</v>
      </c>
      <c r="D326" s="617" t="s">
        <v>1854</v>
      </c>
      <c r="H326" s="1" t="s">
        <v>485</v>
      </c>
      <c r="K326" s="8">
        <f>(K325+C21)</f>
        <v>4369.84</v>
      </c>
      <c r="O326" s="1" t="s">
        <v>555</v>
      </c>
      <c r="R326" s="8">
        <f>(R324/10)</f>
        <v>152.07</v>
      </c>
      <c r="AC326" s="57"/>
      <c r="AD326" s="11"/>
      <c r="AE326" s="8" t="e">
        <f>AE325+C20</f>
        <v>#REF!</v>
      </c>
    </row>
    <row r="327" spans="1:32" ht="24" customHeight="1">
      <c r="A327" s="285"/>
      <c r="B327" s="286"/>
      <c r="C327" s="287"/>
      <c r="D327" s="286"/>
      <c r="H327" s="1"/>
      <c r="K327" s="8"/>
      <c r="O327" s="1"/>
      <c r="R327" s="8"/>
      <c r="AC327" s="57"/>
      <c r="AE327" s="1"/>
    </row>
    <row r="328" spans="1:32" ht="24" customHeight="1">
      <c r="A328" s="285"/>
      <c r="B328" s="286"/>
      <c r="C328" s="287"/>
      <c r="D328" s="286"/>
      <c r="F328" s="2" t="s">
        <v>647</v>
      </c>
      <c r="H328" s="1" t="s">
        <v>1688</v>
      </c>
      <c r="K328" s="35">
        <v>430</v>
      </c>
      <c r="L328" t="s">
        <v>1153</v>
      </c>
      <c r="O328" s="1"/>
      <c r="R328" s="8"/>
      <c r="AC328" s="57"/>
      <c r="AE328" s="1"/>
    </row>
    <row r="329" spans="1:32" ht="24" customHeight="1">
      <c r="A329" s="285"/>
      <c r="B329" s="286"/>
      <c r="C329" s="287"/>
      <c r="D329" s="286"/>
      <c r="H329" s="1" t="s">
        <v>648</v>
      </c>
      <c r="K329" s="5" t="s">
        <v>2130</v>
      </c>
      <c r="O329" s="1"/>
      <c r="R329" s="8"/>
      <c r="AC329" s="57"/>
      <c r="AE329" s="1"/>
    </row>
    <row r="330" spans="1:32" ht="24" customHeight="1">
      <c r="A330" s="285"/>
      <c r="B330" s="286"/>
      <c r="C330" s="287"/>
      <c r="D330" s="286"/>
      <c r="H330" s="1"/>
      <c r="K330" s="8"/>
      <c r="O330" s="1"/>
      <c r="R330" s="8"/>
      <c r="T330" t="s">
        <v>2338</v>
      </c>
      <c r="U330" t="s">
        <v>2323</v>
      </c>
      <c r="AA330" s="7" t="s">
        <v>2338</v>
      </c>
      <c r="AB330" s="1" t="s">
        <v>3741</v>
      </c>
      <c r="AE330" s="1"/>
    </row>
    <row r="331" spans="1:32" ht="24" customHeight="1">
      <c r="A331" s="285">
        <f>(A326+1)</f>
        <v>167</v>
      </c>
      <c r="B331" s="286" t="s">
        <v>2301</v>
      </c>
      <c r="C331" s="616">
        <v>46.42</v>
      </c>
      <c r="D331" s="617" t="s">
        <v>1854</v>
      </c>
      <c r="F331" s="13">
        <v>9</v>
      </c>
      <c r="G331" s="7" t="s">
        <v>2338</v>
      </c>
      <c r="H331" s="244" t="s">
        <v>3787</v>
      </c>
      <c r="R331" s="5" t="s">
        <v>2130</v>
      </c>
      <c r="S331" s="56">
        <v>9</v>
      </c>
      <c r="U331" t="s">
        <v>425</v>
      </c>
      <c r="AA331" s="3"/>
      <c r="AB331" s="1" t="str">
        <f>AB307</f>
        <v>Bricks of size 23x11.4x7.5 cm</v>
      </c>
      <c r="AD331" s="11"/>
    </row>
    <row r="332" spans="1:32" ht="24" customHeight="1">
      <c r="A332" s="285">
        <f t="shared" si="27"/>
        <v>168</v>
      </c>
      <c r="B332" s="286" t="s">
        <v>2264</v>
      </c>
      <c r="C332" s="618"/>
      <c r="D332" s="618"/>
      <c r="H332" s="244" t="s">
        <v>3740</v>
      </c>
      <c r="U332" t="s">
        <v>1667</v>
      </c>
      <c r="AA332" s="3"/>
      <c r="AB332" s="5" t="s">
        <v>1667</v>
      </c>
      <c r="AD332" s="11"/>
    </row>
    <row r="333" spans="1:32" ht="24" customHeight="1">
      <c r="A333" s="285">
        <f t="shared" si="27"/>
        <v>169</v>
      </c>
      <c r="B333" s="286" t="s">
        <v>237</v>
      </c>
      <c r="C333" s="616">
        <v>8.58</v>
      </c>
      <c r="D333" s="617" t="s">
        <v>781</v>
      </c>
      <c r="H333" s="5" t="s">
        <v>1667</v>
      </c>
      <c r="N333" s="1" t="s">
        <v>2338</v>
      </c>
      <c r="O333" s="1" t="s">
        <v>2265</v>
      </c>
      <c r="T333" t="s">
        <v>1485</v>
      </c>
      <c r="U333" t="s">
        <v>425</v>
      </c>
      <c r="V333">
        <f>AA40</f>
        <v>0</v>
      </c>
      <c r="W333" t="s">
        <v>1675</v>
      </c>
      <c r="X333">
        <f>V333*S334/1000</f>
        <v>0</v>
      </c>
      <c r="AA333" s="7" t="s">
        <v>1485</v>
      </c>
      <c r="AB333" s="8" t="str">
        <f>AB307</f>
        <v>Bricks of size 23x11.4x7.5 cm</v>
      </c>
      <c r="AC333" s="8" t="e">
        <f>#REF!</f>
        <v>#REF!</v>
      </c>
      <c r="AD333" s="11"/>
    </row>
    <row r="334" spans="1:32" ht="24" customHeight="1">
      <c r="A334" s="285">
        <f t="shared" si="27"/>
        <v>170</v>
      </c>
      <c r="B334" s="286" t="s">
        <v>238</v>
      </c>
      <c r="C334" s="616">
        <v>12.26</v>
      </c>
      <c r="D334" s="617" t="s">
        <v>781</v>
      </c>
      <c r="F334" s="8">
        <f>F310</f>
        <v>4240</v>
      </c>
      <c r="G334" s="7" t="s">
        <v>1485</v>
      </c>
      <c r="H334" s="8" t="str">
        <f>H308</f>
        <v>Bricks of size 23x11.4x7.5 cm</v>
      </c>
      <c r="I334" s="8">
        <f>C80</f>
        <v>5204.96</v>
      </c>
      <c r="J334" s="1" t="s">
        <v>1675</v>
      </c>
      <c r="K334" s="8">
        <f>(F334*I334)/1000</f>
        <v>22069.03</v>
      </c>
      <c r="O334" s="5" t="s">
        <v>1667</v>
      </c>
      <c r="S334" s="56">
        <v>4600</v>
      </c>
      <c r="T334" t="s">
        <v>884</v>
      </c>
      <c r="U334" t="s">
        <v>1716</v>
      </c>
      <c r="V334">
        <f>I335</f>
        <v>2135.0100000000002</v>
      </c>
      <c r="W334" t="s">
        <v>884</v>
      </c>
      <c r="X334">
        <f t="shared" ref="X334:X339" si="29">V334*S335</f>
        <v>5337.53</v>
      </c>
      <c r="AA334" s="7" t="s">
        <v>884</v>
      </c>
      <c r="AB334" s="1" t="s">
        <v>1716</v>
      </c>
      <c r="AC334" s="8">
        <f>V334</f>
        <v>2135.0100000000002</v>
      </c>
      <c r="AD334" s="1" t="s">
        <v>1675</v>
      </c>
      <c r="AE334" s="8" t="e">
        <f>AC333*#REF!/1000</f>
        <v>#REF!</v>
      </c>
    </row>
    <row r="335" spans="1:32" ht="24" customHeight="1">
      <c r="A335" s="285">
        <f t="shared" si="27"/>
        <v>171</v>
      </c>
      <c r="B335" s="286" t="s">
        <v>239</v>
      </c>
      <c r="C335" s="616">
        <v>13.89</v>
      </c>
      <c r="D335" s="617" t="s">
        <v>781</v>
      </c>
      <c r="F335" s="8">
        <f>F311</f>
        <v>2.5</v>
      </c>
      <c r="G335" s="7" t="s">
        <v>884</v>
      </c>
      <c r="H335" s="1" t="s">
        <v>1716</v>
      </c>
      <c r="I335" s="8">
        <f>K58</f>
        <v>2135.0100000000002</v>
      </c>
      <c r="J335" s="1" t="s">
        <v>884</v>
      </c>
      <c r="K335" s="8">
        <f>(F335*I335)</f>
        <v>5337.53</v>
      </c>
      <c r="M335" s="8">
        <v>0.22</v>
      </c>
      <c r="N335" s="1" t="s">
        <v>884</v>
      </c>
      <c r="O335" s="1" t="s">
        <v>1710</v>
      </c>
      <c r="P335" s="8">
        <f>(K49)</f>
        <v>2403.81</v>
      </c>
      <c r="Q335" s="1" t="s">
        <v>884</v>
      </c>
      <c r="R335" s="8">
        <f>(M335*P335)</f>
        <v>528.84</v>
      </c>
      <c r="S335" s="56">
        <v>2.5</v>
      </c>
      <c r="T335" t="s">
        <v>883</v>
      </c>
      <c r="U335" t="s">
        <v>2082</v>
      </c>
      <c r="V335">
        <f>I336</f>
        <v>430.5</v>
      </c>
      <c r="W335" t="s">
        <v>883</v>
      </c>
      <c r="X335">
        <f t="shared" si="29"/>
        <v>1506.75</v>
      </c>
      <c r="AA335" s="7" t="s">
        <v>883</v>
      </c>
      <c r="AB335" s="1" t="s">
        <v>2082</v>
      </c>
      <c r="AC335" s="8">
        <f>V335</f>
        <v>430.5</v>
      </c>
      <c r="AD335" s="1" t="s">
        <v>884</v>
      </c>
      <c r="AE335" s="8" t="e">
        <f>AC334*#REF!</f>
        <v>#REF!</v>
      </c>
    </row>
    <row r="336" spans="1:32" ht="24" customHeight="1">
      <c r="A336" s="285">
        <f t="shared" si="27"/>
        <v>172</v>
      </c>
      <c r="B336" s="286" t="s">
        <v>2301</v>
      </c>
      <c r="C336" s="616">
        <v>36.25</v>
      </c>
      <c r="D336" s="617" t="s">
        <v>781</v>
      </c>
      <c r="F336" s="8">
        <v>3.5</v>
      </c>
      <c r="G336" s="7" t="s">
        <v>883</v>
      </c>
      <c r="H336" s="1" t="s">
        <v>2082</v>
      </c>
      <c r="I336" s="8">
        <f>C10</f>
        <v>430.5</v>
      </c>
      <c r="J336" s="1" t="s">
        <v>883</v>
      </c>
      <c r="K336" s="8">
        <f>(F336*I336)</f>
        <v>1506.75</v>
      </c>
      <c r="M336" s="8">
        <v>2.2000000000000002</v>
      </c>
      <c r="N336" s="1" t="s">
        <v>883</v>
      </c>
      <c r="O336" s="1" t="s">
        <v>2082</v>
      </c>
      <c r="P336" s="8">
        <f>(C10)</f>
        <v>430.5</v>
      </c>
      <c r="Q336" s="1" t="s">
        <v>883</v>
      </c>
      <c r="R336" s="8">
        <f>(M336*P336)</f>
        <v>947.1</v>
      </c>
      <c r="S336" s="56">
        <v>3.5</v>
      </c>
      <c r="T336" t="s">
        <v>883</v>
      </c>
      <c r="U336" t="s">
        <v>1791</v>
      </c>
      <c r="V336">
        <f>I337</f>
        <v>386.4</v>
      </c>
      <c r="W336" t="s">
        <v>883</v>
      </c>
      <c r="X336">
        <f t="shared" si="29"/>
        <v>4095.84</v>
      </c>
      <c r="AA336" s="7" t="s">
        <v>883</v>
      </c>
      <c r="AB336" s="1" t="s">
        <v>1791</v>
      </c>
      <c r="AC336" s="8">
        <f>V336</f>
        <v>386.4</v>
      </c>
      <c r="AD336" s="1" t="s">
        <v>883</v>
      </c>
      <c r="AE336" s="8" t="e">
        <f>AC335*#REF!</f>
        <v>#REF!</v>
      </c>
    </row>
    <row r="337" spans="1:31" ht="24" customHeight="1">
      <c r="A337" s="285">
        <f t="shared" si="27"/>
        <v>173</v>
      </c>
      <c r="B337" s="286" t="s">
        <v>2266</v>
      </c>
      <c r="C337" s="618"/>
      <c r="D337" s="618"/>
      <c r="F337" s="8">
        <v>10.6</v>
      </c>
      <c r="G337" s="7" t="s">
        <v>883</v>
      </c>
      <c r="H337" s="1" t="s">
        <v>1791</v>
      </c>
      <c r="I337" s="8">
        <f>C11</f>
        <v>386.4</v>
      </c>
      <c r="J337" s="1" t="s">
        <v>883</v>
      </c>
      <c r="K337" s="8">
        <f>(F337*I337)</f>
        <v>4095.84</v>
      </c>
      <c r="M337" s="8">
        <v>0.5</v>
      </c>
      <c r="N337" s="1" t="s">
        <v>883</v>
      </c>
      <c r="O337" s="1" t="s">
        <v>1979</v>
      </c>
      <c r="P337" s="8">
        <f>(C12)</f>
        <v>269.85000000000002</v>
      </c>
      <c r="Q337" s="1" t="s">
        <v>883</v>
      </c>
      <c r="R337" s="8">
        <f>(M337*P337)</f>
        <v>134.93</v>
      </c>
      <c r="S337" s="56">
        <v>10.6</v>
      </c>
      <c r="T337" t="s">
        <v>883</v>
      </c>
      <c r="U337" t="s">
        <v>1979</v>
      </c>
      <c r="V337">
        <f>I338</f>
        <v>269.85000000000002</v>
      </c>
      <c r="W337" t="s">
        <v>883</v>
      </c>
      <c r="X337">
        <f t="shared" si="29"/>
        <v>1915.94</v>
      </c>
      <c r="AA337" s="7" t="s">
        <v>883</v>
      </c>
      <c r="AB337" s="1" t="s">
        <v>1979</v>
      </c>
      <c r="AC337" s="8">
        <f>V337</f>
        <v>269.85000000000002</v>
      </c>
      <c r="AD337" s="1" t="s">
        <v>883</v>
      </c>
      <c r="AE337" s="8" t="e">
        <f>AC336*#REF!</f>
        <v>#REF!</v>
      </c>
    </row>
    <row r="338" spans="1:31" ht="24" customHeight="1">
      <c r="A338" s="285">
        <f t="shared" si="27"/>
        <v>174</v>
      </c>
      <c r="B338" s="286" t="s">
        <v>237</v>
      </c>
      <c r="C338" s="616">
        <v>15.7</v>
      </c>
      <c r="D338" s="617" t="s">
        <v>781</v>
      </c>
      <c r="F338" s="8">
        <v>7.1</v>
      </c>
      <c r="G338" s="7" t="s">
        <v>883</v>
      </c>
      <c r="H338" s="1" t="s">
        <v>1979</v>
      </c>
      <c r="I338" s="8">
        <f>C12</f>
        <v>269.85000000000002</v>
      </c>
      <c r="J338" s="1" t="s">
        <v>883</v>
      </c>
      <c r="K338" s="8">
        <f>(F338*I338)</f>
        <v>1915.94</v>
      </c>
      <c r="M338" s="8">
        <v>3.2</v>
      </c>
      <c r="N338" s="1" t="s">
        <v>883</v>
      </c>
      <c r="O338" s="1" t="s">
        <v>324</v>
      </c>
      <c r="P338" s="8">
        <f>(C13)</f>
        <v>243.6</v>
      </c>
      <c r="Q338" s="1" t="s">
        <v>883</v>
      </c>
      <c r="R338" s="8">
        <f>(M338*P338)</f>
        <v>779.52</v>
      </c>
      <c r="S338" s="56">
        <v>7.1</v>
      </c>
      <c r="T338" t="s">
        <v>883</v>
      </c>
      <c r="U338" t="s">
        <v>324</v>
      </c>
      <c r="V338">
        <f>I339</f>
        <v>243.6</v>
      </c>
      <c r="W338" t="s">
        <v>883</v>
      </c>
      <c r="X338">
        <f t="shared" si="29"/>
        <v>5164.32</v>
      </c>
      <c r="AA338" s="7" t="s">
        <v>883</v>
      </c>
      <c r="AB338" s="1" t="s">
        <v>324</v>
      </c>
      <c r="AC338" s="8">
        <f>V338</f>
        <v>243.6</v>
      </c>
      <c r="AD338" s="1" t="s">
        <v>883</v>
      </c>
      <c r="AE338" s="8" t="e">
        <f>AC337*#REF!</f>
        <v>#REF!</v>
      </c>
    </row>
    <row r="339" spans="1:31" ht="24" customHeight="1">
      <c r="A339" s="285">
        <f t="shared" si="27"/>
        <v>175</v>
      </c>
      <c r="B339" s="286" t="s">
        <v>238</v>
      </c>
      <c r="C339" s="616">
        <v>22.31</v>
      </c>
      <c r="D339" s="617" t="s">
        <v>781</v>
      </c>
      <c r="F339" s="8">
        <v>21.2</v>
      </c>
      <c r="G339" s="7" t="s">
        <v>883</v>
      </c>
      <c r="H339" s="1" t="s">
        <v>324</v>
      </c>
      <c r="I339" s="8">
        <f>C13</f>
        <v>243.6</v>
      </c>
      <c r="J339" s="1" t="s">
        <v>883</v>
      </c>
      <c r="K339" s="8">
        <f>(F339*I339)</f>
        <v>5164.32</v>
      </c>
      <c r="N339" s="1" t="s">
        <v>448</v>
      </c>
      <c r="O339" s="1" t="s">
        <v>449</v>
      </c>
      <c r="P339" s="1" t="s">
        <v>995</v>
      </c>
      <c r="Q339" s="1" t="s">
        <v>448</v>
      </c>
      <c r="R339" s="8">
        <v>0</v>
      </c>
      <c r="S339" s="56">
        <v>21.2</v>
      </c>
      <c r="T339" t="s">
        <v>448</v>
      </c>
      <c r="U339" t="s">
        <v>449</v>
      </c>
      <c r="W339" t="s">
        <v>448</v>
      </c>
      <c r="X339">
        <f t="shared" si="29"/>
        <v>0</v>
      </c>
      <c r="AA339" s="7" t="s">
        <v>448</v>
      </c>
      <c r="AB339" s="1" t="s">
        <v>449</v>
      </c>
      <c r="AD339" s="1" t="s">
        <v>883</v>
      </c>
      <c r="AE339" s="8" t="e">
        <f>AC338*#REF!</f>
        <v>#REF!</v>
      </c>
    </row>
    <row r="340" spans="1:31" ht="24" customHeight="1">
      <c r="A340" s="285">
        <f t="shared" si="27"/>
        <v>176</v>
      </c>
      <c r="B340" s="286" t="s">
        <v>239</v>
      </c>
      <c r="C340" s="616">
        <v>25.24</v>
      </c>
      <c r="D340" s="617" t="s">
        <v>781</v>
      </c>
      <c r="G340" s="7" t="s">
        <v>448</v>
      </c>
      <c r="H340" s="1" t="s">
        <v>449</v>
      </c>
      <c r="J340" s="1" t="s">
        <v>448</v>
      </c>
      <c r="K340" s="8">
        <v>0</v>
      </c>
      <c r="R340" s="5" t="s">
        <v>1667</v>
      </c>
      <c r="X340" s="5" t="s">
        <v>1667</v>
      </c>
      <c r="AA340" s="3"/>
      <c r="AD340" s="1" t="s">
        <v>448</v>
      </c>
      <c r="AE340" s="8">
        <v>0</v>
      </c>
    </row>
    <row r="341" spans="1:31" ht="24" customHeight="1">
      <c r="A341" s="285">
        <f t="shared" si="27"/>
        <v>177</v>
      </c>
      <c r="B341" s="286" t="s">
        <v>2301</v>
      </c>
      <c r="C341" s="616">
        <v>52.34</v>
      </c>
      <c r="D341" s="617" t="s">
        <v>781</v>
      </c>
      <c r="K341" s="5" t="s">
        <v>1667</v>
      </c>
      <c r="O341" s="1" t="s">
        <v>440</v>
      </c>
      <c r="R341" s="8">
        <f>SUM(R335:R339)</f>
        <v>2390.39</v>
      </c>
      <c r="U341" t="s">
        <v>618</v>
      </c>
      <c r="X341">
        <f>SUM(X333:X340)</f>
        <v>18020.38</v>
      </c>
      <c r="AA341" s="3"/>
      <c r="AB341" s="1" t="s">
        <v>618</v>
      </c>
      <c r="AD341" s="11"/>
      <c r="AE341" s="5" t="s">
        <v>1667</v>
      </c>
    </row>
    <row r="342" spans="1:31" ht="24" customHeight="1">
      <c r="A342" s="285">
        <f t="shared" si="27"/>
        <v>178</v>
      </c>
      <c r="B342" s="286" t="s">
        <v>1073</v>
      </c>
      <c r="C342" s="618"/>
      <c r="D342" s="618"/>
      <c r="H342" s="1" t="s">
        <v>618</v>
      </c>
      <c r="K342" s="8">
        <f>SUM(K334:K340)</f>
        <v>40089.410000000003</v>
      </c>
      <c r="R342" s="5" t="s">
        <v>1667</v>
      </c>
      <c r="X342" s="5" t="s">
        <v>1667</v>
      </c>
      <c r="AA342" s="3"/>
      <c r="AD342" s="11"/>
      <c r="AE342" s="8" t="e">
        <f>SUM(AE334:AE340)</f>
        <v>#REF!</v>
      </c>
    </row>
    <row r="343" spans="1:31" ht="24" customHeight="1">
      <c r="A343" s="285">
        <f t="shared" si="27"/>
        <v>179</v>
      </c>
      <c r="B343" s="286" t="s">
        <v>237</v>
      </c>
      <c r="C343" s="616">
        <v>13.73</v>
      </c>
      <c r="D343" s="617" t="s">
        <v>781</v>
      </c>
      <c r="K343" s="5" t="s">
        <v>1667</v>
      </c>
      <c r="O343" s="1" t="s">
        <v>555</v>
      </c>
      <c r="R343" s="8">
        <f>(R341/10)</f>
        <v>239.04</v>
      </c>
      <c r="U343" t="s">
        <v>785</v>
      </c>
      <c r="X343">
        <f>X341/10</f>
        <v>1802.04</v>
      </c>
      <c r="AA343" s="3"/>
      <c r="AB343" s="2" t="s">
        <v>785</v>
      </c>
      <c r="AD343" s="11"/>
      <c r="AE343" s="5" t="s">
        <v>1667</v>
      </c>
    </row>
    <row r="344" spans="1:31" ht="24" customHeight="1">
      <c r="A344" s="285">
        <f t="shared" si="27"/>
        <v>180</v>
      </c>
      <c r="B344" s="286" t="s">
        <v>238</v>
      </c>
      <c r="C344" s="616">
        <v>20.16</v>
      </c>
      <c r="D344" s="617" t="s">
        <v>781</v>
      </c>
      <c r="H344" s="2" t="s">
        <v>785</v>
      </c>
      <c r="K344" s="8">
        <f>(K342/10)</f>
        <v>4008.94</v>
      </c>
      <c r="R344" s="5" t="s">
        <v>2130</v>
      </c>
      <c r="X344" s="61" t="s">
        <v>1283</v>
      </c>
      <c r="AA344" s="3"/>
      <c r="AD344" s="11"/>
      <c r="AE344" s="8" t="e">
        <f>(AE342/10)</f>
        <v>#REF!</v>
      </c>
    </row>
    <row r="345" spans="1:31" ht="24" customHeight="1">
      <c r="A345" s="285">
        <f t="shared" si="27"/>
        <v>181</v>
      </c>
      <c r="B345" s="286" t="s">
        <v>239</v>
      </c>
      <c r="C345" s="616">
        <v>22.73</v>
      </c>
      <c r="D345" s="617" t="s">
        <v>781</v>
      </c>
      <c r="K345" s="5" t="s">
        <v>2130</v>
      </c>
      <c r="N345" s="1" t="s">
        <v>2338</v>
      </c>
      <c r="O345" s="1" t="s">
        <v>1074</v>
      </c>
      <c r="U345" s="38" t="s">
        <v>388</v>
      </c>
      <c r="X345" s="38">
        <f>X343+C19</f>
        <v>1834.54</v>
      </c>
      <c r="AA345" s="3"/>
      <c r="AB345" s="1" t="s">
        <v>388</v>
      </c>
      <c r="AD345" s="11"/>
      <c r="AE345" s="5" t="s">
        <v>2130</v>
      </c>
    </row>
    <row r="346" spans="1:31" ht="24" customHeight="1">
      <c r="A346" s="285">
        <f t="shared" ref="A346:A409" si="30">(A345+1)</f>
        <v>182</v>
      </c>
      <c r="B346" s="286" t="s">
        <v>2301</v>
      </c>
      <c r="C346" s="616">
        <v>46.98</v>
      </c>
      <c r="D346" s="617" t="s">
        <v>995</v>
      </c>
      <c r="H346" s="1" t="s">
        <v>388</v>
      </c>
      <c r="K346" s="639">
        <f>(K344+C19)</f>
        <v>4041.44</v>
      </c>
      <c r="L346">
        <f>K346-K344</f>
        <v>32.5</v>
      </c>
      <c r="O346" s="5" t="s">
        <v>1667</v>
      </c>
      <c r="U346" s="38" t="s">
        <v>390</v>
      </c>
      <c r="X346" s="38">
        <f>X345+C20</f>
        <v>1899.84</v>
      </c>
      <c r="AA346" s="3"/>
      <c r="AB346" s="1" t="s">
        <v>390</v>
      </c>
      <c r="AD346" s="11"/>
      <c r="AE346" s="40" t="e">
        <f>(AE344+C19)</f>
        <v>#REF!</v>
      </c>
    </row>
    <row r="347" spans="1:31" ht="24" customHeight="1">
      <c r="A347" s="285">
        <f t="shared" si="30"/>
        <v>183</v>
      </c>
      <c r="B347" s="286" t="s">
        <v>1075</v>
      </c>
      <c r="C347" s="618"/>
      <c r="D347" s="618"/>
      <c r="H347" s="1" t="s">
        <v>390</v>
      </c>
      <c r="K347" s="40">
        <f>(K346+C20)</f>
        <v>4106.74</v>
      </c>
      <c r="L347">
        <f>K347-K346</f>
        <v>65.3</v>
      </c>
      <c r="M347" s="8">
        <v>0.22</v>
      </c>
      <c r="N347" s="1" t="s">
        <v>884</v>
      </c>
      <c r="O347" s="1" t="s">
        <v>1414</v>
      </c>
      <c r="P347" s="8">
        <f>(K32)</f>
        <v>3479.01</v>
      </c>
      <c r="Q347" s="1" t="s">
        <v>884</v>
      </c>
      <c r="R347" s="8">
        <f>(M347*P347)</f>
        <v>765.38</v>
      </c>
      <c r="U347" s="38" t="s">
        <v>2319</v>
      </c>
      <c r="X347" s="38">
        <f>X346+C20</f>
        <v>1965.14</v>
      </c>
      <c r="AA347" s="3"/>
      <c r="AB347" s="1" t="s">
        <v>2319</v>
      </c>
      <c r="AD347" s="11"/>
      <c r="AE347" s="40" t="e">
        <f>(AE346+C20)</f>
        <v>#REF!</v>
      </c>
    </row>
    <row r="348" spans="1:31" ht="24" customHeight="1">
      <c r="A348" s="285">
        <f t="shared" si="30"/>
        <v>184</v>
      </c>
      <c r="B348" s="286" t="s">
        <v>237</v>
      </c>
      <c r="C348" s="616">
        <v>19.3</v>
      </c>
      <c r="D348" s="617" t="s">
        <v>781</v>
      </c>
      <c r="H348" s="1" t="s">
        <v>2319</v>
      </c>
      <c r="K348" s="40">
        <f>(K347+C20)</f>
        <v>4172.04</v>
      </c>
      <c r="L348">
        <f>K348-K347</f>
        <v>65.3</v>
      </c>
      <c r="M348" s="8">
        <v>2.2000000000000002</v>
      </c>
      <c r="N348" s="1" t="s">
        <v>883</v>
      </c>
      <c r="O348" s="1" t="s">
        <v>2082</v>
      </c>
      <c r="P348" s="8">
        <f>(C10)</f>
        <v>430.5</v>
      </c>
      <c r="Q348" s="1" t="s">
        <v>883</v>
      </c>
      <c r="R348" s="8">
        <f>(M348*P348)</f>
        <v>947.1</v>
      </c>
      <c r="U348" s="38" t="s">
        <v>382</v>
      </c>
      <c r="X348" s="38">
        <f>X347+C20</f>
        <v>2030.44</v>
      </c>
      <c r="AA348" s="3"/>
      <c r="AB348" s="1" t="s">
        <v>382</v>
      </c>
      <c r="AD348" s="11"/>
      <c r="AE348" s="40" t="e">
        <f>(AE347+C20)</f>
        <v>#REF!</v>
      </c>
    </row>
    <row r="349" spans="1:31" ht="24" customHeight="1">
      <c r="A349" s="285">
        <f t="shared" si="30"/>
        <v>185</v>
      </c>
      <c r="B349" s="286" t="s">
        <v>239</v>
      </c>
      <c r="C349" s="616">
        <v>33.46</v>
      </c>
      <c r="D349" s="617" t="s">
        <v>781</v>
      </c>
      <c r="H349" s="1" t="s">
        <v>382</v>
      </c>
      <c r="K349" s="40">
        <f>(K348+C21)</f>
        <v>4237.34</v>
      </c>
      <c r="M349" s="8">
        <v>0.5</v>
      </c>
      <c r="N349" s="1" t="s">
        <v>883</v>
      </c>
      <c r="O349" s="1" t="s">
        <v>1979</v>
      </c>
      <c r="P349" s="8">
        <f>(C12)</f>
        <v>269.85000000000002</v>
      </c>
      <c r="Q349" s="1" t="s">
        <v>883</v>
      </c>
      <c r="R349" s="8">
        <f>(M349*P349)</f>
        <v>134.93</v>
      </c>
      <c r="U349" s="38" t="s">
        <v>485</v>
      </c>
      <c r="X349" s="38">
        <f>X348+C20</f>
        <v>2095.7399999999998</v>
      </c>
      <c r="AA349" s="3"/>
      <c r="AB349" s="1" t="s">
        <v>485</v>
      </c>
      <c r="AD349" s="11"/>
      <c r="AE349" s="40" t="e">
        <f>(AE348+C20)</f>
        <v>#REF!</v>
      </c>
    </row>
    <row r="350" spans="1:31" ht="24" customHeight="1">
      <c r="A350" s="285">
        <f t="shared" si="30"/>
        <v>186</v>
      </c>
      <c r="B350" s="286" t="s">
        <v>2301</v>
      </c>
      <c r="C350" s="616">
        <v>53.62</v>
      </c>
      <c r="D350" s="617" t="s">
        <v>781</v>
      </c>
      <c r="F350" s="1" t="s">
        <v>995</v>
      </c>
      <c r="H350" s="1" t="s">
        <v>485</v>
      </c>
      <c r="K350" s="40">
        <f>(K349+C21)</f>
        <v>4302.6400000000003</v>
      </c>
      <c r="L350">
        <f>K350-K349</f>
        <v>65.3</v>
      </c>
      <c r="M350" s="8">
        <v>3.2</v>
      </c>
      <c r="N350" s="1" t="s">
        <v>883</v>
      </c>
      <c r="O350" s="1" t="s">
        <v>324</v>
      </c>
      <c r="P350" s="8">
        <f>(C13)</f>
        <v>243.6</v>
      </c>
      <c r="Q350" s="1" t="s">
        <v>883</v>
      </c>
      <c r="R350" s="8">
        <f>(M350*P350)</f>
        <v>779.52</v>
      </c>
      <c r="S350" s="56" t="s">
        <v>995</v>
      </c>
      <c r="T350" t="s">
        <v>2338</v>
      </c>
      <c r="U350" t="s">
        <v>109</v>
      </c>
      <c r="AA350" s="7" t="s">
        <v>2338</v>
      </c>
      <c r="AB350" s="1" t="s">
        <v>3742</v>
      </c>
      <c r="AD350" s="11"/>
      <c r="AE350" s="40" t="e">
        <f>(AE349+C20)</f>
        <v>#REF!</v>
      </c>
    </row>
    <row r="351" spans="1:31" ht="24" customHeight="1">
      <c r="A351" s="285">
        <f t="shared" si="30"/>
        <v>187</v>
      </c>
      <c r="B351" s="286" t="s">
        <v>131</v>
      </c>
      <c r="C351" s="618"/>
      <c r="D351" s="618"/>
      <c r="F351" s="13">
        <v>27</v>
      </c>
      <c r="G351" s="7" t="s">
        <v>2338</v>
      </c>
      <c r="H351" s="244" t="s">
        <v>3788</v>
      </c>
      <c r="L351">
        <f>K350+L350</f>
        <v>4367.9399999999996</v>
      </c>
      <c r="N351" s="1" t="s">
        <v>448</v>
      </c>
      <c r="O351" s="1" t="s">
        <v>449</v>
      </c>
      <c r="P351" s="1" t="s">
        <v>995</v>
      </c>
      <c r="Q351" s="1" t="s">
        <v>448</v>
      </c>
      <c r="R351" s="8">
        <v>0</v>
      </c>
      <c r="S351" s="56">
        <v>27</v>
      </c>
      <c r="U351" t="s">
        <v>425</v>
      </c>
      <c r="AA351" s="3"/>
      <c r="AB351" s="1" t="str">
        <f>AB331</f>
        <v>Bricks of size 23x11.4x7.5 cm</v>
      </c>
      <c r="AD351" s="11"/>
    </row>
    <row r="352" spans="1:31" ht="24" customHeight="1">
      <c r="A352" s="285">
        <f t="shared" si="30"/>
        <v>188</v>
      </c>
      <c r="B352" s="286" t="s">
        <v>237</v>
      </c>
      <c r="C352" s="616">
        <v>13.73</v>
      </c>
      <c r="D352" s="617" t="s">
        <v>781</v>
      </c>
      <c r="H352" s="244" t="s">
        <v>3740</v>
      </c>
      <c r="L352">
        <f>L351+L350</f>
        <v>4433.24</v>
      </c>
      <c r="R352" s="5" t="s">
        <v>1667</v>
      </c>
      <c r="U352" t="s">
        <v>1667</v>
      </c>
      <c r="AA352" s="3"/>
      <c r="AB352" s="5" t="s">
        <v>1667</v>
      </c>
      <c r="AD352" s="11"/>
    </row>
    <row r="353" spans="1:32" ht="24" customHeight="1">
      <c r="A353" s="285">
        <f t="shared" si="30"/>
        <v>189</v>
      </c>
      <c r="B353" s="286" t="s">
        <v>238</v>
      </c>
      <c r="C353" s="616">
        <v>20.16</v>
      </c>
      <c r="D353" s="617" t="s">
        <v>781</v>
      </c>
      <c r="H353" s="5" t="s">
        <v>1667</v>
      </c>
      <c r="O353" s="1" t="s">
        <v>440</v>
      </c>
      <c r="R353" s="8">
        <f>SUM(R347:R351)</f>
        <v>2626.93</v>
      </c>
      <c r="T353" t="s">
        <v>1485</v>
      </c>
      <c r="U353" t="s">
        <v>425</v>
      </c>
      <c r="V353">
        <f>AA40</f>
        <v>0</v>
      </c>
      <c r="W353" t="s">
        <v>1675</v>
      </c>
      <c r="X353">
        <f>V353*S354/1000</f>
        <v>0</v>
      </c>
      <c r="AA353" s="7" t="s">
        <v>1485</v>
      </c>
      <c r="AB353" s="8" t="str">
        <f>AB307</f>
        <v>Bricks of size 23x11.4x7.5 cm</v>
      </c>
      <c r="AC353" s="8" t="e">
        <f>#REF!</f>
        <v>#REF!</v>
      </c>
      <c r="AD353" s="11"/>
    </row>
    <row r="354" spans="1:32" ht="24" customHeight="1">
      <c r="A354" s="285">
        <f t="shared" si="30"/>
        <v>190</v>
      </c>
      <c r="B354" s="286" t="s">
        <v>239</v>
      </c>
      <c r="C354" s="616">
        <v>22.73</v>
      </c>
      <c r="D354" s="617" t="s">
        <v>781</v>
      </c>
      <c r="F354" s="8">
        <v>4800</v>
      </c>
      <c r="G354" s="7" t="s">
        <v>1485</v>
      </c>
      <c r="H354" s="8" t="str">
        <f>H308</f>
        <v>Bricks of size 23x11.4x7.5 cm</v>
      </c>
      <c r="I354" s="8">
        <f>C80</f>
        <v>5204.96</v>
      </c>
      <c r="J354" s="1" t="s">
        <v>1675</v>
      </c>
      <c r="K354" s="8">
        <f>(F354*I354)/1000</f>
        <v>24983.81</v>
      </c>
      <c r="R354" s="5" t="s">
        <v>1667</v>
      </c>
      <c r="S354" s="56">
        <v>4600</v>
      </c>
      <c r="T354" t="s">
        <v>884</v>
      </c>
      <c r="U354" t="s">
        <v>1364</v>
      </c>
      <c r="V354">
        <f>I355</f>
        <v>2807.01</v>
      </c>
      <c r="W354" t="s">
        <v>884</v>
      </c>
      <c r="X354">
        <f>V354*S355</f>
        <v>7017.53</v>
      </c>
      <c r="AA354" s="7" t="s">
        <v>884</v>
      </c>
      <c r="AB354" s="1" t="s">
        <v>1364</v>
      </c>
      <c r="AC354" s="8">
        <f>V354</f>
        <v>2807.01</v>
      </c>
      <c r="AD354" s="1" t="s">
        <v>1675</v>
      </c>
      <c r="AE354" s="8" t="e">
        <f>(#REF!*AC353)/1000</f>
        <v>#REF!</v>
      </c>
    </row>
    <row r="355" spans="1:32" ht="24" customHeight="1">
      <c r="A355" s="285">
        <f t="shared" si="30"/>
        <v>191</v>
      </c>
      <c r="B355" s="286" t="s">
        <v>2301</v>
      </c>
      <c r="C355" s="616">
        <v>46.98</v>
      </c>
      <c r="D355" s="617" t="s">
        <v>781</v>
      </c>
      <c r="F355" s="8">
        <v>2.5</v>
      </c>
      <c r="G355" s="7" t="s">
        <v>884</v>
      </c>
      <c r="H355" s="1" t="s">
        <v>1364</v>
      </c>
      <c r="I355" s="8">
        <f>K40</f>
        <v>2807.01</v>
      </c>
      <c r="J355" s="1" t="s">
        <v>884</v>
      </c>
      <c r="K355" s="8">
        <f>(F355*I355)</f>
        <v>7017.53</v>
      </c>
      <c r="O355" s="1" t="s">
        <v>555</v>
      </c>
      <c r="R355" s="8">
        <f>(R353/10)</f>
        <v>262.69</v>
      </c>
      <c r="S355" s="56">
        <v>2.5</v>
      </c>
      <c r="T355" t="s">
        <v>883</v>
      </c>
      <c r="U355" t="s">
        <v>2082</v>
      </c>
      <c r="V355">
        <f>I356</f>
        <v>430.5</v>
      </c>
      <c r="W355" t="s">
        <v>883</v>
      </c>
      <c r="X355">
        <f>V355*S356</f>
        <v>1506.75</v>
      </c>
      <c r="AA355" s="7" t="s">
        <v>883</v>
      </c>
      <c r="AB355" s="1" t="s">
        <v>2082</v>
      </c>
      <c r="AC355" s="8">
        <f>V355</f>
        <v>430.5</v>
      </c>
      <c r="AD355" s="1" t="s">
        <v>884</v>
      </c>
      <c r="AE355" s="8" t="e">
        <f>(#REF!*AC354)</f>
        <v>#REF!</v>
      </c>
    </row>
    <row r="356" spans="1:32" ht="24" customHeight="1">
      <c r="A356" s="285">
        <f t="shared" si="30"/>
        <v>192</v>
      </c>
      <c r="B356" s="286" t="s">
        <v>826</v>
      </c>
      <c r="C356" s="618"/>
      <c r="D356" s="618"/>
      <c r="F356" s="8">
        <v>3.5</v>
      </c>
      <c r="G356" s="7" t="s">
        <v>883</v>
      </c>
      <c r="H356" s="1" t="s">
        <v>2082</v>
      </c>
      <c r="I356" s="8">
        <f>(C10)</f>
        <v>430.5</v>
      </c>
      <c r="J356" s="1" t="s">
        <v>883</v>
      </c>
      <c r="K356" s="8">
        <f>(F356*I356)</f>
        <v>1506.75</v>
      </c>
      <c r="R356" s="5" t="s">
        <v>2130</v>
      </c>
      <c r="S356" s="56">
        <v>3.5</v>
      </c>
      <c r="T356" t="s">
        <v>883</v>
      </c>
      <c r="U356" t="s">
        <v>1791</v>
      </c>
      <c r="V356">
        <f>I357</f>
        <v>386.4</v>
      </c>
      <c r="W356" t="s">
        <v>883</v>
      </c>
      <c r="X356">
        <f>V356*S357</f>
        <v>4095.84</v>
      </c>
      <c r="AA356" s="7" t="s">
        <v>883</v>
      </c>
      <c r="AB356" s="1" t="s">
        <v>1791</v>
      </c>
      <c r="AC356" s="8">
        <f>V356</f>
        <v>386.4</v>
      </c>
      <c r="AD356" s="1" t="s">
        <v>883</v>
      </c>
      <c r="AE356" s="8" t="e">
        <f>(#REF!*AC355)</f>
        <v>#REF!</v>
      </c>
    </row>
    <row r="357" spans="1:32" ht="24" customHeight="1">
      <c r="A357" s="285">
        <f t="shared" si="30"/>
        <v>193</v>
      </c>
      <c r="B357" s="286" t="s">
        <v>237</v>
      </c>
      <c r="C357" s="616">
        <v>19.3</v>
      </c>
      <c r="D357" s="617" t="s">
        <v>781</v>
      </c>
      <c r="F357" s="8">
        <v>10.6</v>
      </c>
      <c r="G357" s="7" t="s">
        <v>883</v>
      </c>
      <c r="H357" s="1" t="s">
        <v>1791</v>
      </c>
      <c r="I357" s="8">
        <f>(C11)</f>
        <v>386.4</v>
      </c>
      <c r="J357" s="1" t="s">
        <v>883</v>
      </c>
      <c r="K357" s="8">
        <f>(F357*I357)</f>
        <v>4095.84</v>
      </c>
      <c r="N357" s="1" t="s">
        <v>2338</v>
      </c>
      <c r="O357" s="1" t="s">
        <v>827</v>
      </c>
      <c r="S357" s="56">
        <v>10.6</v>
      </c>
      <c r="T357" t="s">
        <v>883</v>
      </c>
      <c r="U357" t="s">
        <v>1979</v>
      </c>
      <c r="V357">
        <f>I358</f>
        <v>269.85000000000002</v>
      </c>
      <c r="W357" t="s">
        <v>883</v>
      </c>
      <c r="X357">
        <f>V357*S358</f>
        <v>1915.94</v>
      </c>
      <c r="AA357" s="7" t="s">
        <v>883</v>
      </c>
      <c r="AB357" s="1" t="s">
        <v>1979</v>
      </c>
      <c r="AC357" s="8">
        <f>V357</f>
        <v>269.85000000000002</v>
      </c>
      <c r="AD357" s="1" t="s">
        <v>883</v>
      </c>
      <c r="AE357" s="8" t="e">
        <f>(#REF!*AC356)</f>
        <v>#REF!</v>
      </c>
    </row>
    <row r="358" spans="1:32" ht="24" customHeight="1">
      <c r="A358" s="285">
        <f t="shared" si="30"/>
        <v>194</v>
      </c>
      <c r="B358" s="286" t="s">
        <v>238</v>
      </c>
      <c r="C358" s="616">
        <v>25.74</v>
      </c>
      <c r="D358" s="617" t="s">
        <v>781</v>
      </c>
      <c r="F358" s="8">
        <v>7.1</v>
      </c>
      <c r="G358" s="7" t="s">
        <v>883</v>
      </c>
      <c r="H358" s="1" t="s">
        <v>1979</v>
      </c>
      <c r="I358" s="8">
        <f>(C12)</f>
        <v>269.85000000000002</v>
      </c>
      <c r="J358" s="1" t="s">
        <v>883</v>
      </c>
      <c r="K358" s="8">
        <f>(F358*I358)</f>
        <v>1915.94</v>
      </c>
      <c r="O358" s="1" t="s">
        <v>828</v>
      </c>
      <c r="S358" s="56">
        <v>7.1</v>
      </c>
      <c r="T358" t="s">
        <v>883</v>
      </c>
      <c r="U358" t="s">
        <v>324</v>
      </c>
      <c r="V358">
        <f>I359</f>
        <v>243.6</v>
      </c>
      <c r="W358" t="s">
        <v>883</v>
      </c>
      <c r="X358">
        <f>V358*S359</f>
        <v>5164.32</v>
      </c>
      <c r="AA358" s="7" t="s">
        <v>883</v>
      </c>
      <c r="AB358" s="1" t="s">
        <v>324</v>
      </c>
      <c r="AC358" s="8">
        <f>V358</f>
        <v>243.6</v>
      </c>
      <c r="AD358" s="1" t="s">
        <v>883</v>
      </c>
      <c r="AE358" s="8" t="e">
        <f>(#REF!*AC357)</f>
        <v>#REF!</v>
      </c>
    </row>
    <row r="359" spans="1:32" ht="24" customHeight="1">
      <c r="A359" s="285">
        <f t="shared" si="30"/>
        <v>195</v>
      </c>
      <c r="B359" s="286" t="s">
        <v>239</v>
      </c>
      <c r="C359" s="616">
        <v>33.46</v>
      </c>
      <c r="D359" s="617" t="s">
        <v>781</v>
      </c>
      <c r="F359" s="8">
        <v>21.2</v>
      </c>
      <c r="G359" s="7" t="s">
        <v>883</v>
      </c>
      <c r="H359" s="1" t="s">
        <v>324</v>
      </c>
      <c r="I359" s="8">
        <f>(C13)</f>
        <v>243.6</v>
      </c>
      <c r="J359" s="1" t="s">
        <v>883</v>
      </c>
      <c r="K359" s="8">
        <f>(F359*I359)</f>
        <v>5164.32</v>
      </c>
      <c r="O359" s="1" t="s">
        <v>829</v>
      </c>
      <c r="S359" s="56">
        <v>21.2</v>
      </c>
      <c r="T359" t="s">
        <v>448</v>
      </c>
      <c r="U359" t="s">
        <v>449</v>
      </c>
      <c r="W359" t="s">
        <v>448</v>
      </c>
      <c r="X359">
        <v>0</v>
      </c>
      <c r="AA359" s="7" t="s">
        <v>448</v>
      </c>
      <c r="AB359" s="1" t="s">
        <v>449</v>
      </c>
      <c r="AD359" s="1" t="s">
        <v>883</v>
      </c>
      <c r="AE359" s="8" t="e">
        <f>(#REF!*AC358)</f>
        <v>#REF!</v>
      </c>
    </row>
    <row r="360" spans="1:32" ht="24" customHeight="1">
      <c r="A360" s="285">
        <f t="shared" si="30"/>
        <v>196</v>
      </c>
      <c r="B360" s="286" t="s">
        <v>2301</v>
      </c>
      <c r="C360" s="616">
        <v>53.62</v>
      </c>
      <c r="D360" s="617" t="s">
        <v>995</v>
      </c>
      <c r="G360" s="7" t="s">
        <v>448</v>
      </c>
      <c r="H360" s="1" t="s">
        <v>449</v>
      </c>
      <c r="J360" s="1" t="s">
        <v>448</v>
      </c>
      <c r="K360" s="8">
        <v>0</v>
      </c>
      <c r="O360" s="5" t="s">
        <v>1667</v>
      </c>
      <c r="X360" s="5" t="s">
        <v>1667</v>
      </c>
      <c r="AA360" s="3"/>
      <c r="AD360" s="1" t="s">
        <v>448</v>
      </c>
      <c r="AE360" s="8">
        <v>0</v>
      </c>
    </row>
    <row r="361" spans="1:32" ht="24" customHeight="1">
      <c r="A361" s="285">
        <f t="shared" si="30"/>
        <v>197</v>
      </c>
      <c r="B361" s="286" t="s">
        <v>989</v>
      </c>
      <c r="C361" s="618"/>
      <c r="D361" s="618"/>
      <c r="K361" s="5" t="s">
        <v>1667</v>
      </c>
      <c r="M361" s="8">
        <v>0.22</v>
      </c>
      <c r="N361" s="1" t="s">
        <v>884</v>
      </c>
      <c r="O361" s="1" t="s">
        <v>1364</v>
      </c>
      <c r="P361" s="8">
        <f>(K40)</f>
        <v>2807.01</v>
      </c>
      <c r="Q361" s="1" t="s">
        <v>884</v>
      </c>
      <c r="R361" s="8">
        <f t="shared" ref="R361:R366" si="31">(M361*P361)</f>
        <v>617.54</v>
      </c>
      <c r="U361" t="s">
        <v>618</v>
      </c>
      <c r="X361">
        <f>SUM(X353:X359)</f>
        <v>19700.38</v>
      </c>
      <c r="AA361" s="3"/>
      <c r="AB361" s="1" t="s">
        <v>618</v>
      </c>
      <c r="AD361" s="11"/>
      <c r="AE361" s="5" t="s">
        <v>1667</v>
      </c>
    </row>
    <row r="362" spans="1:32" ht="24" customHeight="1">
      <c r="A362" s="285">
        <f t="shared" si="30"/>
        <v>198</v>
      </c>
      <c r="B362" s="286" t="s">
        <v>237</v>
      </c>
      <c r="C362" s="616">
        <v>26.16</v>
      </c>
      <c r="D362" s="617" t="s">
        <v>781</v>
      </c>
      <c r="H362" s="1" t="s">
        <v>618</v>
      </c>
      <c r="K362" s="8">
        <f>SUM(K354:K360)</f>
        <v>44684.19</v>
      </c>
      <c r="M362" s="8">
        <v>2.2000000000000002</v>
      </c>
      <c r="N362" s="1" t="s">
        <v>883</v>
      </c>
      <c r="O362" s="1" t="s">
        <v>2082</v>
      </c>
      <c r="P362" s="8">
        <f>(C10)</f>
        <v>430.5</v>
      </c>
      <c r="Q362" s="1" t="s">
        <v>883</v>
      </c>
      <c r="R362" s="8">
        <f t="shared" si="31"/>
        <v>947.1</v>
      </c>
      <c r="X362" s="5" t="s">
        <v>1667</v>
      </c>
      <c r="AA362" s="3"/>
      <c r="AD362" s="11"/>
      <c r="AE362" s="8" t="e">
        <f>SUM(AE354:AE360)</f>
        <v>#REF!</v>
      </c>
    </row>
    <row r="363" spans="1:32" ht="24" customHeight="1">
      <c r="A363" s="285">
        <f t="shared" si="30"/>
        <v>199</v>
      </c>
      <c r="B363" s="286" t="s">
        <v>238</v>
      </c>
      <c r="C363" s="616">
        <v>34.32</v>
      </c>
      <c r="D363" s="617" t="s">
        <v>781</v>
      </c>
      <c r="K363" s="5" t="s">
        <v>1667</v>
      </c>
      <c r="M363" s="8">
        <v>0.5</v>
      </c>
      <c r="N363" s="1" t="s">
        <v>883</v>
      </c>
      <c r="O363" s="1" t="s">
        <v>1979</v>
      </c>
      <c r="P363" s="8">
        <f>(C12)</f>
        <v>269.85000000000002</v>
      </c>
      <c r="Q363" s="1" t="s">
        <v>883</v>
      </c>
      <c r="R363" s="8">
        <f t="shared" si="31"/>
        <v>134.93</v>
      </c>
      <c r="U363" t="s">
        <v>785</v>
      </c>
      <c r="X363">
        <f>X361/10</f>
        <v>1970.04</v>
      </c>
      <c r="AA363" s="3"/>
      <c r="AB363" s="1" t="s">
        <v>785</v>
      </c>
      <c r="AD363" s="11"/>
      <c r="AE363" s="5" t="s">
        <v>1667</v>
      </c>
    </row>
    <row r="364" spans="1:32" ht="24" customHeight="1">
      <c r="A364" s="285">
        <f t="shared" si="30"/>
        <v>200</v>
      </c>
      <c r="B364" s="286" t="s">
        <v>239</v>
      </c>
      <c r="C364" s="616">
        <v>40.33</v>
      </c>
      <c r="D364" s="617" t="s">
        <v>781</v>
      </c>
      <c r="H364" s="1" t="s">
        <v>785</v>
      </c>
      <c r="K364" s="8">
        <f>(K362/10)</f>
        <v>4468.42</v>
      </c>
      <c r="M364" s="8">
        <v>1.1000000000000001</v>
      </c>
      <c r="N364" s="1" t="s">
        <v>990</v>
      </c>
      <c r="O364" s="1" t="s">
        <v>991</v>
      </c>
      <c r="P364" s="8">
        <f>(C10)</f>
        <v>430.5</v>
      </c>
      <c r="Q364" s="1" t="s">
        <v>883</v>
      </c>
      <c r="R364" s="8">
        <f t="shared" si="31"/>
        <v>473.55</v>
      </c>
      <c r="X364" s="61" t="s">
        <v>1283</v>
      </c>
      <c r="AA364" s="3"/>
      <c r="AD364" s="11"/>
      <c r="AE364" s="8" t="e">
        <f>(AE362/10)</f>
        <v>#REF!</v>
      </c>
    </row>
    <row r="365" spans="1:32" ht="24" customHeight="1">
      <c r="A365" s="285">
        <f t="shared" si="30"/>
        <v>201</v>
      </c>
      <c r="B365" s="286" t="s">
        <v>992</v>
      </c>
      <c r="C365" s="618"/>
      <c r="D365" s="617" t="s">
        <v>995</v>
      </c>
      <c r="K365" s="5" t="s">
        <v>2130</v>
      </c>
      <c r="M365" s="8">
        <v>3.2</v>
      </c>
      <c r="N365" s="1" t="s">
        <v>883</v>
      </c>
      <c r="O365" s="1" t="s">
        <v>324</v>
      </c>
      <c r="P365" s="8">
        <f>(C13)</f>
        <v>243.6</v>
      </c>
      <c r="Q365" s="1" t="s">
        <v>883</v>
      </c>
      <c r="R365" s="8">
        <f t="shared" si="31"/>
        <v>779.52</v>
      </c>
      <c r="U365" t="s">
        <v>388</v>
      </c>
      <c r="X365">
        <f>X363+C19</f>
        <v>2002.54</v>
      </c>
      <c r="Y365">
        <f>X363+X365+X366+X367+X368+X369</f>
        <v>12635.74</v>
      </c>
      <c r="Z365">
        <f>Y365/6</f>
        <v>2105.96</v>
      </c>
      <c r="AA365" s="3"/>
      <c r="AB365" s="1" t="s">
        <v>388</v>
      </c>
      <c r="AD365" s="11"/>
      <c r="AE365" s="5" t="s">
        <v>2130</v>
      </c>
    </row>
    <row r="366" spans="1:32" ht="24" customHeight="1">
      <c r="A366" s="285">
        <f t="shared" si="30"/>
        <v>202</v>
      </c>
      <c r="B366" s="286" t="s">
        <v>237</v>
      </c>
      <c r="C366" s="616">
        <v>20.329999999999998</v>
      </c>
      <c r="D366" s="617" t="s">
        <v>781</v>
      </c>
      <c r="H366" s="1" t="s">
        <v>388</v>
      </c>
      <c r="J366" s="11">
        <f>K366-K364</f>
        <v>32.5</v>
      </c>
      <c r="K366" s="8">
        <f>(K364+C19)</f>
        <v>4500.92</v>
      </c>
      <c r="M366" s="8">
        <v>9.8000000000000007</v>
      </c>
      <c r="N366" s="1" t="s">
        <v>1730</v>
      </c>
      <c r="O366" s="1" t="s">
        <v>1731</v>
      </c>
      <c r="P366" s="8">
        <f>(C180)</f>
        <v>127</v>
      </c>
      <c r="Q366" s="1" t="s">
        <v>1730</v>
      </c>
      <c r="R366" s="8">
        <f t="shared" si="31"/>
        <v>1244.5999999999999</v>
      </c>
      <c r="U366" t="s">
        <v>390</v>
      </c>
      <c r="X366">
        <f>X365+C20</f>
        <v>2067.84</v>
      </c>
      <c r="Y366">
        <f>SUM(X365:X366)/2</f>
        <v>2035.19</v>
      </c>
      <c r="AA366" s="3"/>
      <c r="AB366" s="1" t="s">
        <v>390</v>
      </c>
      <c r="AD366" s="11"/>
      <c r="AE366" s="8" t="e">
        <f>(AE364+C19)</f>
        <v>#REF!</v>
      </c>
    </row>
    <row r="367" spans="1:32" ht="24" customHeight="1">
      <c r="A367" s="285">
        <f t="shared" si="30"/>
        <v>203</v>
      </c>
      <c r="B367" s="286" t="s">
        <v>238</v>
      </c>
      <c r="C367" s="616">
        <v>26.6</v>
      </c>
      <c r="D367" s="617" t="s">
        <v>781</v>
      </c>
      <c r="H367" s="1" t="s">
        <v>390</v>
      </c>
      <c r="J367" s="11">
        <f>K367-K366</f>
        <v>65.3</v>
      </c>
      <c r="K367" s="8">
        <f>(K366+C20)</f>
        <v>4566.22</v>
      </c>
      <c r="L367">
        <f>(K366+K367)/2</f>
        <v>4533.57</v>
      </c>
      <c r="N367" s="1" t="s">
        <v>448</v>
      </c>
      <c r="O367" s="1" t="s">
        <v>449</v>
      </c>
      <c r="P367" s="1" t="s">
        <v>995</v>
      </c>
      <c r="Q367" s="1" t="s">
        <v>448</v>
      </c>
      <c r="R367" s="8">
        <v>0</v>
      </c>
      <c r="U367" t="s">
        <v>2319</v>
      </c>
      <c r="X367">
        <f>X366+C20</f>
        <v>2133.14</v>
      </c>
      <c r="Y367">
        <f>SUM(X365:X367)/3</f>
        <v>2067.84</v>
      </c>
      <c r="AA367" s="3"/>
      <c r="AB367" s="1" t="s">
        <v>2319</v>
      </c>
      <c r="AD367" s="11"/>
      <c r="AE367" s="8" t="e">
        <f>(AE366+C20)</f>
        <v>#REF!</v>
      </c>
      <c r="AF367" t="e">
        <f>(AE367+AE366)/2</f>
        <v>#REF!</v>
      </c>
    </row>
    <row r="368" spans="1:32" ht="24" customHeight="1">
      <c r="A368" s="285">
        <f t="shared" si="30"/>
        <v>204</v>
      </c>
      <c r="B368" s="286" t="s">
        <v>239</v>
      </c>
      <c r="C368" s="616">
        <v>33.89</v>
      </c>
      <c r="D368" s="617" t="s">
        <v>781</v>
      </c>
      <c r="H368" s="1" t="s">
        <v>2319</v>
      </c>
      <c r="K368" s="8">
        <f>(K367+C21)</f>
        <v>4631.5200000000004</v>
      </c>
      <c r="L368">
        <f>SUM(K366:K368)/3</f>
        <v>4566.22</v>
      </c>
      <c r="R368" s="5" t="s">
        <v>1667</v>
      </c>
      <c r="U368" t="s">
        <v>382</v>
      </c>
      <c r="X368">
        <f>X367+C20</f>
        <v>2198.44</v>
      </c>
      <c r="AA368" s="3"/>
      <c r="AB368" s="1" t="s">
        <v>382</v>
      </c>
      <c r="AD368" s="11"/>
      <c r="AE368" s="8" t="e">
        <f>(AE367+C20)</f>
        <v>#REF!</v>
      </c>
      <c r="AF368" t="e">
        <f>SUM(AE366:AE368)/3</f>
        <v>#REF!</v>
      </c>
    </row>
    <row r="369" spans="1:31" ht="24" customHeight="1">
      <c r="A369" s="285">
        <f t="shared" si="30"/>
        <v>205</v>
      </c>
      <c r="B369" s="286" t="s">
        <v>993</v>
      </c>
      <c r="C369" s="618"/>
      <c r="D369" s="618"/>
      <c r="H369" s="1" t="s">
        <v>382</v>
      </c>
      <c r="K369" s="8">
        <f>K368+C21</f>
        <v>4696.82</v>
      </c>
      <c r="O369" s="1" t="s">
        <v>440</v>
      </c>
      <c r="R369" s="8">
        <f>SUM(R361:R367)</f>
        <v>4197.24</v>
      </c>
      <c r="U369" t="s">
        <v>485</v>
      </c>
      <c r="X369">
        <f>X368+C20</f>
        <v>2263.7399999999998</v>
      </c>
      <c r="AA369" s="3"/>
      <c r="AB369" s="1" t="s">
        <v>485</v>
      </c>
      <c r="AD369" s="11"/>
      <c r="AE369" s="8" t="e">
        <f>AE368+C20</f>
        <v>#REF!</v>
      </c>
    </row>
    <row r="370" spans="1:31" ht="24" customHeight="1">
      <c r="A370" s="285">
        <f t="shared" si="30"/>
        <v>206</v>
      </c>
      <c r="B370" s="286" t="s">
        <v>237</v>
      </c>
      <c r="C370" s="616">
        <v>13.29</v>
      </c>
      <c r="D370" s="617" t="s">
        <v>781</v>
      </c>
      <c r="H370" s="1" t="s">
        <v>485</v>
      </c>
      <c r="K370" s="8">
        <f>K369+C21</f>
        <v>4762.12</v>
      </c>
      <c r="R370" s="5" t="s">
        <v>1667</v>
      </c>
      <c r="U370" t="s">
        <v>1908</v>
      </c>
      <c r="W370">
        <v>2171.31</v>
      </c>
      <c r="X370">
        <f>SUM(X365:X368)/4</f>
        <v>2100.4899999999998</v>
      </c>
      <c r="AA370" s="3"/>
      <c r="AB370" s="1" t="s">
        <v>1908</v>
      </c>
      <c r="AD370" s="11"/>
      <c r="AE370" s="8" t="e">
        <f>AE369+C20</f>
        <v>#REF!</v>
      </c>
    </row>
    <row r="371" spans="1:31" ht="24" customHeight="1">
      <c r="A371" s="285">
        <f t="shared" si="30"/>
        <v>207</v>
      </c>
      <c r="B371" s="286" t="s">
        <v>238</v>
      </c>
      <c r="C371" s="616">
        <v>18.02</v>
      </c>
      <c r="D371" s="617" t="s">
        <v>781</v>
      </c>
      <c r="H371" s="1" t="s">
        <v>1908</v>
      </c>
      <c r="J371" s="11">
        <f>SUM(K366+K367+K368)/3</f>
        <v>4566.22</v>
      </c>
      <c r="K371" s="8">
        <f>(K366+K367+K368+K369)/4</f>
        <v>4598.87</v>
      </c>
      <c r="O371" s="1" t="s">
        <v>555</v>
      </c>
      <c r="R371" s="8">
        <f>(R369/10)</f>
        <v>419.72</v>
      </c>
      <c r="AA371" s="3"/>
      <c r="AD371" s="11"/>
      <c r="AE371" s="8" t="e">
        <f>(AE366+AE367+AE368+AE369)/4</f>
        <v>#REF!</v>
      </c>
    </row>
    <row r="372" spans="1:31" ht="24" customHeight="1">
      <c r="A372" s="285">
        <f t="shared" si="30"/>
        <v>208</v>
      </c>
      <c r="B372" s="286" t="s">
        <v>239</v>
      </c>
      <c r="C372" s="616">
        <v>23.17</v>
      </c>
      <c r="D372" s="617" t="s">
        <v>781</v>
      </c>
      <c r="R372" s="5" t="s">
        <v>2130</v>
      </c>
      <c r="U372" t="s">
        <v>1910</v>
      </c>
      <c r="AA372" s="3"/>
      <c r="AB372" s="2" t="s">
        <v>1910</v>
      </c>
      <c r="AD372" s="11"/>
    </row>
    <row r="373" spans="1:31" ht="24" customHeight="1">
      <c r="A373" s="285">
        <f t="shared" si="30"/>
        <v>209</v>
      </c>
      <c r="B373" s="286" t="s">
        <v>1909</v>
      </c>
      <c r="C373" s="618"/>
      <c r="D373" s="617" t="s">
        <v>995</v>
      </c>
      <c r="H373" s="2" t="s">
        <v>1910</v>
      </c>
      <c r="N373" s="1" t="s">
        <v>2338</v>
      </c>
      <c r="O373" s="1" t="s">
        <v>1911</v>
      </c>
      <c r="U373" t="s">
        <v>1667</v>
      </c>
      <c r="AA373" s="3"/>
      <c r="AB373" s="5" t="s">
        <v>1667</v>
      </c>
      <c r="AD373" s="11"/>
    </row>
    <row r="374" spans="1:31" ht="24" customHeight="1">
      <c r="A374" s="285">
        <f t="shared" si="30"/>
        <v>210</v>
      </c>
      <c r="B374" s="286" t="s">
        <v>237</v>
      </c>
      <c r="C374" s="616">
        <v>9</v>
      </c>
      <c r="D374" s="617" t="s">
        <v>781</v>
      </c>
      <c r="H374" s="5" t="s">
        <v>1667</v>
      </c>
      <c r="O374" s="5" t="s">
        <v>1667</v>
      </c>
      <c r="T374" t="s">
        <v>2338</v>
      </c>
      <c r="U374" t="s">
        <v>1476</v>
      </c>
      <c r="AA374" s="7" t="s">
        <v>2338</v>
      </c>
      <c r="AB374" s="1" t="s">
        <v>830</v>
      </c>
      <c r="AD374" s="11"/>
    </row>
    <row r="375" spans="1:31" ht="24" customHeight="1">
      <c r="A375" s="285">
        <f t="shared" si="30"/>
        <v>211</v>
      </c>
      <c r="B375" s="286" t="s">
        <v>238</v>
      </c>
      <c r="C375" s="616">
        <v>11.58</v>
      </c>
      <c r="D375" s="617" t="s">
        <v>781</v>
      </c>
      <c r="F375" s="13">
        <v>10</v>
      </c>
      <c r="G375" s="7" t="s">
        <v>2338</v>
      </c>
      <c r="H375" s="244" t="s">
        <v>3788</v>
      </c>
      <c r="M375" s="8">
        <v>0.05</v>
      </c>
      <c r="N375" s="1" t="s">
        <v>884</v>
      </c>
      <c r="O375" s="1" t="s">
        <v>2077</v>
      </c>
      <c r="P375" s="8">
        <f>(C84)</f>
        <v>1200</v>
      </c>
      <c r="Q375" s="1" t="s">
        <v>884</v>
      </c>
      <c r="R375" s="8">
        <f>(M375*P375)</f>
        <v>60</v>
      </c>
      <c r="S375" s="56">
        <v>10</v>
      </c>
      <c r="U375" t="s">
        <v>425</v>
      </c>
      <c r="AA375" s="3"/>
      <c r="AB375" s="8" t="str">
        <f>AB307</f>
        <v>Bricks of size 23x11.4x7.5 cm</v>
      </c>
      <c r="AD375" s="11"/>
    </row>
    <row r="376" spans="1:31" ht="24" customHeight="1">
      <c r="A376" s="285">
        <f t="shared" si="30"/>
        <v>212</v>
      </c>
      <c r="B376" s="286" t="s">
        <v>239</v>
      </c>
      <c r="C376" s="616">
        <v>14.15</v>
      </c>
      <c r="D376" s="617" t="s">
        <v>781</v>
      </c>
      <c r="H376" s="244" t="s">
        <v>3740</v>
      </c>
      <c r="M376" s="8">
        <v>1.1000000000000001</v>
      </c>
      <c r="N376" s="1" t="s">
        <v>883</v>
      </c>
      <c r="O376" s="1" t="s">
        <v>1791</v>
      </c>
      <c r="P376" s="8">
        <f>(C11)</f>
        <v>386.4</v>
      </c>
      <c r="Q376" s="1" t="s">
        <v>883</v>
      </c>
      <c r="R376" s="8">
        <f>(M376*P376)</f>
        <v>425.04</v>
      </c>
      <c r="U376" t="s">
        <v>1667</v>
      </c>
      <c r="AA376" s="3"/>
      <c r="AB376" s="5" t="s">
        <v>1667</v>
      </c>
      <c r="AD376" s="11"/>
    </row>
    <row r="377" spans="1:31" ht="24" customHeight="1">
      <c r="A377" s="285">
        <f t="shared" si="30"/>
        <v>213</v>
      </c>
      <c r="B377" s="286" t="s">
        <v>1912</v>
      </c>
      <c r="C377" s="618"/>
      <c r="D377" s="618"/>
      <c r="H377" s="5" t="s">
        <v>1667</v>
      </c>
      <c r="M377" s="8">
        <v>0.3</v>
      </c>
      <c r="N377" s="1" t="s">
        <v>883</v>
      </c>
      <c r="O377" s="1" t="s">
        <v>1979</v>
      </c>
      <c r="P377" s="8">
        <f>(C12)</f>
        <v>269.85000000000002</v>
      </c>
      <c r="Q377" s="1" t="s">
        <v>883</v>
      </c>
      <c r="R377" s="8">
        <f>(M377*P377)</f>
        <v>80.959999999999994</v>
      </c>
      <c r="T377" t="s">
        <v>1485</v>
      </c>
      <c r="U377" t="s">
        <v>425</v>
      </c>
      <c r="V377">
        <f>AA40</f>
        <v>0</v>
      </c>
      <c r="W377" t="s">
        <v>1675</v>
      </c>
      <c r="X377">
        <f>S378*V377/1000</f>
        <v>0</v>
      </c>
      <c r="AA377" s="7" t="s">
        <v>1485</v>
      </c>
      <c r="AB377" s="8" t="str">
        <f>AB307</f>
        <v>Bricks of size 23x11.4x7.5 cm</v>
      </c>
      <c r="AC377" s="8" t="e">
        <f>#REF!</f>
        <v>#REF!</v>
      </c>
      <c r="AD377" s="11"/>
    </row>
    <row r="378" spans="1:31" ht="24" customHeight="1">
      <c r="A378" s="285">
        <f t="shared" si="30"/>
        <v>214</v>
      </c>
      <c r="B378" s="286" t="s">
        <v>237</v>
      </c>
      <c r="C378" s="616">
        <v>4.29</v>
      </c>
      <c r="D378" s="617" t="s">
        <v>781</v>
      </c>
      <c r="F378" s="8">
        <f>F310</f>
        <v>4240</v>
      </c>
      <c r="G378" s="7" t="s">
        <v>1485</v>
      </c>
      <c r="H378" s="8" t="str">
        <f>H308</f>
        <v>Bricks of size 23x11.4x7.5 cm</v>
      </c>
      <c r="I378" s="8">
        <f>(C80)</f>
        <v>5204.96</v>
      </c>
      <c r="J378" s="1" t="s">
        <v>1675</v>
      </c>
      <c r="K378" s="8">
        <f>(F378*I378)/1000</f>
        <v>22069.03</v>
      </c>
      <c r="M378" s="8">
        <v>1.9</v>
      </c>
      <c r="N378" s="1" t="s">
        <v>883</v>
      </c>
      <c r="O378" s="1" t="s">
        <v>324</v>
      </c>
      <c r="P378" s="8">
        <f>(C13)</f>
        <v>243.6</v>
      </c>
      <c r="Q378" s="1" t="s">
        <v>883</v>
      </c>
      <c r="R378" s="8">
        <f>(M378*P378)</f>
        <v>462.84</v>
      </c>
      <c r="S378" s="56">
        <v>4600</v>
      </c>
      <c r="T378" t="s">
        <v>884</v>
      </c>
      <c r="U378" t="s">
        <v>1364</v>
      </c>
      <c r="V378">
        <f>I379</f>
        <v>2807.01</v>
      </c>
      <c r="W378" t="s">
        <v>884</v>
      </c>
      <c r="X378">
        <f>V378*S379</f>
        <v>4463.1499999999996</v>
      </c>
      <c r="AA378" s="7" t="s">
        <v>884</v>
      </c>
      <c r="AB378" s="1" t="s">
        <v>1364</v>
      </c>
      <c r="AC378" s="8">
        <f>V378</f>
        <v>2807.01</v>
      </c>
      <c r="AD378" s="1" t="s">
        <v>1675</v>
      </c>
      <c r="AE378" s="8" t="e">
        <f>(#REF!*AC377)/1000</f>
        <v>#REF!</v>
      </c>
    </row>
    <row r="379" spans="1:31" ht="24" customHeight="1">
      <c r="A379" s="285">
        <f t="shared" si="30"/>
        <v>215</v>
      </c>
      <c r="B379" s="286" t="s">
        <v>238</v>
      </c>
      <c r="C379" s="616">
        <v>6.01</v>
      </c>
      <c r="D379" s="617" t="s">
        <v>781</v>
      </c>
      <c r="F379" s="8">
        <v>1.59</v>
      </c>
      <c r="G379" s="7" t="s">
        <v>884</v>
      </c>
      <c r="H379" s="1" t="s">
        <v>1364</v>
      </c>
      <c r="I379" s="8">
        <f>(K40)</f>
        <v>2807.01</v>
      </c>
      <c r="J379" s="1" t="s">
        <v>884</v>
      </c>
      <c r="K379" s="8">
        <f>(F379*I379)</f>
        <v>4463.1499999999996</v>
      </c>
      <c r="N379" s="1" t="s">
        <v>448</v>
      </c>
      <c r="O379" s="1" t="s">
        <v>1913</v>
      </c>
      <c r="P379" s="1" t="s">
        <v>995</v>
      </c>
      <c r="Q379" s="1" t="s">
        <v>448</v>
      </c>
      <c r="R379" s="8">
        <v>1.46</v>
      </c>
      <c r="S379" s="56">
        <v>1.59</v>
      </c>
      <c r="T379" t="s">
        <v>883</v>
      </c>
      <c r="U379" t="s">
        <v>2082</v>
      </c>
      <c r="V379">
        <f>I380</f>
        <v>430.5</v>
      </c>
      <c r="W379" t="s">
        <v>883</v>
      </c>
      <c r="X379">
        <f>V379*S380</f>
        <v>3013.5</v>
      </c>
      <c r="AA379" s="7" t="s">
        <v>883</v>
      </c>
      <c r="AB379" s="1" t="s">
        <v>2082</v>
      </c>
      <c r="AC379" s="8">
        <f>V379</f>
        <v>430.5</v>
      </c>
      <c r="AD379" s="1" t="s">
        <v>884</v>
      </c>
      <c r="AE379" s="8" t="e">
        <f>(#REF!*AC378)</f>
        <v>#REF!</v>
      </c>
    </row>
    <row r="380" spans="1:31" ht="24" customHeight="1">
      <c r="A380" s="285">
        <f t="shared" si="30"/>
        <v>216</v>
      </c>
      <c r="B380" s="286" t="s">
        <v>239</v>
      </c>
      <c r="C380" s="616">
        <v>6.86</v>
      </c>
      <c r="D380" s="617" t="s">
        <v>781</v>
      </c>
      <c r="F380" s="8">
        <v>7</v>
      </c>
      <c r="G380" s="7" t="s">
        <v>883</v>
      </c>
      <c r="H380" s="1" t="s">
        <v>2082</v>
      </c>
      <c r="I380" s="8">
        <f>(C10)</f>
        <v>430.5</v>
      </c>
      <c r="J380" s="1" t="s">
        <v>883</v>
      </c>
      <c r="K380" s="8">
        <f>(F380*I380)</f>
        <v>3013.5</v>
      </c>
      <c r="R380" s="5" t="s">
        <v>1667</v>
      </c>
      <c r="S380" s="56">
        <v>7</v>
      </c>
      <c r="T380" t="s">
        <v>883</v>
      </c>
      <c r="U380" t="s">
        <v>1791</v>
      </c>
      <c r="V380">
        <f>I381</f>
        <v>386.4</v>
      </c>
      <c r="W380" t="s">
        <v>883</v>
      </c>
      <c r="X380">
        <f>V380*S381</f>
        <v>2743.44</v>
      </c>
      <c r="AA380" s="7" t="s">
        <v>883</v>
      </c>
      <c r="AB380" s="1" t="s">
        <v>1791</v>
      </c>
      <c r="AC380" s="8">
        <f>V380</f>
        <v>386.4</v>
      </c>
      <c r="AD380" s="1" t="s">
        <v>883</v>
      </c>
      <c r="AE380" s="8" t="e">
        <f>(#REF!*AC379)</f>
        <v>#REF!</v>
      </c>
    </row>
    <row r="381" spans="1:31" ht="24" customHeight="1">
      <c r="A381" s="285">
        <f t="shared" si="30"/>
        <v>217</v>
      </c>
      <c r="B381" s="286" t="s">
        <v>1914</v>
      </c>
      <c r="C381" s="618"/>
      <c r="D381" s="617" t="s">
        <v>995</v>
      </c>
      <c r="F381" s="8">
        <v>7.1</v>
      </c>
      <c r="G381" s="7" t="s">
        <v>883</v>
      </c>
      <c r="H381" s="1" t="s">
        <v>1791</v>
      </c>
      <c r="I381" s="8">
        <f>(C11)</f>
        <v>386.4</v>
      </c>
      <c r="J381" s="1" t="s">
        <v>883</v>
      </c>
      <c r="K381" s="8">
        <f>(F381*I381)</f>
        <v>2743.44</v>
      </c>
      <c r="O381" s="1" t="s">
        <v>1915</v>
      </c>
      <c r="R381" s="8">
        <f>SUM(R374:R379)</f>
        <v>1030.3</v>
      </c>
      <c r="S381" s="56">
        <v>7.1</v>
      </c>
      <c r="T381" t="s">
        <v>883</v>
      </c>
      <c r="U381" t="s">
        <v>1979</v>
      </c>
      <c r="V381">
        <f>I382</f>
        <v>269.85000000000002</v>
      </c>
      <c r="W381" t="s">
        <v>883</v>
      </c>
      <c r="X381">
        <f>V381*S382</f>
        <v>1915.94</v>
      </c>
      <c r="AA381" s="7" t="s">
        <v>883</v>
      </c>
      <c r="AB381" s="1" t="s">
        <v>1979</v>
      </c>
      <c r="AC381" s="8">
        <f>V381</f>
        <v>269.85000000000002</v>
      </c>
      <c r="AD381" s="1" t="s">
        <v>883</v>
      </c>
      <c r="AE381" s="8" t="e">
        <f>(#REF!*AC380)</f>
        <v>#REF!</v>
      </c>
    </row>
    <row r="382" spans="1:31" ht="24" customHeight="1">
      <c r="A382" s="285">
        <f t="shared" si="30"/>
        <v>218</v>
      </c>
      <c r="B382" s="286" t="s">
        <v>237</v>
      </c>
      <c r="C382" s="616">
        <v>14.91</v>
      </c>
      <c r="D382" s="617" t="s">
        <v>781</v>
      </c>
      <c r="F382" s="8">
        <v>7.1</v>
      </c>
      <c r="G382" s="7" t="s">
        <v>883</v>
      </c>
      <c r="H382" s="1" t="s">
        <v>1979</v>
      </c>
      <c r="I382" s="8">
        <f>(C12)</f>
        <v>269.85000000000002</v>
      </c>
      <c r="J382" s="1" t="s">
        <v>883</v>
      </c>
      <c r="K382" s="8">
        <f>(F382*I382)</f>
        <v>1915.94</v>
      </c>
      <c r="R382" s="5" t="s">
        <v>1667</v>
      </c>
      <c r="S382" s="56">
        <v>7.1</v>
      </c>
      <c r="T382" t="s">
        <v>883</v>
      </c>
      <c r="U382" t="s">
        <v>324</v>
      </c>
      <c r="V382">
        <f>I383</f>
        <v>243.6</v>
      </c>
      <c r="W382" t="s">
        <v>883</v>
      </c>
      <c r="X382">
        <f>V382*S383</f>
        <v>5164.32</v>
      </c>
      <c r="AA382" s="7" t="s">
        <v>883</v>
      </c>
      <c r="AB382" s="1" t="s">
        <v>324</v>
      </c>
      <c r="AC382" s="8">
        <f>V382</f>
        <v>243.6</v>
      </c>
      <c r="AD382" s="1" t="s">
        <v>883</v>
      </c>
      <c r="AE382" s="8" t="e">
        <f>(#REF!*AC381)</f>
        <v>#REF!</v>
      </c>
    </row>
    <row r="383" spans="1:31" ht="24" customHeight="1">
      <c r="A383" s="285">
        <f t="shared" si="30"/>
        <v>219</v>
      </c>
      <c r="B383" s="286" t="s">
        <v>238</v>
      </c>
      <c r="C383" s="616">
        <v>17.579999999999998</v>
      </c>
      <c r="D383" s="617" t="s">
        <v>781</v>
      </c>
      <c r="F383" s="8">
        <v>21.2</v>
      </c>
      <c r="G383" s="7" t="s">
        <v>883</v>
      </c>
      <c r="H383" s="1" t="s">
        <v>324</v>
      </c>
      <c r="I383" s="8">
        <f>(C13)</f>
        <v>243.6</v>
      </c>
      <c r="J383" s="1" t="s">
        <v>883</v>
      </c>
      <c r="K383" s="8">
        <f>(F383*I383)</f>
        <v>5164.32</v>
      </c>
      <c r="O383" s="1" t="s">
        <v>555</v>
      </c>
      <c r="R383" s="8">
        <f>(R381/100)</f>
        <v>10.3</v>
      </c>
      <c r="S383" s="56">
        <v>21.2</v>
      </c>
      <c r="T383" t="s">
        <v>448</v>
      </c>
      <c r="U383" t="s">
        <v>449</v>
      </c>
      <c r="V383" t="s">
        <v>995</v>
      </c>
      <c r="W383" t="s">
        <v>448</v>
      </c>
      <c r="X383">
        <v>0</v>
      </c>
      <c r="AA383" s="7" t="s">
        <v>448</v>
      </c>
      <c r="AB383" s="1" t="s">
        <v>449</v>
      </c>
      <c r="AC383" s="1" t="s">
        <v>995</v>
      </c>
      <c r="AD383" s="1" t="s">
        <v>883</v>
      </c>
      <c r="AE383" s="8" t="e">
        <f>(#REF!*AC382)</f>
        <v>#REF!</v>
      </c>
    </row>
    <row r="384" spans="1:31" ht="24" customHeight="1">
      <c r="A384" s="285">
        <f t="shared" si="30"/>
        <v>220</v>
      </c>
      <c r="B384" s="286" t="s">
        <v>239</v>
      </c>
      <c r="C384" s="616">
        <v>19.3</v>
      </c>
      <c r="D384" s="617" t="s">
        <v>781</v>
      </c>
      <c r="G384" s="7" t="s">
        <v>448</v>
      </c>
      <c r="H384" s="1" t="s">
        <v>449</v>
      </c>
      <c r="I384" s="1" t="s">
        <v>995</v>
      </c>
      <c r="J384" s="1" t="s">
        <v>448</v>
      </c>
      <c r="K384" s="8">
        <v>0</v>
      </c>
      <c r="R384" s="5" t="s">
        <v>2130</v>
      </c>
      <c r="X384" s="61" t="s">
        <v>427</v>
      </c>
      <c r="AA384" s="3"/>
      <c r="AD384" s="1" t="s">
        <v>448</v>
      </c>
      <c r="AE384" s="8">
        <v>0</v>
      </c>
    </row>
    <row r="385" spans="1:31" ht="24" customHeight="1">
      <c r="A385" s="285">
        <f t="shared" si="30"/>
        <v>221</v>
      </c>
      <c r="B385" s="286" t="s">
        <v>1157</v>
      </c>
      <c r="C385" s="618"/>
      <c r="D385" s="618"/>
      <c r="K385" s="5" t="s">
        <v>1667</v>
      </c>
      <c r="U385" t="s">
        <v>618</v>
      </c>
      <c r="X385">
        <f>SUM(X377:X384)</f>
        <v>17300.349999999999</v>
      </c>
      <c r="AA385" s="3"/>
      <c r="AB385" s="1" t="s">
        <v>618</v>
      </c>
      <c r="AD385" s="11"/>
      <c r="AE385" s="5" t="s">
        <v>1667</v>
      </c>
    </row>
    <row r="386" spans="1:31" ht="24" customHeight="1">
      <c r="A386" s="285">
        <f t="shared" si="30"/>
        <v>222</v>
      </c>
      <c r="B386" s="286" t="s">
        <v>237</v>
      </c>
      <c r="C386" s="616">
        <v>15.87</v>
      </c>
      <c r="D386" s="617" t="s">
        <v>781</v>
      </c>
      <c r="H386" s="1" t="s">
        <v>618</v>
      </c>
      <c r="K386" s="8">
        <f>SUM(K378:K384)</f>
        <v>39369.379999999997</v>
      </c>
      <c r="X386" s="61" t="s">
        <v>427</v>
      </c>
      <c r="AA386" s="3"/>
      <c r="AD386" s="11"/>
      <c r="AE386" s="8" t="e">
        <f>SUM(AE378:AE384)</f>
        <v>#REF!</v>
      </c>
    </row>
    <row r="387" spans="1:31" ht="24" customHeight="1">
      <c r="A387" s="285">
        <f t="shared" si="30"/>
        <v>223</v>
      </c>
      <c r="B387" s="286" t="s">
        <v>238</v>
      </c>
      <c r="C387" s="616">
        <v>20.16</v>
      </c>
      <c r="D387" s="617" t="s">
        <v>781</v>
      </c>
      <c r="K387" s="5" t="s">
        <v>1667</v>
      </c>
      <c r="N387" s="1" t="s">
        <v>685</v>
      </c>
      <c r="O387" s="1" t="s">
        <v>1158</v>
      </c>
      <c r="U387" t="s">
        <v>785</v>
      </c>
      <c r="X387">
        <f>X385/10</f>
        <v>1730.04</v>
      </c>
      <c r="AA387" s="3"/>
      <c r="AB387" s="1" t="s">
        <v>785</v>
      </c>
      <c r="AD387" s="11"/>
      <c r="AE387" s="5" t="s">
        <v>1667</v>
      </c>
    </row>
    <row r="388" spans="1:31" ht="24" customHeight="1">
      <c r="A388" s="285">
        <f t="shared" si="30"/>
        <v>224</v>
      </c>
      <c r="B388" s="286" t="s">
        <v>239</v>
      </c>
      <c r="C388" s="616">
        <v>22.31</v>
      </c>
      <c r="D388" s="617" t="s">
        <v>781</v>
      </c>
      <c r="H388" s="1" t="s">
        <v>785</v>
      </c>
      <c r="K388" s="8">
        <f>(K386/10)</f>
        <v>3936.94</v>
      </c>
      <c r="O388" s="5" t="s">
        <v>1667</v>
      </c>
      <c r="X388" s="61" t="s">
        <v>38</v>
      </c>
      <c r="AA388" s="3"/>
      <c r="AD388" s="11"/>
      <c r="AE388" s="8" t="e">
        <f>(AE386/10)</f>
        <v>#REF!</v>
      </c>
    </row>
    <row r="389" spans="1:31" ht="24" customHeight="1">
      <c r="A389" s="285">
        <f t="shared" si="30"/>
        <v>225</v>
      </c>
      <c r="B389" s="286" t="s">
        <v>2309</v>
      </c>
      <c r="C389" s="288"/>
      <c r="D389" s="286" t="s">
        <v>995</v>
      </c>
      <c r="K389" s="5" t="s">
        <v>2130</v>
      </c>
      <c r="M389" s="8">
        <v>7.0000000000000007E-2</v>
      </c>
      <c r="N389" s="1" t="s">
        <v>884</v>
      </c>
      <c r="O389" s="1" t="s">
        <v>2077</v>
      </c>
      <c r="P389" s="8">
        <f>(C84)</f>
        <v>1200</v>
      </c>
      <c r="Q389" s="1" t="s">
        <v>884</v>
      </c>
      <c r="R389" s="8">
        <f>(M389*P389)</f>
        <v>84</v>
      </c>
      <c r="AA389" s="3"/>
      <c r="AD389" s="11"/>
      <c r="AE389" s="5" t="s">
        <v>2130</v>
      </c>
    </row>
    <row r="390" spans="1:31" ht="24" customHeight="1">
      <c r="A390" s="285">
        <f t="shared" si="30"/>
        <v>226</v>
      </c>
      <c r="B390" s="286" t="s">
        <v>1159</v>
      </c>
      <c r="C390" s="290">
        <v>72.75</v>
      </c>
      <c r="D390" s="286" t="s">
        <v>1854</v>
      </c>
      <c r="M390" s="8">
        <v>1.6</v>
      </c>
      <c r="N390" s="1" t="s">
        <v>883</v>
      </c>
      <c r="O390" s="1" t="s">
        <v>1791</v>
      </c>
      <c r="P390" s="8">
        <f>(C11)</f>
        <v>386.4</v>
      </c>
      <c r="Q390" s="1" t="s">
        <v>883</v>
      </c>
      <c r="R390" s="8">
        <f>(M390*P390)</f>
        <v>618.24</v>
      </c>
      <c r="T390" t="s">
        <v>685</v>
      </c>
      <c r="U390" t="s">
        <v>428</v>
      </c>
      <c r="AA390" s="7" t="s">
        <v>685</v>
      </c>
      <c r="AB390" s="1" t="s">
        <v>3381</v>
      </c>
      <c r="AD390" s="11"/>
    </row>
    <row r="391" spans="1:31" ht="24" customHeight="1">
      <c r="A391" s="285">
        <f t="shared" si="30"/>
        <v>227</v>
      </c>
      <c r="B391" s="286" t="s">
        <v>1160</v>
      </c>
      <c r="C391" s="290">
        <v>102.8</v>
      </c>
      <c r="D391" s="286" t="s">
        <v>1854</v>
      </c>
      <c r="G391" s="7" t="s">
        <v>685</v>
      </c>
      <c r="H391" s="1" t="s">
        <v>3083</v>
      </c>
      <c r="M391" s="8">
        <v>0.5</v>
      </c>
      <c r="N391" s="1" t="s">
        <v>883</v>
      </c>
      <c r="O391" s="1" t="s">
        <v>1979</v>
      </c>
      <c r="P391" s="8">
        <f>(C12)</f>
        <v>269.85000000000002</v>
      </c>
      <c r="Q391" s="1" t="s">
        <v>883</v>
      </c>
      <c r="R391" s="8">
        <f>(M391*P391)</f>
        <v>134.93</v>
      </c>
      <c r="U391" t="s">
        <v>1667</v>
      </c>
      <c r="AA391" s="3"/>
      <c r="AB391" s="5" t="s">
        <v>1667</v>
      </c>
      <c r="AD391" s="11"/>
    </row>
    <row r="392" spans="1:31" ht="24" customHeight="1">
      <c r="A392" s="285">
        <f t="shared" si="30"/>
        <v>228</v>
      </c>
      <c r="B392" s="286" t="s">
        <v>1161</v>
      </c>
      <c r="C392" s="290">
        <v>133.35</v>
      </c>
      <c r="D392" s="286" t="s">
        <v>1854</v>
      </c>
      <c r="H392" s="5" t="s">
        <v>1667</v>
      </c>
      <c r="M392" s="8">
        <v>2.7</v>
      </c>
      <c r="N392" s="1" t="s">
        <v>883</v>
      </c>
      <c r="O392" s="1" t="s">
        <v>324</v>
      </c>
      <c r="P392" s="8">
        <f>(C13)</f>
        <v>243.6</v>
      </c>
      <c r="Q392" s="1" t="s">
        <v>883</v>
      </c>
      <c r="R392" s="8">
        <f>(M392*P392)</f>
        <v>657.72</v>
      </c>
      <c r="T392" t="s">
        <v>884</v>
      </c>
      <c r="U392" t="s">
        <v>1163</v>
      </c>
      <c r="V392">
        <f>X387</f>
        <v>1730.04</v>
      </c>
      <c r="W392" t="s">
        <v>884</v>
      </c>
      <c r="X392">
        <f>V392*S393</f>
        <v>1937.64</v>
      </c>
      <c r="AA392" s="7" t="s">
        <v>884</v>
      </c>
      <c r="AB392" s="1" t="s">
        <v>1163</v>
      </c>
      <c r="AC392" s="8" t="e">
        <f>(AE388)</f>
        <v>#REF!</v>
      </c>
      <c r="AD392" s="11"/>
    </row>
    <row r="393" spans="1:31" ht="24" customHeight="1">
      <c r="A393" s="285">
        <f t="shared" si="30"/>
        <v>229</v>
      </c>
      <c r="B393" s="286" t="s">
        <v>1162</v>
      </c>
      <c r="C393" s="290">
        <v>157.6</v>
      </c>
      <c r="D393" s="286" t="s">
        <v>1854</v>
      </c>
      <c r="F393" s="8">
        <v>1.1399999999999999</v>
      </c>
      <c r="G393" s="7" t="s">
        <v>884</v>
      </c>
      <c r="H393" s="1" t="s">
        <v>1163</v>
      </c>
      <c r="I393" s="8">
        <f>(K388)</f>
        <v>3936.94</v>
      </c>
      <c r="J393" s="1" t="s">
        <v>884</v>
      </c>
      <c r="K393" s="8">
        <f>(F393*I393)</f>
        <v>4488.1099999999997</v>
      </c>
      <c r="N393" s="1" t="s">
        <v>448</v>
      </c>
      <c r="O393" s="1" t="s">
        <v>1913</v>
      </c>
      <c r="P393" s="1" t="s">
        <v>995</v>
      </c>
      <c r="Q393" s="1" t="s">
        <v>448</v>
      </c>
      <c r="R393" s="8">
        <v>2.09</v>
      </c>
      <c r="S393" s="56">
        <v>1.1200000000000001</v>
      </c>
      <c r="T393" t="s">
        <v>781</v>
      </c>
      <c r="U393" t="s">
        <v>2082</v>
      </c>
      <c r="V393">
        <f>I394</f>
        <v>430.5</v>
      </c>
      <c r="W393" t="s">
        <v>883</v>
      </c>
      <c r="X393">
        <f>V393*S394</f>
        <v>430.5</v>
      </c>
      <c r="AA393" s="7" t="s">
        <v>781</v>
      </c>
      <c r="AB393" s="1" t="s">
        <v>2082</v>
      </c>
      <c r="AC393" s="8">
        <f>AC379</f>
        <v>430.5</v>
      </c>
      <c r="AD393" s="1" t="s">
        <v>884</v>
      </c>
      <c r="AE393" s="8" t="e">
        <f>(#REF!*AC392)</f>
        <v>#REF!</v>
      </c>
    </row>
    <row r="394" spans="1:31" ht="24" customHeight="1">
      <c r="A394" s="285">
        <f t="shared" si="30"/>
        <v>230</v>
      </c>
      <c r="B394" s="286" t="s">
        <v>1164</v>
      </c>
      <c r="C394" s="290">
        <v>169.75</v>
      </c>
      <c r="D394" s="286" t="s">
        <v>1854</v>
      </c>
      <c r="F394" s="8">
        <v>1</v>
      </c>
      <c r="G394" s="7" t="s">
        <v>781</v>
      </c>
      <c r="H394" s="1" t="s">
        <v>2082</v>
      </c>
      <c r="I394" s="8">
        <f>(C10)</f>
        <v>430.5</v>
      </c>
      <c r="J394" s="1" t="s">
        <v>883</v>
      </c>
      <c r="K394" s="8">
        <f>(F394*I394)</f>
        <v>430.5</v>
      </c>
      <c r="R394" s="5" t="s">
        <v>1667</v>
      </c>
      <c r="S394" s="56">
        <v>1</v>
      </c>
      <c r="T394" t="s">
        <v>448</v>
      </c>
      <c r="U394" t="s">
        <v>449</v>
      </c>
      <c r="V394" t="s">
        <v>995</v>
      </c>
      <c r="W394" t="s">
        <v>448</v>
      </c>
      <c r="X394">
        <v>0</v>
      </c>
      <c r="AA394" s="7" t="s">
        <v>448</v>
      </c>
      <c r="AB394" s="1" t="s">
        <v>449</v>
      </c>
      <c r="AC394" s="1" t="s">
        <v>995</v>
      </c>
      <c r="AD394" s="1" t="s">
        <v>883</v>
      </c>
      <c r="AE394" s="8" t="e">
        <f>(#REF!*AC393)</f>
        <v>#REF!</v>
      </c>
    </row>
    <row r="395" spans="1:31" ht="24" customHeight="1">
      <c r="A395" s="285">
        <f t="shared" si="30"/>
        <v>231</v>
      </c>
      <c r="B395" s="286" t="s">
        <v>237</v>
      </c>
      <c r="C395" s="290">
        <v>218.3</v>
      </c>
      <c r="D395" s="286" t="s">
        <v>1854</v>
      </c>
      <c r="G395" s="7" t="s">
        <v>448</v>
      </c>
      <c r="H395" s="1" t="s">
        <v>449</v>
      </c>
      <c r="I395" s="1" t="s">
        <v>995</v>
      </c>
      <c r="J395" s="1" t="s">
        <v>448</v>
      </c>
      <c r="K395" s="8">
        <v>0</v>
      </c>
      <c r="O395" s="1" t="s">
        <v>1915</v>
      </c>
      <c r="R395" s="8">
        <f>SUM(R388:R393)</f>
        <v>1496.98</v>
      </c>
      <c r="X395" s="61" t="s">
        <v>427</v>
      </c>
      <c r="AA395" s="3"/>
      <c r="AD395" s="1" t="s">
        <v>448</v>
      </c>
      <c r="AE395" s="8">
        <v>0</v>
      </c>
    </row>
    <row r="396" spans="1:31" ht="24" customHeight="1">
      <c r="A396" s="285">
        <f t="shared" si="30"/>
        <v>232</v>
      </c>
      <c r="B396" s="286" t="s">
        <v>1165</v>
      </c>
      <c r="C396" s="207">
        <v>254.65</v>
      </c>
      <c r="D396" s="286" t="s">
        <v>1854</v>
      </c>
      <c r="K396" s="5" t="s">
        <v>1667</v>
      </c>
      <c r="R396" s="5" t="s">
        <v>1667</v>
      </c>
      <c r="U396" t="s">
        <v>440</v>
      </c>
      <c r="X396">
        <f>SUM(X392:X394)</f>
        <v>2368.14</v>
      </c>
      <c r="AA396" s="3"/>
      <c r="AB396" s="1" t="s">
        <v>440</v>
      </c>
      <c r="AD396" s="11"/>
      <c r="AE396" s="5" t="s">
        <v>1667</v>
      </c>
    </row>
    <row r="397" spans="1:31" ht="24" customHeight="1">
      <c r="A397" s="285">
        <f t="shared" si="30"/>
        <v>233</v>
      </c>
      <c r="B397" s="286" t="s">
        <v>2142</v>
      </c>
      <c r="C397" s="288"/>
      <c r="D397" s="288"/>
      <c r="H397" s="1" t="s">
        <v>440</v>
      </c>
      <c r="K397" s="8">
        <f>SUM(K393:K395)</f>
        <v>4918.6099999999997</v>
      </c>
      <c r="O397" s="1" t="s">
        <v>555</v>
      </c>
      <c r="R397" s="8">
        <f>(R395/100)</f>
        <v>14.97</v>
      </c>
      <c r="X397" s="61" t="s">
        <v>427</v>
      </c>
      <c r="AA397" s="3"/>
      <c r="AD397" s="11"/>
      <c r="AE397" s="8" t="e">
        <f>SUM(AE393:AE395)</f>
        <v>#REF!</v>
      </c>
    </row>
    <row r="398" spans="1:31" ht="24" customHeight="1">
      <c r="A398" s="285">
        <f t="shared" si="30"/>
        <v>234</v>
      </c>
      <c r="B398" s="286" t="s">
        <v>1159</v>
      </c>
      <c r="C398" s="290">
        <v>14.4</v>
      </c>
      <c r="D398" s="286" t="s">
        <v>883</v>
      </c>
      <c r="K398" s="5" t="s">
        <v>1667</v>
      </c>
      <c r="R398" s="5" t="s">
        <v>2130</v>
      </c>
      <c r="U398" t="s">
        <v>555</v>
      </c>
      <c r="X398">
        <f>X396/10</f>
        <v>236.81</v>
      </c>
      <c r="AA398" s="3"/>
      <c r="AB398" s="1" t="s">
        <v>555</v>
      </c>
      <c r="AD398" s="11"/>
      <c r="AE398" s="5" t="s">
        <v>1667</v>
      </c>
    </row>
    <row r="399" spans="1:31" ht="24" customHeight="1">
      <c r="A399" s="285">
        <f t="shared" si="30"/>
        <v>235</v>
      </c>
      <c r="B399" s="286" t="s">
        <v>1160</v>
      </c>
      <c r="C399" s="290">
        <v>24.25</v>
      </c>
      <c r="D399" s="286" t="s">
        <v>883</v>
      </c>
      <c r="H399" s="1" t="s">
        <v>555</v>
      </c>
      <c r="K399" s="40">
        <f>(K397/10)</f>
        <v>491.86</v>
      </c>
      <c r="N399" s="1" t="s">
        <v>685</v>
      </c>
      <c r="O399" s="1" t="s">
        <v>354</v>
      </c>
      <c r="X399" s="61" t="s">
        <v>38</v>
      </c>
      <c r="AA399" s="3"/>
      <c r="AD399" s="11"/>
      <c r="AE399" s="40" t="e">
        <f>(AE397/10)</f>
        <v>#REF!</v>
      </c>
    </row>
    <row r="400" spans="1:31" ht="24" customHeight="1">
      <c r="A400" s="285">
        <f t="shared" si="30"/>
        <v>236</v>
      </c>
      <c r="B400" s="286" t="s">
        <v>1161</v>
      </c>
      <c r="C400" s="290">
        <v>54.25</v>
      </c>
      <c r="D400" s="286" t="s">
        <v>883</v>
      </c>
      <c r="K400" s="5" t="s">
        <v>2130</v>
      </c>
      <c r="O400" s="5" t="s">
        <v>1667</v>
      </c>
      <c r="U400" s="38" t="s">
        <v>388</v>
      </c>
      <c r="W400">
        <f>0.112*C19</f>
        <v>3.64</v>
      </c>
      <c r="X400" s="38">
        <f>X398+W400</f>
        <v>240.45</v>
      </c>
      <c r="AA400" s="3"/>
      <c r="AB400" s="1" t="s">
        <v>388</v>
      </c>
      <c r="AD400" s="11"/>
      <c r="AE400" s="5" t="s">
        <v>2130</v>
      </c>
    </row>
    <row r="401" spans="1:31" ht="24" customHeight="1">
      <c r="A401" s="285">
        <f t="shared" si="30"/>
        <v>237</v>
      </c>
      <c r="B401" s="286" t="s">
        <v>1162</v>
      </c>
      <c r="C401" s="290">
        <v>72.75</v>
      </c>
      <c r="D401" s="286" t="s">
        <v>883</v>
      </c>
      <c r="H401" s="1" t="s">
        <v>388</v>
      </c>
      <c r="J401" s="11">
        <f>K401-K399</f>
        <v>3.71</v>
      </c>
      <c r="K401" s="639">
        <f>(K399+C19/10*F393)</f>
        <v>495.57</v>
      </c>
      <c r="M401" s="8">
        <v>10</v>
      </c>
      <c r="N401" s="1" t="s">
        <v>611</v>
      </c>
      <c r="O401" s="1" t="s">
        <v>1158</v>
      </c>
      <c r="P401" s="8">
        <f>(R397)</f>
        <v>14.97</v>
      </c>
      <c r="Q401" s="1" t="s">
        <v>611</v>
      </c>
      <c r="R401" s="8">
        <f>(M401*P401)</f>
        <v>149.69999999999999</v>
      </c>
      <c r="U401" s="38" t="s">
        <v>390</v>
      </c>
      <c r="W401">
        <f>0.112*C20</f>
        <v>7.31</v>
      </c>
      <c r="X401" s="38">
        <f>X400+W401</f>
        <v>247.76</v>
      </c>
      <c r="AA401" s="3"/>
      <c r="AB401" s="1" t="s">
        <v>390</v>
      </c>
      <c r="AD401" s="11">
        <f>C19*0.114</f>
        <v>3.71</v>
      </c>
      <c r="AE401" s="40" t="e">
        <f>AE399+AD401</f>
        <v>#REF!</v>
      </c>
    </row>
    <row r="402" spans="1:31" ht="24" customHeight="1">
      <c r="A402" s="285">
        <f t="shared" si="30"/>
        <v>238</v>
      </c>
      <c r="B402" s="286" t="s">
        <v>1164</v>
      </c>
      <c r="C402" s="290">
        <v>90.6</v>
      </c>
      <c r="D402" s="286" t="s">
        <v>883</v>
      </c>
      <c r="H402" s="1" t="s">
        <v>390</v>
      </c>
      <c r="J402" s="11">
        <f>K402-K401</f>
        <v>7.44</v>
      </c>
      <c r="K402" s="40">
        <f>(K401+C20/10*F393)</f>
        <v>503.01</v>
      </c>
      <c r="M402" s="8">
        <v>10</v>
      </c>
      <c r="N402" s="1" t="s">
        <v>611</v>
      </c>
      <c r="O402" s="1" t="s">
        <v>1592</v>
      </c>
      <c r="P402" s="8">
        <f>(R397/2)</f>
        <v>7.49</v>
      </c>
      <c r="Q402" s="1" t="s">
        <v>611</v>
      </c>
      <c r="R402" s="8">
        <f>(M402*P402)</f>
        <v>74.900000000000006</v>
      </c>
      <c r="U402" s="38" t="s">
        <v>2319</v>
      </c>
      <c r="W402">
        <f>W401</f>
        <v>7.31</v>
      </c>
      <c r="X402" s="38">
        <f>X401+W402</f>
        <v>255.07</v>
      </c>
      <c r="AA402" s="3"/>
      <c r="AB402" s="1" t="s">
        <v>2319</v>
      </c>
      <c r="AD402" s="11">
        <f>C20*0.114</f>
        <v>7.44</v>
      </c>
      <c r="AE402" s="40" t="e">
        <f>AE401+AD402</f>
        <v>#REF!</v>
      </c>
    </row>
    <row r="403" spans="1:31" ht="24" customHeight="1">
      <c r="A403" s="285">
        <f t="shared" si="30"/>
        <v>239</v>
      </c>
      <c r="B403" s="286" t="s">
        <v>237</v>
      </c>
      <c r="C403" s="290">
        <v>121.25</v>
      </c>
      <c r="D403" s="286" t="s">
        <v>883</v>
      </c>
      <c r="H403" s="1" t="s">
        <v>2319</v>
      </c>
      <c r="K403" s="40">
        <f>(K402+C21/10*F393)</f>
        <v>510.45</v>
      </c>
      <c r="O403" s="1" t="s">
        <v>1593</v>
      </c>
      <c r="R403" s="5" t="s">
        <v>1667</v>
      </c>
      <c r="U403" s="38" t="s">
        <v>382</v>
      </c>
      <c r="W403">
        <f>W401</f>
        <v>7.31</v>
      </c>
      <c r="X403" s="38">
        <f>X402+W403</f>
        <v>262.38</v>
      </c>
      <c r="AA403" s="3"/>
      <c r="AB403" s="1" t="s">
        <v>382</v>
      </c>
      <c r="AD403" s="11">
        <f>AD402</f>
        <v>7.44</v>
      </c>
      <c r="AE403" s="40" t="e">
        <f>AE402+AD403</f>
        <v>#REF!</v>
      </c>
    </row>
    <row r="404" spans="1:31" ht="24" customHeight="1">
      <c r="A404" s="285">
        <f t="shared" si="30"/>
        <v>240</v>
      </c>
      <c r="B404" s="286" t="s">
        <v>1165</v>
      </c>
      <c r="C404" s="287">
        <v>76.36</v>
      </c>
      <c r="D404" s="286" t="s">
        <v>883</v>
      </c>
      <c r="H404" s="1" t="s">
        <v>382</v>
      </c>
      <c r="K404" s="40">
        <f>(K403+C21/10*F393)</f>
        <v>517.89</v>
      </c>
      <c r="R404" s="8">
        <f>SUM(R401:R402)</f>
        <v>224.6</v>
      </c>
      <c r="U404" s="38" t="s">
        <v>1595</v>
      </c>
      <c r="W404">
        <f>W403</f>
        <v>7.31</v>
      </c>
      <c r="X404" s="38">
        <f>X403+W404</f>
        <v>269.69</v>
      </c>
      <c r="AA404" s="3"/>
      <c r="AB404" s="1" t="s">
        <v>1595</v>
      </c>
      <c r="AD404" s="11">
        <f>AD403</f>
        <v>7.44</v>
      </c>
      <c r="AE404" s="40" t="e">
        <f>AE403+AD404</f>
        <v>#REF!</v>
      </c>
    </row>
    <row r="405" spans="1:31" ht="24" customHeight="1">
      <c r="A405" s="285">
        <f t="shared" si="30"/>
        <v>241</v>
      </c>
      <c r="B405" s="286" t="s">
        <v>1594</v>
      </c>
      <c r="C405" s="288"/>
      <c r="D405" s="286" t="s">
        <v>995</v>
      </c>
      <c r="H405" s="1" t="s">
        <v>1595</v>
      </c>
      <c r="K405" s="40">
        <f>(K404+C21/10*F393)</f>
        <v>525.33000000000004</v>
      </c>
      <c r="L405">
        <f>K405-K404</f>
        <v>7.44</v>
      </c>
      <c r="O405" s="1" t="s">
        <v>440</v>
      </c>
      <c r="R405" s="5" t="s">
        <v>1667</v>
      </c>
      <c r="T405" t="s">
        <v>2338</v>
      </c>
      <c r="U405" t="s">
        <v>825</v>
      </c>
      <c r="AA405" s="7" t="s">
        <v>2338</v>
      </c>
      <c r="AB405" s="1" t="s">
        <v>825</v>
      </c>
      <c r="AD405" s="11">
        <f>AD404</f>
        <v>7.44</v>
      </c>
      <c r="AE405" s="40" t="e">
        <f>AE404+AD405</f>
        <v>#REF!</v>
      </c>
    </row>
    <row r="406" spans="1:31" ht="24" customHeight="1">
      <c r="A406" s="285">
        <f t="shared" si="30"/>
        <v>242</v>
      </c>
      <c r="B406" s="286" t="s">
        <v>1159</v>
      </c>
      <c r="C406" s="290">
        <v>14.4</v>
      </c>
      <c r="D406" s="286" t="s">
        <v>883</v>
      </c>
      <c r="F406" s="13">
        <v>11</v>
      </c>
      <c r="G406" s="7" t="s">
        <v>2338</v>
      </c>
      <c r="H406" s="1" t="s">
        <v>825</v>
      </c>
      <c r="L406">
        <f>K405+L405</f>
        <v>532.77</v>
      </c>
      <c r="R406" s="8">
        <f>(R404/10)</f>
        <v>22.46</v>
      </c>
      <c r="S406" s="56">
        <v>11</v>
      </c>
      <c r="U406" t="s">
        <v>425</v>
      </c>
      <c r="AA406" s="3"/>
      <c r="AB406" s="8" t="str">
        <f>AB307</f>
        <v>Bricks of size 23x11.4x7.5 cm</v>
      </c>
      <c r="AD406" s="11"/>
    </row>
    <row r="407" spans="1:31" ht="24" customHeight="1">
      <c r="A407" s="285">
        <f t="shared" si="30"/>
        <v>243</v>
      </c>
      <c r="B407" s="286" t="s">
        <v>1160</v>
      </c>
      <c r="C407" s="290">
        <v>16.7</v>
      </c>
      <c r="D407" s="286" t="s">
        <v>883</v>
      </c>
      <c r="H407" s="8" t="str">
        <f>H308</f>
        <v>Bricks of size 23x11.4x7.5 cm</v>
      </c>
      <c r="O407" s="1" t="s">
        <v>555</v>
      </c>
      <c r="R407" s="5" t="s">
        <v>2130</v>
      </c>
      <c r="U407" t="s">
        <v>1667</v>
      </c>
      <c r="AA407" s="3"/>
      <c r="AB407" s="5" t="s">
        <v>1667</v>
      </c>
      <c r="AD407" s="11"/>
    </row>
    <row r="408" spans="1:31" ht="24" customHeight="1">
      <c r="A408" s="285">
        <f t="shared" si="30"/>
        <v>244</v>
      </c>
      <c r="B408" s="286" t="s">
        <v>1161</v>
      </c>
      <c r="C408" s="290">
        <v>30</v>
      </c>
      <c r="D408" s="286" t="s">
        <v>883</v>
      </c>
      <c r="H408" s="5" t="s">
        <v>1667</v>
      </c>
      <c r="T408" t="s">
        <v>1485</v>
      </c>
      <c r="U408" t="s">
        <v>425</v>
      </c>
      <c r="V408">
        <f t="shared" ref="V408:V413" si="32">V377</f>
        <v>0</v>
      </c>
      <c r="W408" t="s">
        <v>1596</v>
      </c>
      <c r="X408">
        <f>V408*S409/1000</f>
        <v>0</v>
      </c>
      <c r="AA408" s="7" t="s">
        <v>1485</v>
      </c>
      <c r="AB408" s="8" t="str">
        <f>AB307</f>
        <v>Bricks of size 23x11.4x7.5 cm</v>
      </c>
      <c r="AC408" s="8" t="e">
        <f>#REF!</f>
        <v>#REF!</v>
      </c>
      <c r="AD408" s="11"/>
    </row>
    <row r="409" spans="1:31" ht="24" customHeight="1">
      <c r="A409" s="285">
        <f t="shared" si="30"/>
        <v>245</v>
      </c>
      <c r="B409" s="286" t="s">
        <v>1162</v>
      </c>
      <c r="C409" s="290">
        <v>48.5</v>
      </c>
      <c r="D409" s="286" t="s">
        <v>883</v>
      </c>
      <c r="F409" s="8">
        <f>F310</f>
        <v>4240</v>
      </c>
      <c r="G409" s="7" t="s">
        <v>1485</v>
      </c>
      <c r="H409" s="8" t="str">
        <f>H308</f>
        <v>Bricks of size 23x11.4x7.5 cm</v>
      </c>
      <c r="I409" s="8">
        <f>(C80)</f>
        <v>5204.96</v>
      </c>
      <c r="J409" s="1" t="s">
        <v>1596</v>
      </c>
      <c r="K409" s="8">
        <f>(F409*I409)/1000</f>
        <v>22069.03</v>
      </c>
      <c r="N409" s="1" t="s">
        <v>2338</v>
      </c>
      <c r="O409" s="1" t="s">
        <v>1597</v>
      </c>
      <c r="S409" s="56">
        <v>4600</v>
      </c>
      <c r="T409" t="s">
        <v>884</v>
      </c>
      <c r="U409" t="s">
        <v>1364</v>
      </c>
      <c r="V409">
        <f t="shared" si="32"/>
        <v>2807.01</v>
      </c>
      <c r="W409" t="s">
        <v>884</v>
      </c>
      <c r="X409">
        <f t="shared" ref="X409:X414" si="33">V409*S410</f>
        <v>4463.1499999999996</v>
      </c>
      <c r="AA409" s="7" t="s">
        <v>884</v>
      </c>
      <c r="AB409" s="1" t="s">
        <v>1364</v>
      </c>
      <c r="AC409" s="8">
        <f>V409</f>
        <v>2807.01</v>
      </c>
      <c r="AD409" s="1" t="s">
        <v>1596</v>
      </c>
      <c r="AE409" s="8" t="e">
        <f>(#REF!*AC408)/1000</f>
        <v>#REF!</v>
      </c>
    </row>
    <row r="410" spans="1:31" ht="24" customHeight="1">
      <c r="A410" s="285">
        <f t="shared" ref="A410:A420" si="34">(A409+1)</f>
        <v>246</v>
      </c>
      <c r="B410" s="286" t="s">
        <v>1164</v>
      </c>
      <c r="C410" s="290">
        <v>60.6</v>
      </c>
      <c r="D410" s="286" t="s">
        <v>883</v>
      </c>
      <c r="F410" s="8">
        <f>F379</f>
        <v>1.59</v>
      </c>
      <c r="G410" s="7" t="s">
        <v>884</v>
      </c>
      <c r="H410" s="1" t="s">
        <v>1364</v>
      </c>
      <c r="I410" s="8">
        <f>(K40)</f>
        <v>2807.01</v>
      </c>
      <c r="J410" s="1" t="s">
        <v>884</v>
      </c>
      <c r="K410" s="8">
        <f>(F410*I410)</f>
        <v>4463.1499999999996</v>
      </c>
      <c r="O410" s="1" t="s">
        <v>1598</v>
      </c>
      <c r="S410" s="56">
        <v>1.59</v>
      </c>
      <c r="T410" t="s">
        <v>883</v>
      </c>
      <c r="U410" t="s">
        <v>2082</v>
      </c>
      <c r="V410">
        <f t="shared" si="32"/>
        <v>430.5</v>
      </c>
      <c r="W410" t="s">
        <v>883</v>
      </c>
      <c r="X410">
        <f t="shared" si="33"/>
        <v>3013.5</v>
      </c>
      <c r="AA410" s="7" t="s">
        <v>883</v>
      </c>
      <c r="AB410" s="1" t="s">
        <v>2082</v>
      </c>
      <c r="AC410" s="8">
        <f>V410</f>
        <v>430.5</v>
      </c>
      <c r="AD410" s="1" t="s">
        <v>884</v>
      </c>
      <c r="AE410" s="8" t="e">
        <f>(#REF!*AC409)</f>
        <v>#REF!</v>
      </c>
    </row>
    <row r="411" spans="1:31" ht="24" customHeight="1">
      <c r="A411" s="285">
        <f t="shared" si="34"/>
        <v>247</v>
      </c>
      <c r="B411" s="286" t="s">
        <v>237</v>
      </c>
      <c r="C411" s="290">
        <v>72.75</v>
      </c>
      <c r="D411" s="286" t="s">
        <v>883</v>
      </c>
      <c r="F411" s="8">
        <v>7</v>
      </c>
      <c r="G411" s="7" t="s">
        <v>883</v>
      </c>
      <c r="H411" s="1" t="s">
        <v>2082</v>
      </c>
      <c r="I411" s="8">
        <f>(C10)</f>
        <v>430.5</v>
      </c>
      <c r="J411" s="1" t="s">
        <v>883</v>
      </c>
      <c r="K411" s="8">
        <f>(F411*I411)</f>
        <v>3013.5</v>
      </c>
      <c r="O411" s="5" t="s">
        <v>1667</v>
      </c>
      <c r="S411" s="56">
        <v>7</v>
      </c>
      <c r="T411" t="s">
        <v>883</v>
      </c>
      <c r="U411" t="s">
        <v>1791</v>
      </c>
      <c r="V411">
        <f t="shared" si="32"/>
        <v>386.4</v>
      </c>
      <c r="W411" t="s">
        <v>883</v>
      </c>
      <c r="X411">
        <f t="shared" si="33"/>
        <v>2743.44</v>
      </c>
      <c r="AA411" s="7" t="s">
        <v>883</v>
      </c>
      <c r="AB411" s="1" t="s">
        <v>1791</v>
      </c>
      <c r="AC411" s="8">
        <f>V411</f>
        <v>386.4</v>
      </c>
      <c r="AD411" s="1" t="s">
        <v>883</v>
      </c>
      <c r="AE411" s="8" t="e">
        <f>(#REF!*AC410)</f>
        <v>#REF!</v>
      </c>
    </row>
    <row r="412" spans="1:31" ht="24" customHeight="1">
      <c r="A412" s="285">
        <f t="shared" si="34"/>
        <v>248</v>
      </c>
      <c r="B412" s="286" t="s">
        <v>1165</v>
      </c>
      <c r="C412" s="287">
        <v>86.94</v>
      </c>
      <c r="D412" s="286" t="s">
        <v>883</v>
      </c>
      <c r="F412" s="8">
        <v>7.1</v>
      </c>
      <c r="G412" s="7" t="s">
        <v>883</v>
      </c>
      <c r="H412" s="1" t="s">
        <v>1791</v>
      </c>
      <c r="I412" s="8">
        <f>(C11)</f>
        <v>386.4</v>
      </c>
      <c r="J412" s="1" t="s">
        <v>883</v>
      </c>
      <c r="K412" s="8">
        <f>(F412*I412)</f>
        <v>2743.44</v>
      </c>
      <c r="M412" s="8">
        <v>10</v>
      </c>
      <c r="N412" s="1" t="s">
        <v>611</v>
      </c>
      <c r="O412" s="1" t="s">
        <v>1911</v>
      </c>
      <c r="P412" s="8">
        <f>(R383)</f>
        <v>10.3</v>
      </c>
      <c r="Q412" s="1" t="s">
        <v>611</v>
      </c>
      <c r="R412" s="8">
        <f>(M412*P412)</f>
        <v>103</v>
      </c>
      <c r="S412" s="56">
        <v>7.1</v>
      </c>
      <c r="T412" t="s">
        <v>883</v>
      </c>
      <c r="U412" t="s">
        <v>1979</v>
      </c>
      <c r="V412">
        <f t="shared" si="32"/>
        <v>269.85000000000002</v>
      </c>
      <c r="W412" t="s">
        <v>883</v>
      </c>
      <c r="X412">
        <f t="shared" si="33"/>
        <v>1915.94</v>
      </c>
      <c r="AA412" s="7" t="s">
        <v>883</v>
      </c>
      <c r="AB412" s="1" t="s">
        <v>1979</v>
      </c>
      <c r="AC412" s="8">
        <f>V412</f>
        <v>269.85000000000002</v>
      </c>
      <c r="AD412" s="1" t="s">
        <v>883</v>
      </c>
      <c r="AE412" s="8" t="e">
        <f>(#REF!*AC411)</f>
        <v>#REF!</v>
      </c>
    </row>
    <row r="413" spans="1:31" ht="24" customHeight="1">
      <c r="A413" s="285">
        <f t="shared" si="34"/>
        <v>249</v>
      </c>
      <c r="B413" s="286" t="s">
        <v>1599</v>
      </c>
      <c r="C413" s="288"/>
      <c r="D413" s="286" t="s">
        <v>995</v>
      </c>
      <c r="F413" s="8">
        <v>7.1</v>
      </c>
      <c r="G413" s="7" t="s">
        <v>883</v>
      </c>
      <c r="H413" s="1" t="s">
        <v>1979</v>
      </c>
      <c r="I413" s="8">
        <f>(C12)</f>
        <v>269.85000000000002</v>
      </c>
      <c r="J413" s="1" t="s">
        <v>883</v>
      </c>
      <c r="K413" s="8">
        <f>(F413*I413)</f>
        <v>1915.94</v>
      </c>
      <c r="M413" s="8">
        <v>10</v>
      </c>
      <c r="N413" s="1" t="s">
        <v>611</v>
      </c>
      <c r="O413" s="1" t="s">
        <v>354</v>
      </c>
      <c r="P413" s="8">
        <f>(R406)</f>
        <v>22.46</v>
      </c>
      <c r="Q413" s="1" t="s">
        <v>611</v>
      </c>
      <c r="R413" s="8">
        <f>(M413*P413)</f>
        <v>224.6</v>
      </c>
      <c r="S413" s="56">
        <v>7.1</v>
      </c>
      <c r="T413" t="s">
        <v>883</v>
      </c>
      <c r="U413" t="s">
        <v>324</v>
      </c>
      <c r="V413">
        <f t="shared" si="32"/>
        <v>243.6</v>
      </c>
      <c r="W413" t="s">
        <v>883</v>
      </c>
      <c r="X413">
        <f t="shared" si="33"/>
        <v>5164.32</v>
      </c>
      <c r="AA413" s="7" t="s">
        <v>883</v>
      </c>
      <c r="AB413" s="1" t="s">
        <v>324</v>
      </c>
      <c r="AC413" s="8">
        <f>V413</f>
        <v>243.6</v>
      </c>
      <c r="AD413" s="1" t="s">
        <v>883</v>
      </c>
      <c r="AE413" s="8" t="e">
        <f>(#REF!*AC412)</f>
        <v>#REF!</v>
      </c>
    </row>
    <row r="414" spans="1:31" ht="24" customHeight="1">
      <c r="A414" s="285">
        <f t="shared" si="34"/>
        <v>250</v>
      </c>
      <c r="B414" s="286" t="s">
        <v>1159</v>
      </c>
      <c r="C414" s="290">
        <v>16.7</v>
      </c>
      <c r="D414" s="286" t="s">
        <v>883</v>
      </c>
      <c r="F414" s="8">
        <v>21.2</v>
      </c>
      <c r="G414" s="7" t="s">
        <v>883</v>
      </c>
      <c r="H414" s="1" t="s">
        <v>324</v>
      </c>
      <c r="I414" s="8">
        <f>(C13)</f>
        <v>243.6</v>
      </c>
      <c r="J414" s="1" t="s">
        <v>883</v>
      </c>
      <c r="K414" s="8">
        <f>(F414*I414)</f>
        <v>5164.32</v>
      </c>
      <c r="O414" s="1" t="s">
        <v>995</v>
      </c>
      <c r="R414" s="5" t="s">
        <v>1667</v>
      </c>
      <c r="S414" s="56">
        <v>21.2</v>
      </c>
      <c r="T414" t="s">
        <v>448</v>
      </c>
      <c r="U414" t="s">
        <v>449</v>
      </c>
      <c r="V414" t="s">
        <v>995</v>
      </c>
      <c r="W414" t="s">
        <v>448</v>
      </c>
      <c r="X414">
        <f t="shared" si="33"/>
        <v>0</v>
      </c>
      <c r="AA414" s="7" t="s">
        <v>448</v>
      </c>
      <c r="AB414" s="1" t="s">
        <v>449</v>
      </c>
      <c r="AC414" s="1" t="s">
        <v>995</v>
      </c>
      <c r="AD414" s="1" t="s">
        <v>883</v>
      </c>
      <c r="AE414" s="8" t="e">
        <f>(#REF!*AC413)</f>
        <v>#REF!</v>
      </c>
    </row>
    <row r="415" spans="1:31" ht="24" customHeight="1">
      <c r="A415" s="285">
        <f t="shared" si="34"/>
        <v>251</v>
      </c>
      <c r="B415" s="286" t="s">
        <v>1160</v>
      </c>
      <c r="C415" s="290">
        <v>26.55</v>
      </c>
      <c r="D415" s="286" t="s">
        <v>883</v>
      </c>
      <c r="G415" s="7" t="s">
        <v>448</v>
      </c>
      <c r="H415" s="1" t="s">
        <v>449</v>
      </c>
      <c r="I415" s="1" t="s">
        <v>995</v>
      </c>
      <c r="J415" s="1" t="s">
        <v>448</v>
      </c>
      <c r="K415" s="8">
        <v>0</v>
      </c>
      <c r="R415" s="8">
        <f>SUM(R412:R413)</f>
        <v>327.60000000000002</v>
      </c>
      <c r="X415" s="61" t="s">
        <v>427</v>
      </c>
      <c r="AA415" s="3"/>
      <c r="AD415" s="1" t="s">
        <v>448</v>
      </c>
      <c r="AE415" s="8">
        <v>0</v>
      </c>
    </row>
    <row r="416" spans="1:31" ht="24" customHeight="1">
      <c r="A416" s="285">
        <f t="shared" si="34"/>
        <v>252</v>
      </c>
      <c r="B416" s="286" t="s">
        <v>1161</v>
      </c>
      <c r="C416" s="290">
        <v>60.6</v>
      </c>
      <c r="D416" s="286" t="s">
        <v>883</v>
      </c>
      <c r="K416" s="5" t="s">
        <v>1667</v>
      </c>
      <c r="O416" s="1" t="s">
        <v>440</v>
      </c>
      <c r="R416" s="5" t="s">
        <v>1667</v>
      </c>
      <c r="U416" t="s">
        <v>618</v>
      </c>
      <c r="X416">
        <f>SUM(X408:X414)</f>
        <v>17300.349999999999</v>
      </c>
      <c r="AA416" s="3"/>
      <c r="AB416" s="1" t="s">
        <v>618</v>
      </c>
      <c r="AD416" s="11"/>
      <c r="AE416" s="5" t="s">
        <v>1667</v>
      </c>
    </row>
    <row r="417" spans="1:31" ht="24" customHeight="1">
      <c r="A417" s="285">
        <f t="shared" si="34"/>
        <v>253</v>
      </c>
      <c r="B417" s="286" t="s">
        <v>1162</v>
      </c>
      <c r="C417" s="290">
        <v>90.6</v>
      </c>
      <c r="D417" s="286" t="s">
        <v>883</v>
      </c>
      <c r="H417" s="1" t="s">
        <v>618</v>
      </c>
      <c r="K417" s="8">
        <f>SUM(K409:K415)</f>
        <v>39369.379999999997</v>
      </c>
      <c r="R417" s="8">
        <f>(R415/10)</f>
        <v>32.76</v>
      </c>
      <c r="X417" s="61" t="s">
        <v>427</v>
      </c>
      <c r="AA417" s="3"/>
      <c r="AD417" s="11"/>
      <c r="AE417" s="8" t="e">
        <f>SUM(AE409:AE415)</f>
        <v>#REF!</v>
      </c>
    </row>
    <row r="418" spans="1:31" ht="24" customHeight="1">
      <c r="A418" s="285">
        <f t="shared" si="34"/>
        <v>254</v>
      </c>
      <c r="B418" s="286" t="s">
        <v>1164</v>
      </c>
      <c r="C418" s="290">
        <v>102.8</v>
      </c>
      <c r="D418" s="286" t="s">
        <v>883</v>
      </c>
      <c r="K418" s="5" t="s">
        <v>1667</v>
      </c>
      <c r="O418" s="1" t="s">
        <v>555</v>
      </c>
      <c r="R418" s="5" t="s">
        <v>2130</v>
      </c>
      <c r="U418" t="s">
        <v>785</v>
      </c>
      <c r="X418">
        <f>X416/10</f>
        <v>1730.04</v>
      </c>
      <c r="AA418" s="3"/>
      <c r="AB418" s="1" t="s">
        <v>785</v>
      </c>
      <c r="AD418" s="11"/>
      <c r="AE418" s="5" t="s">
        <v>1667</v>
      </c>
    </row>
    <row r="419" spans="1:31" ht="24" customHeight="1">
      <c r="A419" s="285">
        <f t="shared" si="34"/>
        <v>255</v>
      </c>
      <c r="B419" s="286" t="s">
        <v>237</v>
      </c>
      <c r="C419" s="290">
        <v>133.35</v>
      </c>
      <c r="D419" s="286" t="s">
        <v>883</v>
      </c>
      <c r="H419" s="1" t="s">
        <v>785</v>
      </c>
      <c r="K419" s="8">
        <f>(K417/10)</f>
        <v>3936.94</v>
      </c>
      <c r="X419" s="61" t="s">
        <v>38</v>
      </c>
      <c r="AA419" s="3"/>
      <c r="AD419" s="11"/>
      <c r="AE419" s="8" t="e">
        <f>(AE417/10)</f>
        <v>#REF!</v>
      </c>
    </row>
    <row r="420" spans="1:31" ht="24" customHeight="1">
      <c r="A420" s="285">
        <f t="shared" si="34"/>
        <v>256</v>
      </c>
      <c r="B420" s="286" t="s">
        <v>1165</v>
      </c>
      <c r="C420" s="287">
        <v>125.84</v>
      </c>
      <c r="D420" s="286" t="s">
        <v>883</v>
      </c>
      <c r="K420" s="5" t="s">
        <v>2130</v>
      </c>
      <c r="AA420" s="3"/>
      <c r="AD420" s="11"/>
      <c r="AE420" s="5" t="s">
        <v>2130</v>
      </c>
    </row>
    <row r="421" spans="1:31" ht="24" customHeight="1">
      <c r="A421" s="288"/>
      <c r="B421" s="288"/>
      <c r="C421" s="288"/>
      <c r="D421" s="288"/>
      <c r="F421" s="1" t="s">
        <v>246</v>
      </c>
      <c r="S421" s="56" t="s">
        <v>246</v>
      </c>
      <c r="AA421" s="3"/>
      <c r="AD421" s="11"/>
    </row>
    <row r="422" spans="1:31" ht="24" customHeight="1">
      <c r="A422" s="285">
        <f>(A420+1)</f>
        <v>257</v>
      </c>
      <c r="B422" s="286" t="s">
        <v>1600</v>
      </c>
      <c r="C422" s="288"/>
      <c r="D422" s="286" t="s">
        <v>995</v>
      </c>
      <c r="O422" s="2" t="s">
        <v>1601</v>
      </c>
      <c r="T422" t="s">
        <v>1602</v>
      </c>
      <c r="U422" t="s">
        <v>429</v>
      </c>
      <c r="AA422" s="7" t="s">
        <v>1602</v>
      </c>
      <c r="AB422" s="1" t="s">
        <v>3382</v>
      </c>
      <c r="AD422" s="11"/>
    </row>
    <row r="423" spans="1:31" ht="24" customHeight="1">
      <c r="A423" s="285">
        <f t="shared" ref="A423:A486" si="35">(A422+1)</f>
        <v>258</v>
      </c>
      <c r="B423" s="286" t="s">
        <v>1159</v>
      </c>
      <c r="C423" s="290">
        <v>60.6</v>
      </c>
      <c r="D423" s="286" t="s">
        <v>883</v>
      </c>
      <c r="G423" s="7" t="s">
        <v>1602</v>
      </c>
      <c r="H423" s="1" t="s">
        <v>429</v>
      </c>
      <c r="O423" s="5" t="s">
        <v>1667</v>
      </c>
      <c r="U423" t="s">
        <v>1667</v>
      </c>
      <c r="AA423" s="3"/>
      <c r="AB423" s="5" t="s">
        <v>1667</v>
      </c>
      <c r="AD423" s="11"/>
    </row>
    <row r="424" spans="1:31" ht="24" customHeight="1">
      <c r="A424" s="285">
        <f t="shared" si="35"/>
        <v>259</v>
      </c>
      <c r="B424" s="286" t="s">
        <v>1160</v>
      </c>
      <c r="C424" s="290">
        <v>72.75</v>
      </c>
      <c r="D424" s="286" t="s">
        <v>883</v>
      </c>
      <c r="H424" s="5" t="s">
        <v>1667</v>
      </c>
      <c r="N424" s="1" t="s">
        <v>2338</v>
      </c>
      <c r="O424" s="1" t="s">
        <v>2124</v>
      </c>
      <c r="T424" t="s">
        <v>884</v>
      </c>
      <c r="U424" t="s">
        <v>2367</v>
      </c>
      <c r="V424">
        <f>X418</f>
        <v>1730.04</v>
      </c>
      <c r="W424" t="s">
        <v>883</v>
      </c>
      <c r="X424">
        <f>V424*S425</f>
        <v>1211.03</v>
      </c>
      <c r="AA424" s="7" t="s">
        <v>884</v>
      </c>
      <c r="AB424" s="1" t="s">
        <v>2367</v>
      </c>
      <c r="AC424" s="8" t="e">
        <f>(AE419)</f>
        <v>#REF!</v>
      </c>
      <c r="AD424" s="11"/>
    </row>
    <row r="425" spans="1:31" ht="24" customHeight="1">
      <c r="A425" s="285">
        <f t="shared" si="35"/>
        <v>260</v>
      </c>
      <c r="B425" s="286" t="s">
        <v>1161</v>
      </c>
      <c r="C425" s="290">
        <v>102.8</v>
      </c>
      <c r="D425" s="286" t="s">
        <v>883</v>
      </c>
      <c r="F425" s="8">
        <v>0.7</v>
      </c>
      <c r="G425" s="7" t="s">
        <v>884</v>
      </c>
      <c r="H425" s="1" t="s">
        <v>2367</v>
      </c>
      <c r="I425" s="8">
        <f>(K419)</f>
        <v>3936.94</v>
      </c>
      <c r="J425" s="1" t="s">
        <v>883</v>
      </c>
      <c r="K425" s="8">
        <f>(F425*I425)</f>
        <v>2755.86</v>
      </c>
      <c r="O425" s="1" t="s">
        <v>2125</v>
      </c>
      <c r="S425" s="56">
        <v>0.7</v>
      </c>
      <c r="T425" t="s">
        <v>781</v>
      </c>
      <c r="U425" t="s">
        <v>2082</v>
      </c>
      <c r="V425">
        <f>V393</f>
        <v>430.5</v>
      </c>
      <c r="W425" t="s">
        <v>883</v>
      </c>
      <c r="X425">
        <f>V425*S426</f>
        <v>430.5</v>
      </c>
      <c r="AA425" s="7" t="s">
        <v>781</v>
      </c>
      <c r="AB425" s="1" t="s">
        <v>2082</v>
      </c>
      <c r="AC425" s="8">
        <f>AC410</f>
        <v>430.5</v>
      </c>
      <c r="AD425" s="1" t="s">
        <v>883</v>
      </c>
      <c r="AE425" s="8" t="e">
        <f>(#REF!*AC424)</f>
        <v>#REF!</v>
      </c>
    </row>
    <row r="426" spans="1:31" ht="24" customHeight="1">
      <c r="A426" s="285">
        <f t="shared" si="35"/>
        <v>261</v>
      </c>
      <c r="B426" s="286" t="s">
        <v>1162</v>
      </c>
      <c r="C426" s="290">
        <v>132.80000000000001</v>
      </c>
      <c r="D426" s="286" t="s">
        <v>883</v>
      </c>
      <c r="F426" s="8">
        <v>1</v>
      </c>
      <c r="G426" s="7" t="s">
        <v>781</v>
      </c>
      <c r="H426" s="1" t="s">
        <v>2082</v>
      </c>
      <c r="I426" s="8">
        <f>(C10)</f>
        <v>430.5</v>
      </c>
      <c r="J426" s="1" t="s">
        <v>883</v>
      </c>
      <c r="K426" s="8">
        <f>(F426*I426)</f>
        <v>430.5</v>
      </c>
      <c r="O426" s="1" t="s">
        <v>159</v>
      </c>
      <c r="S426" s="56">
        <v>1</v>
      </c>
      <c r="T426" t="s">
        <v>448</v>
      </c>
      <c r="U426" t="s">
        <v>449</v>
      </c>
      <c r="V426" t="s">
        <v>995</v>
      </c>
      <c r="W426" t="s">
        <v>448</v>
      </c>
      <c r="X426">
        <v>0</v>
      </c>
      <c r="AA426" s="7" t="s">
        <v>448</v>
      </c>
      <c r="AB426" s="1" t="s">
        <v>449</v>
      </c>
      <c r="AC426" s="1" t="s">
        <v>995</v>
      </c>
      <c r="AD426" s="1" t="s">
        <v>883</v>
      </c>
      <c r="AE426" s="8" t="e">
        <f>(#REF!*AC425)</f>
        <v>#REF!</v>
      </c>
    </row>
    <row r="427" spans="1:31" ht="24" customHeight="1">
      <c r="A427" s="285">
        <f t="shared" si="35"/>
        <v>262</v>
      </c>
      <c r="B427" s="286" t="s">
        <v>1164</v>
      </c>
      <c r="C427" s="290">
        <v>205.55</v>
      </c>
      <c r="D427" s="286" t="s">
        <v>883</v>
      </c>
      <c r="G427" s="7" t="s">
        <v>448</v>
      </c>
      <c r="H427" s="1" t="s">
        <v>449</v>
      </c>
      <c r="I427" s="1" t="s">
        <v>995</v>
      </c>
      <c r="J427" s="1" t="s">
        <v>448</v>
      </c>
      <c r="K427" s="8">
        <v>0</v>
      </c>
      <c r="O427" s="5" t="s">
        <v>1667</v>
      </c>
      <c r="X427" s="61" t="s">
        <v>427</v>
      </c>
      <c r="AA427" s="3"/>
      <c r="AD427" s="1" t="s">
        <v>448</v>
      </c>
      <c r="AE427" s="8">
        <v>0</v>
      </c>
    </row>
    <row r="428" spans="1:31" ht="24" customHeight="1">
      <c r="A428" s="285">
        <f t="shared" si="35"/>
        <v>263</v>
      </c>
      <c r="B428" s="286" t="s">
        <v>237</v>
      </c>
      <c r="C428" s="290">
        <v>277.2</v>
      </c>
      <c r="D428" s="286" t="s">
        <v>883</v>
      </c>
      <c r="K428" s="5" t="s">
        <v>1667</v>
      </c>
      <c r="N428" s="1" t="s">
        <v>160</v>
      </c>
      <c r="O428" s="2" t="s">
        <v>161</v>
      </c>
      <c r="U428" t="s">
        <v>440</v>
      </c>
      <c r="X428">
        <f>SUM(X424:X426)</f>
        <v>1641.53</v>
      </c>
      <c r="AA428" s="3"/>
      <c r="AB428" s="1" t="s">
        <v>440</v>
      </c>
      <c r="AD428" s="11"/>
      <c r="AE428" s="5" t="s">
        <v>1667</v>
      </c>
    </row>
    <row r="429" spans="1:31" ht="24" customHeight="1">
      <c r="A429" s="285">
        <f t="shared" si="35"/>
        <v>264</v>
      </c>
      <c r="B429" s="286" t="s">
        <v>1165</v>
      </c>
      <c r="C429" s="287">
        <v>141.86000000000001</v>
      </c>
      <c r="D429" s="286" t="s">
        <v>883</v>
      </c>
      <c r="H429" s="1" t="s">
        <v>440</v>
      </c>
      <c r="K429" s="8">
        <f>SUM(K425:K427)</f>
        <v>3186.36</v>
      </c>
      <c r="O429" s="5" t="s">
        <v>1667</v>
      </c>
      <c r="X429" s="61" t="s">
        <v>427</v>
      </c>
      <c r="AA429" s="3"/>
      <c r="AD429" s="11"/>
      <c r="AE429" s="8" t="e">
        <f>SUM(AE425:AE427)</f>
        <v>#REF!</v>
      </c>
    </row>
    <row r="430" spans="1:31" ht="24" customHeight="1">
      <c r="A430" s="285">
        <f t="shared" si="35"/>
        <v>265</v>
      </c>
      <c r="B430" s="286" t="s">
        <v>162</v>
      </c>
      <c r="C430" s="288"/>
      <c r="D430" s="286" t="s">
        <v>995</v>
      </c>
      <c r="K430" s="5" t="s">
        <v>1667</v>
      </c>
      <c r="M430" s="8">
        <v>8.1</v>
      </c>
      <c r="N430" s="1" t="s">
        <v>884</v>
      </c>
      <c r="O430" s="1" t="s">
        <v>621</v>
      </c>
      <c r="P430" s="8">
        <f>(C61)*2</f>
        <v>96.6</v>
      </c>
      <c r="Q430" s="1" t="s">
        <v>884</v>
      </c>
      <c r="R430" s="8">
        <f>(M430*P430)</f>
        <v>782.46</v>
      </c>
      <c r="U430" t="s">
        <v>555</v>
      </c>
      <c r="X430">
        <f>X428/10</f>
        <v>164.15</v>
      </c>
      <c r="AA430" s="3"/>
      <c r="AB430" s="1" t="s">
        <v>555</v>
      </c>
      <c r="AD430" s="11"/>
      <c r="AE430" s="5" t="s">
        <v>1667</v>
      </c>
    </row>
    <row r="431" spans="1:31" ht="24" customHeight="1">
      <c r="A431" s="285">
        <f t="shared" si="35"/>
        <v>266</v>
      </c>
      <c r="B431" s="286" t="s">
        <v>1159</v>
      </c>
      <c r="C431" s="287">
        <v>1.8</v>
      </c>
      <c r="D431" s="286" t="s">
        <v>883</v>
      </c>
      <c r="H431" s="1" t="s">
        <v>555</v>
      </c>
      <c r="K431" s="8">
        <f>(K429/10)</f>
        <v>318.64</v>
      </c>
      <c r="M431" s="8">
        <v>8.1</v>
      </c>
      <c r="N431" s="1" t="s">
        <v>884</v>
      </c>
      <c r="O431" s="1" t="s">
        <v>2232</v>
      </c>
      <c r="P431" s="8">
        <f>(C26)</f>
        <v>16.96</v>
      </c>
      <c r="Q431" s="1" t="s">
        <v>884</v>
      </c>
      <c r="R431" s="8">
        <f>(M431*P431)</f>
        <v>137.38</v>
      </c>
      <c r="X431" s="61" t="s">
        <v>38</v>
      </c>
      <c r="AA431" s="3"/>
      <c r="AD431" s="11"/>
      <c r="AE431" s="8" t="e">
        <f>(AE429/10)</f>
        <v>#REF!</v>
      </c>
    </row>
    <row r="432" spans="1:31" ht="24" customHeight="1">
      <c r="A432" s="285">
        <f t="shared" si="35"/>
        <v>267</v>
      </c>
      <c r="B432" s="286" t="s">
        <v>1160</v>
      </c>
      <c r="C432" s="287">
        <v>2.9</v>
      </c>
      <c r="D432" s="286" t="s">
        <v>883</v>
      </c>
      <c r="K432" s="5" t="s">
        <v>2130</v>
      </c>
      <c r="M432" s="8">
        <v>30</v>
      </c>
      <c r="N432" s="1" t="s">
        <v>1854</v>
      </c>
      <c r="O432" s="1" t="s">
        <v>2233</v>
      </c>
      <c r="P432" s="8">
        <f>(C42)</f>
        <v>5</v>
      </c>
      <c r="Q432" s="1" t="s">
        <v>1854</v>
      </c>
      <c r="R432" s="8">
        <f>(M432*P432)</f>
        <v>150</v>
      </c>
      <c r="U432" s="38" t="s">
        <v>388</v>
      </c>
      <c r="W432">
        <f>0.07*C19</f>
        <v>2.2799999999999998</v>
      </c>
      <c r="X432" s="38">
        <f>X430+W432</f>
        <v>166.43</v>
      </c>
      <c r="AA432" s="3"/>
      <c r="AB432" s="1" t="s">
        <v>388</v>
      </c>
      <c r="AD432" s="11"/>
      <c r="AE432" s="5" t="s">
        <v>2130</v>
      </c>
    </row>
    <row r="433" spans="1:31" ht="24" customHeight="1">
      <c r="A433" s="285">
        <f t="shared" si="35"/>
        <v>268</v>
      </c>
      <c r="B433" s="286" t="s">
        <v>1161</v>
      </c>
      <c r="C433" s="287">
        <v>4</v>
      </c>
      <c r="D433" s="286" t="s">
        <v>883</v>
      </c>
      <c r="H433" s="1" t="s">
        <v>388</v>
      </c>
      <c r="K433" s="40">
        <f>(K431+C19/10*F425)</f>
        <v>320.92</v>
      </c>
      <c r="O433" s="1" t="s">
        <v>2234</v>
      </c>
      <c r="U433" s="38" t="s">
        <v>390</v>
      </c>
      <c r="W433">
        <f>0.07*C20</f>
        <v>4.57</v>
      </c>
      <c r="X433" s="38">
        <f>X432+W433</f>
        <v>171</v>
      </c>
      <c r="AA433" s="3"/>
      <c r="AB433" s="1" t="s">
        <v>390</v>
      </c>
      <c r="AD433" s="11">
        <f>C19*0.075</f>
        <v>2.44</v>
      </c>
      <c r="AE433" s="40" t="e">
        <f>AE431+AD433</f>
        <v>#REF!</v>
      </c>
    </row>
    <row r="434" spans="1:31" ht="24" customHeight="1">
      <c r="A434" s="285">
        <f t="shared" si="35"/>
        <v>269</v>
      </c>
      <c r="B434" s="286" t="s">
        <v>1162</v>
      </c>
      <c r="C434" s="287">
        <v>6.86</v>
      </c>
      <c r="D434" s="286" t="s">
        <v>883</v>
      </c>
      <c r="H434" s="1" t="s">
        <v>390</v>
      </c>
      <c r="K434" s="40">
        <f>(K433+C20/10*F425)</f>
        <v>325.49</v>
      </c>
      <c r="O434" s="1" t="s">
        <v>2235</v>
      </c>
      <c r="U434" s="38" t="s">
        <v>2319</v>
      </c>
      <c r="W434">
        <f>W433</f>
        <v>4.57</v>
      </c>
      <c r="X434" s="38">
        <f>X433+W434</f>
        <v>175.57</v>
      </c>
      <c r="AA434" s="3"/>
      <c r="AB434" s="1" t="s">
        <v>2319</v>
      </c>
      <c r="AD434" s="11">
        <f>C20*0.075</f>
        <v>4.9000000000000004</v>
      </c>
      <c r="AE434" s="40" t="e">
        <f>AE433+AD434</f>
        <v>#REF!</v>
      </c>
    </row>
    <row r="435" spans="1:31" ht="24" customHeight="1">
      <c r="A435" s="285">
        <f t="shared" si="35"/>
        <v>270</v>
      </c>
      <c r="B435" s="286" t="s">
        <v>1164</v>
      </c>
      <c r="C435" s="287">
        <v>9.15</v>
      </c>
      <c r="D435" s="286" t="s">
        <v>883</v>
      </c>
      <c r="H435" s="1" t="s">
        <v>2319</v>
      </c>
      <c r="K435" s="40">
        <f>(K434+C21/10*F425)</f>
        <v>330.06</v>
      </c>
      <c r="O435" s="1" t="s">
        <v>2236</v>
      </c>
      <c r="U435" s="38" t="s">
        <v>382</v>
      </c>
      <c r="W435">
        <f>W434</f>
        <v>4.57</v>
      </c>
      <c r="X435" s="38">
        <f>X434+W435</f>
        <v>180.14</v>
      </c>
      <c r="AA435" s="3"/>
      <c r="AB435" s="1" t="s">
        <v>382</v>
      </c>
      <c r="AD435" s="11">
        <f>AD434</f>
        <v>4.9000000000000004</v>
      </c>
      <c r="AE435" s="40" t="e">
        <f>AE434+AD435</f>
        <v>#REF!</v>
      </c>
    </row>
    <row r="436" spans="1:31" ht="24" customHeight="1">
      <c r="A436" s="285">
        <f t="shared" si="35"/>
        <v>271</v>
      </c>
      <c r="B436" s="286" t="s">
        <v>237</v>
      </c>
      <c r="C436" s="287">
        <v>14.59</v>
      </c>
      <c r="D436" s="286" t="s">
        <v>883</v>
      </c>
      <c r="H436" s="1" t="s">
        <v>382</v>
      </c>
      <c r="K436" s="40">
        <f>(K435+C21/10*F425)</f>
        <v>334.63</v>
      </c>
      <c r="O436" s="1" t="s">
        <v>2239</v>
      </c>
      <c r="U436" s="38" t="s">
        <v>847</v>
      </c>
      <c r="W436">
        <f>W435</f>
        <v>4.57</v>
      </c>
      <c r="X436" s="38">
        <f>X435+W436</f>
        <v>184.71</v>
      </c>
      <c r="AA436" s="3"/>
      <c r="AB436" s="1" t="s">
        <v>847</v>
      </c>
      <c r="AD436" s="11">
        <f>AD435</f>
        <v>4.9000000000000004</v>
      </c>
      <c r="AE436" s="40" t="e">
        <f>AE435+AD436</f>
        <v>#REF!</v>
      </c>
    </row>
    <row r="437" spans="1:31" ht="24" customHeight="1">
      <c r="A437" s="285"/>
      <c r="B437" s="286"/>
      <c r="C437" s="287"/>
      <c r="D437" s="286"/>
      <c r="H437" s="1" t="s">
        <v>847</v>
      </c>
      <c r="K437" s="40">
        <f>(K436+C20/10*F425)</f>
        <v>339.2</v>
      </c>
      <c r="O437" s="1"/>
      <c r="AC437" s="57" t="str">
        <f t="shared" ref="AC437:AC456" si="36">AE438</f>
        <v>|</v>
      </c>
      <c r="AD437" s="11">
        <f>AD436</f>
        <v>4.9000000000000004</v>
      </c>
      <c r="AE437" s="40" t="e">
        <f>AE436+AD437</f>
        <v>#REF!</v>
      </c>
    </row>
    <row r="438" spans="1:31" ht="24" customHeight="1">
      <c r="A438" s="285">
        <f>(A436+1)</f>
        <v>272</v>
      </c>
      <c r="B438" s="286" t="s">
        <v>1165</v>
      </c>
      <c r="C438" s="287">
        <v>21.74</v>
      </c>
      <c r="D438" s="286" t="s">
        <v>883</v>
      </c>
      <c r="H438" s="2" t="s">
        <v>2217</v>
      </c>
      <c r="M438" s="8">
        <v>8</v>
      </c>
      <c r="N438" s="1" t="s">
        <v>781</v>
      </c>
      <c r="O438" s="1" t="s">
        <v>2218</v>
      </c>
      <c r="P438" s="8">
        <f>(C43)</f>
        <v>3.6</v>
      </c>
      <c r="Q438" s="1" t="s">
        <v>781</v>
      </c>
      <c r="R438" s="8">
        <f>(M438*P438)</f>
        <v>28.8</v>
      </c>
      <c r="AC438" s="57" t="str">
        <f t="shared" si="36"/>
        <v>|</v>
      </c>
      <c r="AE438" s="1" t="s">
        <v>2346</v>
      </c>
    </row>
    <row r="439" spans="1:31" ht="24" customHeight="1">
      <c r="A439" s="285">
        <f t="shared" si="35"/>
        <v>273</v>
      </c>
      <c r="B439" s="286" t="s">
        <v>2219</v>
      </c>
      <c r="C439" s="288"/>
      <c r="D439" s="286" t="s">
        <v>995</v>
      </c>
      <c r="H439" s="2" t="s">
        <v>2192</v>
      </c>
      <c r="M439" s="8">
        <v>8</v>
      </c>
      <c r="N439" s="1" t="s">
        <v>781</v>
      </c>
      <c r="O439" s="1" t="s">
        <v>467</v>
      </c>
      <c r="P439" s="8">
        <f>(C50)</f>
        <v>5.05</v>
      </c>
      <c r="Q439" s="1" t="s">
        <v>781</v>
      </c>
      <c r="R439" s="8">
        <f>(M439*P439)</f>
        <v>40.4</v>
      </c>
      <c r="AC439" s="57" t="str">
        <f t="shared" si="36"/>
        <v>|</v>
      </c>
      <c r="AE439" s="1" t="s">
        <v>2346</v>
      </c>
    </row>
    <row r="440" spans="1:31" ht="24" customHeight="1">
      <c r="A440" s="285">
        <f t="shared" si="35"/>
        <v>274</v>
      </c>
      <c r="B440" s="286" t="s">
        <v>1159</v>
      </c>
      <c r="C440" s="207">
        <v>30</v>
      </c>
      <c r="D440" s="286" t="s">
        <v>883</v>
      </c>
      <c r="F440" s="13">
        <v>12</v>
      </c>
      <c r="G440" s="7" t="s">
        <v>2338</v>
      </c>
      <c r="H440" s="1" t="s">
        <v>468</v>
      </c>
      <c r="M440" s="8">
        <v>1</v>
      </c>
      <c r="N440" s="1" t="s">
        <v>448</v>
      </c>
      <c r="O440" s="1" t="s">
        <v>1770</v>
      </c>
      <c r="P440" s="8">
        <f>(C56)</f>
        <v>12.1</v>
      </c>
      <c r="Q440" s="1" t="s">
        <v>448</v>
      </c>
      <c r="R440" s="8">
        <f>(M440*P440)</f>
        <v>12.1</v>
      </c>
      <c r="AC440" s="57" t="str">
        <f t="shared" si="36"/>
        <v>|</v>
      </c>
      <c r="AE440" s="1" t="s">
        <v>2346</v>
      </c>
    </row>
    <row r="441" spans="1:31" ht="24" customHeight="1">
      <c r="A441" s="285">
        <f t="shared" si="35"/>
        <v>275</v>
      </c>
      <c r="B441" s="286" t="s">
        <v>1160</v>
      </c>
      <c r="C441" s="207">
        <v>36.35</v>
      </c>
      <c r="D441" s="286" t="s">
        <v>883</v>
      </c>
      <c r="H441" s="1" t="s">
        <v>1156</v>
      </c>
      <c r="M441" s="8">
        <v>1</v>
      </c>
      <c r="N441" s="1" t="s">
        <v>448</v>
      </c>
      <c r="O441" s="1" t="s">
        <v>449</v>
      </c>
      <c r="Q441" s="1" t="s">
        <v>448</v>
      </c>
      <c r="R441" s="8">
        <v>0</v>
      </c>
      <c r="AC441" s="57" t="str">
        <f t="shared" si="36"/>
        <v>|</v>
      </c>
      <c r="AE441" s="1" t="s">
        <v>2346</v>
      </c>
    </row>
    <row r="442" spans="1:31" ht="24" customHeight="1">
      <c r="A442" s="285">
        <f t="shared" si="35"/>
        <v>276</v>
      </c>
      <c r="B442" s="286" t="s">
        <v>1161</v>
      </c>
      <c r="C442" s="207">
        <v>84.85</v>
      </c>
      <c r="D442" s="286" t="s">
        <v>883</v>
      </c>
      <c r="H442" s="5" t="s">
        <v>1667</v>
      </c>
      <c r="R442" s="5" t="s">
        <v>1667</v>
      </c>
      <c r="AC442" s="57" t="str">
        <f t="shared" si="36"/>
        <v>|::</v>
      </c>
      <c r="AE442" s="1" t="s">
        <v>2346</v>
      </c>
    </row>
    <row r="443" spans="1:31" ht="24" customHeight="1">
      <c r="A443" s="285">
        <f t="shared" si="35"/>
        <v>277</v>
      </c>
      <c r="B443" s="286" t="s">
        <v>1162</v>
      </c>
      <c r="C443" s="207">
        <v>102.8</v>
      </c>
      <c r="D443" s="286" t="s">
        <v>883</v>
      </c>
      <c r="F443" s="8">
        <v>6570</v>
      </c>
      <c r="G443" s="7" t="s">
        <v>1485</v>
      </c>
      <c r="H443" s="1" t="s">
        <v>1647</v>
      </c>
      <c r="I443" s="8">
        <f>(C77)</f>
        <v>3295.98</v>
      </c>
      <c r="J443" s="1" t="s">
        <v>1675</v>
      </c>
      <c r="K443" s="8">
        <f>(F443*I443)/1000</f>
        <v>21654.59</v>
      </c>
      <c r="O443" s="1" t="s">
        <v>1621</v>
      </c>
      <c r="R443" s="8">
        <f>SUM(R430:R441)</f>
        <v>1151.1400000000001</v>
      </c>
      <c r="AC443" s="57">
        <f t="shared" si="36"/>
        <v>0</v>
      </c>
      <c r="AE443" s="1" t="s">
        <v>325</v>
      </c>
    </row>
    <row r="444" spans="1:31" ht="24" customHeight="1">
      <c r="A444" s="285">
        <f t="shared" si="35"/>
        <v>278</v>
      </c>
      <c r="B444" s="286" t="s">
        <v>1164</v>
      </c>
      <c r="C444" s="207">
        <v>114.9</v>
      </c>
      <c r="D444" s="286" t="s">
        <v>883</v>
      </c>
      <c r="F444" s="8">
        <v>1.91</v>
      </c>
      <c r="G444" s="7" t="s">
        <v>884</v>
      </c>
      <c r="H444" s="1" t="s">
        <v>1364</v>
      </c>
      <c r="I444" s="8">
        <f>(K40)</f>
        <v>2807.01</v>
      </c>
      <c r="J444" s="1" t="s">
        <v>884</v>
      </c>
      <c r="K444" s="8">
        <f>(F444*I444)</f>
        <v>5361.39</v>
      </c>
      <c r="R444" s="5" t="s">
        <v>1667</v>
      </c>
      <c r="AC444" s="57">
        <f t="shared" si="36"/>
        <v>0</v>
      </c>
    </row>
    <row r="445" spans="1:31" ht="24" customHeight="1">
      <c r="A445" s="285">
        <f t="shared" si="35"/>
        <v>279</v>
      </c>
      <c r="B445" s="286" t="s">
        <v>237</v>
      </c>
      <c r="C445" s="207">
        <v>145.5</v>
      </c>
      <c r="D445" s="286" t="s">
        <v>883</v>
      </c>
      <c r="F445" s="8">
        <v>7</v>
      </c>
      <c r="G445" s="7" t="s">
        <v>883</v>
      </c>
      <c r="H445" s="1" t="s">
        <v>2082</v>
      </c>
      <c r="I445" s="8">
        <f>(C10)</f>
        <v>430.5</v>
      </c>
      <c r="J445" s="1" t="s">
        <v>883</v>
      </c>
      <c r="K445" s="8">
        <f>(F445*I445)</f>
        <v>3013.5</v>
      </c>
      <c r="O445" s="1" t="s">
        <v>1622</v>
      </c>
      <c r="R445" s="8">
        <f>(R443/30)</f>
        <v>38.369999999999997</v>
      </c>
      <c r="AC445" s="57" t="str">
        <f t="shared" si="36"/>
        <v>|</v>
      </c>
    </row>
    <row r="446" spans="1:31" ht="24" customHeight="1">
      <c r="A446" s="285">
        <f t="shared" si="35"/>
        <v>280</v>
      </c>
      <c r="B446" s="286" t="s">
        <v>1165</v>
      </c>
      <c r="C446" s="287">
        <v>156.5</v>
      </c>
      <c r="D446" s="286" t="s">
        <v>883</v>
      </c>
      <c r="F446" s="8">
        <v>3.6</v>
      </c>
      <c r="G446" s="7" t="s">
        <v>883</v>
      </c>
      <c r="H446" s="1" t="s">
        <v>1791</v>
      </c>
      <c r="I446" s="8">
        <f>(C11)</f>
        <v>386.4</v>
      </c>
      <c r="J446" s="1" t="s">
        <v>883</v>
      </c>
      <c r="K446" s="8">
        <f>(F446*I446)</f>
        <v>1391.04</v>
      </c>
      <c r="R446" s="5" t="s">
        <v>1667</v>
      </c>
      <c r="AC446" s="57" t="str">
        <f t="shared" si="36"/>
        <v>|</v>
      </c>
      <c r="AE446" s="1" t="s">
        <v>2346</v>
      </c>
    </row>
    <row r="447" spans="1:31" ht="24" customHeight="1">
      <c r="A447" s="285">
        <f t="shared" si="35"/>
        <v>281</v>
      </c>
      <c r="B447" s="286" t="s">
        <v>1634</v>
      </c>
      <c r="C447" s="288"/>
      <c r="D447" s="286" t="s">
        <v>995</v>
      </c>
      <c r="F447" s="8">
        <v>7.1</v>
      </c>
      <c r="G447" s="7" t="s">
        <v>883</v>
      </c>
      <c r="H447" s="1" t="s">
        <v>1979</v>
      </c>
      <c r="I447" s="8">
        <f>(C12)</f>
        <v>269.85000000000002</v>
      </c>
      <c r="J447" s="1" t="s">
        <v>883</v>
      </c>
      <c r="K447" s="8">
        <f>(F447*I447)</f>
        <v>1915.94</v>
      </c>
      <c r="N447" s="1" t="s">
        <v>1635</v>
      </c>
      <c r="O447" s="2" t="s">
        <v>1036</v>
      </c>
      <c r="AC447" s="57" t="str">
        <f t="shared" si="36"/>
        <v>|</v>
      </c>
      <c r="AE447" s="1" t="s">
        <v>2346</v>
      </c>
    </row>
    <row r="448" spans="1:31" ht="24" customHeight="1">
      <c r="A448" s="285">
        <f t="shared" si="35"/>
        <v>282</v>
      </c>
      <c r="B448" s="286" t="s">
        <v>1159</v>
      </c>
      <c r="C448" s="207">
        <v>24.25</v>
      </c>
      <c r="D448" s="286" t="s">
        <v>883</v>
      </c>
      <c r="F448" s="8">
        <v>14.1</v>
      </c>
      <c r="G448" s="7" t="s">
        <v>883</v>
      </c>
      <c r="H448" s="1" t="s">
        <v>324</v>
      </c>
      <c r="I448" s="8">
        <f>(C13)</f>
        <v>243.6</v>
      </c>
      <c r="J448" s="1" t="s">
        <v>883</v>
      </c>
      <c r="K448" s="8">
        <f>(F448*I448)</f>
        <v>3434.76</v>
      </c>
      <c r="O448" s="5" t="s">
        <v>1667</v>
      </c>
      <c r="AC448" s="57" t="str">
        <f t="shared" si="36"/>
        <v>|</v>
      </c>
      <c r="AE448" s="1" t="s">
        <v>2346</v>
      </c>
    </row>
    <row r="449" spans="1:31" ht="24" customHeight="1">
      <c r="A449" s="285">
        <f t="shared" si="35"/>
        <v>283</v>
      </c>
      <c r="B449" s="286" t="s">
        <v>1160</v>
      </c>
      <c r="C449" s="207">
        <v>36.35</v>
      </c>
      <c r="D449" s="286" t="s">
        <v>883</v>
      </c>
      <c r="G449" s="7" t="s">
        <v>448</v>
      </c>
      <c r="H449" s="1" t="s">
        <v>449</v>
      </c>
      <c r="I449" s="1" t="s">
        <v>995</v>
      </c>
      <c r="J449" s="1" t="s">
        <v>448</v>
      </c>
      <c r="K449" s="8">
        <v>0</v>
      </c>
      <c r="M449" s="8">
        <v>8.1</v>
      </c>
      <c r="N449" s="1" t="s">
        <v>884</v>
      </c>
      <c r="O449" s="1" t="s">
        <v>621</v>
      </c>
      <c r="P449" s="8">
        <f>(C61)*2</f>
        <v>96.6</v>
      </c>
      <c r="Q449" s="1" t="s">
        <v>884</v>
      </c>
      <c r="R449" s="8">
        <f>(M449*P449)</f>
        <v>782.46</v>
      </c>
      <c r="AC449" s="57" t="str">
        <f t="shared" si="36"/>
        <v>|</v>
      </c>
      <c r="AE449" s="1" t="s">
        <v>2346</v>
      </c>
    </row>
    <row r="450" spans="1:31" ht="24" customHeight="1">
      <c r="A450" s="285">
        <f t="shared" si="35"/>
        <v>284</v>
      </c>
      <c r="B450" s="286" t="s">
        <v>1161</v>
      </c>
      <c r="C450" s="207">
        <v>45.6</v>
      </c>
      <c r="D450" s="286" t="s">
        <v>883</v>
      </c>
      <c r="K450" s="5" t="s">
        <v>1667</v>
      </c>
      <c r="M450" s="8">
        <v>8.1</v>
      </c>
      <c r="N450" s="1" t="s">
        <v>884</v>
      </c>
      <c r="O450" s="1" t="s">
        <v>2232</v>
      </c>
      <c r="P450" s="8">
        <f>(C26)</f>
        <v>16.96</v>
      </c>
      <c r="Q450" s="1" t="s">
        <v>884</v>
      </c>
      <c r="R450" s="8">
        <f>(M450*P450)</f>
        <v>137.38</v>
      </c>
      <c r="AC450" s="57" t="str">
        <f t="shared" si="36"/>
        <v>|</v>
      </c>
      <c r="AE450" s="1" t="s">
        <v>2346</v>
      </c>
    </row>
    <row r="451" spans="1:31" ht="24" customHeight="1">
      <c r="A451" s="285">
        <f t="shared" si="35"/>
        <v>285</v>
      </c>
      <c r="B451" s="286" t="s">
        <v>1162</v>
      </c>
      <c r="C451" s="207">
        <v>60.6</v>
      </c>
      <c r="D451" s="286" t="s">
        <v>883</v>
      </c>
      <c r="H451" s="1" t="s">
        <v>618</v>
      </c>
      <c r="K451" s="8">
        <f>SUM(K443:K449)</f>
        <v>36771.22</v>
      </c>
      <c r="M451" s="8">
        <v>30</v>
      </c>
      <c r="N451" s="1" t="s">
        <v>1854</v>
      </c>
      <c r="O451" s="1" t="s">
        <v>2233</v>
      </c>
      <c r="P451" s="8">
        <f>(C42)</f>
        <v>5</v>
      </c>
      <c r="Q451" s="1" t="s">
        <v>1854</v>
      </c>
      <c r="R451" s="8">
        <f>(M451*P451)</f>
        <v>150</v>
      </c>
      <c r="AC451" s="57" t="str">
        <f t="shared" si="36"/>
        <v>|</v>
      </c>
      <c r="AE451" s="1" t="s">
        <v>2346</v>
      </c>
    </row>
    <row r="452" spans="1:31" ht="24" customHeight="1">
      <c r="A452" s="285">
        <f t="shared" si="35"/>
        <v>286</v>
      </c>
      <c r="B452" s="286" t="s">
        <v>1164</v>
      </c>
      <c r="C452" s="207">
        <v>72.75</v>
      </c>
      <c r="D452" s="286" t="s">
        <v>883</v>
      </c>
      <c r="K452" s="5" t="s">
        <v>1667</v>
      </c>
      <c r="O452" s="1" t="s">
        <v>2234</v>
      </c>
      <c r="AC452" s="57" t="str">
        <f t="shared" si="36"/>
        <v>|</v>
      </c>
      <c r="AE452" s="1" t="s">
        <v>2346</v>
      </c>
    </row>
    <row r="453" spans="1:31" ht="24" customHeight="1">
      <c r="A453" s="285">
        <f t="shared" si="35"/>
        <v>287</v>
      </c>
      <c r="B453" s="286" t="s">
        <v>237</v>
      </c>
      <c r="C453" s="207">
        <v>90.6</v>
      </c>
      <c r="D453" s="286" t="s">
        <v>883</v>
      </c>
      <c r="H453" s="1" t="s">
        <v>785</v>
      </c>
      <c r="K453" s="8">
        <f>(K451/10)</f>
        <v>3677.12</v>
      </c>
      <c r="O453" s="1" t="s">
        <v>2235</v>
      </c>
      <c r="AC453" s="57" t="str">
        <f t="shared" si="36"/>
        <v>|</v>
      </c>
      <c r="AE453" s="1" t="s">
        <v>2346</v>
      </c>
    </row>
    <row r="454" spans="1:31" ht="24" customHeight="1">
      <c r="A454" s="285">
        <f t="shared" si="35"/>
        <v>288</v>
      </c>
      <c r="B454" s="286" t="s">
        <v>1165</v>
      </c>
      <c r="C454" s="287">
        <v>70.47</v>
      </c>
      <c r="D454" s="286" t="s">
        <v>883</v>
      </c>
      <c r="K454" s="5" t="s">
        <v>2130</v>
      </c>
      <c r="O454" s="1" t="s">
        <v>2236</v>
      </c>
      <c r="AC454" s="57" t="str">
        <f t="shared" si="36"/>
        <v>|</v>
      </c>
      <c r="AE454" s="1" t="s">
        <v>2346</v>
      </c>
    </row>
    <row r="455" spans="1:31" ht="24" customHeight="1">
      <c r="A455" s="285">
        <f t="shared" si="35"/>
        <v>289</v>
      </c>
      <c r="B455" s="286" t="s">
        <v>2376</v>
      </c>
      <c r="C455" s="288"/>
      <c r="D455" s="286" t="s">
        <v>995</v>
      </c>
      <c r="O455" s="1" t="s">
        <v>2239</v>
      </c>
      <c r="AC455" s="57" t="str">
        <f t="shared" si="36"/>
        <v>|</v>
      </c>
      <c r="AE455" s="1" t="s">
        <v>2346</v>
      </c>
    </row>
    <row r="456" spans="1:31" ht="24" customHeight="1">
      <c r="A456" s="285">
        <f t="shared" si="35"/>
        <v>290</v>
      </c>
      <c r="B456" s="286" t="s">
        <v>1159</v>
      </c>
      <c r="C456" s="287">
        <v>158.91999999999999</v>
      </c>
      <c r="D456" s="286" t="s">
        <v>883</v>
      </c>
      <c r="G456" s="7" t="s">
        <v>2338</v>
      </c>
      <c r="H456" s="1" t="s">
        <v>157</v>
      </c>
      <c r="M456" s="8">
        <v>8</v>
      </c>
      <c r="N456" s="1" t="s">
        <v>781</v>
      </c>
      <c r="O456" s="1" t="s">
        <v>2218</v>
      </c>
      <c r="P456" s="8">
        <f>(C44)</f>
        <v>3.6</v>
      </c>
      <c r="Q456" s="1" t="s">
        <v>781</v>
      </c>
      <c r="R456" s="8">
        <f>(M456*P456)</f>
        <v>28.8</v>
      </c>
      <c r="AC456" s="57" t="str">
        <f t="shared" si="36"/>
        <v>|</v>
      </c>
      <c r="AE456" s="1" t="s">
        <v>2346</v>
      </c>
    </row>
    <row r="457" spans="1:31" ht="24" customHeight="1">
      <c r="A457" s="285">
        <f t="shared" si="35"/>
        <v>291</v>
      </c>
      <c r="B457" s="286" t="s">
        <v>1160</v>
      </c>
      <c r="C457" s="287">
        <v>263.04000000000002</v>
      </c>
      <c r="D457" s="286" t="s">
        <v>883</v>
      </c>
      <c r="H457" s="5" t="s">
        <v>1667</v>
      </c>
      <c r="M457" s="8">
        <v>8</v>
      </c>
      <c r="N457" s="1" t="s">
        <v>781</v>
      </c>
      <c r="O457" s="1" t="s">
        <v>467</v>
      </c>
      <c r="P457" s="8">
        <f>(C51)</f>
        <v>5.25</v>
      </c>
      <c r="Q457" s="1" t="s">
        <v>781</v>
      </c>
      <c r="R457" s="8">
        <f>(M457*P457)</f>
        <v>42</v>
      </c>
      <c r="AC457" s="57" t="str">
        <f t="shared" ref="AC457:AC520" si="37">AE458</f>
        <v>|</v>
      </c>
      <c r="AE457" s="1" t="s">
        <v>2346</v>
      </c>
    </row>
    <row r="458" spans="1:31" ht="24" customHeight="1">
      <c r="A458" s="285">
        <f t="shared" si="35"/>
        <v>292</v>
      </c>
      <c r="B458" s="286" t="s">
        <v>1161</v>
      </c>
      <c r="C458" s="288"/>
      <c r="D458" s="286" t="s">
        <v>995</v>
      </c>
      <c r="F458" s="8">
        <v>0.5</v>
      </c>
      <c r="G458" s="7" t="s">
        <v>884</v>
      </c>
      <c r="H458" s="1" t="s">
        <v>2367</v>
      </c>
      <c r="I458" s="8">
        <f>(K453)</f>
        <v>3677.12</v>
      </c>
      <c r="J458" s="1" t="s">
        <v>883</v>
      </c>
      <c r="K458" s="8">
        <f>(F458*I458)</f>
        <v>1838.56</v>
      </c>
      <c r="M458" s="8">
        <v>1</v>
      </c>
      <c r="N458" s="1" t="s">
        <v>448</v>
      </c>
      <c r="O458" s="1" t="s">
        <v>1770</v>
      </c>
      <c r="P458" s="8">
        <f>(C56)</f>
        <v>12.1</v>
      </c>
      <c r="Q458" s="1" t="s">
        <v>448</v>
      </c>
      <c r="R458" s="8">
        <f>(M458*P458)</f>
        <v>12.1</v>
      </c>
      <c r="AC458" s="57" t="str">
        <f t="shared" si="37"/>
        <v>|</v>
      </c>
      <c r="AE458" s="1" t="s">
        <v>2346</v>
      </c>
    </row>
    <row r="459" spans="1:31" ht="24" customHeight="1">
      <c r="A459" s="285">
        <f t="shared" si="35"/>
        <v>293</v>
      </c>
      <c r="B459" s="286" t="s">
        <v>1223</v>
      </c>
      <c r="C459" s="57">
        <v>1.7</v>
      </c>
      <c r="D459" s="286" t="s">
        <v>883</v>
      </c>
      <c r="F459" s="8">
        <v>1</v>
      </c>
      <c r="G459" s="7" t="s">
        <v>781</v>
      </c>
      <c r="H459" s="1" t="s">
        <v>2082</v>
      </c>
      <c r="I459" s="8">
        <f>(C10)</f>
        <v>430.5</v>
      </c>
      <c r="J459" s="1" t="s">
        <v>883</v>
      </c>
      <c r="K459" s="8">
        <f>(F459*I459)</f>
        <v>430.5</v>
      </c>
      <c r="M459" s="8">
        <v>1</v>
      </c>
      <c r="N459" s="1" t="s">
        <v>448</v>
      </c>
      <c r="O459" s="1" t="s">
        <v>449</v>
      </c>
      <c r="Q459" s="1" t="s">
        <v>448</v>
      </c>
      <c r="R459" s="8">
        <v>0</v>
      </c>
      <c r="AC459" s="57" t="str">
        <f t="shared" si="37"/>
        <v>|</v>
      </c>
      <c r="AE459" s="1" t="s">
        <v>2346</v>
      </c>
    </row>
    <row r="460" spans="1:31" ht="24" customHeight="1">
      <c r="A460" s="285">
        <f t="shared" si="35"/>
        <v>294</v>
      </c>
      <c r="B460" s="286" t="s">
        <v>1119</v>
      </c>
      <c r="C460" s="57">
        <v>2.1</v>
      </c>
      <c r="D460" s="286" t="s">
        <v>883</v>
      </c>
      <c r="G460" s="7" t="s">
        <v>448</v>
      </c>
      <c r="H460" s="1" t="s">
        <v>449</v>
      </c>
      <c r="I460" s="1" t="s">
        <v>995</v>
      </c>
      <c r="J460" s="1" t="s">
        <v>448</v>
      </c>
      <c r="K460" s="8">
        <v>0</v>
      </c>
      <c r="R460" s="5" t="s">
        <v>1667</v>
      </c>
      <c r="AC460" s="57" t="str">
        <f t="shared" si="37"/>
        <v>|</v>
      </c>
      <c r="AE460" s="1" t="s">
        <v>2346</v>
      </c>
    </row>
    <row r="461" spans="1:31" ht="24" customHeight="1">
      <c r="A461" s="285">
        <f t="shared" si="35"/>
        <v>295</v>
      </c>
      <c r="B461" s="286" t="s">
        <v>1120</v>
      </c>
      <c r="C461" s="287">
        <v>350</v>
      </c>
      <c r="D461" s="287">
        <v>375</v>
      </c>
      <c r="K461" s="5" t="s">
        <v>1667</v>
      </c>
      <c r="O461" s="1" t="s">
        <v>1621</v>
      </c>
      <c r="R461" s="8">
        <f>SUM(R449:R459)</f>
        <v>1152.74</v>
      </c>
      <c r="AC461" s="57" t="str">
        <f t="shared" si="37"/>
        <v>|</v>
      </c>
      <c r="AE461" s="1" t="s">
        <v>2346</v>
      </c>
    </row>
    <row r="462" spans="1:31" ht="24" customHeight="1">
      <c r="A462" s="285">
        <f t="shared" si="35"/>
        <v>296</v>
      </c>
      <c r="B462" s="286" t="s">
        <v>2169</v>
      </c>
      <c r="C462" s="287">
        <v>400</v>
      </c>
      <c r="D462" s="287">
        <v>425</v>
      </c>
      <c r="H462" s="1" t="s">
        <v>440</v>
      </c>
      <c r="K462" s="8">
        <f>SUM(K458:K460)</f>
        <v>2269.06</v>
      </c>
      <c r="R462" s="5" t="s">
        <v>1667</v>
      </c>
      <c r="AC462" s="57" t="str">
        <f t="shared" si="37"/>
        <v>|</v>
      </c>
      <c r="AE462" s="1" t="s">
        <v>2346</v>
      </c>
    </row>
    <row r="463" spans="1:31" ht="24" customHeight="1">
      <c r="A463" s="285">
        <f t="shared" si="35"/>
        <v>297</v>
      </c>
      <c r="B463" s="286" t="s">
        <v>1091</v>
      </c>
      <c r="C463" s="287">
        <v>450</v>
      </c>
      <c r="D463" s="287">
        <v>500</v>
      </c>
      <c r="K463" s="5" t="s">
        <v>1667</v>
      </c>
      <c r="O463" s="1" t="s">
        <v>1622</v>
      </c>
      <c r="R463" s="8">
        <f>(R461/30)</f>
        <v>38.42</v>
      </c>
      <c r="AC463" s="57" t="str">
        <f t="shared" si="37"/>
        <v>|</v>
      </c>
      <c r="AE463" s="1" t="s">
        <v>2346</v>
      </c>
    </row>
    <row r="464" spans="1:31" ht="24" customHeight="1">
      <c r="A464" s="285">
        <f t="shared" si="35"/>
        <v>298</v>
      </c>
      <c r="B464" s="286" t="s">
        <v>2029</v>
      </c>
      <c r="C464" s="287">
        <v>77.819999999999993</v>
      </c>
      <c r="D464" s="286" t="s">
        <v>883</v>
      </c>
      <c r="H464" s="1" t="s">
        <v>555</v>
      </c>
      <c r="K464" s="8">
        <f>(K462/10)</f>
        <v>226.91</v>
      </c>
      <c r="R464" s="5" t="s">
        <v>1667</v>
      </c>
      <c r="AC464" s="57" t="str">
        <f t="shared" si="37"/>
        <v>|</v>
      </c>
      <c r="AE464" s="1" t="s">
        <v>2346</v>
      </c>
    </row>
    <row r="465" spans="1:31" ht="24" customHeight="1">
      <c r="A465" s="285">
        <f t="shared" si="35"/>
        <v>299</v>
      </c>
      <c r="B465" s="286" t="s">
        <v>2030</v>
      </c>
      <c r="C465" s="287">
        <v>99.74</v>
      </c>
      <c r="D465" s="286" t="s">
        <v>883</v>
      </c>
      <c r="K465" s="5" t="s">
        <v>2130</v>
      </c>
      <c r="N465" s="1" t="s">
        <v>2031</v>
      </c>
      <c r="O465" s="2" t="s">
        <v>2032</v>
      </c>
      <c r="AC465" s="57" t="str">
        <f t="shared" si="37"/>
        <v>|</v>
      </c>
      <c r="AE465" s="1" t="s">
        <v>2346</v>
      </c>
    </row>
    <row r="466" spans="1:31" ht="24" customHeight="1">
      <c r="A466" s="285">
        <f t="shared" si="35"/>
        <v>300</v>
      </c>
      <c r="B466" s="286" t="s">
        <v>1161</v>
      </c>
      <c r="C466" s="287">
        <v>165</v>
      </c>
      <c r="D466" s="286" t="s">
        <v>883</v>
      </c>
      <c r="H466" s="1" t="s">
        <v>388</v>
      </c>
      <c r="K466" s="40">
        <f>(K464+C19/10*F458)</f>
        <v>228.54</v>
      </c>
      <c r="O466" s="5" t="s">
        <v>1667</v>
      </c>
      <c r="AC466" s="57" t="str">
        <f t="shared" si="37"/>
        <v>|</v>
      </c>
      <c r="AE466" s="1" t="s">
        <v>2346</v>
      </c>
    </row>
    <row r="467" spans="1:31" ht="24" customHeight="1">
      <c r="A467" s="285">
        <f t="shared" si="35"/>
        <v>301</v>
      </c>
      <c r="B467" s="286" t="s">
        <v>1162</v>
      </c>
      <c r="C467" s="287">
        <v>258</v>
      </c>
      <c r="D467" s="286" t="s">
        <v>883</v>
      </c>
      <c r="H467" s="1" t="s">
        <v>390</v>
      </c>
      <c r="K467" s="40">
        <f>(K466+C20/10*F458)</f>
        <v>231.81</v>
      </c>
      <c r="M467" s="8">
        <v>8.1</v>
      </c>
      <c r="N467" s="1" t="s">
        <v>884</v>
      </c>
      <c r="O467" s="1" t="s">
        <v>621</v>
      </c>
      <c r="P467" s="8">
        <f>(C61)*2</f>
        <v>96.6</v>
      </c>
      <c r="Q467" s="1" t="s">
        <v>884</v>
      </c>
      <c r="R467" s="8">
        <f>(M467*P467)</f>
        <v>782.46</v>
      </c>
      <c r="AC467" s="57" t="str">
        <f t="shared" si="37"/>
        <v>|</v>
      </c>
      <c r="AE467" s="1" t="s">
        <v>2346</v>
      </c>
    </row>
    <row r="468" spans="1:31" ht="24" customHeight="1">
      <c r="A468" s="285">
        <f t="shared" si="35"/>
        <v>302</v>
      </c>
      <c r="B468" s="286" t="s">
        <v>1164</v>
      </c>
      <c r="C468" s="287">
        <v>298</v>
      </c>
      <c r="D468" s="286" t="s">
        <v>883</v>
      </c>
      <c r="H468" s="1" t="s">
        <v>2319</v>
      </c>
      <c r="K468" s="40">
        <f>(K467+C21/10*F458)</f>
        <v>235.08</v>
      </c>
      <c r="M468" s="8">
        <v>8.1</v>
      </c>
      <c r="N468" s="1" t="s">
        <v>884</v>
      </c>
      <c r="O468" s="1" t="s">
        <v>2232</v>
      </c>
      <c r="P468" s="8">
        <f>(C26)</f>
        <v>16.96</v>
      </c>
      <c r="Q468" s="1" t="s">
        <v>884</v>
      </c>
      <c r="R468" s="8">
        <f>(M468*P468)</f>
        <v>137.38</v>
      </c>
      <c r="AC468" s="57" t="str">
        <f t="shared" si="37"/>
        <v>|</v>
      </c>
      <c r="AE468" s="1" t="s">
        <v>2346</v>
      </c>
    </row>
    <row r="469" spans="1:31" ht="24" customHeight="1">
      <c r="A469" s="285">
        <f t="shared" si="35"/>
        <v>303</v>
      </c>
      <c r="B469" s="286" t="s">
        <v>237</v>
      </c>
      <c r="C469" s="287">
        <v>398</v>
      </c>
      <c r="D469" s="286" t="s">
        <v>883</v>
      </c>
      <c r="H469" s="1" t="s">
        <v>382</v>
      </c>
      <c r="K469" s="40">
        <f>(K468+C21/10*F458)</f>
        <v>238.35</v>
      </c>
      <c r="M469" s="8">
        <v>30</v>
      </c>
      <c r="N469" s="1" t="s">
        <v>1854</v>
      </c>
      <c r="O469" s="1" t="s">
        <v>2233</v>
      </c>
      <c r="P469" s="8">
        <f>(C42)</f>
        <v>5</v>
      </c>
      <c r="Q469" s="1" t="s">
        <v>1854</v>
      </c>
      <c r="R469" s="8">
        <f>(M469*P469)</f>
        <v>150</v>
      </c>
      <c r="AC469" s="57" t="str">
        <f t="shared" si="37"/>
        <v>|</v>
      </c>
      <c r="AE469" s="1" t="s">
        <v>2346</v>
      </c>
    </row>
    <row r="470" spans="1:31" ht="24" customHeight="1">
      <c r="A470" s="285">
        <f t="shared" si="35"/>
        <v>304</v>
      </c>
      <c r="B470" s="286" t="s">
        <v>1165</v>
      </c>
      <c r="C470" s="288"/>
      <c r="D470" s="286" t="s">
        <v>883</v>
      </c>
      <c r="H470" s="1" t="s">
        <v>1595</v>
      </c>
      <c r="K470" s="40">
        <f>(K469+C21/10*F458)</f>
        <v>241.62</v>
      </c>
      <c r="O470" s="1" t="s">
        <v>2234</v>
      </c>
      <c r="AC470" s="57" t="str">
        <f t="shared" si="37"/>
        <v>|</v>
      </c>
      <c r="AE470" s="1" t="s">
        <v>2346</v>
      </c>
    </row>
    <row r="471" spans="1:31" ht="24" customHeight="1">
      <c r="A471" s="285">
        <f t="shared" si="35"/>
        <v>305</v>
      </c>
      <c r="B471" s="286" t="s">
        <v>1094</v>
      </c>
      <c r="C471" s="288"/>
      <c r="D471" s="286" t="s">
        <v>883</v>
      </c>
      <c r="F471" s="2" t="s">
        <v>2033</v>
      </c>
      <c r="G471" s="7" t="s">
        <v>2338</v>
      </c>
      <c r="H471" s="1" t="s">
        <v>2034</v>
      </c>
      <c r="O471" s="1" t="s">
        <v>2235</v>
      </c>
      <c r="AC471" s="57" t="str">
        <f t="shared" si="37"/>
        <v>|</v>
      </c>
      <c r="AE471" s="1" t="s">
        <v>2346</v>
      </c>
    </row>
    <row r="472" spans="1:31" ht="24" customHeight="1">
      <c r="A472" s="285">
        <f t="shared" si="35"/>
        <v>306</v>
      </c>
      <c r="B472" s="286" t="s">
        <v>1159</v>
      </c>
      <c r="C472" s="287">
        <v>130</v>
      </c>
      <c r="D472" s="286" t="s">
        <v>883</v>
      </c>
      <c r="H472" s="1" t="s">
        <v>2325</v>
      </c>
      <c r="O472" s="1" t="s">
        <v>2236</v>
      </c>
      <c r="AC472" s="57" t="str">
        <f t="shared" si="37"/>
        <v>|</v>
      </c>
      <c r="AE472" s="1" t="s">
        <v>2346</v>
      </c>
    </row>
    <row r="473" spans="1:31" ht="24" customHeight="1">
      <c r="A473" s="285">
        <f t="shared" si="35"/>
        <v>307</v>
      </c>
      <c r="B473" s="286" t="s">
        <v>1160</v>
      </c>
      <c r="C473" s="207">
        <v>392</v>
      </c>
      <c r="D473" s="286" t="s">
        <v>883</v>
      </c>
      <c r="H473" s="5" t="s">
        <v>1667</v>
      </c>
      <c r="O473" s="1" t="s">
        <v>2239</v>
      </c>
      <c r="AC473" s="57" t="str">
        <f t="shared" si="37"/>
        <v>|</v>
      </c>
      <c r="AE473" s="1" t="s">
        <v>2346</v>
      </c>
    </row>
    <row r="474" spans="1:31" ht="24" customHeight="1">
      <c r="A474" s="285">
        <f t="shared" si="35"/>
        <v>308</v>
      </c>
      <c r="B474" s="286" t="s">
        <v>1161</v>
      </c>
      <c r="C474" s="207">
        <v>663</v>
      </c>
      <c r="D474" s="286" t="s">
        <v>883</v>
      </c>
      <c r="F474" s="8">
        <v>1</v>
      </c>
      <c r="G474" s="7" t="s">
        <v>884</v>
      </c>
      <c r="H474" s="1" t="s">
        <v>2326</v>
      </c>
      <c r="I474" s="8">
        <f>(C26)</f>
        <v>16.96</v>
      </c>
      <c r="J474" s="1" t="s">
        <v>884</v>
      </c>
      <c r="K474" s="40">
        <f>(F474*I474)</f>
        <v>16.96</v>
      </c>
      <c r="M474" s="8">
        <v>8</v>
      </c>
      <c r="N474" s="1" t="s">
        <v>781</v>
      </c>
      <c r="O474" s="1" t="s">
        <v>2218</v>
      </c>
      <c r="P474" s="8">
        <f>(C45)</f>
        <v>4.4000000000000004</v>
      </c>
      <c r="Q474" s="1" t="s">
        <v>781</v>
      </c>
      <c r="R474" s="8">
        <f>(M474*P474)</f>
        <v>35.200000000000003</v>
      </c>
      <c r="AC474" s="57" t="str">
        <f t="shared" si="37"/>
        <v>|</v>
      </c>
      <c r="AE474" s="1" t="s">
        <v>2346</v>
      </c>
    </row>
    <row r="475" spans="1:31" ht="24" customHeight="1">
      <c r="A475" s="285">
        <f t="shared" si="35"/>
        <v>309</v>
      </c>
      <c r="B475" s="286" t="s">
        <v>1162</v>
      </c>
      <c r="C475" s="207">
        <v>848</v>
      </c>
      <c r="D475" s="286" t="s">
        <v>883</v>
      </c>
      <c r="K475" s="5" t="s">
        <v>2130</v>
      </c>
      <c r="M475" s="8">
        <v>8</v>
      </c>
      <c r="N475" s="1" t="s">
        <v>781</v>
      </c>
      <c r="O475" s="1" t="s">
        <v>467</v>
      </c>
      <c r="P475" s="8">
        <f>(C52)</f>
        <v>10.55</v>
      </c>
      <c r="Q475" s="1" t="s">
        <v>781</v>
      </c>
      <c r="R475" s="8">
        <f>(M475*P475)</f>
        <v>84.4</v>
      </c>
      <c r="AC475" s="57" t="str">
        <f t="shared" si="37"/>
        <v>|</v>
      </c>
      <c r="AE475" s="1" t="s">
        <v>2346</v>
      </c>
    </row>
    <row r="476" spans="1:31" ht="24" customHeight="1">
      <c r="A476" s="285">
        <f t="shared" si="35"/>
        <v>310</v>
      </c>
      <c r="B476" s="286" t="s">
        <v>1164</v>
      </c>
      <c r="C476" s="207">
        <v>1091</v>
      </c>
      <c r="D476" s="286" t="s">
        <v>883</v>
      </c>
      <c r="F476" s="26">
        <v>7.3</v>
      </c>
      <c r="G476" s="7" t="s">
        <v>2338</v>
      </c>
      <c r="H476" s="1" t="s">
        <v>2327</v>
      </c>
      <c r="M476" s="8">
        <v>1</v>
      </c>
      <c r="N476" s="1" t="s">
        <v>448</v>
      </c>
      <c r="O476" s="1" t="s">
        <v>1770</v>
      </c>
      <c r="P476" s="8">
        <f>(C56)</f>
        <v>12.1</v>
      </c>
      <c r="Q476" s="1" t="s">
        <v>448</v>
      </c>
      <c r="R476" s="8">
        <f>(M476*P476)</f>
        <v>12.1</v>
      </c>
      <c r="AC476" s="57" t="str">
        <f t="shared" si="37"/>
        <v>|</v>
      </c>
      <c r="AE476" s="1" t="s">
        <v>2346</v>
      </c>
    </row>
    <row r="477" spans="1:31" ht="24" customHeight="1">
      <c r="A477" s="285">
        <f t="shared" si="35"/>
        <v>311</v>
      </c>
      <c r="B477" s="286" t="s">
        <v>237</v>
      </c>
      <c r="C477" s="207">
        <v>1386</v>
      </c>
      <c r="D477" s="286" t="s">
        <v>883</v>
      </c>
      <c r="F477" s="1" t="s">
        <v>995</v>
      </c>
      <c r="H477" s="1" t="s">
        <v>982</v>
      </c>
      <c r="M477" s="8">
        <v>1</v>
      </c>
      <c r="N477" s="1" t="s">
        <v>448</v>
      </c>
      <c r="O477" s="1" t="s">
        <v>449</v>
      </c>
      <c r="Q477" s="1" t="s">
        <v>448</v>
      </c>
      <c r="R477" s="8">
        <v>0</v>
      </c>
      <c r="AC477" s="57" t="str">
        <f t="shared" si="37"/>
        <v>|</v>
      </c>
      <c r="AE477" s="1" t="s">
        <v>2346</v>
      </c>
    </row>
    <row r="478" spans="1:31" ht="24" customHeight="1">
      <c r="A478" s="285">
        <f t="shared" si="35"/>
        <v>312</v>
      </c>
      <c r="B478" s="286" t="s">
        <v>1165</v>
      </c>
      <c r="C478" s="208">
        <v>1697</v>
      </c>
      <c r="D478" s="286" t="s">
        <v>883</v>
      </c>
      <c r="F478" s="1" t="s">
        <v>995</v>
      </c>
      <c r="H478" s="5" t="s">
        <v>2396</v>
      </c>
      <c r="R478" s="5" t="s">
        <v>1667</v>
      </c>
      <c r="AC478" s="57" t="str">
        <f t="shared" si="37"/>
        <v>|</v>
      </c>
      <c r="AE478" s="1" t="s">
        <v>2346</v>
      </c>
    </row>
    <row r="479" spans="1:31" ht="24" customHeight="1">
      <c r="A479" s="285">
        <f t="shared" si="35"/>
        <v>313</v>
      </c>
      <c r="B479" s="286" t="s">
        <v>1095</v>
      </c>
      <c r="C479" s="288"/>
      <c r="D479" s="286"/>
      <c r="F479" s="8">
        <v>0.13</v>
      </c>
      <c r="G479" s="7" t="s">
        <v>884</v>
      </c>
      <c r="H479" s="1" t="s">
        <v>1364</v>
      </c>
      <c r="I479" s="8">
        <f>(K40)</f>
        <v>2807.01</v>
      </c>
      <c r="J479" s="1" t="s">
        <v>884</v>
      </c>
      <c r="K479" s="8">
        <f t="shared" ref="K479:K484" si="38">(F479*I479)</f>
        <v>364.91</v>
      </c>
      <c r="O479" s="1" t="s">
        <v>1621</v>
      </c>
      <c r="R479" s="8">
        <f>SUM(R467:R477)</f>
        <v>1201.54</v>
      </c>
      <c r="AC479" s="57" t="str">
        <f t="shared" si="37"/>
        <v>|</v>
      </c>
      <c r="AE479" s="1" t="s">
        <v>2346</v>
      </c>
    </row>
    <row r="480" spans="1:31" ht="24" customHeight="1">
      <c r="A480" s="285">
        <f t="shared" si="35"/>
        <v>314</v>
      </c>
      <c r="B480" s="286" t="s">
        <v>1159</v>
      </c>
      <c r="C480" s="207">
        <v>193</v>
      </c>
      <c r="D480" s="286" t="s">
        <v>883</v>
      </c>
      <c r="F480" s="8">
        <v>0.7</v>
      </c>
      <c r="G480" s="7" t="s">
        <v>781</v>
      </c>
      <c r="H480" s="1" t="s">
        <v>2082</v>
      </c>
      <c r="I480" s="8">
        <f>(C10)</f>
        <v>430.5</v>
      </c>
      <c r="J480" s="1" t="s">
        <v>781</v>
      </c>
      <c r="K480" s="8">
        <f t="shared" si="38"/>
        <v>301.35000000000002</v>
      </c>
      <c r="R480" s="5" t="s">
        <v>1667</v>
      </c>
      <c r="AC480" s="57" t="str">
        <f t="shared" si="37"/>
        <v>|</v>
      </c>
      <c r="AE480" s="1" t="s">
        <v>2346</v>
      </c>
    </row>
    <row r="481" spans="1:31" ht="24" customHeight="1">
      <c r="A481" s="285">
        <f t="shared" si="35"/>
        <v>315</v>
      </c>
      <c r="B481" s="286" t="s">
        <v>1160</v>
      </c>
      <c r="C481" s="207">
        <v>271</v>
      </c>
      <c r="D481" s="286" t="s">
        <v>883</v>
      </c>
      <c r="F481" s="8">
        <v>0.7</v>
      </c>
      <c r="G481" s="7" t="s">
        <v>781</v>
      </c>
      <c r="H481" s="1" t="s">
        <v>1791</v>
      </c>
      <c r="I481" s="8">
        <f>(C11)</f>
        <v>386.4</v>
      </c>
      <c r="J481" s="1" t="s">
        <v>781</v>
      </c>
      <c r="K481" s="8">
        <f t="shared" si="38"/>
        <v>270.48</v>
      </c>
      <c r="O481" s="1" t="s">
        <v>1622</v>
      </c>
      <c r="R481" s="8">
        <f>(R479/30)</f>
        <v>40.049999999999997</v>
      </c>
      <c r="AC481" s="57" t="str">
        <f t="shared" si="37"/>
        <v>|</v>
      </c>
      <c r="AE481" s="1" t="s">
        <v>2346</v>
      </c>
    </row>
    <row r="482" spans="1:31" ht="24" customHeight="1">
      <c r="A482" s="285">
        <f t="shared" si="35"/>
        <v>316</v>
      </c>
      <c r="B482" s="286" t="s">
        <v>1161</v>
      </c>
      <c r="C482" s="207">
        <v>393</v>
      </c>
      <c r="D482" s="286" t="s">
        <v>883</v>
      </c>
      <c r="F482" s="8">
        <v>1.5</v>
      </c>
      <c r="G482" s="7" t="s">
        <v>781</v>
      </c>
      <c r="H482" s="1" t="s">
        <v>1979</v>
      </c>
      <c r="I482" s="8">
        <f>(C12)</f>
        <v>269.85000000000002</v>
      </c>
      <c r="J482" s="1" t="s">
        <v>781</v>
      </c>
      <c r="K482" s="8">
        <f t="shared" si="38"/>
        <v>404.78</v>
      </c>
      <c r="R482" s="5" t="s">
        <v>1667</v>
      </c>
      <c r="AC482" s="57" t="str">
        <f t="shared" si="37"/>
        <v>|</v>
      </c>
      <c r="AE482" s="1" t="s">
        <v>2346</v>
      </c>
    </row>
    <row r="483" spans="1:31" ht="24" customHeight="1">
      <c r="A483" s="285">
        <f t="shared" si="35"/>
        <v>317</v>
      </c>
      <c r="B483" s="286" t="s">
        <v>1162</v>
      </c>
      <c r="C483" s="207">
        <v>574</v>
      </c>
      <c r="D483" s="286" t="s">
        <v>883</v>
      </c>
      <c r="F483" s="8">
        <v>0.5</v>
      </c>
      <c r="G483" s="7" t="s">
        <v>781</v>
      </c>
      <c r="H483" s="1" t="s">
        <v>324</v>
      </c>
      <c r="I483" s="8">
        <f>(C13)</f>
        <v>243.6</v>
      </c>
      <c r="J483" s="1" t="s">
        <v>781</v>
      </c>
      <c r="K483" s="8">
        <f t="shared" si="38"/>
        <v>121.8</v>
      </c>
      <c r="M483" s="1" t="s">
        <v>995</v>
      </c>
      <c r="AC483" s="57" t="str">
        <f t="shared" si="37"/>
        <v>|</v>
      </c>
      <c r="AE483" s="1" t="s">
        <v>2346</v>
      </c>
    </row>
    <row r="484" spans="1:31" ht="24" customHeight="1">
      <c r="A484" s="285">
        <f t="shared" si="35"/>
        <v>318</v>
      </c>
      <c r="B484" s="286" t="s">
        <v>1164</v>
      </c>
      <c r="C484" s="207">
        <v>727</v>
      </c>
      <c r="D484" s="286" t="s">
        <v>883</v>
      </c>
      <c r="F484" s="8">
        <v>0.94</v>
      </c>
      <c r="G484" s="7" t="s">
        <v>1730</v>
      </c>
      <c r="H484" s="1" t="s">
        <v>927</v>
      </c>
      <c r="I484" s="8">
        <f>C630</f>
        <v>42.35</v>
      </c>
      <c r="J484" s="1" t="s">
        <v>1730</v>
      </c>
      <c r="K484" s="8">
        <f t="shared" si="38"/>
        <v>39.81</v>
      </c>
      <c r="N484" s="1" t="s">
        <v>2338</v>
      </c>
      <c r="O484" s="1" t="s">
        <v>2124</v>
      </c>
      <c r="AC484" s="57" t="str">
        <f t="shared" si="37"/>
        <v>|</v>
      </c>
      <c r="AE484" s="1" t="s">
        <v>2346</v>
      </c>
    </row>
    <row r="485" spans="1:31" ht="24" customHeight="1">
      <c r="A485" s="285">
        <f t="shared" si="35"/>
        <v>319</v>
      </c>
      <c r="B485" s="286" t="s">
        <v>237</v>
      </c>
      <c r="C485" s="287">
        <v>584</v>
      </c>
      <c r="D485" s="286" t="s">
        <v>883</v>
      </c>
      <c r="H485" s="1" t="s">
        <v>449</v>
      </c>
      <c r="I485" s="1" t="s">
        <v>995</v>
      </c>
      <c r="J485" s="1" t="s">
        <v>448</v>
      </c>
      <c r="K485" s="8">
        <v>0</v>
      </c>
      <c r="O485" s="1" t="s">
        <v>2125</v>
      </c>
      <c r="AC485" s="57" t="str">
        <f t="shared" si="37"/>
        <v>|</v>
      </c>
      <c r="AE485" s="1" t="s">
        <v>2346</v>
      </c>
    </row>
    <row r="486" spans="1:31" ht="24" customHeight="1">
      <c r="A486" s="285">
        <f t="shared" si="35"/>
        <v>320</v>
      </c>
      <c r="B486" s="286" t="s">
        <v>1165</v>
      </c>
      <c r="C486" s="288"/>
      <c r="D486" s="286" t="s">
        <v>883</v>
      </c>
      <c r="K486" s="5" t="s">
        <v>1667</v>
      </c>
      <c r="O486" s="1" t="s">
        <v>967</v>
      </c>
      <c r="AC486" s="57" t="str">
        <f t="shared" si="37"/>
        <v>|</v>
      </c>
      <c r="AE486" s="1" t="s">
        <v>2346</v>
      </c>
    </row>
    <row r="487" spans="1:31" ht="24" customHeight="1">
      <c r="A487" s="285">
        <f>(A486+1)</f>
        <v>321</v>
      </c>
      <c r="B487" s="286" t="s">
        <v>968</v>
      </c>
      <c r="C487" s="288"/>
      <c r="D487" s="286" t="s">
        <v>883</v>
      </c>
      <c r="H487" s="1" t="s">
        <v>440</v>
      </c>
      <c r="K487" s="8">
        <f>SUM(K478:K485)</f>
        <v>1503.13</v>
      </c>
      <c r="O487" s="5" t="s">
        <v>1667</v>
      </c>
      <c r="AC487" s="57" t="str">
        <f t="shared" si="37"/>
        <v>|</v>
      </c>
      <c r="AE487" s="1" t="s">
        <v>2346</v>
      </c>
    </row>
    <row r="488" spans="1:31" ht="24" customHeight="1">
      <c r="A488" s="285">
        <f>(A487+1)</f>
        <v>322</v>
      </c>
      <c r="B488" s="286" t="s">
        <v>971</v>
      </c>
      <c r="C488" s="207">
        <v>21.3</v>
      </c>
      <c r="D488" s="286" t="s">
        <v>883</v>
      </c>
      <c r="K488" s="5" t="s">
        <v>1667</v>
      </c>
      <c r="N488" s="1" t="s">
        <v>160</v>
      </c>
      <c r="O488" s="2" t="s">
        <v>972</v>
      </c>
      <c r="AC488" s="57" t="str">
        <f t="shared" si="37"/>
        <v>|</v>
      </c>
      <c r="AE488" s="1" t="s">
        <v>2346</v>
      </c>
    </row>
    <row r="489" spans="1:31" ht="24" customHeight="1">
      <c r="A489" s="285">
        <f>(A488+1)</f>
        <v>323</v>
      </c>
      <c r="B489" s="286" t="s">
        <v>756</v>
      </c>
      <c r="C489" s="287">
        <v>11.5</v>
      </c>
      <c r="D489" s="286" t="s">
        <v>883</v>
      </c>
      <c r="H489" s="64" t="s">
        <v>555</v>
      </c>
      <c r="K489" s="40">
        <f>(K487/10)</f>
        <v>150.31</v>
      </c>
      <c r="O489" s="5" t="s">
        <v>1667</v>
      </c>
      <c r="AC489" s="57">
        <f t="shared" si="37"/>
        <v>0</v>
      </c>
      <c r="AE489" s="1" t="s">
        <v>2346</v>
      </c>
    </row>
    <row r="490" spans="1:31" ht="24" customHeight="1">
      <c r="A490" s="288"/>
      <c r="B490" s="288"/>
      <c r="C490" s="288"/>
      <c r="D490" s="288"/>
      <c r="F490" s="1" t="s">
        <v>995</v>
      </c>
      <c r="AC490" s="57" t="str">
        <f t="shared" si="37"/>
        <v>|</v>
      </c>
    </row>
    <row r="491" spans="1:31" ht="24" customHeight="1">
      <c r="A491" s="285">
        <f>(A489+1)</f>
        <v>324</v>
      </c>
      <c r="B491" s="286" t="s">
        <v>1749</v>
      </c>
      <c r="C491" s="207">
        <v>30</v>
      </c>
      <c r="D491" s="286" t="s">
        <v>883</v>
      </c>
      <c r="K491" s="5" t="s">
        <v>2130</v>
      </c>
      <c r="M491" s="8">
        <v>30</v>
      </c>
      <c r="N491" s="1" t="s">
        <v>1854</v>
      </c>
      <c r="O491" s="1" t="s">
        <v>1750</v>
      </c>
      <c r="P491" s="8">
        <f>(C42)</f>
        <v>5</v>
      </c>
      <c r="Q491" s="1" t="s">
        <v>1854</v>
      </c>
      <c r="R491" s="8">
        <f>(M491*P491)</f>
        <v>150</v>
      </c>
      <c r="AC491" s="57" t="str">
        <f t="shared" si="37"/>
        <v>|</v>
      </c>
      <c r="AE491" s="1" t="s">
        <v>2346</v>
      </c>
    </row>
    <row r="492" spans="1:31" ht="24" customHeight="1">
      <c r="A492" s="285">
        <f t="shared" ref="A492:A546" si="39">(A491+1)</f>
        <v>325</v>
      </c>
      <c r="B492" s="286" t="s">
        <v>1751</v>
      </c>
      <c r="C492" s="287">
        <v>56.74</v>
      </c>
      <c r="D492" s="286" t="s">
        <v>883</v>
      </c>
      <c r="F492" s="2"/>
      <c r="G492" s="7" t="s">
        <v>2338</v>
      </c>
      <c r="H492" s="1" t="s">
        <v>1752</v>
      </c>
      <c r="M492" s="1" t="s">
        <v>995</v>
      </c>
      <c r="O492" s="1" t="s">
        <v>1753</v>
      </c>
      <c r="P492" s="1" t="s">
        <v>995</v>
      </c>
      <c r="R492" s="1" t="s">
        <v>995</v>
      </c>
      <c r="AC492" s="57" t="str">
        <f t="shared" si="37"/>
        <v>|</v>
      </c>
      <c r="AE492" s="1" t="s">
        <v>2346</v>
      </c>
    </row>
    <row r="493" spans="1:31" ht="24" customHeight="1">
      <c r="A493" s="285">
        <f t="shared" si="39"/>
        <v>326</v>
      </c>
      <c r="B493" s="286" t="s">
        <v>1754</v>
      </c>
      <c r="C493" s="287">
        <v>56.74</v>
      </c>
      <c r="D493" s="286" t="s">
        <v>883</v>
      </c>
      <c r="H493" s="1" t="s">
        <v>2356</v>
      </c>
      <c r="M493" s="8">
        <v>8</v>
      </c>
      <c r="N493" s="1" t="s">
        <v>883</v>
      </c>
      <c r="O493" s="1" t="s">
        <v>2218</v>
      </c>
      <c r="P493" s="8">
        <f>(C43)</f>
        <v>3.6</v>
      </c>
      <c r="Q493" s="1" t="s">
        <v>883</v>
      </c>
      <c r="R493" s="8">
        <f t="shared" ref="R493:R498" si="40">(M493*P493)</f>
        <v>28.8</v>
      </c>
      <c r="AC493" s="57" t="str">
        <f t="shared" si="37"/>
        <v>|</v>
      </c>
      <c r="AE493" s="1" t="s">
        <v>2346</v>
      </c>
    </row>
    <row r="494" spans="1:31" ht="24" customHeight="1">
      <c r="A494" s="285">
        <f t="shared" si="39"/>
        <v>327</v>
      </c>
      <c r="B494" s="286" t="s">
        <v>1755</v>
      </c>
      <c r="C494" s="288"/>
      <c r="D494" s="286" t="s">
        <v>995</v>
      </c>
      <c r="H494" s="5" t="s">
        <v>1667</v>
      </c>
      <c r="M494" s="8">
        <v>8</v>
      </c>
      <c r="N494" s="1" t="s">
        <v>883</v>
      </c>
      <c r="O494" s="1" t="s">
        <v>467</v>
      </c>
      <c r="P494" s="8">
        <f>(C50)</f>
        <v>5.05</v>
      </c>
      <c r="Q494" s="1" t="s">
        <v>883</v>
      </c>
      <c r="R494" s="8">
        <f t="shared" si="40"/>
        <v>40.4</v>
      </c>
      <c r="AC494" s="57" t="str">
        <f t="shared" si="37"/>
        <v>|</v>
      </c>
      <c r="AE494" s="1" t="s">
        <v>2346</v>
      </c>
    </row>
    <row r="495" spans="1:31" ht="24" customHeight="1">
      <c r="A495" s="285">
        <f t="shared" si="39"/>
        <v>328</v>
      </c>
      <c r="B495" s="286" t="s">
        <v>971</v>
      </c>
      <c r="C495" s="207">
        <v>72.75</v>
      </c>
      <c r="D495" s="286" t="s">
        <v>883</v>
      </c>
      <c r="F495" s="8">
        <v>9</v>
      </c>
      <c r="G495" s="7" t="s">
        <v>884</v>
      </c>
      <c r="H495" s="1" t="s">
        <v>1756</v>
      </c>
      <c r="I495" s="8">
        <f>(C70)</f>
        <v>726.28</v>
      </c>
      <c r="J495" s="1" t="s">
        <v>884</v>
      </c>
      <c r="K495" s="8">
        <f t="shared" ref="K495:K500" si="41">(F495*I495)</f>
        <v>6536.52</v>
      </c>
      <c r="M495" s="8">
        <v>3</v>
      </c>
      <c r="N495" s="1" t="s">
        <v>883</v>
      </c>
      <c r="O495" s="1" t="s">
        <v>1922</v>
      </c>
      <c r="P495" s="8">
        <f>(C41)</f>
        <v>305.55</v>
      </c>
      <c r="Q495" s="1" t="s">
        <v>883</v>
      </c>
      <c r="R495" s="8">
        <f t="shared" si="40"/>
        <v>916.65</v>
      </c>
      <c r="AC495" s="57" t="str">
        <f t="shared" si="37"/>
        <v>|</v>
      </c>
      <c r="AE495" s="1" t="s">
        <v>2346</v>
      </c>
    </row>
    <row r="496" spans="1:31" ht="24" customHeight="1">
      <c r="A496" s="285">
        <f t="shared" si="39"/>
        <v>329</v>
      </c>
      <c r="B496" s="286" t="s">
        <v>756</v>
      </c>
      <c r="C496" s="287">
        <v>15.6</v>
      </c>
      <c r="D496" s="286" t="s">
        <v>883</v>
      </c>
      <c r="F496" s="14">
        <v>3.2309999999999999</v>
      </c>
      <c r="G496" s="7" t="s">
        <v>876</v>
      </c>
      <c r="H496" s="1" t="s">
        <v>877</v>
      </c>
      <c r="I496" s="8">
        <f>(C67)</f>
        <v>5600</v>
      </c>
      <c r="J496" s="1" t="s">
        <v>876</v>
      </c>
      <c r="K496" s="8">
        <f t="shared" si="41"/>
        <v>18093.599999999999</v>
      </c>
      <c r="M496" s="8">
        <v>1</v>
      </c>
      <c r="N496" s="1" t="s">
        <v>883</v>
      </c>
      <c r="O496" s="1" t="s">
        <v>1923</v>
      </c>
      <c r="P496" s="8">
        <f>(C10)</f>
        <v>430.5</v>
      </c>
      <c r="Q496" s="1" t="s">
        <v>883</v>
      </c>
      <c r="R496" s="8">
        <f t="shared" si="40"/>
        <v>430.5</v>
      </c>
      <c r="AC496" s="57" t="str">
        <f t="shared" si="37"/>
        <v>|</v>
      </c>
      <c r="AE496" s="1" t="s">
        <v>2346</v>
      </c>
    </row>
    <row r="497" spans="1:31" ht="24" customHeight="1">
      <c r="A497" s="285">
        <f t="shared" si="39"/>
        <v>330</v>
      </c>
      <c r="B497" s="286" t="s">
        <v>1749</v>
      </c>
      <c r="C497" s="207">
        <v>78.5</v>
      </c>
      <c r="D497" s="286" t="s">
        <v>883</v>
      </c>
      <c r="F497" s="8">
        <v>4.5</v>
      </c>
      <c r="G497" s="7" t="s">
        <v>884</v>
      </c>
      <c r="H497" s="1" t="s">
        <v>885</v>
      </c>
      <c r="I497" s="8">
        <f>(C78)</f>
        <v>740.98</v>
      </c>
      <c r="J497" s="1" t="s">
        <v>884</v>
      </c>
      <c r="K497" s="8">
        <f t="shared" si="41"/>
        <v>3334.41</v>
      </c>
      <c r="M497" s="8">
        <v>2</v>
      </c>
      <c r="N497" s="1" t="s">
        <v>883</v>
      </c>
      <c r="O497" s="1" t="s">
        <v>1979</v>
      </c>
      <c r="P497" s="8">
        <f>(C12)</f>
        <v>269.85000000000002</v>
      </c>
      <c r="Q497" s="1" t="s">
        <v>883</v>
      </c>
      <c r="R497" s="8">
        <f t="shared" si="40"/>
        <v>539.70000000000005</v>
      </c>
      <c r="AC497" s="57" t="str">
        <f t="shared" si="37"/>
        <v>|::</v>
      </c>
      <c r="AE497" s="1" t="s">
        <v>2346</v>
      </c>
    </row>
    <row r="498" spans="1:31" ht="24" customHeight="1">
      <c r="A498" s="285">
        <f t="shared" si="39"/>
        <v>331</v>
      </c>
      <c r="B498" s="286" t="s">
        <v>1751</v>
      </c>
      <c r="C498" s="287">
        <v>100.3</v>
      </c>
      <c r="D498" s="286" t="s">
        <v>883</v>
      </c>
      <c r="F498" s="8">
        <v>3.5</v>
      </c>
      <c r="G498" s="7" t="s">
        <v>883</v>
      </c>
      <c r="H498" s="1" t="s">
        <v>1791</v>
      </c>
      <c r="I498" s="8">
        <f>(C11)</f>
        <v>386.4</v>
      </c>
      <c r="J498" s="1" t="s">
        <v>883</v>
      </c>
      <c r="K498" s="8">
        <f t="shared" si="41"/>
        <v>1352.4</v>
      </c>
      <c r="M498" s="8">
        <v>1</v>
      </c>
      <c r="N498" s="1" t="s">
        <v>883</v>
      </c>
      <c r="O498" s="1" t="s">
        <v>324</v>
      </c>
      <c r="P498" s="8">
        <f>(C13)</f>
        <v>243.6</v>
      </c>
      <c r="Q498" s="1" t="s">
        <v>883</v>
      </c>
      <c r="R498" s="8">
        <f t="shared" si="40"/>
        <v>243.6</v>
      </c>
      <c r="AC498" s="57">
        <f t="shared" si="37"/>
        <v>0</v>
      </c>
      <c r="AE498" s="1" t="s">
        <v>325</v>
      </c>
    </row>
    <row r="499" spans="1:31" ht="24" customHeight="1">
      <c r="A499" s="285">
        <f t="shared" si="39"/>
        <v>332</v>
      </c>
      <c r="B499" s="286" t="s">
        <v>1754</v>
      </c>
      <c r="C499" s="287">
        <v>100.3</v>
      </c>
      <c r="D499" s="286" t="s">
        <v>883</v>
      </c>
      <c r="F499" s="8">
        <v>21.2</v>
      </c>
      <c r="G499" s="7" t="s">
        <v>883</v>
      </c>
      <c r="H499" s="1" t="s">
        <v>1979</v>
      </c>
      <c r="I499" s="8">
        <f>(C12)</f>
        <v>269.85000000000002</v>
      </c>
      <c r="J499" s="1" t="s">
        <v>883</v>
      </c>
      <c r="K499" s="8">
        <f t="shared" si="41"/>
        <v>5720.82</v>
      </c>
      <c r="N499" s="1" t="s">
        <v>448</v>
      </c>
      <c r="O499" s="1" t="s">
        <v>1924</v>
      </c>
      <c r="P499" s="1" t="s">
        <v>995</v>
      </c>
      <c r="Q499" s="1" t="s">
        <v>448</v>
      </c>
      <c r="R499" s="8">
        <f>(C56)</f>
        <v>12.1</v>
      </c>
      <c r="AC499" s="57">
        <f t="shared" si="37"/>
        <v>0</v>
      </c>
    </row>
    <row r="500" spans="1:31" ht="24" customHeight="1">
      <c r="A500" s="285">
        <f t="shared" si="39"/>
        <v>333</v>
      </c>
      <c r="B500" s="286" t="s">
        <v>1925</v>
      </c>
      <c r="C500" s="288"/>
      <c r="D500" s="286" t="s">
        <v>995</v>
      </c>
      <c r="F500" s="8">
        <v>35.299999999999997</v>
      </c>
      <c r="G500" s="7" t="s">
        <v>883</v>
      </c>
      <c r="H500" s="1" t="s">
        <v>324</v>
      </c>
      <c r="I500" s="8">
        <f>(C13)</f>
        <v>243.6</v>
      </c>
      <c r="J500" s="1" t="s">
        <v>883</v>
      </c>
      <c r="K500" s="8">
        <f t="shared" si="41"/>
        <v>8599.08</v>
      </c>
      <c r="O500" s="1" t="s">
        <v>1926</v>
      </c>
      <c r="P500" s="1" t="s">
        <v>995</v>
      </c>
      <c r="R500" s="1" t="s">
        <v>995</v>
      </c>
      <c r="AC500" s="57" t="str">
        <f t="shared" si="37"/>
        <v>|</v>
      </c>
    </row>
    <row r="501" spans="1:31" ht="24" customHeight="1">
      <c r="A501" s="285">
        <f t="shared" si="39"/>
        <v>334</v>
      </c>
      <c r="B501" s="286" t="s">
        <v>971</v>
      </c>
      <c r="C501" s="207">
        <v>42.1</v>
      </c>
      <c r="D501" s="286" t="s">
        <v>883</v>
      </c>
      <c r="G501" s="7" t="s">
        <v>448</v>
      </c>
      <c r="H501" s="1" t="s">
        <v>449</v>
      </c>
      <c r="I501" s="1" t="s">
        <v>995</v>
      </c>
      <c r="J501" s="1" t="s">
        <v>448</v>
      </c>
      <c r="K501" s="8">
        <v>0</v>
      </c>
      <c r="N501" s="1" t="s">
        <v>448</v>
      </c>
      <c r="O501" s="1" t="s">
        <v>449</v>
      </c>
      <c r="Q501" s="1" t="s">
        <v>448</v>
      </c>
      <c r="R501" s="8">
        <v>0</v>
      </c>
      <c r="AC501" s="57" t="str">
        <f t="shared" si="37"/>
        <v>|</v>
      </c>
      <c r="AE501" s="1" t="s">
        <v>2346</v>
      </c>
    </row>
    <row r="502" spans="1:31" ht="24" customHeight="1">
      <c r="A502" s="285">
        <f t="shared" si="39"/>
        <v>335</v>
      </c>
      <c r="B502" s="286" t="s">
        <v>756</v>
      </c>
      <c r="C502" s="619">
        <v>47</v>
      </c>
      <c r="D502" s="286" t="s">
        <v>883</v>
      </c>
      <c r="K502" s="5" t="s">
        <v>1667</v>
      </c>
      <c r="R502" s="5" t="s">
        <v>1667</v>
      </c>
      <c r="AC502" s="57" t="str">
        <f t="shared" si="37"/>
        <v>|</v>
      </c>
      <c r="AE502" s="1" t="s">
        <v>2346</v>
      </c>
    </row>
    <row r="503" spans="1:31" ht="24" customHeight="1">
      <c r="A503" s="285">
        <f t="shared" si="39"/>
        <v>336</v>
      </c>
      <c r="B503" s="286" t="s">
        <v>1749</v>
      </c>
      <c r="C503" s="207">
        <v>54.25</v>
      </c>
      <c r="D503" s="286" t="s">
        <v>883</v>
      </c>
      <c r="H503" s="1" t="s">
        <v>2246</v>
      </c>
      <c r="K503" s="8">
        <f>SUM(K495:K501)</f>
        <v>43636.83</v>
      </c>
      <c r="O503" s="1" t="s">
        <v>1927</v>
      </c>
      <c r="R503" s="8">
        <f>SUM(R491:R501)</f>
        <v>2361.75</v>
      </c>
      <c r="AC503" s="57" t="str">
        <f t="shared" si="37"/>
        <v>|</v>
      </c>
      <c r="AE503" s="1" t="s">
        <v>2346</v>
      </c>
    </row>
    <row r="504" spans="1:31" ht="24" customHeight="1">
      <c r="A504" s="285">
        <f t="shared" si="39"/>
        <v>337</v>
      </c>
      <c r="B504" s="286" t="s">
        <v>1928</v>
      </c>
      <c r="C504" s="287">
        <v>36.61</v>
      </c>
      <c r="D504" s="286" t="s">
        <v>883</v>
      </c>
      <c r="K504" s="5" t="s">
        <v>1667</v>
      </c>
      <c r="R504" s="5" t="s">
        <v>1667</v>
      </c>
      <c r="AC504" s="57" t="str">
        <f t="shared" si="37"/>
        <v>|</v>
      </c>
      <c r="AE504" s="1" t="s">
        <v>2346</v>
      </c>
    </row>
    <row r="505" spans="1:31" ht="24" customHeight="1">
      <c r="A505" s="285">
        <f t="shared" si="39"/>
        <v>338</v>
      </c>
      <c r="B505" s="286" t="s">
        <v>1751</v>
      </c>
      <c r="C505" s="287">
        <v>78.709999999999994</v>
      </c>
      <c r="D505" s="286" t="s">
        <v>883</v>
      </c>
      <c r="H505" s="1" t="s">
        <v>785</v>
      </c>
      <c r="K505" s="8">
        <f>(K503/10)+0.01</f>
        <v>4363.6899999999996</v>
      </c>
      <c r="O505" s="1" t="s">
        <v>1622</v>
      </c>
      <c r="R505" s="8">
        <f>(R503/30)</f>
        <v>78.73</v>
      </c>
      <c r="AC505" s="57" t="str">
        <f t="shared" si="37"/>
        <v>|</v>
      </c>
      <c r="AE505" s="1" t="s">
        <v>2346</v>
      </c>
    </row>
    <row r="506" spans="1:31" ht="24" customHeight="1">
      <c r="A506" s="285">
        <f t="shared" si="39"/>
        <v>339</v>
      </c>
      <c r="B506" s="286" t="s">
        <v>1754</v>
      </c>
      <c r="C506" s="287">
        <v>78.709999999999994</v>
      </c>
      <c r="D506" s="286" t="s">
        <v>883</v>
      </c>
      <c r="R506" s="5" t="s">
        <v>1667</v>
      </c>
      <c r="AC506" s="57" t="str">
        <f t="shared" si="37"/>
        <v>|</v>
      </c>
      <c r="AE506" s="1" t="s">
        <v>2346</v>
      </c>
    </row>
    <row r="507" spans="1:31" ht="24" customHeight="1">
      <c r="A507" s="285">
        <f t="shared" si="39"/>
        <v>340</v>
      </c>
      <c r="B507" s="286" t="s">
        <v>1929</v>
      </c>
      <c r="C507" s="288"/>
      <c r="D507" s="286" t="s">
        <v>221</v>
      </c>
      <c r="F507" s="8">
        <v>1</v>
      </c>
      <c r="G507" s="7" t="s">
        <v>884</v>
      </c>
      <c r="H507" s="1" t="s">
        <v>50</v>
      </c>
      <c r="K507" s="8">
        <f>C25</f>
        <v>40.69</v>
      </c>
      <c r="N507" s="1" t="s">
        <v>1635</v>
      </c>
      <c r="O507" s="2" t="s">
        <v>222</v>
      </c>
      <c r="AC507" s="57" t="str">
        <f t="shared" si="37"/>
        <v>|</v>
      </c>
      <c r="AE507" s="1" t="s">
        <v>2346</v>
      </c>
    </row>
    <row r="508" spans="1:31" ht="24" customHeight="1">
      <c r="A508" s="285">
        <f t="shared" si="39"/>
        <v>341</v>
      </c>
      <c r="B508" s="286" t="s">
        <v>1108</v>
      </c>
      <c r="C508" s="287">
        <v>20.55</v>
      </c>
      <c r="D508" s="286" t="s">
        <v>1854</v>
      </c>
      <c r="K508" s="5" t="s">
        <v>1667</v>
      </c>
      <c r="O508" s="5" t="s">
        <v>1667</v>
      </c>
      <c r="AC508" s="57" t="str">
        <f t="shared" si="37"/>
        <v>|</v>
      </c>
      <c r="AE508" s="1" t="s">
        <v>2346</v>
      </c>
    </row>
    <row r="509" spans="1:31" ht="24" customHeight="1">
      <c r="A509" s="285">
        <f t="shared" si="39"/>
        <v>342</v>
      </c>
      <c r="B509" s="286" t="s">
        <v>3081</v>
      </c>
      <c r="C509" s="287">
        <v>42.54</v>
      </c>
      <c r="D509" s="286" t="s">
        <v>1854</v>
      </c>
      <c r="E509" s="208">
        <v>102.8</v>
      </c>
      <c r="H509" s="1" t="s">
        <v>1299</v>
      </c>
      <c r="K509" s="8">
        <f>SUM(K505:K507)</f>
        <v>4404.38</v>
      </c>
      <c r="M509" s="8">
        <v>30</v>
      </c>
      <c r="N509" s="1" t="s">
        <v>1854</v>
      </c>
      <c r="O509" s="1" t="s">
        <v>1750</v>
      </c>
      <c r="P509" s="8">
        <f>(C42)</f>
        <v>5</v>
      </c>
      <c r="Q509" s="1" t="s">
        <v>1854</v>
      </c>
      <c r="R509" s="8">
        <f>(M509*P509)</f>
        <v>150</v>
      </c>
      <c r="AC509" s="57" t="str">
        <f t="shared" si="37"/>
        <v>|</v>
      </c>
      <c r="AE509" s="1" t="s">
        <v>2346</v>
      </c>
    </row>
    <row r="510" spans="1:31" ht="24" customHeight="1">
      <c r="A510" s="285">
        <f t="shared" si="39"/>
        <v>343</v>
      </c>
      <c r="B510" s="286" t="s">
        <v>1300</v>
      </c>
      <c r="C510" s="287">
        <v>56</v>
      </c>
      <c r="D510" s="286" t="s">
        <v>1854</v>
      </c>
      <c r="K510" s="5" t="s">
        <v>1667</v>
      </c>
      <c r="M510" s="1" t="s">
        <v>995</v>
      </c>
      <c r="O510" s="1" t="s">
        <v>1753</v>
      </c>
      <c r="P510" s="1" t="s">
        <v>995</v>
      </c>
      <c r="R510" s="1" t="s">
        <v>995</v>
      </c>
      <c r="AC510" s="57" t="str">
        <f t="shared" si="37"/>
        <v>|</v>
      </c>
      <c r="AE510" s="1" t="s">
        <v>2346</v>
      </c>
    </row>
    <row r="511" spans="1:31" ht="24" customHeight="1">
      <c r="A511" s="285">
        <f t="shared" si="39"/>
        <v>344</v>
      </c>
      <c r="B511" s="286" t="s">
        <v>1301</v>
      </c>
      <c r="C511" s="287">
        <v>75</v>
      </c>
      <c r="D511" s="286" t="s">
        <v>1854</v>
      </c>
      <c r="G511" s="7" t="s">
        <v>1302</v>
      </c>
      <c r="H511" s="1" t="s">
        <v>388</v>
      </c>
      <c r="K511" s="8">
        <f>(K509+C22)</f>
        <v>4449.03</v>
      </c>
      <c r="L511">
        <f>K511-K509</f>
        <v>44.65</v>
      </c>
      <c r="M511" s="8">
        <v>8</v>
      </c>
      <c r="N511" s="1" t="s">
        <v>883</v>
      </c>
      <c r="O511" s="1" t="s">
        <v>2218</v>
      </c>
      <c r="P511" s="8">
        <f>(C44)</f>
        <v>3.6</v>
      </c>
      <c r="Q511" s="1" t="s">
        <v>883</v>
      </c>
      <c r="R511" s="8">
        <f t="shared" ref="R511:R516" si="42">(M511*P511)</f>
        <v>28.8</v>
      </c>
      <c r="AC511" s="57" t="str">
        <f t="shared" si="37"/>
        <v>|</v>
      </c>
      <c r="AE511" s="1" t="s">
        <v>2346</v>
      </c>
    </row>
    <row r="512" spans="1:31" ht="24" customHeight="1">
      <c r="A512" s="285">
        <f t="shared" si="39"/>
        <v>345</v>
      </c>
      <c r="B512" s="286" t="s">
        <v>1303</v>
      </c>
      <c r="C512" s="287">
        <v>69.099999999999994</v>
      </c>
      <c r="D512" s="287">
        <v>21</v>
      </c>
      <c r="G512" s="7" t="s">
        <v>1304</v>
      </c>
      <c r="H512" s="1" t="s">
        <v>390</v>
      </c>
      <c r="K512" s="8">
        <f>(K511+C23)</f>
        <v>4538.03</v>
      </c>
      <c r="M512" s="8">
        <v>8</v>
      </c>
      <c r="N512" s="1" t="s">
        <v>883</v>
      </c>
      <c r="O512" s="1" t="s">
        <v>467</v>
      </c>
      <c r="P512" s="8">
        <f>(C51)</f>
        <v>5.25</v>
      </c>
      <c r="Q512" s="1" t="s">
        <v>883</v>
      </c>
      <c r="R512" s="8">
        <f t="shared" si="42"/>
        <v>42</v>
      </c>
      <c r="AC512" s="57" t="str">
        <f t="shared" si="37"/>
        <v>|</v>
      </c>
      <c r="AE512" s="1" t="s">
        <v>2346</v>
      </c>
    </row>
    <row r="513" spans="1:31" ht="24" customHeight="1">
      <c r="A513" s="285">
        <f t="shared" si="39"/>
        <v>346</v>
      </c>
      <c r="B513" s="286" t="s">
        <v>378</v>
      </c>
      <c r="C513" s="287">
        <v>94.12</v>
      </c>
      <c r="D513" s="287">
        <v>37.15</v>
      </c>
      <c r="G513" s="7" t="s">
        <v>424</v>
      </c>
      <c r="H513" s="1" t="s">
        <v>2319</v>
      </c>
      <c r="K513" s="8">
        <f>(K512+C24)</f>
        <v>4627.03</v>
      </c>
      <c r="M513" s="8">
        <v>3</v>
      </c>
      <c r="N513" s="1" t="s">
        <v>883</v>
      </c>
      <c r="O513" s="1" t="s">
        <v>1922</v>
      </c>
      <c r="P513" s="8">
        <f>(C41)</f>
        <v>305.55</v>
      </c>
      <c r="Q513" s="1" t="s">
        <v>883</v>
      </c>
      <c r="R513" s="8">
        <f t="shared" si="42"/>
        <v>916.65</v>
      </c>
      <c r="AC513" s="57" t="str">
        <f t="shared" si="37"/>
        <v>|</v>
      </c>
      <c r="AE513" s="1" t="s">
        <v>2346</v>
      </c>
    </row>
    <row r="514" spans="1:31" ht="24" customHeight="1">
      <c r="A514" s="285">
        <f t="shared" si="39"/>
        <v>347</v>
      </c>
      <c r="B514" s="286" t="s">
        <v>1014</v>
      </c>
      <c r="C514" s="288"/>
      <c r="D514" s="286" t="s">
        <v>995</v>
      </c>
      <c r="G514" s="7" t="s">
        <v>1015</v>
      </c>
      <c r="H514" s="1" t="s">
        <v>382</v>
      </c>
      <c r="K514" s="8">
        <f>(K513+C24)</f>
        <v>4716.03</v>
      </c>
      <c r="M514" s="8">
        <v>1</v>
      </c>
      <c r="N514" s="1" t="s">
        <v>883</v>
      </c>
      <c r="O514" s="1" t="s">
        <v>1923</v>
      </c>
      <c r="P514" s="8">
        <f>(C10)</f>
        <v>430.5</v>
      </c>
      <c r="Q514" s="1" t="s">
        <v>883</v>
      </c>
      <c r="R514" s="8">
        <f t="shared" si="42"/>
        <v>430.5</v>
      </c>
      <c r="AC514" s="57" t="str">
        <f t="shared" si="37"/>
        <v>|</v>
      </c>
      <c r="AE514" s="1" t="s">
        <v>2346</v>
      </c>
    </row>
    <row r="515" spans="1:31" ht="24" customHeight="1">
      <c r="A515" s="285">
        <f t="shared" si="39"/>
        <v>348</v>
      </c>
      <c r="B515" s="286" t="s">
        <v>1159</v>
      </c>
      <c r="C515" s="287">
        <v>4.1900000000000004</v>
      </c>
      <c r="D515" s="286" t="s">
        <v>883</v>
      </c>
      <c r="M515" s="8">
        <v>2</v>
      </c>
      <c r="N515" s="1" t="s">
        <v>883</v>
      </c>
      <c r="O515" s="1" t="s">
        <v>1979</v>
      </c>
      <c r="P515" s="8">
        <f>(C12)</f>
        <v>269.85000000000002</v>
      </c>
      <c r="Q515" s="1" t="s">
        <v>883</v>
      </c>
      <c r="R515" s="8">
        <f t="shared" si="42"/>
        <v>539.70000000000005</v>
      </c>
      <c r="AC515" s="57" t="str">
        <f t="shared" si="37"/>
        <v>|</v>
      </c>
      <c r="AE515" s="1" t="s">
        <v>2346</v>
      </c>
    </row>
    <row r="516" spans="1:31" ht="24" customHeight="1">
      <c r="A516" s="285">
        <f t="shared" si="39"/>
        <v>349</v>
      </c>
      <c r="B516" s="286" t="s">
        <v>1160</v>
      </c>
      <c r="C516" s="287">
        <v>5</v>
      </c>
      <c r="D516" s="286" t="s">
        <v>883</v>
      </c>
      <c r="F516" s="2" t="s">
        <v>1016</v>
      </c>
      <c r="G516" s="7" t="s">
        <v>2338</v>
      </c>
      <c r="H516" s="1" t="s">
        <v>1017</v>
      </c>
      <c r="M516" s="8">
        <v>1</v>
      </c>
      <c r="N516" s="1" t="s">
        <v>883</v>
      </c>
      <c r="O516" s="1" t="s">
        <v>324</v>
      </c>
      <c r="P516" s="8">
        <f>(C13)</f>
        <v>243.6</v>
      </c>
      <c r="Q516" s="1" t="s">
        <v>883</v>
      </c>
      <c r="R516" s="8">
        <f t="shared" si="42"/>
        <v>243.6</v>
      </c>
      <c r="AC516" s="57" t="str">
        <f t="shared" si="37"/>
        <v>|</v>
      </c>
      <c r="AE516" s="1" t="s">
        <v>2346</v>
      </c>
    </row>
    <row r="517" spans="1:31" ht="24" customHeight="1">
      <c r="A517" s="285">
        <f t="shared" si="39"/>
        <v>350</v>
      </c>
      <c r="B517" s="286" t="s">
        <v>1161</v>
      </c>
      <c r="C517" s="287">
        <v>8.06</v>
      </c>
      <c r="D517" s="286" t="s">
        <v>883</v>
      </c>
      <c r="H517" s="5" t="s">
        <v>1667</v>
      </c>
      <c r="N517" s="1" t="s">
        <v>448</v>
      </c>
      <c r="O517" s="1" t="s">
        <v>1924</v>
      </c>
      <c r="P517" s="1" t="s">
        <v>995</v>
      </c>
      <c r="Q517" s="1" t="s">
        <v>448</v>
      </c>
      <c r="R517" s="8">
        <f>(C56)</f>
        <v>12.1</v>
      </c>
      <c r="AC517" s="57" t="str">
        <f t="shared" si="37"/>
        <v>|</v>
      </c>
      <c r="AE517" s="1" t="s">
        <v>2346</v>
      </c>
    </row>
    <row r="518" spans="1:31" ht="24" customHeight="1">
      <c r="A518" s="285">
        <f t="shared" si="39"/>
        <v>351</v>
      </c>
      <c r="B518" s="286" t="s">
        <v>1162</v>
      </c>
      <c r="C518" s="287">
        <v>11.86</v>
      </c>
      <c r="D518" s="286" t="s">
        <v>883</v>
      </c>
      <c r="F518" s="14">
        <v>1.4999999999999999E-2</v>
      </c>
      <c r="G518" s="7" t="s">
        <v>884</v>
      </c>
      <c r="H518" s="1" t="s">
        <v>1018</v>
      </c>
      <c r="I518" s="8">
        <f>(K505)</f>
        <v>4363.6899999999996</v>
      </c>
      <c r="J518" s="1" t="s">
        <v>884</v>
      </c>
      <c r="K518" s="8">
        <f>(F518*I518)</f>
        <v>65.459999999999994</v>
      </c>
      <c r="O518" s="1" t="s">
        <v>1926</v>
      </c>
      <c r="P518" s="1" t="s">
        <v>995</v>
      </c>
      <c r="R518" s="1" t="s">
        <v>995</v>
      </c>
      <c r="AC518" s="57" t="str">
        <f t="shared" si="37"/>
        <v>|</v>
      </c>
      <c r="AE518" s="1" t="s">
        <v>2346</v>
      </c>
    </row>
    <row r="519" spans="1:31" ht="24" customHeight="1">
      <c r="A519" s="285">
        <f t="shared" si="39"/>
        <v>352</v>
      </c>
      <c r="B519" s="286" t="s">
        <v>1164</v>
      </c>
      <c r="C519" s="287">
        <v>18.88</v>
      </c>
      <c r="D519" s="286" t="s">
        <v>883</v>
      </c>
      <c r="F519" s="8">
        <v>0.5</v>
      </c>
      <c r="G519" s="7" t="s">
        <v>781</v>
      </c>
      <c r="H519" s="1" t="s">
        <v>2082</v>
      </c>
      <c r="I519" s="8">
        <f>(C10)</f>
        <v>430.5</v>
      </c>
      <c r="J519" s="1" t="s">
        <v>781</v>
      </c>
      <c r="K519" s="8">
        <f>(F519*I519)</f>
        <v>215.25</v>
      </c>
      <c r="N519" s="1" t="s">
        <v>448</v>
      </c>
      <c r="O519" s="1" t="s">
        <v>449</v>
      </c>
      <c r="Q519" s="1" t="s">
        <v>448</v>
      </c>
      <c r="R519" s="8">
        <v>0</v>
      </c>
      <c r="AC519" s="57" t="str">
        <f t="shared" si="37"/>
        <v>|</v>
      </c>
      <c r="AE519" s="1" t="s">
        <v>2346</v>
      </c>
    </row>
    <row r="520" spans="1:31" ht="24" customHeight="1">
      <c r="A520" s="285">
        <f t="shared" si="39"/>
        <v>353</v>
      </c>
      <c r="B520" s="286" t="s">
        <v>237</v>
      </c>
      <c r="C520" s="287">
        <v>26</v>
      </c>
      <c r="D520" s="286" t="s">
        <v>883</v>
      </c>
      <c r="F520" s="8">
        <v>0.75</v>
      </c>
      <c r="G520" s="7" t="s">
        <v>781</v>
      </c>
      <c r="H520" s="1" t="s">
        <v>1979</v>
      </c>
      <c r="I520" s="8">
        <f>(C12)</f>
        <v>269.85000000000002</v>
      </c>
      <c r="J520" s="1" t="s">
        <v>781</v>
      </c>
      <c r="K520" s="8">
        <f>(F520*I520)</f>
        <v>202.39</v>
      </c>
      <c r="R520" s="5" t="s">
        <v>1667</v>
      </c>
      <c r="AC520" s="57" t="str">
        <f t="shared" si="37"/>
        <v>|</v>
      </c>
      <c r="AE520" s="1" t="s">
        <v>2346</v>
      </c>
    </row>
    <row r="521" spans="1:31" ht="24" customHeight="1">
      <c r="A521" s="285">
        <f t="shared" si="39"/>
        <v>354</v>
      </c>
      <c r="B521" s="286" t="s">
        <v>692</v>
      </c>
      <c r="C521" s="288"/>
      <c r="D521" s="286" t="s">
        <v>995</v>
      </c>
      <c r="G521" s="7" t="s">
        <v>448</v>
      </c>
      <c r="H521" s="1" t="s">
        <v>449</v>
      </c>
      <c r="J521" s="1" t="s">
        <v>448</v>
      </c>
      <c r="K521" s="8">
        <v>0</v>
      </c>
      <c r="O521" s="1" t="s">
        <v>1927</v>
      </c>
      <c r="R521" s="8">
        <f>SUM(R509:R519)</f>
        <v>2363.35</v>
      </c>
      <c r="AC521" s="57" t="str">
        <f t="shared" ref="AC521:AC583" si="43">AE522</f>
        <v>|</v>
      </c>
      <c r="AE521" s="1" t="s">
        <v>2346</v>
      </c>
    </row>
    <row r="522" spans="1:31" ht="24" customHeight="1">
      <c r="A522" s="285">
        <f t="shared" si="39"/>
        <v>355</v>
      </c>
      <c r="B522" s="286" t="s">
        <v>1159</v>
      </c>
      <c r="C522" s="287">
        <v>4.62</v>
      </c>
      <c r="D522" s="286" t="s">
        <v>883</v>
      </c>
      <c r="K522" s="5" t="s">
        <v>1667</v>
      </c>
      <c r="R522" s="5" t="s">
        <v>1667</v>
      </c>
      <c r="AC522" s="57" t="str">
        <f t="shared" si="43"/>
        <v>|</v>
      </c>
      <c r="AE522" s="1" t="s">
        <v>2346</v>
      </c>
    </row>
    <row r="523" spans="1:31" ht="24" customHeight="1">
      <c r="A523" s="285">
        <f t="shared" si="39"/>
        <v>356</v>
      </c>
      <c r="B523" s="286" t="s">
        <v>1160</v>
      </c>
      <c r="C523" s="287">
        <v>7.83</v>
      </c>
      <c r="D523" s="286" t="s">
        <v>883</v>
      </c>
      <c r="H523" s="1" t="s">
        <v>1831</v>
      </c>
      <c r="K523" s="8">
        <f>SUM(K518:K521)</f>
        <v>483.1</v>
      </c>
      <c r="O523" s="1" t="s">
        <v>1622</v>
      </c>
      <c r="R523" s="8">
        <f>(R521/30)</f>
        <v>78.78</v>
      </c>
      <c r="AC523" s="57" t="str">
        <f t="shared" si="43"/>
        <v>|</v>
      </c>
      <c r="AE523" s="1" t="s">
        <v>2346</v>
      </c>
    </row>
    <row r="524" spans="1:31" ht="24" customHeight="1">
      <c r="A524" s="285">
        <f t="shared" si="39"/>
        <v>357</v>
      </c>
      <c r="B524" s="286" t="s">
        <v>1161</v>
      </c>
      <c r="C524" s="287">
        <v>11.38</v>
      </c>
      <c r="D524" s="286" t="s">
        <v>883</v>
      </c>
      <c r="K524" s="5" t="s">
        <v>1667</v>
      </c>
      <c r="R524" s="5" t="s">
        <v>1667</v>
      </c>
      <c r="AC524" s="57" t="str">
        <f t="shared" si="43"/>
        <v>|</v>
      </c>
      <c r="AE524" s="1" t="s">
        <v>2346</v>
      </c>
    </row>
    <row r="525" spans="1:31" ht="24" customHeight="1">
      <c r="A525" s="285">
        <f t="shared" si="39"/>
        <v>358</v>
      </c>
      <c r="B525" s="286" t="s">
        <v>1162</v>
      </c>
      <c r="C525" s="287">
        <v>18.75</v>
      </c>
      <c r="D525" s="286" t="s">
        <v>883</v>
      </c>
      <c r="H525" s="1" t="s">
        <v>555</v>
      </c>
      <c r="K525" s="8">
        <f>(K523/0.743)</f>
        <v>650.20000000000005</v>
      </c>
      <c r="AC525" s="57" t="str">
        <f t="shared" si="43"/>
        <v>|</v>
      </c>
      <c r="AE525" s="1" t="s">
        <v>2346</v>
      </c>
    </row>
    <row r="526" spans="1:31" ht="24" customHeight="1">
      <c r="A526" s="285">
        <f t="shared" si="39"/>
        <v>359</v>
      </c>
      <c r="B526" s="286" t="s">
        <v>1164</v>
      </c>
      <c r="C526" s="287">
        <v>35.1</v>
      </c>
      <c r="D526" s="286" t="s">
        <v>883</v>
      </c>
      <c r="K526" s="5" t="s">
        <v>2130</v>
      </c>
      <c r="AC526" s="57" t="str">
        <f t="shared" si="43"/>
        <v>|</v>
      </c>
      <c r="AE526" s="1" t="s">
        <v>2346</v>
      </c>
    </row>
    <row r="527" spans="1:31" ht="24" customHeight="1">
      <c r="A527" s="285">
        <f t="shared" si="39"/>
        <v>360</v>
      </c>
      <c r="B527" s="286" t="s">
        <v>237</v>
      </c>
      <c r="C527" s="287">
        <v>45.57</v>
      </c>
      <c r="D527" s="286" t="s">
        <v>883</v>
      </c>
      <c r="H527" s="1" t="s">
        <v>388</v>
      </c>
      <c r="I527" s="8">
        <f>K525</f>
        <v>650.20000000000005</v>
      </c>
      <c r="J527" s="1">
        <f>C22*0.015/0.743</f>
        <v>0.9</v>
      </c>
      <c r="K527" s="40">
        <f>I527+J527</f>
        <v>651.1</v>
      </c>
      <c r="N527" s="1" t="s">
        <v>2031</v>
      </c>
      <c r="O527" s="2" t="s">
        <v>1332</v>
      </c>
      <c r="AC527" s="57" t="str">
        <f t="shared" si="43"/>
        <v>|</v>
      </c>
      <c r="AE527" s="1" t="s">
        <v>2346</v>
      </c>
    </row>
    <row r="528" spans="1:31" ht="24" customHeight="1">
      <c r="A528" s="285">
        <f t="shared" si="39"/>
        <v>361</v>
      </c>
      <c r="B528" s="286" t="s">
        <v>1171</v>
      </c>
      <c r="C528" s="288"/>
      <c r="D528" s="286" t="s">
        <v>995</v>
      </c>
      <c r="H528" s="1" t="s">
        <v>390</v>
      </c>
      <c r="I528" s="8">
        <f>K527</f>
        <v>651.1</v>
      </c>
      <c r="J528" s="1">
        <f>C23*0.015/0.743</f>
        <v>1.8</v>
      </c>
      <c r="K528" s="40">
        <f>I528+J528</f>
        <v>652.9</v>
      </c>
      <c r="O528" s="5" t="s">
        <v>1667</v>
      </c>
      <c r="AC528" s="57" t="str">
        <f t="shared" si="43"/>
        <v>|</v>
      </c>
      <c r="AE528" s="1" t="s">
        <v>2346</v>
      </c>
    </row>
    <row r="529" spans="1:31" ht="24" customHeight="1">
      <c r="A529" s="285">
        <f t="shared" si="39"/>
        <v>362</v>
      </c>
      <c r="B529" s="286" t="s">
        <v>1159</v>
      </c>
      <c r="C529" s="287">
        <v>7.8</v>
      </c>
      <c r="D529" s="286" t="s">
        <v>883</v>
      </c>
      <c r="H529" s="1" t="s">
        <v>2319</v>
      </c>
      <c r="I529" s="8">
        <f>K528</f>
        <v>652.9</v>
      </c>
      <c r="J529" s="1">
        <f>J528</f>
        <v>1.8</v>
      </c>
      <c r="K529" s="40">
        <f>I529+J529</f>
        <v>654.70000000000005</v>
      </c>
      <c r="M529" s="8">
        <v>30</v>
      </c>
      <c r="N529" s="1" t="s">
        <v>1854</v>
      </c>
      <c r="O529" s="1" t="s">
        <v>1750</v>
      </c>
      <c r="P529" s="8">
        <f>(C42)</f>
        <v>5</v>
      </c>
      <c r="Q529" s="1" t="s">
        <v>1854</v>
      </c>
      <c r="R529" s="8">
        <f>(M529*P529)</f>
        <v>150</v>
      </c>
      <c r="AC529" s="57" t="str">
        <f t="shared" si="43"/>
        <v>|</v>
      </c>
      <c r="AE529" s="1" t="s">
        <v>2346</v>
      </c>
    </row>
    <row r="530" spans="1:31" ht="24" customHeight="1">
      <c r="A530" s="285">
        <f t="shared" si="39"/>
        <v>363</v>
      </c>
      <c r="B530" s="286" t="s">
        <v>1160</v>
      </c>
      <c r="C530" s="287">
        <v>9.49</v>
      </c>
      <c r="D530" s="286" t="s">
        <v>883</v>
      </c>
      <c r="H530" s="1" t="s">
        <v>382</v>
      </c>
      <c r="I530" s="8">
        <f>K529</f>
        <v>654.70000000000005</v>
      </c>
      <c r="J530" s="1">
        <f>J529</f>
        <v>1.8</v>
      </c>
      <c r="K530" s="40">
        <f>I530+J530</f>
        <v>656.5</v>
      </c>
      <c r="M530" s="1" t="s">
        <v>995</v>
      </c>
      <c r="O530" s="1" t="s">
        <v>1753</v>
      </c>
      <c r="P530" s="1" t="s">
        <v>995</v>
      </c>
      <c r="R530" s="1" t="s">
        <v>995</v>
      </c>
      <c r="AC530" s="57" t="str">
        <f t="shared" si="43"/>
        <v>|</v>
      </c>
      <c r="AE530" s="1" t="s">
        <v>2346</v>
      </c>
    </row>
    <row r="531" spans="1:31" ht="24" customHeight="1">
      <c r="A531" s="285">
        <f t="shared" si="39"/>
        <v>364</v>
      </c>
      <c r="B531" s="286" t="s">
        <v>1161</v>
      </c>
      <c r="C531" s="287">
        <v>13.91</v>
      </c>
      <c r="D531" s="286" t="s">
        <v>883</v>
      </c>
      <c r="H531" s="1" t="s">
        <v>390</v>
      </c>
      <c r="I531" s="8">
        <f>K530</f>
        <v>656.5</v>
      </c>
      <c r="J531" s="1">
        <f>J530</f>
        <v>1.8</v>
      </c>
      <c r="K531" s="40">
        <f>I531+J531</f>
        <v>658.3</v>
      </c>
      <c r="M531" s="8">
        <v>8</v>
      </c>
      <c r="N531" s="1" t="s">
        <v>883</v>
      </c>
      <c r="O531" s="1" t="s">
        <v>2218</v>
      </c>
      <c r="P531" s="8">
        <f>(C45)</f>
        <v>4.4000000000000004</v>
      </c>
      <c r="Q531" s="1" t="s">
        <v>883</v>
      </c>
      <c r="R531" s="8">
        <f t="shared" ref="R531:R536" si="44">(M531*P531)</f>
        <v>35.200000000000003</v>
      </c>
      <c r="AC531" s="57" t="str">
        <f t="shared" si="43"/>
        <v>|</v>
      </c>
      <c r="AE531" s="1" t="s">
        <v>2346</v>
      </c>
    </row>
    <row r="532" spans="1:31" ht="24" customHeight="1">
      <c r="A532" s="285">
        <f t="shared" si="39"/>
        <v>365</v>
      </c>
      <c r="B532" s="286" t="s">
        <v>1162</v>
      </c>
      <c r="C532" s="287">
        <v>26.59</v>
      </c>
      <c r="D532" s="286" t="s">
        <v>883</v>
      </c>
      <c r="F532" s="2" t="s">
        <v>1172</v>
      </c>
      <c r="G532" s="7" t="s">
        <v>2338</v>
      </c>
      <c r="H532" s="1" t="s">
        <v>255</v>
      </c>
      <c r="M532" s="8">
        <v>8</v>
      </c>
      <c r="N532" s="1" t="s">
        <v>883</v>
      </c>
      <c r="O532" s="1" t="s">
        <v>467</v>
      </c>
      <c r="P532" s="8">
        <f>(C52)</f>
        <v>10.55</v>
      </c>
      <c r="Q532" s="1" t="s">
        <v>883</v>
      </c>
      <c r="R532" s="8">
        <f t="shared" si="44"/>
        <v>84.4</v>
      </c>
      <c r="AC532" s="57" t="str">
        <f t="shared" si="43"/>
        <v>|</v>
      </c>
      <c r="AE532" s="1" t="s">
        <v>2346</v>
      </c>
    </row>
    <row r="533" spans="1:31" ht="24" customHeight="1">
      <c r="A533" s="285">
        <f t="shared" si="39"/>
        <v>366</v>
      </c>
      <c r="B533" s="286" t="s">
        <v>1164</v>
      </c>
      <c r="C533" s="287">
        <v>39.909999999999997</v>
      </c>
      <c r="D533" s="286" t="s">
        <v>883</v>
      </c>
      <c r="H533" s="5" t="s">
        <v>1667</v>
      </c>
      <c r="M533" s="8">
        <v>3</v>
      </c>
      <c r="N533" s="1" t="s">
        <v>883</v>
      </c>
      <c r="O533" s="1" t="s">
        <v>1922</v>
      </c>
      <c r="P533" s="8">
        <f>(C41)</f>
        <v>305.55</v>
      </c>
      <c r="Q533" s="1" t="s">
        <v>883</v>
      </c>
      <c r="R533" s="8">
        <f t="shared" si="44"/>
        <v>916.65</v>
      </c>
      <c r="AC533" s="57" t="str">
        <f t="shared" si="43"/>
        <v>|</v>
      </c>
      <c r="AE533" s="1" t="s">
        <v>2346</v>
      </c>
    </row>
    <row r="534" spans="1:31" ht="24" customHeight="1">
      <c r="A534" s="285">
        <f t="shared" si="39"/>
        <v>367</v>
      </c>
      <c r="B534" s="286" t="s">
        <v>237</v>
      </c>
      <c r="C534" s="287">
        <v>66</v>
      </c>
      <c r="D534" s="286" t="s">
        <v>883</v>
      </c>
      <c r="F534" s="8">
        <v>0.03</v>
      </c>
      <c r="G534" s="7" t="s">
        <v>884</v>
      </c>
      <c r="H534" s="1" t="s">
        <v>1018</v>
      </c>
      <c r="I534" s="8">
        <f>(K505)</f>
        <v>4363.6899999999996</v>
      </c>
      <c r="J534" s="1" t="s">
        <v>884</v>
      </c>
      <c r="K534" s="8">
        <f>(F534*I534)</f>
        <v>130.91</v>
      </c>
      <c r="M534" s="8">
        <v>1</v>
      </c>
      <c r="N534" s="1" t="s">
        <v>883</v>
      </c>
      <c r="O534" s="1" t="s">
        <v>1923</v>
      </c>
      <c r="P534" s="8">
        <f>(C10)</f>
        <v>430.5</v>
      </c>
      <c r="Q534" s="1" t="s">
        <v>883</v>
      </c>
      <c r="R534" s="8">
        <f t="shared" si="44"/>
        <v>430.5</v>
      </c>
      <c r="AC534" s="57" t="str">
        <f t="shared" si="43"/>
        <v>|</v>
      </c>
      <c r="AE534" s="1" t="s">
        <v>2346</v>
      </c>
    </row>
    <row r="535" spans="1:31" ht="24" customHeight="1">
      <c r="A535" s="285">
        <f t="shared" si="39"/>
        <v>368</v>
      </c>
      <c r="B535" s="286" t="s">
        <v>1173</v>
      </c>
      <c r="C535" s="288"/>
      <c r="D535" s="286" t="s">
        <v>995</v>
      </c>
      <c r="F535" s="8">
        <v>0.5</v>
      </c>
      <c r="G535" s="7" t="s">
        <v>781</v>
      </c>
      <c r="H535" s="1" t="s">
        <v>2082</v>
      </c>
      <c r="I535" s="8">
        <f>(C10)</f>
        <v>430.5</v>
      </c>
      <c r="J535" s="1" t="s">
        <v>781</v>
      </c>
      <c r="K535" s="8">
        <f>(F535*I535)</f>
        <v>215.25</v>
      </c>
      <c r="M535" s="8">
        <v>2</v>
      </c>
      <c r="N535" s="1" t="s">
        <v>883</v>
      </c>
      <c r="O535" s="1" t="s">
        <v>1979</v>
      </c>
      <c r="P535" s="8">
        <f>(C12)</f>
        <v>269.85000000000002</v>
      </c>
      <c r="Q535" s="1" t="s">
        <v>883</v>
      </c>
      <c r="R535" s="8">
        <f t="shared" si="44"/>
        <v>539.70000000000005</v>
      </c>
      <c r="AC535" s="57" t="str">
        <f t="shared" si="43"/>
        <v>|</v>
      </c>
      <c r="AE535" s="1" t="s">
        <v>2346</v>
      </c>
    </row>
    <row r="536" spans="1:31" ht="24" customHeight="1">
      <c r="A536" s="285">
        <f t="shared" si="39"/>
        <v>369</v>
      </c>
      <c r="B536" s="286" t="s">
        <v>971</v>
      </c>
      <c r="C536" s="287">
        <v>4.75</v>
      </c>
      <c r="D536" s="286" t="s">
        <v>883</v>
      </c>
      <c r="F536" s="8">
        <v>0.75</v>
      </c>
      <c r="G536" s="7" t="s">
        <v>781</v>
      </c>
      <c r="H536" s="1" t="s">
        <v>1979</v>
      </c>
      <c r="I536" s="8">
        <f>(C12)</f>
        <v>269.85000000000002</v>
      </c>
      <c r="J536" s="1" t="s">
        <v>781</v>
      </c>
      <c r="K536" s="8">
        <f>(F536*I536)</f>
        <v>202.39</v>
      </c>
      <c r="M536" s="8">
        <v>1</v>
      </c>
      <c r="N536" s="1" t="s">
        <v>883</v>
      </c>
      <c r="O536" s="1" t="s">
        <v>324</v>
      </c>
      <c r="P536" s="8">
        <f>(C13)</f>
        <v>243.6</v>
      </c>
      <c r="Q536" s="1" t="s">
        <v>883</v>
      </c>
      <c r="R536" s="8">
        <f t="shared" si="44"/>
        <v>243.6</v>
      </c>
      <c r="AC536" s="57" t="str">
        <f t="shared" si="43"/>
        <v>|</v>
      </c>
      <c r="AE536" s="1" t="s">
        <v>2346</v>
      </c>
    </row>
    <row r="537" spans="1:31" ht="24" customHeight="1">
      <c r="A537" s="285">
        <f t="shared" si="39"/>
        <v>370</v>
      </c>
      <c r="B537" s="286" t="s">
        <v>756</v>
      </c>
      <c r="C537" s="287">
        <v>6.89</v>
      </c>
      <c r="D537" s="286" t="s">
        <v>883</v>
      </c>
      <c r="E537" s="506">
        <f>0.03/40*75</f>
        <v>5.6300000000000003E-2</v>
      </c>
      <c r="G537" s="7" t="s">
        <v>448</v>
      </c>
      <c r="H537" s="1" t="s">
        <v>449</v>
      </c>
      <c r="J537" s="1" t="s">
        <v>448</v>
      </c>
      <c r="K537" s="8">
        <v>0</v>
      </c>
      <c r="N537" s="1" t="s">
        <v>448</v>
      </c>
      <c r="O537" s="1" t="s">
        <v>1924</v>
      </c>
      <c r="P537" s="1" t="s">
        <v>995</v>
      </c>
      <c r="Q537" s="1" t="s">
        <v>448</v>
      </c>
      <c r="R537" s="8">
        <f>(C56)</f>
        <v>12.1</v>
      </c>
      <c r="AC537" s="57" t="str">
        <f t="shared" si="43"/>
        <v>|</v>
      </c>
      <c r="AE537" s="1" t="s">
        <v>2346</v>
      </c>
    </row>
    <row r="538" spans="1:31" ht="24" customHeight="1">
      <c r="A538" s="285">
        <f t="shared" si="39"/>
        <v>371</v>
      </c>
      <c r="B538" s="286" t="s">
        <v>1749</v>
      </c>
      <c r="C538" s="287">
        <v>6.18</v>
      </c>
      <c r="D538" s="286" t="s">
        <v>883</v>
      </c>
      <c r="K538" s="5" t="s">
        <v>1667</v>
      </c>
      <c r="O538" s="1" t="s">
        <v>1926</v>
      </c>
      <c r="P538" s="1" t="s">
        <v>995</v>
      </c>
      <c r="R538" s="1" t="s">
        <v>995</v>
      </c>
      <c r="AC538" s="57" t="str">
        <f t="shared" si="43"/>
        <v>|</v>
      </c>
      <c r="AE538" s="1" t="s">
        <v>2346</v>
      </c>
    </row>
    <row r="539" spans="1:31" ht="24" customHeight="1">
      <c r="A539" s="285">
        <f t="shared" si="39"/>
        <v>372</v>
      </c>
      <c r="B539" s="286" t="s">
        <v>1174</v>
      </c>
      <c r="C539" s="287">
        <v>13.29</v>
      </c>
      <c r="D539" s="286" t="s">
        <v>883</v>
      </c>
      <c r="H539" s="1" t="s">
        <v>1831</v>
      </c>
      <c r="K539" s="8">
        <f>SUM(K534:K537)</f>
        <v>548.54999999999995</v>
      </c>
      <c r="N539" s="1" t="s">
        <v>448</v>
      </c>
      <c r="O539" s="1" t="s">
        <v>449</v>
      </c>
      <c r="Q539" s="1" t="s">
        <v>448</v>
      </c>
      <c r="R539" s="8">
        <v>0</v>
      </c>
      <c r="AC539" s="57" t="str">
        <f t="shared" si="43"/>
        <v>|</v>
      </c>
      <c r="AE539" s="1" t="s">
        <v>2346</v>
      </c>
    </row>
    <row r="540" spans="1:31" ht="24" customHeight="1">
      <c r="A540" s="285">
        <f t="shared" si="39"/>
        <v>373</v>
      </c>
      <c r="B540" s="286" t="s">
        <v>1175</v>
      </c>
      <c r="C540" s="287">
        <v>14.11</v>
      </c>
      <c r="D540" s="286" t="s">
        <v>883</v>
      </c>
      <c r="K540" s="5" t="s">
        <v>1667</v>
      </c>
      <c r="R540" s="5" t="s">
        <v>1667</v>
      </c>
      <c r="AC540" s="57" t="str">
        <f t="shared" si="43"/>
        <v>|</v>
      </c>
      <c r="AE540" s="1" t="s">
        <v>2346</v>
      </c>
    </row>
    <row r="541" spans="1:31" ht="24" customHeight="1">
      <c r="A541" s="285">
        <f t="shared" si="39"/>
        <v>374</v>
      </c>
      <c r="B541" s="286" t="s">
        <v>1176</v>
      </c>
      <c r="C541" s="287">
        <v>14.69</v>
      </c>
      <c r="D541" s="286" t="s">
        <v>883</v>
      </c>
      <c r="H541" s="1" t="s">
        <v>555</v>
      </c>
      <c r="K541" s="8">
        <f>(K539/0.743)</f>
        <v>738.29</v>
      </c>
      <c r="O541" s="1" t="s">
        <v>1927</v>
      </c>
      <c r="R541" s="8">
        <f>SUM(R529:R539)</f>
        <v>2412.15</v>
      </c>
      <c r="AC541" s="57" t="str">
        <f t="shared" si="43"/>
        <v>|</v>
      </c>
      <c r="AE541" s="1" t="s">
        <v>2346</v>
      </c>
    </row>
    <row r="542" spans="1:31" ht="24" customHeight="1">
      <c r="A542" s="285">
        <f t="shared" si="39"/>
        <v>375</v>
      </c>
      <c r="B542" s="286" t="s">
        <v>1941</v>
      </c>
      <c r="C542" s="288"/>
      <c r="D542" s="286" t="s">
        <v>995</v>
      </c>
      <c r="K542" s="5" t="s">
        <v>2130</v>
      </c>
      <c r="R542" s="5" t="s">
        <v>1667</v>
      </c>
      <c r="AC542" s="57" t="str">
        <f t="shared" si="43"/>
        <v>|</v>
      </c>
      <c r="AE542" s="1" t="s">
        <v>2346</v>
      </c>
    </row>
    <row r="543" spans="1:31" ht="24" customHeight="1">
      <c r="A543" s="285">
        <f t="shared" si="39"/>
        <v>376</v>
      </c>
      <c r="B543" s="286" t="s">
        <v>971</v>
      </c>
      <c r="C543" s="287">
        <v>10.3</v>
      </c>
      <c r="D543" s="286" t="s">
        <v>883</v>
      </c>
      <c r="H543" s="1" t="s">
        <v>388</v>
      </c>
      <c r="I543" s="8">
        <f>K541</f>
        <v>738.29</v>
      </c>
      <c r="J543" s="1">
        <f>C22*0.03/0.743</f>
        <v>1.8</v>
      </c>
      <c r="K543" s="40">
        <f>I543+J543</f>
        <v>740.09</v>
      </c>
      <c r="M543">
        <f>0.47*38.5</f>
        <v>18.100000000000001</v>
      </c>
      <c r="O543" s="1" t="s">
        <v>1622</v>
      </c>
      <c r="R543" s="8">
        <f>(R541/30)</f>
        <v>80.41</v>
      </c>
      <c r="AC543" s="57" t="str">
        <f t="shared" si="43"/>
        <v>|</v>
      </c>
      <c r="AE543" s="1" t="s">
        <v>2346</v>
      </c>
    </row>
    <row r="544" spans="1:31" ht="24" customHeight="1">
      <c r="A544" s="285">
        <f t="shared" si="39"/>
        <v>377</v>
      </c>
      <c r="B544" s="286" t="s">
        <v>756</v>
      </c>
      <c r="C544" s="287">
        <v>19.05</v>
      </c>
      <c r="D544" s="286" t="s">
        <v>883</v>
      </c>
      <c r="H544" s="1" t="s">
        <v>390</v>
      </c>
      <c r="I544" s="8">
        <f>K543</f>
        <v>740.09</v>
      </c>
      <c r="J544" s="1">
        <f>C23*0.03/0.743</f>
        <v>3.59</v>
      </c>
      <c r="K544" s="40">
        <f>I544+J544</f>
        <v>743.68</v>
      </c>
      <c r="M544">
        <f>0.24*546</f>
        <v>131.04</v>
      </c>
      <c r="R544" s="5" t="s">
        <v>1667</v>
      </c>
      <c r="AC544" s="57" t="str">
        <f t="shared" si="43"/>
        <v>|</v>
      </c>
      <c r="AE544" s="1" t="s">
        <v>2346</v>
      </c>
    </row>
    <row r="545" spans="1:31" ht="24" customHeight="1">
      <c r="A545" s="285">
        <f t="shared" si="39"/>
        <v>378</v>
      </c>
      <c r="B545" s="286" t="s">
        <v>1749</v>
      </c>
      <c r="C545" s="287">
        <v>15.34</v>
      </c>
      <c r="D545" s="286" t="s">
        <v>883</v>
      </c>
      <c r="H545" s="1" t="s">
        <v>2319</v>
      </c>
      <c r="I545" s="8">
        <f>K544</f>
        <v>743.68</v>
      </c>
      <c r="J545" s="1">
        <f>J544</f>
        <v>3.59</v>
      </c>
      <c r="K545" s="40">
        <f>I545+J545</f>
        <v>747.27</v>
      </c>
      <c r="M545">
        <f>0.24*143.6</f>
        <v>34.46</v>
      </c>
      <c r="N545" s="1" t="s">
        <v>2338</v>
      </c>
      <c r="O545" s="1" t="s">
        <v>2124</v>
      </c>
      <c r="AC545" s="57" t="str">
        <f t="shared" si="43"/>
        <v>|</v>
      </c>
      <c r="AE545" s="1" t="s">
        <v>2346</v>
      </c>
    </row>
    <row r="546" spans="1:31" ht="24" customHeight="1">
      <c r="A546" s="285">
        <f t="shared" si="39"/>
        <v>379</v>
      </c>
      <c r="B546" s="286" t="s">
        <v>1942</v>
      </c>
      <c r="C546" s="287">
        <v>29.41</v>
      </c>
      <c r="D546" s="286" t="s">
        <v>883</v>
      </c>
      <c r="H546" s="1" t="s">
        <v>382</v>
      </c>
      <c r="I546" s="8">
        <f>K545</f>
        <v>747.27</v>
      </c>
      <c r="J546" s="1">
        <f>J545</f>
        <v>3.59</v>
      </c>
      <c r="K546" s="40">
        <f>I546+J546</f>
        <v>750.86</v>
      </c>
      <c r="M546">
        <f>0.79*328.9</f>
        <v>259.83</v>
      </c>
      <c r="O546" s="1" t="s">
        <v>1943</v>
      </c>
      <c r="AC546" s="57">
        <f t="shared" si="43"/>
        <v>0</v>
      </c>
      <c r="AE546" s="1" t="s">
        <v>2346</v>
      </c>
    </row>
    <row r="547" spans="1:31" ht="24" customHeight="1">
      <c r="A547" s="288"/>
      <c r="B547" s="288"/>
      <c r="C547" s="288"/>
      <c r="D547" s="288"/>
      <c r="F547" s="1" t="s">
        <v>995</v>
      </c>
      <c r="H547" s="1" t="s">
        <v>390</v>
      </c>
      <c r="I547" s="8">
        <f>K546</f>
        <v>750.86</v>
      </c>
      <c r="J547" s="1">
        <f>J546</f>
        <v>3.59</v>
      </c>
      <c r="K547" s="40">
        <f>I547+J547</f>
        <v>754.45</v>
      </c>
      <c r="M547">
        <f>SUM(M543:M546)</f>
        <v>443.43</v>
      </c>
      <c r="AC547" s="57" t="str">
        <f t="shared" si="43"/>
        <v>|</v>
      </c>
    </row>
    <row r="548" spans="1:31" ht="24" customHeight="1">
      <c r="A548" s="285">
        <f>(A546+1)</f>
        <v>380</v>
      </c>
      <c r="B548" s="286" t="s">
        <v>1175</v>
      </c>
      <c r="C548" s="287">
        <v>38.35</v>
      </c>
      <c r="D548" s="286" t="s">
        <v>883</v>
      </c>
      <c r="O548" s="1" t="s">
        <v>159</v>
      </c>
      <c r="T548" s="7" t="s">
        <v>995</v>
      </c>
      <c r="U548" s="1" t="s">
        <v>137</v>
      </c>
      <c r="W548" s="11"/>
      <c r="AC548" s="57" t="str">
        <f t="shared" si="43"/>
        <v>|</v>
      </c>
      <c r="AE548" s="1" t="s">
        <v>2346</v>
      </c>
    </row>
    <row r="549" spans="1:31" ht="24" customHeight="1">
      <c r="A549" s="285">
        <f t="shared" ref="A549:A564" si="45">(A548+1)</f>
        <v>381</v>
      </c>
      <c r="B549" s="286" t="s">
        <v>1176</v>
      </c>
      <c r="C549" s="287">
        <v>37.96</v>
      </c>
      <c r="D549" s="286" t="s">
        <v>883</v>
      </c>
      <c r="F549" s="26"/>
      <c r="G549" s="7" t="s">
        <v>995</v>
      </c>
      <c r="H549" s="1" t="s">
        <v>137</v>
      </c>
      <c r="O549" s="5" t="s">
        <v>1667</v>
      </c>
      <c r="S549" s="22"/>
      <c r="T549" s="3"/>
      <c r="U549" s="1" t="s">
        <v>1325</v>
      </c>
      <c r="W549" s="11"/>
      <c r="AC549" s="57" t="str">
        <f t="shared" si="43"/>
        <v>|</v>
      </c>
      <c r="AE549" s="1" t="s">
        <v>2346</v>
      </c>
    </row>
    <row r="550" spans="1:31" ht="24" customHeight="1">
      <c r="A550" s="285">
        <f t="shared" si="45"/>
        <v>382</v>
      </c>
      <c r="B550" s="286" t="s">
        <v>138</v>
      </c>
      <c r="C550" s="288"/>
      <c r="D550" s="286" t="s">
        <v>995</v>
      </c>
      <c r="H550" s="1" t="s">
        <v>1325</v>
      </c>
      <c r="T550" s="3"/>
      <c r="U550" s="1" t="s">
        <v>1326</v>
      </c>
      <c r="W550" s="11"/>
      <c r="AC550" s="57" t="str">
        <f t="shared" si="43"/>
        <v>|</v>
      </c>
      <c r="AE550" s="1" t="s">
        <v>2346</v>
      </c>
    </row>
    <row r="551" spans="1:31" ht="24" customHeight="1">
      <c r="A551" s="285">
        <f t="shared" si="45"/>
        <v>383</v>
      </c>
      <c r="B551" s="286" t="s">
        <v>971</v>
      </c>
      <c r="C551" s="287">
        <v>6.68</v>
      </c>
      <c r="D551" s="286" t="s">
        <v>883</v>
      </c>
      <c r="H551" s="1" t="s">
        <v>1326</v>
      </c>
      <c r="N551" s="1" t="s">
        <v>160</v>
      </c>
      <c r="O551" s="1" t="s">
        <v>1050</v>
      </c>
      <c r="T551" s="3"/>
      <c r="U551" s="1" t="s">
        <v>1051</v>
      </c>
      <c r="W551" s="11"/>
      <c r="AC551" s="57" t="str">
        <f t="shared" si="43"/>
        <v>|</v>
      </c>
      <c r="AE551" s="1" t="s">
        <v>2346</v>
      </c>
    </row>
    <row r="552" spans="1:31" ht="24" customHeight="1">
      <c r="A552" s="285">
        <f t="shared" si="45"/>
        <v>384</v>
      </c>
      <c r="B552" s="286" t="s">
        <v>756</v>
      </c>
      <c r="C552" s="287">
        <v>9.4499999999999993</v>
      </c>
      <c r="D552" s="286" t="s">
        <v>883</v>
      </c>
      <c r="H552" s="1" t="s">
        <v>1051</v>
      </c>
      <c r="O552" s="5" t="s">
        <v>1667</v>
      </c>
      <c r="T552" s="3"/>
      <c r="U552" s="1" t="s">
        <v>1052</v>
      </c>
      <c r="W552" s="11"/>
      <c r="AC552" s="57" t="str">
        <f t="shared" si="43"/>
        <v>|</v>
      </c>
      <c r="AE552" s="1" t="s">
        <v>2346</v>
      </c>
    </row>
    <row r="553" spans="1:31" ht="24" customHeight="1">
      <c r="A553" s="285">
        <f t="shared" si="45"/>
        <v>385</v>
      </c>
      <c r="B553" s="286" t="s">
        <v>1749</v>
      </c>
      <c r="C553" s="287">
        <v>33.04</v>
      </c>
      <c r="D553" s="286" t="s">
        <v>883</v>
      </c>
      <c r="H553" s="1" t="s">
        <v>1052</v>
      </c>
      <c r="M553" s="8">
        <v>8.1</v>
      </c>
      <c r="N553" s="1" t="s">
        <v>884</v>
      </c>
      <c r="O553" s="1" t="s">
        <v>621</v>
      </c>
      <c r="P553" s="8">
        <f>(C61)*2</f>
        <v>96.6</v>
      </c>
      <c r="Q553" s="1" t="s">
        <v>884</v>
      </c>
      <c r="R553" s="8">
        <f>(M553*P553)</f>
        <v>782.46</v>
      </c>
      <c r="T553" s="3"/>
      <c r="U553" s="1" t="s">
        <v>1306</v>
      </c>
      <c r="W553" s="11"/>
      <c r="AC553" s="57" t="str">
        <f t="shared" si="43"/>
        <v>|</v>
      </c>
      <c r="AE553" s="1" t="s">
        <v>2346</v>
      </c>
    </row>
    <row r="554" spans="1:31" ht="24" customHeight="1">
      <c r="A554" s="285">
        <f t="shared" si="45"/>
        <v>386</v>
      </c>
      <c r="B554" s="286" t="s">
        <v>1942</v>
      </c>
      <c r="C554" s="287">
        <v>33.04</v>
      </c>
      <c r="D554" s="286" t="s">
        <v>883</v>
      </c>
      <c r="H554" s="1" t="s">
        <v>1306</v>
      </c>
      <c r="M554" s="8">
        <v>8.1</v>
      </c>
      <c r="N554" s="1" t="s">
        <v>884</v>
      </c>
      <c r="O554" s="1" t="s">
        <v>2232</v>
      </c>
      <c r="P554" s="8">
        <f>(C26)</f>
        <v>16.96</v>
      </c>
      <c r="Q554" s="1" t="s">
        <v>884</v>
      </c>
      <c r="R554" s="8">
        <f>(M554*P554)</f>
        <v>137.38</v>
      </c>
      <c r="T554" s="3"/>
      <c r="U554" s="1" t="s">
        <v>1193</v>
      </c>
      <c r="W554" s="11"/>
      <c r="AC554" s="57" t="str">
        <f t="shared" si="43"/>
        <v>|::</v>
      </c>
      <c r="AE554" s="1" t="s">
        <v>2346</v>
      </c>
    </row>
    <row r="555" spans="1:31" ht="24" customHeight="1">
      <c r="A555" s="285">
        <f t="shared" si="45"/>
        <v>387</v>
      </c>
      <c r="B555" s="286" t="s">
        <v>1307</v>
      </c>
      <c r="C555" s="287">
        <v>33.04</v>
      </c>
      <c r="D555" s="286" t="s">
        <v>883</v>
      </c>
      <c r="H555" s="1" t="s">
        <v>1193</v>
      </c>
      <c r="M555" s="8">
        <v>30</v>
      </c>
      <c r="N555" s="1" t="s">
        <v>1854</v>
      </c>
      <c r="O555" s="1" t="s">
        <v>2233</v>
      </c>
      <c r="P555" s="8">
        <f>(C638)</f>
        <v>3.7</v>
      </c>
      <c r="Q555" s="1" t="s">
        <v>1854</v>
      </c>
      <c r="R555" s="8">
        <f>(M555*P555)</f>
        <v>111</v>
      </c>
      <c r="T555" s="3"/>
      <c r="U555" s="5" t="s">
        <v>1667</v>
      </c>
      <c r="V555" s="5" t="s">
        <v>1667</v>
      </c>
      <c r="W555" s="11"/>
      <c r="AC555" s="57">
        <f t="shared" si="43"/>
        <v>0</v>
      </c>
      <c r="AE555" s="1" t="s">
        <v>325</v>
      </c>
    </row>
    <row r="556" spans="1:31" ht="24" customHeight="1">
      <c r="A556" s="285">
        <f t="shared" si="45"/>
        <v>388</v>
      </c>
      <c r="B556" s="286" t="s">
        <v>1308</v>
      </c>
      <c r="C556" s="287">
        <v>33.04</v>
      </c>
      <c r="D556" s="286" t="s">
        <v>883</v>
      </c>
      <c r="H556" s="5" t="s">
        <v>1667</v>
      </c>
      <c r="I556" s="5" t="s">
        <v>1667</v>
      </c>
      <c r="O556" s="1" t="s">
        <v>1309</v>
      </c>
      <c r="T556" s="7" t="s">
        <v>699</v>
      </c>
      <c r="U556" s="1" t="s">
        <v>2238</v>
      </c>
      <c r="W556" s="11"/>
      <c r="AC556" s="57">
        <f t="shared" si="43"/>
        <v>0</v>
      </c>
    </row>
    <row r="557" spans="1:31" ht="24" customHeight="1">
      <c r="A557" s="285">
        <f t="shared" si="45"/>
        <v>389</v>
      </c>
      <c r="B557" s="286" t="s">
        <v>612</v>
      </c>
      <c r="C557" s="287">
        <v>538</v>
      </c>
      <c r="D557" s="286" t="s">
        <v>883</v>
      </c>
      <c r="G557" s="7" t="s">
        <v>699</v>
      </c>
      <c r="H557" s="1" t="s">
        <v>613</v>
      </c>
      <c r="O557" s="1" t="s">
        <v>2235</v>
      </c>
      <c r="T557" s="3"/>
      <c r="U557" s="1" t="s">
        <v>2369</v>
      </c>
      <c r="W557" s="11"/>
      <c r="AC557" s="57" t="str">
        <f t="shared" si="43"/>
        <v>|</v>
      </c>
    </row>
    <row r="558" spans="1:31" ht="24" customHeight="1">
      <c r="A558" s="285">
        <f t="shared" si="45"/>
        <v>390</v>
      </c>
      <c r="B558" s="286" t="s">
        <v>2368</v>
      </c>
      <c r="C558" s="287">
        <v>340</v>
      </c>
      <c r="D558" s="286" t="s">
        <v>883</v>
      </c>
      <c r="H558" s="1" t="s">
        <v>2369</v>
      </c>
      <c r="O558" s="1" t="s">
        <v>2236</v>
      </c>
      <c r="T558" s="7" t="s">
        <v>2371</v>
      </c>
      <c r="U558" s="1" t="s">
        <v>561</v>
      </c>
      <c r="V558" s="69">
        <f>I574</f>
        <v>330</v>
      </c>
      <c r="W558" s="1" t="s">
        <v>2371</v>
      </c>
      <c r="X558" s="8">
        <f>(S559*V558)</f>
        <v>3300</v>
      </c>
      <c r="AC558" s="57" t="str">
        <f t="shared" si="43"/>
        <v>|</v>
      </c>
      <c r="AE558" s="1" t="s">
        <v>2346</v>
      </c>
    </row>
    <row r="559" spans="1:31" ht="24" customHeight="1">
      <c r="A559" s="285">
        <f t="shared" si="45"/>
        <v>391</v>
      </c>
      <c r="B559" s="286" t="s">
        <v>2370</v>
      </c>
      <c r="C559" s="287">
        <v>1039</v>
      </c>
      <c r="D559" s="286" t="s">
        <v>883</v>
      </c>
      <c r="F559" s="8">
        <v>10</v>
      </c>
      <c r="G559" s="7" t="s">
        <v>2371</v>
      </c>
      <c r="H559" s="1" t="s">
        <v>561</v>
      </c>
      <c r="I559" s="69">
        <f>C720</f>
        <v>304</v>
      </c>
      <c r="J559" s="1" t="s">
        <v>2371</v>
      </c>
      <c r="K559" s="8">
        <f>(F559*I559)</f>
        <v>3040</v>
      </c>
      <c r="O559" s="1" t="s">
        <v>2239</v>
      </c>
      <c r="S559" s="14">
        <v>10</v>
      </c>
      <c r="T559" s="7" t="s">
        <v>563</v>
      </c>
      <c r="U559" s="1" t="s">
        <v>564</v>
      </c>
      <c r="V559" s="8">
        <f>I560</f>
        <v>430.5</v>
      </c>
      <c r="W559" s="1" t="s">
        <v>1458</v>
      </c>
      <c r="X559" s="8">
        <f>(S560*V559)</f>
        <v>430.5</v>
      </c>
      <c r="AC559" s="57" t="str">
        <f t="shared" si="43"/>
        <v>|</v>
      </c>
      <c r="AE559" s="1" t="s">
        <v>2346</v>
      </c>
    </row>
    <row r="560" spans="1:31" ht="24" customHeight="1">
      <c r="A560" s="285">
        <f t="shared" si="45"/>
        <v>392</v>
      </c>
      <c r="B560" s="286" t="s">
        <v>562</v>
      </c>
      <c r="C560" s="287">
        <v>100.44</v>
      </c>
      <c r="D560" s="286" t="s">
        <v>883</v>
      </c>
      <c r="F560" s="8">
        <v>1</v>
      </c>
      <c r="G560" s="7" t="s">
        <v>563</v>
      </c>
      <c r="H560" s="1" t="s">
        <v>564</v>
      </c>
      <c r="I560" s="8">
        <f>C10</f>
        <v>430.5</v>
      </c>
      <c r="J560" s="1" t="s">
        <v>1458</v>
      </c>
      <c r="K560" s="8">
        <f>(F560*I560)</f>
        <v>430.5</v>
      </c>
      <c r="M560" s="8">
        <v>8</v>
      </c>
      <c r="N560" s="1" t="s">
        <v>781</v>
      </c>
      <c r="O560" s="1" t="s">
        <v>2218</v>
      </c>
      <c r="P560" s="8">
        <f>(C640)</f>
        <v>3.6</v>
      </c>
      <c r="Q560" s="1" t="s">
        <v>781</v>
      </c>
      <c r="R560" s="8">
        <f>(M560*P560)</f>
        <v>28.8</v>
      </c>
      <c r="S560" s="14">
        <v>1</v>
      </c>
      <c r="T560" s="7" t="s">
        <v>563</v>
      </c>
      <c r="U560" s="1" t="s">
        <v>838</v>
      </c>
      <c r="V560" s="8">
        <f>I561</f>
        <v>269.85000000000002</v>
      </c>
      <c r="W560" s="1" t="s">
        <v>1458</v>
      </c>
      <c r="X560" s="8">
        <f>(S561*V560)</f>
        <v>269.85000000000002</v>
      </c>
      <c r="AC560" s="57" t="str">
        <f t="shared" si="43"/>
        <v>|</v>
      </c>
      <c r="AE560" s="1" t="s">
        <v>2346</v>
      </c>
    </row>
    <row r="561" spans="1:31" ht="24" customHeight="1">
      <c r="A561" s="285">
        <f t="shared" si="45"/>
        <v>393</v>
      </c>
      <c r="B561" s="286" t="s">
        <v>837</v>
      </c>
      <c r="C561" s="287">
        <v>31</v>
      </c>
      <c r="D561" s="286" t="s">
        <v>1199</v>
      </c>
      <c r="F561" s="8">
        <v>1</v>
      </c>
      <c r="G561" s="7" t="s">
        <v>563</v>
      </c>
      <c r="H561" s="1" t="s">
        <v>838</v>
      </c>
      <c r="I561" s="8">
        <f>C12</f>
        <v>269.85000000000002</v>
      </c>
      <c r="J561" s="1" t="s">
        <v>1458</v>
      </c>
      <c r="K561" s="8">
        <f>(F561*I561)</f>
        <v>269.85000000000002</v>
      </c>
      <c r="M561" s="8">
        <v>8</v>
      </c>
      <c r="N561" s="1" t="s">
        <v>781</v>
      </c>
      <c r="O561" s="1" t="s">
        <v>467</v>
      </c>
      <c r="P561" s="8">
        <f>(C641)</f>
        <v>5.05</v>
      </c>
      <c r="Q561" s="1" t="s">
        <v>781</v>
      </c>
      <c r="R561" s="8">
        <f>(M561*P561)</f>
        <v>40.4</v>
      </c>
      <c r="S561" s="14">
        <v>1</v>
      </c>
      <c r="T561" s="7" t="s">
        <v>448</v>
      </c>
      <c r="U561" s="1" t="s">
        <v>64</v>
      </c>
      <c r="V561" s="8">
        <f>I562</f>
        <v>0</v>
      </c>
      <c r="W561" s="1" t="s">
        <v>448</v>
      </c>
      <c r="X561" s="8">
        <v>120</v>
      </c>
      <c r="AC561" s="57" t="str">
        <f t="shared" si="43"/>
        <v>|</v>
      </c>
      <c r="AE561" s="1" t="s">
        <v>2346</v>
      </c>
    </row>
    <row r="562" spans="1:31" ht="24" customHeight="1">
      <c r="A562" s="285">
        <f t="shared" si="45"/>
        <v>394</v>
      </c>
      <c r="B562" s="286" t="s">
        <v>1090</v>
      </c>
      <c r="C562" s="207">
        <v>211</v>
      </c>
      <c r="D562" s="286" t="s">
        <v>883</v>
      </c>
      <c r="G562" s="7" t="s">
        <v>448</v>
      </c>
      <c r="H562" s="1" t="s">
        <v>64</v>
      </c>
      <c r="J562" s="1" t="s">
        <v>448</v>
      </c>
      <c r="K562" s="8">
        <v>120</v>
      </c>
      <c r="M562" s="8">
        <v>1</v>
      </c>
      <c r="N562" s="1" t="s">
        <v>448</v>
      </c>
      <c r="O562" s="1" t="s">
        <v>1770</v>
      </c>
      <c r="P562" s="8">
        <f>(C642)</f>
        <v>4</v>
      </c>
      <c r="Q562" s="1" t="s">
        <v>448</v>
      </c>
      <c r="R562" s="8">
        <f>(M562*P562)</f>
        <v>4</v>
      </c>
      <c r="T562" s="3"/>
      <c r="U562" s="1" t="s">
        <v>946</v>
      </c>
      <c r="W562" s="11"/>
      <c r="X562" s="5" t="s">
        <v>1667</v>
      </c>
      <c r="AC562" s="57" t="str">
        <f t="shared" si="43"/>
        <v>|</v>
      </c>
      <c r="AE562" s="1" t="s">
        <v>2346</v>
      </c>
    </row>
    <row r="563" spans="1:31" ht="24" customHeight="1">
      <c r="A563" s="285">
        <f t="shared" si="45"/>
        <v>395</v>
      </c>
      <c r="B563" s="286" t="s">
        <v>65</v>
      </c>
      <c r="C563" s="287">
        <v>82.2</v>
      </c>
      <c r="D563" s="286" t="s">
        <v>883</v>
      </c>
      <c r="H563" s="1" t="s">
        <v>946</v>
      </c>
      <c r="K563" s="5" t="s">
        <v>1667</v>
      </c>
      <c r="M563" s="8">
        <v>1</v>
      </c>
      <c r="N563" s="1" t="s">
        <v>448</v>
      </c>
      <c r="O563" s="1" t="s">
        <v>449</v>
      </c>
      <c r="Q563" s="1" t="s">
        <v>448</v>
      </c>
      <c r="R563" s="8">
        <v>0</v>
      </c>
      <c r="T563" s="3"/>
      <c r="U563" s="2" t="s">
        <v>1093</v>
      </c>
      <c r="W563" s="11"/>
      <c r="X563" s="8">
        <f>SUM(X558:X561)</f>
        <v>4120.3500000000004</v>
      </c>
      <c r="AC563" s="57" t="str">
        <f t="shared" si="43"/>
        <v>|</v>
      </c>
      <c r="AE563" s="1" t="s">
        <v>2346</v>
      </c>
    </row>
    <row r="564" spans="1:31" ht="24" customHeight="1">
      <c r="A564" s="285">
        <f t="shared" si="45"/>
        <v>396</v>
      </c>
      <c r="B564" s="286" t="s">
        <v>1092</v>
      </c>
      <c r="C564" s="287">
        <v>57.51</v>
      </c>
      <c r="D564" s="286" t="s">
        <v>883</v>
      </c>
      <c r="H564" s="2" t="s">
        <v>1093</v>
      </c>
      <c r="K564" s="8">
        <f>SUM(K559:K562)</f>
        <v>3860.35</v>
      </c>
      <c r="R564" s="5" t="s">
        <v>1667</v>
      </c>
      <c r="T564" s="3"/>
      <c r="W564" s="11"/>
      <c r="X564" s="5" t="s">
        <v>1667</v>
      </c>
      <c r="AC564" s="57" t="str">
        <f t="shared" si="43"/>
        <v>|</v>
      </c>
      <c r="AE564" s="1" t="s">
        <v>2346</v>
      </c>
    </row>
    <row r="565" spans="1:31" ht="24" customHeight="1">
      <c r="A565" s="285">
        <f>(A564+1)</f>
        <v>397</v>
      </c>
      <c r="B565" s="286" t="s">
        <v>933</v>
      </c>
      <c r="C565" s="287">
        <v>50.63</v>
      </c>
      <c r="D565" s="286" t="s">
        <v>883</v>
      </c>
      <c r="K565" s="5" t="s">
        <v>1667</v>
      </c>
      <c r="O565" s="1" t="s">
        <v>1621</v>
      </c>
      <c r="R565" s="8">
        <f>SUM(R553:R563)</f>
        <v>1104.04</v>
      </c>
      <c r="T565" s="3"/>
      <c r="U565" s="2" t="s">
        <v>501</v>
      </c>
      <c r="W565" s="11"/>
      <c r="X565" s="8">
        <f>X563/10</f>
        <v>412.04</v>
      </c>
      <c r="AC565" s="57" t="str">
        <f t="shared" si="43"/>
        <v>|</v>
      </c>
      <c r="AE565" s="1" t="s">
        <v>2346</v>
      </c>
    </row>
    <row r="566" spans="1:31" ht="24" customHeight="1">
      <c r="A566" s="285">
        <f t="shared" ref="A566:A613" si="46">(A565+1)</f>
        <v>398</v>
      </c>
      <c r="B566" s="286" t="s">
        <v>500</v>
      </c>
      <c r="C566" s="287">
        <v>57.51</v>
      </c>
      <c r="D566" s="286" t="s">
        <v>883</v>
      </c>
      <c r="H566" s="2" t="s">
        <v>501</v>
      </c>
      <c r="K566" s="8">
        <f>K564/10</f>
        <v>386.04</v>
      </c>
      <c r="R566" s="5" t="s">
        <v>1667</v>
      </c>
      <c r="T566" s="3"/>
      <c r="U566" s="1" t="s">
        <v>388</v>
      </c>
      <c r="V566" s="8">
        <f>J582</f>
        <v>1.79</v>
      </c>
      <c r="W566" s="1">
        <f>P22*0.02</f>
        <v>14.82</v>
      </c>
      <c r="X566" s="40">
        <f>X565+V566</f>
        <v>413.83</v>
      </c>
      <c r="AC566" s="57" t="str">
        <f t="shared" si="43"/>
        <v>|</v>
      </c>
      <c r="AE566" s="1" t="s">
        <v>2346</v>
      </c>
    </row>
    <row r="567" spans="1:31" ht="24" customHeight="1">
      <c r="A567" s="285">
        <f t="shared" si="46"/>
        <v>399</v>
      </c>
      <c r="B567" s="286" t="s">
        <v>1983</v>
      </c>
      <c r="C567" s="287">
        <v>20</v>
      </c>
      <c r="D567" s="286" t="s">
        <v>883</v>
      </c>
      <c r="H567" s="1" t="s">
        <v>388</v>
      </c>
      <c r="I567" s="8">
        <f>K566</f>
        <v>386.04</v>
      </c>
      <c r="J567" s="1">
        <f>C22*0.02</f>
        <v>0.89</v>
      </c>
      <c r="K567" s="40">
        <f>I567+J567</f>
        <v>386.93</v>
      </c>
      <c r="O567" s="1" t="s">
        <v>1622</v>
      </c>
      <c r="R567" s="8">
        <f>(R565/30)</f>
        <v>36.799999999999997</v>
      </c>
      <c r="T567" s="3"/>
      <c r="U567" s="1" t="s">
        <v>390</v>
      </c>
      <c r="V567" s="8">
        <f>J583</f>
        <v>3.56</v>
      </c>
      <c r="W567" s="1">
        <f>P23*0.02</f>
        <v>20.53</v>
      </c>
      <c r="X567" s="40">
        <f>X566+V567</f>
        <v>417.39</v>
      </c>
      <c r="AC567" s="57" t="str">
        <f t="shared" si="43"/>
        <v>|</v>
      </c>
      <c r="AE567" s="1" t="s">
        <v>2346</v>
      </c>
    </row>
    <row r="568" spans="1:31" ht="24" customHeight="1">
      <c r="A568" s="285">
        <f t="shared" si="46"/>
        <v>400</v>
      </c>
      <c r="B568" s="286" t="s">
        <v>1984</v>
      </c>
      <c r="C568" s="287">
        <v>21.92</v>
      </c>
      <c r="D568" s="286" t="s">
        <v>883</v>
      </c>
      <c r="H568" s="1" t="s">
        <v>390</v>
      </c>
      <c r="I568" s="8">
        <f>K567</f>
        <v>386.93</v>
      </c>
      <c r="J568" s="1">
        <f>C23*0.02</f>
        <v>1.78</v>
      </c>
      <c r="K568" s="40">
        <f>I568+J568</f>
        <v>388.71</v>
      </c>
      <c r="N568" s="1" t="s">
        <v>2338</v>
      </c>
      <c r="O568" s="1" t="s">
        <v>1985</v>
      </c>
      <c r="T568" s="3"/>
      <c r="U568" s="1" t="s">
        <v>2319</v>
      </c>
      <c r="V568" s="8">
        <f>J584</f>
        <v>3.56</v>
      </c>
      <c r="W568" s="1">
        <f>P23*0.02</f>
        <v>20.53</v>
      </c>
      <c r="X568" s="40">
        <f>X567+V568</f>
        <v>420.95</v>
      </c>
      <c r="AC568" s="57" t="str">
        <f t="shared" si="43"/>
        <v>|</v>
      </c>
      <c r="AE568" s="1" t="s">
        <v>2346</v>
      </c>
    </row>
    <row r="569" spans="1:31" ht="24" customHeight="1">
      <c r="A569" s="285">
        <f t="shared" si="46"/>
        <v>401</v>
      </c>
      <c r="B569" s="286" t="s">
        <v>235</v>
      </c>
      <c r="C569" s="287">
        <v>28.5</v>
      </c>
      <c r="D569" s="286" t="s">
        <v>883</v>
      </c>
      <c r="H569" s="1" t="s">
        <v>2319</v>
      </c>
      <c r="I569" s="8">
        <f>K568</f>
        <v>388.71</v>
      </c>
      <c r="J569" s="1">
        <f>C23*0.02</f>
        <v>1.78</v>
      </c>
      <c r="K569" s="40">
        <f>I569+J569</f>
        <v>390.49</v>
      </c>
      <c r="O569" s="1" t="s">
        <v>236</v>
      </c>
      <c r="T569" s="3"/>
      <c r="U569" s="1" t="s">
        <v>382</v>
      </c>
      <c r="V569" s="8">
        <f>J585</f>
        <v>3.56</v>
      </c>
      <c r="W569" s="1">
        <f>P23*0.02</f>
        <v>20.53</v>
      </c>
      <c r="X569" s="40">
        <f>X568+V569</f>
        <v>424.51</v>
      </c>
      <c r="AC569" s="57" t="str">
        <f t="shared" si="43"/>
        <v>|</v>
      </c>
      <c r="AE569" s="1" t="s">
        <v>2346</v>
      </c>
    </row>
    <row r="570" spans="1:31" ht="24" customHeight="1">
      <c r="A570" s="285">
        <f t="shared" si="46"/>
        <v>402</v>
      </c>
      <c r="B570" s="286" t="s">
        <v>2140</v>
      </c>
      <c r="C570" s="207">
        <v>908</v>
      </c>
      <c r="D570" s="286" t="s">
        <v>883</v>
      </c>
      <c r="H570" s="1" t="s">
        <v>382</v>
      </c>
      <c r="I570" s="8">
        <f>K569</f>
        <v>390.49</v>
      </c>
      <c r="J570" s="1">
        <f>C23*0.02</f>
        <v>1.78</v>
      </c>
      <c r="K570" s="40">
        <f>I570+J570</f>
        <v>392.27</v>
      </c>
      <c r="O570" s="5" t="s">
        <v>1667</v>
      </c>
      <c r="T570" s="3"/>
      <c r="U570" s="1" t="s">
        <v>1427</v>
      </c>
      <c r="V570" s="8">
        <f>J586</f>
        <v>3.56</v>
      </c>
      <c r="W570" s="1">
        <f>P24*0.02</f>
        <v>1</v>
      </c>
      <c r="X570" s="40">
        <f>X569+V570</f>
        <v>428.07</v>
      </c>
      <c r="AC570" s="57">
        <f t="shared" si="43"/>
        <v>0</v>
      </c>
      <c r="AE570" s="1" t="s">
        <v>2346</v>
      </c>
    </row>
    <row r="571" spans="1:31" ht="24" customHeight="1">
      <c r="A571" s="285"/>
      <c r="B571" s="286"/>
      <c r="C571" s="287"/>
      <c r="D571" s="286"/>
      <c r="H571" s="1" t="s">
        <v>1427</v>
      </c>
      <c r="I571" s="8">
        <f>K570</f>
        <v>392.27</v>
      </c>
      <c r="J571" s="1">
        <f>C24*0.02</f>
        <v>1.78</v>
      </c>
      <c r="K571" s="40">
        <f>I571+J571</f>
        <v>394.05</v>
      </c>
      <c r="O571" s="5"/>
      <c r="T571" s="7" t="s">
        <v>699</v>
      </c>
      <c r="U571" s="1" t="s">
        <v>802</v>
      </c>
      <c r="W571" s="11"/>
      <c r="X571" s="40">
        <f>X570+V570</f>
        <v>431.63</v>
      </c>
      <c r="AC571" s="57" t="str">
        <f t="shared" si="43"/>
        <v>|</v>
      </c>
      <c r="AE571" s="1"/>
    </row>
    <row r="572" spans="1:31" ht="24" customHeight="1">
      <c r="A572" s="285">
        <f>(A570+1)</f>
        <v>403</v>
      </c>
      <c r="B572" s="286" t="s">
        <v>545</v>
      </c>
      <c r="C572" s="287">
        <v>21</v>
      </c>
      <c r="D572" s="286" t="s">
        <v>883</v>
      </c>
      <c r="F572" s="26">
        <v>15.2</v>
      </c>
      <c r="G572" s="7" t="s">
        <v>699</v>
      </c>
      <c r="H572" s="1" t="s">
        <v>802</v>
      </c>
      <c r="K572" s="40">
        <f>K571+J571</f>
        <v>395.83</v>
      </c>
      <c r="M572" s="8">
        <v>1.08</v>
      </c>
      <c r="N572" s="1" t="s">
        <v>884</v>
      </c>
      <c r="O572" s="1" t="s">
        <v>803</v>
      </c>
      <c r="P572" s="8">
        <f>(K88)</f>
        <v>102.25</v>
      </c>
      <c r="Q572" s="1" t="s">
        <v>884</v>
      </c>
      <c r="R572" s="8">
        <f>(M572*P572)</f>
        <v>110.43</v>
      </c>
      <c r="S572" s="22">
        <v>15.2</v>
      </c>
      <c r="AC572" s="57" t="str">
        <f t="shared" si="43"/>
        <v>|</v>
      </c>
      <c r="AE572" s="1" t="s">
        <v>2346</v>
      </c>
    </row>
    <row r="573" spans="1:31" ht="24" customHeight="1">
      <c r="A573" s="285">
        <f t="shared" si="46"/>
        <v>404</v>
      </c>
      <c r="B573" s="286" t="s">
        <v>804</v>
      </c>
      <c r="C573" s="287">
        <v>150</v>
      </c>
      <c r="D573" s="286" t="s">
        <v>883</v>
      </c>
      <c r="H573" s="1" t="s">
        <v>2369</v>
      </c>
      <c r="M573" s="14">
        <v>0.216</v>
      </c>
      <c r="N573" s="1" t="s">
        <v>884</v>
      </c>
      <c r="O573" s="1" t="s">
        <v>805</v>
      </c>
      <c r="P573" s="8">
        <f>(R60)</f>
        <v>2253.1999999999998</v>
      </c>
      <c r="Q573" s="1" t="s">
        <v>884</v>
      </c>
      <c r="R573" s="8">
        <f>(M573*P573)</f>
        <v>486.69</v>
      </c>
      <c r="AC573" s="57" t="str">
        <f t="shared" si="43"/>
        <v>|</v>
      </c>
      <c r="AE573" s="1" t="s">
        <v>2346</v>
      </c>
    </row>
    <row r="574" spans="1:31" ht="24" customHeight="1">
      <c r="A574" s="285">
        <f t="shared" si="46"/>
        <v>405</v>
      </c>
      <c r="B574" s="286" t="s">
        <v>2051</v>
      </c>
      <c r="C574" s="287">
        <v>21</v>
      </c>
      <c r="D574" s="286" t="s">
        <v>883</v>
      </c>
      <c r="F574" s="8">
        <v>1</v>
      </c>
      <c r="G574" s="7" t="s">
        <v>2371</v>
      </c>
      <c r="H574" s="1" t="s">
        <v>561</v>
      </c>
      <c r="I574" s="8">
        <f>D720</f>
        <v>330</v>
      </c>
      <c r="J574" s="1" t="s">
        <v>2371</v>
      </c>
      <c r="K574" s="8">
        <f>(F574*I574)</f>
        <v>330</v>
      </c>
      <c r="M574" s="14">
        <v>0.48699999999999999</v>
      </c>
      <c r="N574" s="1" t="s">
        <v>884</v>
      </c>
      <c r="O574" s="1" t="s">
        <v>2052</v>
      </c>
      <c r="P574" s="8">
        <f>(R89)</f>
        <v>1869.24</v>
      </c>
      <c r="Q574" s="1" t="s">
        <v>884</v>
      </c>
      <c r="R574" s="8">
        <f>(M574*P574)</f>
        <v>910.32</v>
      </c>
      <c r="AC574" s="57" t="str">
        <f t="shared" si="43"/>
        <v>|</v>
      </c>
      <c r="AE574" s="1" t="s">
        <v>2346</v>
      </c>
    </row>
    <row r="575" spans="1:31" ht="24" customHeight="1">
      <c r="A575" s="285">
        <f t="shared" si="46"/>
        <v>406</v>
      </c>
      <c r="B575" s="286" t="s">
        <v>1096</v>
      </c>
      <c r="C575" s="290">
        <v>50.6</v>
      </c>
      <c r="D575" s="290">
        <v>44.4</v>
      </c>
      <c r="F575" s="8">
        <v>0.75</v>
      </c>
      <c r="G575" s="7" t="s">
        <v>563</v>
      </c>
      <c r="H575" s="1" t="s">
        <v>564</v>
      </c>
      <c r="I575" s="8">
        <f>C10</f>
        <v>430.5</v>
      </c>
      <c r="J575" s="1" t="s">
        <v>1458</v>
      </c>
      <c r="K575" s="8">
        <f>(F575*I575)</f>
        <v>322.88</v>
      </c>
      <c r="M575" s="14">
        <v>5.36</v>
      </c>
      <c r="N575" s="1" t="s">
        <v>611</v>
      </c>
      <c r="O575" s="1" t="s">
        <v>2053</v>
      </c>
      <c r="P575" s="8">
        <f>(R303)</f>
        <v>136.35</v>
      </c>
      <c r="Q575" s="1" t="s">
        <v>611</v>
      </c>
      <c r="R575" s="8">
        <f>(M575*P575)</f>
        <v>730.84</v>
      </c>
      <c r="AC575" s="57" t="str">
        <f t="shared" si="43"/>
        <v>|</v>
      </c>
      <c r="AE575" s="1" t="s">
        <v>2346</v>
      </c>
    </row>
    <row r="576" spans="1:31" ht="24" customHeight="1">
      <c r="A576" s="285">
        <f t="shared" si="46"/>
        <v>407</v>
      </c>
      <c r="B576" s="286" t="s">
        <v>422</v>
      </c>
      <c r="C576" s="287">
        <v>208.5</v>
      </c>
      <c r="D576" s="286" t="s">
        <v>883</v>
      </c>
      <c r="F576" s="8">
        <v>0.75</v>
      </c>
      <c r="G576" s="7" t="s">
        <v>563</v>
      </c>
      <c r="H576" s="1" t="s">
        <v>838</v>
      </c>
      <c r="I576" s="8">
        <f>C12</f>
        <v>269.85000000000002</v>
      </c>
      <c r="J576" s="1" t="s">
        <v>1458</v>
      </c>
      <c r="K576" s="8">
        <f>(F576*I576)</f>
        <v>202.39</v>
      </c>
      <c r="M576" s="14">
        <v>3.2000000000000001E-2</v>
      </c>
      <c r="N576" s="1" t="s">
        <v>884</v>
      </c>
      <c r="O576" s="1" t="s">
        <v>795</v>
      </c>
      <c r="P576" s="8">
        <f>(K613)</f>
        <v>4938</v>
      </c>
      <c r="Q576" s="1" t="s">
        <v>884</v>
      </c>
      <c r="R576" s="8">
        <f>(M576*P576)</f>
        <v>158.02000000000001</v>
      </c>
      <c r="AC576" s="57" t="str">
        <f t="shared" si="43"/>
        <v>|</v>
      </c>
      <c r="AE576" s="1" t="s">
        <v>2346</v>
      </c>
    </row>
    <row r="577" spans="1:31" ht="24" customHeight="1">
      <c r="A577" s="285">
        <f t="shared" si="46"/>
        <v>408</v>
      </c>
      <c r="B577" s="286" t="s">
        <v>2117</v>
      </c>
      <c r="C577" s="207">
        <v>169</v>
      </c>
      <c r="D577" s="286" t="s">
        <v>883</v>
      </c>
      <c r="F577" s="8">
        <v>0.5</v>
      </c>
      <c r="G577" s="7" t="s">
        <v>563</v>
      </c>
      <c r="H577" s="1" t="s">
        <v>2118</v>
      </c>
      <c r="I577" s="8">
        <f>C41</f>
        <v>305.55</v>
      </c>
      <c r="J577" s="1" t="s">
        <v>1458</v>
      </c>
      <c r="K577" s="8">
        <f>(F577*I577)</f>
        <v>152.78</v>
      </c>
      <c r="O577" s="1" t="s">
        <v>290</v>
      </c>
      <c r="R577" s="1" t="s">
        <v>995</v>
      </c>
      <c r="AC577" s="57" t="str">
        <f t="shared" si="43"/>
        <v>|</v>
      </c>
      <c r="AE577" s="1" t="s">
        <v>2346</v>
      </c>
    </row>
    <row r="578" spans="1:31" ht="31.5">
      <c r="A578" s="285">
        <f t="shared" si="46"/>
        <v>409</v>
      </c>
      <c r="B578" s="291" t="s">
        <v>277</v>
      </c>
      <c r="C578" s="209">
        <v>390.5</v>
      </c>
      <c r="D578" s="286" t="s">
        <v>611</v>
      </c>
      <c r="G578" s="7" t="s">
        <v>448</v>
      </c>
      <c r="H578" s="1" t="s">
        <v>64</v>
      </c>
      <c r="J578" s="1" t="s">
        <v>448</v>
      </c>
      <c r="K578" s="8">
        <v>53.5</v>
      </c>
      <c r="N578" s="1" t="s">
        <v>448</v>
      </c>
      <c r="O578" s="1" t="s">
        <v>345</v>
      </c>
      <c r="Q578" s="1" t="s">
        <v>448</v>
      </c>
      <c r="R578" s="8">
        <v>2.92</v>
      </c>
      <c r="AC578" s="57" t="str">
        <f t="shared" si="43"/>
        <v>|</v>
      </c>
      <c r="AE578" s="1" t="s">
        <v>2346</v>
      </c>
    </row>
    <row r="579" spans="1:31" ht="47.25">
      <c r="A579" s="285">
        <f t="shared" si="46"/>
        <v>410</v>
      </c>
      <c r="B579" s="543" t="s">
        <v>3267</v>
      </c>
      <c r="C579" s="207">
        <v>422.5</v>
      </c>
      <c r="D579" s="286" t="s">
        <v>611</v>
      </c>
      <c r="E579" s="1"/>
      <c r="H579" s="1" t="s">
        <v>946</v>
      </c>
      <c r="K579" s="5" t="s">
        <v>1667</v>
      </c>
      <c r="R579" s="5" t="s">
        <v>1667</v>
      </c>
      <c r="AC579" s="57" t="str">
        <f t="shared" si="43"/>
        <v>|</v>
      </c>
      <c r="AE579" s="1" t="s">
        <v>2346</v>
      </c>
    </row>
    <row r="580" spans="1:31" ht="24" customHeight="1">
      <c r="A580" s="285">
        <f t="shared" si="46"/>
        <v>411</v>
      </c>
      <c r="B580" s="286" t="s">
        <v>346</v>
      </c>
      <c r="C580" s="287">
        <v>75</v>
      </c>
      <c r="D580" s="286" t="s">
        <v>883</v>
      </c>
      <c r="H580" s="2" t="s">
        <v>1833</v>
      </c>
      <c r="K580" s="8">
        <f>SUM(K574:K578)</f>
        <v>1061.55</v>
      </c>
      <c r="O580" s="1" t="s">
        <v>1834</v>
      </c>
      <c r="R580" s="8">
        <f>SUM(R572:R578)</f>
        <v>2399.2199999999998</v>
      </c>
      <c r="AC580" s="57" t="str">
        <f t="shared" si="43"/>
        <v>|</v>
      </c>
      <c r="AE580" s="1" t="s">
        <v>2346</v>
      </c>
    </row>
    <row r="581" spans="1:31" ht="24" customHeight="1">
      <c r="A581" s="285">
        <f t="shared" si="46"/>
        <v>412</v>
      </c>
      <c r="B581" s="286" t="s">
        <v>1835</v>
      </c>
      <c r="C581" s="287">
        <v>125</v>
      </c>
      <c r="D581" s="286" t="s">
        <v>883</v>
      </c>
      <c r="K581" s="5" t="s">
        <v>1667</v>
      </c>
      <c r="R581" s="5" t="s">
        <v>1667</v>
      </c>
      <c r="AC581" s="57" t="str">
        <f t="shared" si="43"/>
        <v>|</v>
      </c>
      <c r="AE581" s="1" t="s">
        <v>2346</v>
      </c>
    </row>
    <row r="582" spans="1:31" ht="24" customHeight="1">
      <c r="A582" s="285">
        <f t="shared" si="46"/>
        <v>413</v>
      </c>
      <c r="B582" s="286" t="s">
        <v>1836</v>
      </c>
      <c r="C582" s="287">
        <v>190</v>
      </c>
      <c r="D582" s="286" t="s">
        <v>883</v>
      </c>
      <c r="H582" s="1" t="s">
        <v>388</v>
      </c>
      <c r="I582" s="8">
        <f>K580</f>
        <v>1061.55</v>
      </c>
      <c r="J582" s="1">
        <f>C22*0.04</f>
        <v>1.79</v>
      </c>
      <c r="K582" s="40">
        <f>(K580+C22*0.04)</f>
        <v>1063.3399999999999</v>
      </c>
      <c r="N582" s="1" t="s">
        <v>2338</v>
      </c>
      <c r="O582" s="1" t="s">
        <v>1985</v>
      </c>
      <c r="AC582" s="57" t="str">
        <f t="shared" si="43"/>
        <v>|</v>
      </c>
      <c r="AE582" s="1" t="s">
        <v>2346</v>
      </c>
    </row>
    <row r="583" spans="1:31" ht="24" customHeight="1">
      <c r="A583" s="285">
        <f t="shared" si="46"/>
        <v>414</v>
      </c>
      <c r="B583" s="286" t="s">
        <v>1837</v>
      </c>
      <c r="C583" s="287">
        <v>16</v>
      </c>
      <c r="D583" s="286" t="s">
        <v>883</v>
      </c>
      <c r="H583" s="1" t="s">
        <v>390</v>
      </c>
      <c r="I583" s="8">
        <f>K582</f>
        <v>1063.3399999999999</v>
      </c>
      <c r="J583" s="1">
        <f>C23*0.04</f>
        <v>3.56</v>
      </c>
      <c r="K583" s="40">
        <f>(K582+C23*0.04)</f>
        <v>1066.9000000000001</v>
      </c>
      <c r="O583" s="1" t="s">
        <v>1838</v>
      </c>
      <c r="AC583" s="57" t="str">
        <f t="shared" si="43"/>
        <v>|</v>
      </c>
      <c r="AE583" s="1" t="s">
        <v>2346</v>
      </c>
    </row>
    <row r="584" spans="1:31" ht="24" customHeight="1">
      <c r="A584" s="285">
        <f t="shared" si="46"/>
        <v>415</v>
      </c>
      <c r="B584" s="286" t="s">
        <v>1839</v>
      </c>
      <c r="C584" s="207">
        <v>10.8</v>
      </c>
      <c r="D584" s="286" t="s">
        <v>1730</v>
      </c>
      <c r="H584" s="1" t="s">
        <v>2319</v>
      </c>
      <c r="I584" s="8">
        <f>K583</f>
        <v>1066.9000000000001</v>
      </c>
      <c r="J584" s="1">
        <f>C23*0.04</f>
        <v>3.56</v>
      </c>
      <c r="K584" s="40">
        <f>(K583+C24*0.04)</f>
        <v>1070.46</v>
      </c>
      <c r="O584" s="5" t="s">
        <v>1667</v>
      </c>
      <c r="AC584" s="57" t="str">
        <f t="shared" ref="AC584:AC647" si="47">AE585</f>
        <v>|</v>
      </c>
      <c r="AE584" s="1" t="s">
        <v>2346</v>
      </c>
    </row>
    <row r="585" spans="1:31" ht="24" customHeight="1">
      <c r="A585" s="285">
        <f t="shared" si="46"/>
        <v>416</v>
      </c>
      <c r="B585" s="286" t="s">
        <v>1097</v>
      </c>
      <c r="C585" s="207">
        <v>24.83</v>
      </c>
      <c r="D585" s="286" t="s">
        <v>1730</v>
      </c>
      <c r="E585">
        <f>23+26.65</f>
        <v>49.65</v>
      </c>
      <c r="H585" s="1" t="s">
        <v>382</v>
      </c>
      <c r="I585" s="8">
        <f>K584</f>
        <v>1070.46</v>
      </c>
      <c r="J585" s="1">
        <f>C23*0.04</f>
        <v>3.56</v>
      </c>
      <c r="K585" s="40">
        <f>(K584+C24*0.04)</f>
        <v>1074.02</v>
      </c>
      <c r="M585" s="8">
        <v>1.3</v>
      </c>
      <c r="N585" s="1" t="s">
        <v>884</v>
      </c>
      <c r="O585" s="1" t="s">
        <v>803</v>
      </c>
      <c r="P585" s="8">
        <f>(K88)</f>
        <v>102.25</v>
      </c>
      <c r="Q585" s="1" t="s">
        <v>884</v>
      </c>
      <c r="R585" s="8">
        <f>(M585*P585)</f>
        <v>132.93</v>
      </c>
      <c r="AC585" s="57">
        <f t="shared" si="47"/>
        <v>0</v>
      </c>
      <c r="AE585" s="1" t="s">
        <v>2346</v>
      </c>
    </row>
    <row r="586" spans="1:31" ht="24" customHeight="1">
      <c r="A586" s="285"/>
      <c r="B586" s="286" t="s">
        <v>614</v>
      </c>
      <c r="C586" s="207">
        <v>23</v>
      </c>
      <c r="D586" s="286" t="s">
        <v>1730</v>
      </c>
      <c r="E586">
        <f>E585/2</f>
        <v>24.83</v>
      </c>
      <c r="H586" s="1" t="s">
        <v>1427</v>
      </c>
      <c r="I586" s="8">
        <f>K585</f>
        <v>1074.02</v>
      </c>
      <c r="J586" s="1">
        <f>C24*0.04</f>
        <v>3.56</v>
      </c>
      <c r="K586" s="40">
        <f>(K585+C24*0.04)</f>
        <v>1077.58</v>
      </c>
      <c r="M586" s="8"/>
      <c r="N586" s="1"/>
      <c r="O586" s="1"/>
      <c r="P586" s="8"/>
      <c r="Q586" s="1"/>
      <c r="R586" s="8"/>
      <c r="AC586" s="57" t="str">
        <f t="shared" si="47"/>
        <v>|</v>
      </c>
      <c r="AE586" s="1"/>
    </row>
    <row r="587" spans="1:31" ht="24" customHeight="1">
      <c r="A587" s="285">
        <f>(A585+1)</f>
        <v>417</v>
      </c>
      <c r="B587" s="286" t="s">
        <v>278</v>
      </c>
      <c r="C587" s="207">
        <v>26.65</v>
      </c>
      <c r="D587" s="286" t="s">
        <v>1730</v>
      </c>
      <c r="F587" s="32">
        <v>15.1</v>
      </c>
      <c r="G587" s="7" t="s">
        <v>1840</v>
      </c>
      <c r="H587" s="1" t="s">
        <v>1689</v>
      </c>
      <c r="M587" s="14">
        <v>0.216</v>
      </c>
      <c r="N587" s="1" t="s">
        <v>884</v>
      </c>
      <c r="O587" s="1" t="s">
        <v>805</v>
      </c>
      <c r="P587" s="8">
        <f>(R60)</f>
        <v>2253.1999999999998</v>
      </c>
      <c r="Q587" s="1" t="s">
        <v>884</v>
      </c>
      <c r="R587" s="8">
        <f>(M587*P587)</f>
        <v>486.69</v>
      </c>
      <c r="AC587" s="57" t="str">
        <f t="shared" si="47"/>
        <v>|</v>
      </c>
      <c r="AE587" s="1" t="s">
        <v>2346</v>
      </c>
    </row>
    <row r="588" spans="1:31" ht="24" customHeight="1">
      <c r="A588" s="285">
        <f t="shared" si="46"/>
        <v>418</v>
      </c>
      <c r="B588" s="286" t="s">
        <v>1841</v>
      </c>
      <c r="C588" s="287">
        <v>7.5</v>
      </c>
      <c r="D588" s="286" t="s">
        <v>781</v>
      </c>
      <c r="H588" s="1" t="s">
        <v>2369</v>
      </c>
      <c r="M588" s="14">
        <v>0.60099999999999998</v>
      </c>
      <c r="N588" s="1" t="s">
        <v>884</v>
      </c>
      <c r="O588" s="1" t="s">
        <v>2052</v>
      </c>
      <c r="P588" s="8">
        <f>(R89)</f>
        <v>1869.24</v>
      </c>
      <c r="Q588" s="1" t="s">
        <v>884</v>
      </c>
      <c r="R588" s="8">
        <f>(M588*P588)</f>
        <v>1123.4100000000001</v>
      </c>
      <c r="AC588" s="57" t="str">
        <f t="shared" si="47"/>
        <v>|</v>
      </c>
      <c r="AE588" s="1" t="s">
        <v>2346</v>
      </c>
    </row>
    <row r="589" spans="1:31" ht="24" customHeight="1">
      <c r="A589" s="285">
        <f t="shared" si="46"/>
        <v>419</v>
      </c>
      <c r="B589" s="286" t="s">
        <v>797</v>
      </c>
      <c r="C589" s="287">
        <v>16</v>
      </c>
      <c r="D589" s="286" t="s">
        <v>781</v>
      </c>
      <c r="E589" t="s">
        <v>1640</v>
      </c>
      <c r="F589" s="8">
        <v>10</v>
      </c>
      <c r="G589" s="7" t="s">
        <v>2371</v>
      </c>
      <c r="H589" s="1" t="s">
        <v>2320</v>
      </c>
      <c r="I589" s="69">
        <f>C720</f>
        <v>304</v>
      </c>
      <c r="J589" s="1" t="s">
        <v>2371</v>
      </c>
      <c r="K589" s="8">
        <f>(F589*I589)</f>
        <v>3040</v>
      </c>
      <c r="M589" s="14">
        <v>6.35</v>
      </c>
      <c r="N589" s="1" t="s">
        <v>611</v>
      </c>
      <c r="O589" s="1" t="s">
        <v>2053</v>
      </c>
      <c r="P589" s="8">
        <f>(R303)</f>
        <v>136.35</v>
      </c>
      <c r="Q589" s="1" t="s">
        <v>611</v>
      </c>
      <c r="R589" s="8">
        <f>(M589*P589)</f>
        <v>865.82</v>
      </c>
      <c r="AC589" s="57" t="str">
        <f t="shared" si="47"/>
        <v>|</v>
      </c>
      <c r="AE589" s="1" t="s">
        <v>2346</v>
      </c>
    </row>
    <row r="590" spans="1:31" ht="24" customHeight="1">
      <c r="A590" s="285">
        <f t="shared" si="46"/>
        <v>420</v>
      </c>
      <c r="B590" s="286" t="s">
        <v>798</v>
      </c>
      <c r="C590" s="207">
        <v>2785</v>
      </c>
      <c r="D590" s="286" t="s">
        <v>799</v>
      </c>
      <c r="E590" s="208">
        <v>3150</v>
      </c>
      <c r="F590" s="8">
        <v>0.12</v>
      </c>
      <c r="G590" s="7" t="s">
        <v>884</v>
      </c>
      <c r="H590" s="1" t="s">
        <v>800</v>
      </c>
      <c r="I590" s="8">
        <f>K32</f>
        <v>3479.01</v>
      </c>
      <c r="J590" s="1" t="s">
        <v>884</v>
      </c>
      <c r="K590" s="8">
        <f>(F590*I590)</f>
        <v>417.48</v>
      </c>
      <c r="M590" s="14">
        <v>3.2000000000000001E-2</v>
      </c>
      <c r="N590" s="1" t="s">
        <v>884</v>
      </c>
      <c r="O590" s="1" t="s">
        <v>795</v>
      </c>
      <c r="P590" s="8">
        <f>(K613)</f>
        <v>4938</v>
      </c>
      <c r="Q590" s="1" t="s">
        <v>884</v>
      </c>
      <c r="R590" s="8">
        <f>(M590*P590)</f>
        <v>158.02000000000001</v>
      </c>
      <c r="AC590" s="57" t="str">
        <f t="shared" si="47"/>
        <v>|</v>
      </c>
      <c r="AE590" s="1" t="s">
        <v>2346</v>
      </c>
    </row>
    <row r="591" spans="1:31" ht="24" customHeight="1">
      <c r="A591" s="285">
        <f t="shared" si="46"/>
        <v>421</v>
      </c>
      <c r="B591" s="286" t="s">
        <v>801</v>
      </c>
      <c r="C591" s="287">
        <v>805</v>
      </c>
      <c r="D591" s="286" t="s">
        <v>799</v>
      </c>
      <c r="F591" s="8">
        <v>1</v>
      </c>
      <c r="G591" s="7" t="s">
        <v>563</v>
      </c>
      <c r="H591" s="1" t="s">
        <v>564</v>
      </c>
      <c r="I591" s="8">
        <f>C10</f>
        <v>430.5</v>
      </c>
      <c r="J591" s="1" t="s">
        <v>1458</v>
      </c>
      <c r="K591" s="8">
        <f>(F591*I591)</f>
        <v>430.5</v>
      </c>
      <c r="O591" s="1" t="s">
        <v>290</v>
      </c>
      <c r="R591" s="1" t="s">
        <v>995</v>
      </c>
      <c r="AC591" s="57" t="str">
        <f t="shared" si="47"/>
        <v>|</v>
      </c>
      <c r="AE591" s="1" t="s">
        <v>2346</v>
      </c>
    </row>
    <row r="592" spans="1:31" ht="24" customHeight="1">
      <c r="A592" s="285">
        <f t="shared" si="46"/>
        <v>422</v>
      </c>
      <c r="B592" s="286" t="s">
        <v>2137</v>
      </c>
      <c r="C592" s="287">
        <f>204+53</f>
        <v>257</v>
      </c>
      <c r="D592" s="286" t="s">
        <v>799</v>
      </c>
      <c r="F592" s="8">
        <v>1</v>
      </c>
      <c r="G592" s="7" t="s">
        <v>563</v>
      </c>
      <c r="H592" s="1" t="s">
        <v>838</v>
      </c>
      <c r="I592" s="8">
        <f>C12</f>
        <v>269.85000000000002</v>
      </c>
      <c r="J592" s="1" t="s">
        <v>1458</v>
      </c>
      <c r="K592" s="8">
        <f>(F592*I592)</f>
        <v>269.85000000000002</v>
      </c>
      <c r="N592" s="1" t="s">
        <v>448</v>
      </c>
      <c r="O592" s="1" t="s">
        <v>345</v>
      </c>
      <c r="Q592" s="1" t="s">
        <v>448</v>
      </c>
      <c r="R592" s="8">
        <v>2.1</v>
      </c>
      <c r="AC592" s="57" t="str">
        <f t="shared" si="47"/>
        <v>|</v>
      </c>
      <c r="AE592" s="1" t="s">
        <v>2346</v>
      </c>
    </row>
    <row r="593" spans="1:31" ht="24" customHeight="1">
      <c r="A593" s="285">
        <f t="shared" si="46"/>
        <v>423</v>
      </c>
      <c r="B593" s="286" t="s">
        <v>1098</v>
      </c>
      <c r="C593" s="287">
        <v>53</v>
      </c>
      <c r="D593" s="286" t="s">
        <v>781</v>
      </c>
      <c r="G593" s="7" t="s">
        <v>448</v>
      </c>
      <c r="H593" s="1" t="s">
        <v>64</v>
      </c>
      <c r="J593" s="1" t="s">
        <v>448</v>
      </c>
      <c r="K593" s="8">
        <v>0.33</v>
      </c>
      <c r="R593" s="5" t="s">
        <v>1667</v>
      </c>
      <c r="AC593" s="57" t="str">
        <f t="shared" si="47"/>
        <v>|</v>
      </c>
      <c r="AE593" s="1" t="s">
        <v>2346</v>
      </c>
    </row>
    <row r="594" spans="1:31" ht="24" customHeight="1">
      <c r="A594" s="285">
        <f t="shared" si="46"/>
        <v>424</v>
      </c>
      <c r="B594" s="286" t="s">
        <v>311</v>
      </c>
      <c r="C594" s="207">
        <v>1510</v>
      </c>
      <c r="D594" s="286" t="s">
        <v>781</v>
      </c>
      <c r="H594" s="1" t="s">
        <v>946</v>
      </c>
      <c r="K594" s="5" t="s">
        <v>1667</v>
      </c>
      <c r="O594" s="1" t="s">
        <v>1834</v>
      </c>
      <c r="R594" s="8">
        <f>SUM(R585:R592)</f>
        <v>2768.97</v>
      </c>
      <c r="AC594" s="57" t="str">
        <f t="shared" si="47"/>
        <v>|</v>
      </c>
      <c r="AE594" s="1" t="s">
        <v>2346</v>
      </c>
    </row>
    <row r="595" spans="1:31" ht="24" customHeight="1">
      <c r="A595" s="285">
        <f t="shared" si="46"/>
        <v>425</v>
      </c>
      <c r="B595" s="286" t="s">
        <v>405</v>
      </c>
      <c r="C595" s="287">
        <v>196</v>
      </c>
      <c r="D595" s="286" t="s">
        <v>781</v>
      </c>
      <c r="H595" s="2" t="s">
        <v>406</v>
      </c>
      <c r="K595" s="8">
        <f>SUM(K589:K593)</f>
        <v>4158.16</v>
      </c>
      <c r="R595" s="5" t="s">
        <v>1667</v>
      </c>
      <c r="AC595" s="57" t="str">
        <f t="shared" si="47"/>
        <v>|</v>
      </c>
      <c r="AE595" s="1" t="s">
        <v>2346</v>
      </c>
    </row>
    <row r="596" spans="1:31" ht="24" customHeight="1">
      <c r="A596" s="285">
        <f t="shared" si="46"/>
        <v>426</v>
      </c>
      <c r="B596" s="286" t="s">
        <v>407</v>
      </c>
      <c r="C596" s="207">
        <v>847</v>
      </c>
      <c r="D596" s="286" t="s">
        <v>781</v>
      </c>
      <c r="K596" s="5" t="s">
        <v>1667</v>
      </c>
      <c r="N596" s="1" t="s">
        <v>2338</v>
      </c>
      <c r="O596" s="1" t="s">
        <v>408</v>
      </c>
      <c r="AC596" s="57" t="str">
        <f t="shared" si="47"/>
        <v>|</v>
      </c>
      <c r="AE596" s="1" t="s">
        <v>2346</v>
      </c>
    </row>
    <row r="597" spans="1:31" ht="24" customHeight="1">
      <c r="A597" s="285">
        <f t="shared" si="46"/>
        <v>427</v>
      </c>
      <c r="B597" s="286" t="s">
        <v>409</v>
      </c>
      <c r="C597" s="621">
        <v>217.6</v>
      </c>
      <c r="D597" s="622">
        <v>178.1</v>
      </c>
      <c r="H597" s="2" t="s">
        <v>410</v>
      </c>
      <c r="K597" s="8">
        <f>K595/10</f>
        <v>415.82</v>
      </c>
      <c r="O597" s="1" t="s">
        <v>411</v>
      </c>
      <c r="AC597" s="57" t="str">
        <f t="shared" si="47"/>
        <v>|</v>
      </c>
      <c r="AE597" s="1" t="s">
        <v>2346</v>
      </c>
    </row>
    <row r="598" spans="1:31" ht="24" customHeight="1">
      <c r="A598" s="285">
        <f t="shared" si="46"/>
        <v>428</v>
      </c>
      <c r="B598" s="286" t="s">
        <v>412</v>
      </c>
      <c r="C598" s="621">
        <v>119.73</v>
      </c>
      <c r="D598" s="286" t="s">
        <v>1854</v>
      </c>
      <c r="H598" s="1" t="s">
        <v>388</v>
      </c>
      <c r="I598">
        <f>K597</f>
        <v>415.82</v>
      </c>
      <c r="J598" s="11">
        <f>C22*0.02</f>
        <v>0.89</v>
      </c>
      <c r="K598" s="40">
        <f>I598+J598</f>
        <v>416.71</v>
      </c>
      <c r="O598" s="5" t="s">
        <v>1667</v>
      </c>
      <c r="AC598" s="57" t="str">
        <f t="shared" si="47"/>
        <v>|</v>
      </c>
      <c r="AE598" s="1" t="s">
        <v>2346</v>
      </c>
    </row>
    <row r="599" spans="1:31" ht="24" customHeight="1">
      <c r="A599" s="285">
        <f t="shared" si="46"/>
        <v>429</v>
      </c>
      <c r="B599" s="286" t="s">
        <v>413</v>
      </c>
      <c r="C599" s="288"/>
      <c r="D599" s="286" t="s">
        <v>1854</v>
      </c>
      <c r="H599" s="1" t="s">
        <v>390</v>
      </c>
      <c r="I599">
        <f>K598</f>
        <v>416.71</v>
      </c>
      <c r="J599" s="11">
        <f>C23*0.02</f>
        <v>1.78</v>
      </c>
      <c r="K599" s="40">
        <f>I599+J599</f>
        <v>418.49</v>
      </c>
      <c r="M599" s="8">
        <v>10.37</v>
      </c>
      <c r="N599" s="1" t="s">
        <v>884</v>
      </c>
      <c r="O599" s="1" t="s">
        <v>414</v>
      </c>
      <c r="P599" s="8">
        <f>(C61*2)</f>
        <v>96.6</v>
      </c>
      <c r="Q599" s="1" t="s">
        <v>884</v>
      </c>
      <c r="R599" s="8">
        <f t="shared" ref="R599:R607" si="48">(M599*P599)</f>
        <v>1001.74</v>
      </c>
      <c r="AC599" s="57" t="str">
        <f t="shared" si="47"/>
        <v>|</v>
      </c>
      <c r="AE599" s="1" t="s">
        <v>2346</v>
      </c>
    </row>
    <row r="600" spans="1:31" ht="24" customHeight="1">
      <c r="A600" s="285">
        <f t="shared" si="46"/>
        <v>430</v>
      </c>
      <c r="B600" s="286" t="s">
        <v>2135</v>
      </c>
      <c r="C600" s="207">
        <v>109.1</v>
      </c>
      <c r="D600" s="286" t="s">
        <v>883</v>
      </c>
      <c r="H600" s="1" t="s">
        <v>2319</v>
      </c>
      <c r="I600">
        <f>K599</f>
        <v>418.49</v>
      </c>
      <c r="J600" s="11">
        <f>J599</f>
        <v>1.78</v>
      </c>
      <c r="K600" s="40">
        <f>I600+J600</f>
        <v>420.27</v>
      </c>
      <c r="M600" s="8">
        <v>0.65</v>
      </c>
      <c r="N600" s="1" t="s">
        <v>884</v>
      </c>
      <c r="O600" s="1" t="s">
        <v>2136</v>
      </c>
      <c r="P600" s="8">
        <f>R60</f>
        <v>2253.1999999999998</v>
      </c>
      <c r="Q600" s="1" t="s">
        <v>884</v>
      </c>
      <c r="R600" s="8">
        <f t="shared" si="48"/>
        <v>1464.58</v>
      </c>
      <c r="AC600" s="57" t="str">
        <f t="shared" si="47"/>
        <v>|</v>
      </c>
      <c r="AE600" s="1" t="s">
        <v>2346</v>
      </c>
    </row>
    <row r="601" spans="1:31" ht="24" customHeight="1">
      <c r="A601" s="285">
        <f t="shared" si="46"/>
        <v>431</v>
      </c>
      <c r="B601" s="286" t="s">
        <v>1865</v>
      </c>
      <c r="C601" s="207">
        <v>72.7</v>
      </c>
      <c r="D601" s="286" t="s">
        <v>883</v>
      </c>
      <c r="H601" s="1" t="s">
        <v>382</v>
      </c>
      <c r="I601">
        <f>K600</f>
        <v>420.27</v>
      </c>
      <c r="J601" s="11">
        <f>J600</f>
        <v>1.78</v>
      </c>
      <c r="K601" s="40">
        <f>I601+J601</f>
        <v>422.05</v>
      </c>
      <c r="M601" s="8">
        <v>1.1399999999999999</v>
      </c>
      <c r="N601" s="1" t="s">
        <v>884</v>
      </c>
      <c r="O601" s="1" t="s">
        <v>330</v>
      </c>
      <c r="P601" s="8">
        <f>K320</f>
        <v>4076.14</v>
      </c>
      <c r="Q601" s="1" t="s">
        <v>884</v>
      </c>
      <c r="R601" s="8">
        <f t="shared" si="48"/>
        <v>4646.8</v>
      </c>
      <c r="AC601" s="57" t="str">
        <f t="shared" si="47"/>
        <v>|</v>
      </c>
      <c r="AE601" s="1" t="s">
        <v>2346</v>
      </c>
    </row>
    <row r="602" spans="1:31" ht="24" customHeight="1">
      <c r="A602" s="285">
        <f t="shared" si="46"/>
        <v>432</v>
      </c>
      <c r="B602" s="286" t="s">
        <v>332</v>
      </c>
      <c r="C602" s="208">
        <v>30.25</v>
      </c>
      <c r="D602" s="286" t="s">
        <v>883</v>
      </c>
      <c r="H602" s="1" t="s">
        <v>1427</v>
      </c>
      <c r="I602">
        <f>K601</f>
        <v>422.05</v>
      </c>
      <c r="J602" s="11">
        <f>J601</f>
        <v>1.78</v>
      </c>
      <c r="K602" s="40">
        <f>I602+J602</f>
        <v>423.83</v>
      </c>
      <c r="M602" s="8">
        <v>0.85</v>
      </c>
      <c r="N602" s="1" t="s">
        <v>884</v>
      </c>
      <c r="O602" s="1" t="s">
        <v>1692</v>
      </c>
      <c r="P602" s="8">
        <f>K320-K311/10</f>
        <v>3475.19</v>
      </c>
      <c r="Q602" s="1" t="s">
        <v>884</v>
      </c>
      <c r="R602" s="8">
        <f t="shared" si="48"/>
        <v>2953.91</v>
      </c>
      <c r="AC602" s="57" t="str">
        <f t="shared" si="47"/>
        <v>|</v>
      </c>
      <c r="AE602" s="1" t="s">
        <v>2346</v>
      </c>
    </row>
    <row r="603" spans="1:31" ht="24" customHeight="1">
      <c r="A603" s="285">
        <f t="shared" si="46"/>
        <v>433</v>
      </c>
      <c r="B603" s="286" t="s">
        <v>1693</v>
      </c>
      <c r="C603" s="207">
        <v>72.7</v>
      </c>
      <c r="D603" s="286" t="s">
        <v>883</v>
      </c>
      <c r="F603" s="2" t="s">
        <v>1694</v>
      </c>
      <c r="G603" s="7" t="s">
        <v>2338</v>
      </c>
      <c r="H603" s="1" t="s">
        <v>897</v>
      </c>
      <c r="M603" s="8">
        <v>0.98</v>
      </c>
      <c r="N603" s="1" t="s">
        <v>884</v>
      </c>
      <c r="O603" s="1" t="s">
        <v>2298</v>
      </c>
      <c r="P603" s="8">
        <f>(C73)</f>
        <v>1236.78</v>
      </c>
      <c r="Q603" s="1" t="s">
        <v>884</v>
      </c>
      <c r="R603" s="8">
        <f t="shared" si="48"/>
        <v>1212.04</v>
      </c>
      <c r="AC603" s="57" t="str">
        <f t="shared" si="47"/>
        <v>|</v>
      </c>
      <c r="AE603" s="1" t="s">
        <v>2346</v>
      </c>
    </row>
    <row r="604" spans="1:31" ht="24" customHeight="1">
      <c r="A604" s="285">
        <f t="shared" si="46"/>
        <v>434</v>
      </c>
      <c r="B604" s="286" t="s">
        <v>1131</v>
      </c>
      <c r="C604" s="287">
        <v>36.520000000000003</v>
      </c>
      <c r="D604" s="286" t="s">
        <v>883</v>
      </c>
      <c r="H604" s="1" t="s">
        <v>1132</v>
      </c>
      <c r="M604" s="8">
        <v>2.68</v>
      </c>
      <c r="N604" s="1" t="s">
        <v>884</v>
      </c>
      <c r="O604" s="1" t="s">
        <v>1064</v>
      </c>
      <c r="P604" s="8">
        <f>(C79)</f>
        <v>740.98</v>
      </c>
      <c r="Q604" s="1" t="s">
        <v>884</v>
      </c>
      <c r="R604" s="8">
        <f t="shared" si="48"/>
        <v>1985.83</v>
      </c>
      <c r="AC604" s="57" t="str">
        <f t="shared" si="47"/>
        <v>|</v>
      </c>
      <c r="AE604" s="1" t="s">
        <v>2346</v>
      </c>
    </row>
    <row r="605" spans="1:31" ht="24" customHeight="1">
      <c r="A605" s="285">
        <f t="shared" si="46"/>
        <v>435</v>
      </c>
      <c r="B605" s="286" t="s">
        <v>1695</v>
      </c>
      <c r="C605" s="288"/>
      <c r="D605" s="286" t="s">
        <v>883</v>
      </c>
      <c r="H605" s="1" t="s">
        <v>1696</v>
      </c>
      <c r="M605" s="8">
        <v>7.24</v>
      </c>
      <c r="N605" s="1" t="s">
        <v>611</v>
      </c>
      <c r="O605" s="1" t="s">
        <v>1697</v>
      </c>
      <c r="P605" s="8">
        <f>(K1329)</f>
        <v>121.3</v>
      </c>
      <c r="Q605" s="1" t="s">
        <v>611</v>
      </c>
      <c r="R605" s="8">
        <f t="shared" si="48"/>
        <v>878.21</v>
      </c>
      <c r="AC605" s="57" t="str">
        <f t="shared" si="47"/>
        <v>|</v>
      </c>
      <c r="AE605" s="1" t="s">
        <v>2346</v>
      </c>
    </row>
    <row r="606" spans="1:31" ht="24" customHeight="1">
      <c r="A606" s="285">
        <f t="shared" si="46"/>
        <v>436</v>
      </c>
      <c r="B606" s="286" t="s">
        <v>1538</v>
      </c>
      <c r="C606" s="207">
        <v>90.6</v>
      </c>
      <c r="D606" s="287">
        <v>93.72</v>
      </c>
      <c r="H606" s="5" t="s">
        <v>1667</v>
      </c>
      <c r="M606" s="8">
        <v>1</v>
      </c>
      <c r="N606" s="1" t="s">
        <v>883</v>
      </c>
      <c r="O606" s="1" t="s">
        <v>1539</v>
      </c>
      <c r="P606" s="8">
        <f>(C202)</f>
        <v>121</v>
      </c>
      <c r="Q606" s="1" t="s">
        <v>883</v>
      </c>
      <c r="R606" s="8">
        <f t="shared" si="48"/>
        <v>121</v>
      </c>
      <c r="AC606" s="57" t="str">
        <f t="shared" si="47"/>
        <v>|</v>
      </c>
      <c r="AE606" s="1" t="s">
        <v>2346</v>
      </c>
    </row>
    <row r="607" spans="1:31" ht="24" customHeight="1">
      <c r="A607" s="285">
        <f t="shared" si="46"/>
        <v>437</v>
      </c>
      <c r="B607" s="286" t="s">
        <v>1540</v>
      </c>
      <c r="C607" s="207">
        <v>60.6</v>
      </c>
      <c r="D607" s="286" t="s">
        <v>883</v>
      </c>
      <c r="F607" s="8">
        <v>0.01</v>
      </c>
      <c r="G607" s="7" t="s">
        <v>884</v>
      </c>
      <c r="H607" s="1" t="s">
        <v>1541</v>
      </c>
      <c r="I607" s="8">
        <f>(K279)</f>
        <v>4823.13</v>
      </c>
      <c r="J607" s="1" t="s">
        <v>884</v>
      </c>
      <c r="K607" s="8">
        <f>(F607*I607)</f>
        <v>48.23</v>
      </c>
      <c r="M607" s="14">
        <v>0.13600000000000001</v>
      </c>
      <c r="N607" s="1" t="s">
        <v>884</v>
      </c>
      <c r="O607" s="1" t="s">
        <v>1002</v>
      </c>
      <c r="P607" s="8">
        <f>(K613)</f>
        <v>4938</v>
      </c>
      <c r="Q607" s="1" t="s">
        <v>884</v>
      </c>
      <c r="R607" s="8">
        <f t="shared" si="48"/>
        <v>671.57</v>
      </c>
      <c r="AC607" s="57" t="str">
        <f t="shared" si="47"/>
        <v>|</v>
      </c>
      <c r="AE607" s="1" t="s">
        <v>2346</v>
      </c>
    </row>
    <row r="608" spans="1:31" ht="24" customHeight="1">
      <c r="A608" s="285">
        <f t="shared" si="46"/>
        <v>438</v>
      </c>
      <c r="B608" s="286" t="s">
        <v>1003</v>
      </c>
      <c r="C608" s="208">
        <v>30.25</v>
      </c>
      <c r="D608" s="286" t="s">
        <v>883</v>
      </c>
      <c r="F608" s="8">
        <v>0.01</v>
      </c>
      <c r="G608" s="7" t="s">
        <v>884</v>
      </c>
      <c r="H608" s="1" t="s">
        <v>1004</v>
      </c>
      <c r="J608" s="1" t="s">
        <v>448</v>
      </c>
      <c r="K608" s="8">
        <v>1.1499999999999999</v>
      </c>
      <c r="O608" s="1" t="s">
        <v>132</v>
      </c>
      <c r="AC608" s="57" t="str">
        <f t="shared" si="47"/>
        <v>|</v>
      </c>
      <c r="AE608" s="1" t="s">
        <v>2346</v>
      </c>
    </row>
    <row r="609" spans="1:31" ht="24" customHeight="1">
      <c r="A609" s="285">
        <f t="shared" si="46"/>
        <v>439</v>
      </c>
      <c r="B609" s="286" t="s">
        <v>133</v>
      </c>
      <c r="C609" s="207">
        <v>145.5</v>
      </c>
      <c r="D609" s="286" t="s">
        <v>883</v>
      </c>
      <c r="H609" s="1" t="s">
        <v>134</v>
      </c>
      <c r="N609" s="1" t="s">
        <v>448</v>
      </c>
      <c r="O609" s="1" t="s">
        <v>345</v>
      </c>
      <c r="Q609" s="1" t="s">
        <v>448</v>
      </c>
      <c r="R609" s="8">
        <v>2.2400000000000002</v>
      </c>
      <c r="AC609" s="57" t="str">
        <f t="shared" si="47"/>
        <v>|</v>
      </c>
      <c r="AE609" s="1" t="s">
        <v>2346</v>
      </c>
    </row>
    <row r="610" spans="1:31" ht="24" customHeight="1">
      <c r="A610" s="285">
        <f t="shared" si="46"/>
        <v>440</v>
      </c>
      <c r="B610" s="286" t="s">
        <v>1547</v>
      </c>
      <c r="C610" s="207">
        <v>90.6</v>
      </c>
      <c r="D610" s="286" t="s">
        <v>883</v>
      </c>
      <c r="K610" s="5" t="s">
        <v>1667</v>
      </c>
      <c r="R610" s="5" t="s">
        <v>1667</v>
      </c>
      <c r="AC610" s="57" t="str">
        <f t="shared" si="47"/>
        <v>|::</v>
      </c>
      <c r="AE610" s="1" t="s">
        <v>2346</v>
      </c>
    </row>
    <row r="611" spans="1:31" ht="24" customHeight="1">
      <c r="A611" s="285">
        <f t="shared" si="46"/>
        <v>441</v>
      </c>
      <c r="B611" s="286" t="s">
        <v>1548</v>
      </c>
      <c r="C611" s="288"/>
      <c r="D611" s="286" t="s">
        <v>883</v>
      </c>
      <c r="H611" s="1" t="s">
        <v>1549</v>
      </c>
      <c r="K611" s="8">
        <f>SUM(K607:K609)</f>
        <v>49.38</v>
      </c>
      <c r="O611" s="1" t="s">
        <v>1834</v>
      </c>
      <c r="R611" s="8">
        <f>SUM(R599:R609)</f>
        <v>14937.92</v>
      </c>
      <c r="AC611" s="57">
        <f t="shared" si="47"/>
        <v>0</v>
      </c>
      <c r="AE611" s="1" t="s">
        <v>325</v>
      </c>
    </row>
    <row r="612" spans="1:31" ht="24" customHeight="1">
      <c r="A612" s="285">
        <f t="shared" si="46"/>
        <v>442</v>
      </c>
      <c r="B612" s="286" t="s">
        <v>432</v>
      </c>
      <c r="C612" s="207">
        <v>169.7</v>
      </c>
      <c r="D612" s="286" t="s">
        <v>883</v>
      </c>
      <c r="K612" s="5" t="s">
        <v>1667</v>
      </c>
      <c r="R612" s="5" t="s">
        <v>1667</v>
      </c>
      <c r="AC612" s="57">
        <f t="shared" si="47"/>
        <v>0</v>
      </c>
    </row>
    <row r="613" spans="1:31" ht="24" customHeight="1">
      <c r="A613" s="285">
        <f t="shared" si="46"/>
        <v>443</v>
      </c>
      <c r="B613" s="286" t="s">
        <v>433</v>
      </c>
      <c r="C613" s="207">
        <v>109.1</v>
      </c>
      <c r="D613" s="286" t="s">
        <v>883</v>
      </c>
      <c r="H613" s="1" t="s">
        <v>785</v>
      </c>
      <c r="K613" s="8">
        <f>ROUND(K611*100,0)</f>
        <v>4938</v>
      </c>
      <c r="N613" s="1" t="s">
        <v>2338</v>
      </c>
      <c r="O613" s="1" t="s">
        <v>434</v>
      </c>
      <c r="AC613" s="57">
        <f t="shared" si="47"/>
        <v>0</v>
      </c>
    </row>
    <row r="614" spans="1:31" ht="24" customHeight="1">
      <c r="A614" s="288"/>
      <c r="B614" s="288"/>
      <c r="C614" s="288"/>
      <c r="D614" s="288"/>
      <c r="F614" s="1" t="s">
        <v>995</v>
      </c>
      <c r="AC614" s="57" t="str">
        <f t="shared" si="47"/>
        <v>|</v>
      </c>
    </row>
    <row r="615" spans="1:31" ht="24" customHeight="1">
      <c r="A615" s="285">
        <f>(A613+1)</f>
        <v>444</v>
      </c>
      <c r="B615" s="286" t="s">
        <v>1136</v>
      </c>
      <c r="C615" s="288"/>
      <c r="D615" s="286" t="s">
        <v>883</v>
      </c>
      <c r="K615" s="5" t="s">
        <v>2130</v>
      </c>
      <c r="O615" s="1" t="s">
        <v>1137</v>
      </c>
      <c r="AC615" s="57" t="str">
        <f t="shared" si="47"/>
        <v>|</v>
      </c>
      <c r="AE615" s="1" t="s">
        <v>2346</v>
      </c>
    </row>
    <row r="616" spans="1:31" ht="24" customHeight="1">
      <c r="A616" s="285">
        <f t="shared" ref="A616:A672" si="49">(A615+1)</f>
        <v>445</v>
      </c>
      <c r="B616" s="286" t="s">
        <v>1010</v>
      </c>
      <c r="C616" s="207">
        <v>260.3</v>
      </c>
      <c r="D616" s="286" t="s">
        <v>883</v>
      </c>
      <c r="G616" s="7" t="s">
        <v>685</v>
      </c>
      <c r="H616" s="1" t="s">
        <v>1011</v>
      </c>
      <c r="O616" s="5" t="s">
        <v>1667</v>
      </c>
      <c r="AC616" s="57" t="str">
        <f t="shared" si="47"/>
        <v>|</v>
      </c>
      <c r="AE616" s="1" t="s">
        <v>2346</v>
      </c>
    </row>
    <row r="617" spans="1:31" ht="24" customHeight="1">
      <c r="A617" s="285">
        <f t="shared" si="49"/>
        <v>446</v>
      </c>
      <c r="B617" s="286" t="s">
        <v>1737</v>
      </c>
      <c r="C617" s="207">
        <v>181.8</v>
      </c>
      <c r="D617" s="286" t="s">
        <v>883</v>
      </c>
      <c r="H617" s="1" t="s">
        <v>1738</v>
      </c>
      <c r="M617" s="8">
        <v>3</v>
      </c>
      <c r="N617" s="1" t="s">
        <v>884</v>
      </c>
      <c r="O617" s="1" t="s">
        <v>1739</v>
      </c>
      <c r="P617" s="8">
        <f>(C61*2)</f>
        <v>96.6</v>
      </c>
      <c r="Q617" s="1" t="s">
        <v>884</v>
      </c>
      <c r="R617" s="8">
        <f>(M617*P617)</f>
        <v>289.8</v>
      </c>
      <c r="AC617" s="57" t="str">
        <f t="shared" si="47"/>
        <v>|</v>
      </c>
      <c r="AE617" s="1" t="s">
        <v>2346</v>
      </c>
    </row>
    <row r="618" spans="1:31" ht="24" customHeight="1">
      <c r="A618" s="285">
        <f t="shared" si="49"/>
        <v>447</v>
      </c>
      <c r="B618" s="286" t="s">
        <v>630</v>
      </c>
      <c r="C618" s="288"/>
      <c r="D618" s="286" t="s">
        <v>883</v>
      </c>
      <c r="H618" s="5" t="s">
        <v>1667</v>
      </c>
      <c r="M618" s="8">
        <v>2.4</v>
      </c>
      <c r="N618" s="1" t="s">
        <v>884</v>
      </c>
      <c r="O618" s="1" t="s">
        <v>1718</v>
      </c>
      <c r="P618" s="8">
        <f>(C81)</f>
        <v>614.41999999999996</v>
      </c>
      <c r="Q618" s="1" t="s">
        <v>884</v>
      </c>
      <c r="R618" s="8">
        <f>(M618*P618)</f>
        <v>1474.61</v>
      </c>
      <c r="AC618" s="57" t="str">
        <f t="shared" si="47"/>
        <v>|</v>
      </c>
      <c r="AE618" s="1" t="s">
        <v>2346</v>
      </c>
    </row>
    <row r="619" spans="1:31" ht="24" customHeight="1">
      <c r="A619" s="285">
        <f t="shared" si="49"/>
        <v>448</v>
      </c>
      <c r="B619" s="286" t="s">
        <v>1498</v>
      </c>
      <c r="C619" s="207">
        <v>139.1</v>
      </c>
      <c r="D619" s="286" t="s">
        <v>883</v>
      </c>
      <c r="F619" s="14">
        <v>1.4E-2</v>
      </c>
      <c r="G619" s="7" t="s">
        <v>884</v>
      </c>
      <c r="H619" s="1" t="s">
        <v>1383</v>
      </c>
      <c r="I619" s="8">
        <f>(K613)</f>
        <v>4938</v>
      </c>
      <c r="J619" s="1" t="s">
        <v>884</v>
      </c>
      <c r="K619" s="8">
        <f>(F619*I619)</f>
        <v>69.13</v>
      </c>
      <c r="M619" s="8">
        <v>5</v>
      </c>
      <c r="N619" s="1" t="s">
        <v>883</v>
      </c>
      <c r="O619" s="1" t="s">
        <v>609</v>
      </c>
      <c r="P619" s="8">
        <f>(C203)</f>
        <v>60</v>
      </c>
      <c r="Q619" s="1" t="s">
        <v>883</v>
      </c>
      <c r="R619" s="8">
        <f>(M619*P619)</f>
        <v>300</v>
      </c>
      <c r="AC619" s="57" t="str">
        <f t="shared" si="47"/>
        <v>|</v>
      </c>
      <c r="AE619" s="1" t="s">
        <v>2346</v>
      </c>
    </row>
    <row r="620" spans="1:31" ht="24" customHeight="1">
      <c r="A620" s="285">
        <f t="shared" si="49"/>
        <v>449</v>
      </c>
      <c r="B620" s="286" t="s">
        <v>1856</v>
      </c>
      <c r="C620" s="207">
        <v>84.8</v>
      </c>
      <c r="D620" s="286" t="s">
        <v>883</v>
      </c>
      <c r="F620" s="14"/>
      <c r="H620" s="1" t="s">
        <v>1857</v>
      </c>
      <c r="K620" s="1" t="s">
        <v>995</v>
      </c>
      <c r="O620" s="1" t="s">
        <v>449</v>
      </c>
      <c r="Q620" s="1" t="s">
        <v>448</v>
      </c>
      <c r="R620" s="8">
        <v>0.08</v>
      </c>
      <c r="AC620" s="57" t="str">
        <f t="shared" si="47"/>
        <v>|</v>
      </c>
      <c r="AE620" s="1" t="s">
        <v>2346</v>
      </c>
    </row>
    <row r="621" spans="1:31" ht="24" customHeight="1">
      <c r="A621" s="285">
        <f t="shared" si="49"/>
        <v>450</v>
      </c>
      <c r="B621" s="286" t="s">
        <v>1858</v>
      </c>
      <c r="C621" s="288"/>
      <c r="D621" s="286" t="s">
        <v>883</v>
      </c>
      <c r="F621" s="8">
        <v>0.5</v>
      </c>
      <c r="G621" s="7" t="s">
        <v>781</v>
      </c>
      <c r="H621" s="1" t="s">
        <v>2082</v>
      </c>
      <c r="I621" s="8">
        <f>(C10)</f>
        <v>430.5</v>
      </c>
      <c r="J621" s="1" t="s">
        <v>781</v>
      </c>
      <c r="K621" s="8">
        <f>(F621*I621)</f>
        <v>215.25</v>
      </c>
      <c r="R621" s="5" t="s">
        <v>1667</v>
      </c>
      <c r="S621" s="605" t="s">
        <v>995</v>
      </c>
      <c r="AC621" s="57" t="str">
        <f t="shared" si="47"/>
        <v>|</v>
      </c>
      <c r="AE621" s="1" t="s">
        <v>2346</v>
      </c>
    </row>
    <row r="622" spans="1:31" ht="24" customHeight="1">
      <c r="A622" s="285">
        <f t="shared" si="49"/>
        <v>451</v>
      </c>
      <c r="B622" s="286" t="s">
        <v>1719</v>
      </c>
      <c r="C622" s="207">
        <v>163.30000000000001</v>
      </c>
      <c r="D622" s="286" t="s">
        <v>883</v>
      </c>
      <c r="F622" s="8">
        <v>0.75</v>
      </c>
      <c r="G622" s="7" t="s">
        <v>781</v>
      </c>
      <c r="H622" s="1" t="s">
        <v>1979</v>
      </c>
      <c r="I622" s="8">
        <f>(C12)</f>
        <v>269.85000000000002</v>
      </c>
      <c r="J622" s="1" t="s">
        <v>781</v>
      </c>
      <c r="K622" s="8">
        <f>(F622*I622)</f>
        <v>202.39</v>
      </c>
      <c r="O622" s="1" t="s">
        <v>1834</v>
      </c>
      <c r="R622" s="8">
        <f>SUM(R617:R620)</f>
        <v>2064.4899999999998</v>
      </c>
      <c r="AC622" s="57" t="str">
        <f t="shared" si="47"/>
        <v>|</v>
      </c>
      <c r="AE622" s="1" t="s">
        <v>2346</v>
      </c>
    </row>
    <row r="623" spans="1:31" ht="24" customHeight="1">
      <c r="A623" s="285">
        <f t="shared" si="49"/>
        <v>452</v>
      </c>
      <c r="B623" s="286" t="s">
        <v>1720</v>
      </c>
      <c r="C623" s="207">
        <v>109.1</v>
      </c>
      <c r="D623" s="286" t="s">
        <v>883</v>
      </c>
      <c r="G623" s="7" t="s">
        <v>448</v>
      </c>
      <c r="H623" s="1" t="s">
        <v>449</v>
      </c>
      <c r="J623" s="1" t="s">
        <v>448</v>
      </c>
      <c r="K623" s="8">
        <v>0</v>
      </c>
      <c r="R623" s="5" t="s">
        <v>1667</v>
      </c>
      <c r="AC623" s="57" t="str">
        <f t="shared" si="47"/>
        <v>|</v>
      </c>
      <c r="AE623" s="1" t="s">
        <v>2346</v>
      </c>
    </row>
    <row r="624" spans="1:31" ht="24" customHeight="1">
      <c r="A624" s="285">
        <f t="shared" si="49"/>
        <v>453</v>
      </c>
      <c r="B624" s="286" t="s">
        <v>1721</v>
      </c>
      <c r="C624" s="288"/>
      <c r="D624" s="286" t="s">
        <v>883</v>
      </c>
      <c r="K624" s="5" t="s">
        <v>1667</v>
      </c>
      <c r="AC624" s="57" t="str">
        <f t="shared" si="47"/>
        <v>|</v>
      </c>
      <c r="AE624" s="1" t="s">
        <v>2346</v>
      </c>
    </row>
    <row r="625" spans="1:31" ht="24" customHeight="1">
      <c r="A625" s="285">
        <f t="shared" si="49"/>
        <v>454</v>
      </c>
      <c r="B625" s="286" t="s">
        <v>104</v>
      </c>
      <c r="C625" s="207">
        <v>72.7</v>
      </c>
      <c r="D625" s="286" t="s">
        <v>883</v>
      </c>
      <c r="H625" s="1" t="s">
        <v>105</v>
      </c>
      <c r="K625" s="8">
        <f>SUM(K619:K623)</f>
        <v>486.77</v>
      </c>
      <c r="N625" s="1" t="s">
        <v>2338</v>
      </c>
      <c r="O625" s="1" t="s">
        <v>66</v>
      </c>
      <c r="AC625" s="57" t="str">
        <f t="shared" si="47"/>
        <v>|</v>
      </c>
      <c r="AE625" s="1" t="s">
        <v>2346</v>
      </c>
    </row>
    <row r="626" spans="1:31" ht="24" customHeight="1">
      <c r="A626" s="285">
        <f t="shared" si="49"/>
        <v>455</v>
      </c>
      <c r="B626" s="286" t="s">
        <v>2036</v>
      </c>
      <c r="C626" s="207">
        <v>48.5</v>
      </c>
      <c r="D626" s="286" t="s">
        <v>883</v>
      </c>
      <c r="K626" s="5" t="s">
        <v>1667</v>
      </c>
      <c r="O626" s="1" t="s">
        <v>2037</v>
      </c>
      <c r="AC626" s="57" t="str">
        <f t="shared" si="47"/>
        <v>|</v>
      </c>
      <c r="AE626" s="1" t="s">
        <v>2346</v>
      </c>
    </row>
    <row r="627" spans="1:31" ht="24" customHeight="1">
      <c r="A627" s="285">
        <f t="shared" si="49"/>
        <v>456</v>
      </c>
      <c r="B627" s="286" t="s">
        <v>2038</v>
      </c>
      <c r="C627" s="208">
        <v>30</v>
      </c>
      <c r="D627" s="286" t="s">
        <v>883</v>
      </c>
      <c r="H627" s="1" t="s">
        <v>555</v>
      </c>
      <c r="K627" s="8">
        <f>(K625/0.372)</f>
        <v>1308.52</v>
      </c>
      <c r="O627" s="1" t="s">
        <v>2039</v>
      </c>
      <c r="AC627" s="57" t="str">
        <f t="shared" si="47"/>
        <v>|</v>
      </c>
      <c r="AE627" s="1" t="s">
        <v>2346</v>
      </c>
    </row>
    <row r="628" spans="1:31" ht="24" customHeight="1">
      <c r="A628" s="285">
        <f t="shared" si="49"/>
        <v>457</v>
      </c>
      <c r="B628" s="286" t="s">
        <v>2040</v>
      </c>
      <c r="C628" s="287">
        <v>155.32</v>
      </c>
      <c r="D628" s="286" t="s">
        <v>883</v>
      </c>
      <c r="K628" s="5" t="s">
        <v>2130</v>
      </c>
      <c r="O628" s="5" t="s">
        <v>1667</v>
      </c>
      <c r="AC628" s="57" t="str">
        <f t="shared" si="47"/>
        <v>|</v>
      </c>
      <c r="AE628" s="1" t="s">
        <v>2346</v>
      </c>
    </row>
    <row r="629" spans="1:31" ht="24" customHeight="1">
      <c r="A629" s="285">
        <f t="shared" si="49"/>
        <v>458</v>
      </c>
      <c r="B629" s="286" t="s">
        <v>1850</v>
      </c>
      <c r="C629" s="287">
        <v>91.08</v>
      </c>
      <c r="D629" s="286" t="s">
        <v>883</v>
      </c>
      <c r="H629" s="1" t="s">
        <v>388</v>
      </c>
      <c r="I629">
        <f>K627</f>
        <v>1308.52</v>
      </c>
      <c r="J629" s="11">
        <f>C22*0.014/0.372</f>
        <v>1.68</v>
      </c>
      <c r="K629" s="40">
        <f>I629+J629</f>
        <v>1310.2</v>
      </c>
      <c r="M629" s="8">
        <v>9.5</v>
      </c>
      <c r="N629" s="1" t="s">
        <v>884</v>
      </c>
      <c r="O629" s="1" t="s">
        <v>1739</v>
      </c>
      <c r="P629" s="8">
        <f>(C61*2)</f>
        <v>96.6</v>
      </c>
      <c r="Q629" s="1" t="s">
        <v>884</v>
      </c>
      <c r="R629" s="8">
        <f t="shared" ref="R629:R637" si="50">(M629*P629)</f>
        <v>917.7</v>
      </c>
      <c r="AC629" s="57" t="str">
        <f t="shared" si="47"/>
        <v>|</v>
      </c>
      <c r="AE629" s="1" t="s">
        <v>2346</v>
      </c>
    </row>
    <row r="630" spans="1:31" ht="24" customHeight="1">
      <c r="A630" s="285">
        <f t="shared" si="49"/>
        <v>459</v>
      </c>
      <c r="B630" s="286" t="s">
        <v>1659</v>
      </c>
      <c r="C630" s="207">
        <v>42.35</v>
      </c>
      <c r="D630" s="286" t="s">
        <v>1730</v>
      </c>
      <c r="H630" s="1" t="s">
        <v>390</v>
      </c>
      <c r="I630">
        <f>K629</f>
        <v>1310.2</v>
      </c>
      <c r="J630" s="11">
        <f>C23*0.014/0.372</f>
        <v>3.35</v>
      </c>
      <c r="K630" s="40">
        <f>I630+J630</f>
        <v>1313.55</v>
      </c>
      <c r="M630" s="8">
        <v>0.47</v>
      </c>
      <c r="N630" s="1" t="s">
        <v>884</v>
      </c>
      <c r="O630" s="1" t="s">
        <v>347</v>
      </c>
      <c r="P630" s="8">
        <f>(R74)</f>
        <v>4174.12</v>
      </c>
      <c r="Q630" s="1" t="s">
        <v>884</v>
      </c>
      <c r="R630" s="8">
        <f t="shared" si="50"/>
        <v>1961.84</v>
      </c>
      <c r="AC630" s="57" t="str">
        <f t="shared" si="47"/>
        <v>|</v>
      </c>
      <c r="AE630" s="1" t="s">
        <v>2346</v>
      </c>
    </row>
    <row r="631" spans="1:31" ht="24" customHeight="1">
      <c r="A631" s="285">
        <f t="shared" si="49"/>
        <v>460</v>
      </c>
      <c r="B631" s="286" t="s">
        <v>1919</v>
      </c>
      <c r="C631" s="287">
        <v>0.3</v>
      </c>
      <c r="D631" s="286" t="s">
        <v>883</v>
      </c>
      <c r="H631" s="1" t="s">
        <v>2319</v>
      </c>
      <c r="I631">
        <f>K630</f>
        <v>1313.55</v>
      </c>
      <c r="J631" s="11">
        <f>J630</f>
        <v>3.35</v>
      </c>
      <c r="K631" s="40">
        <f>I631+J631</f>
        <v>1316.9</v>
      </c>
      <c r="M631" s="8">
        <v>1.62</v>
      </c>
      <c r="N631" s="1" t="s">
        <v>884</v>
      </c>
      <c r="O631" s="1" t="s">
        <v>2052</v>
      </c>
      <c r="P631" s="8">
        <f>(R89)</f>
        <v>1869.24</v>
      </c>
      <c r="Q631" s="1" t="s">
        <v>884</v>
      </c>
      <c r="R631" s="8">
        <f t="shared" si="50"/>
        <v>3028.17</v>
      </c>
      <c r="AC631" s="57" t="str">
        <f t="shared" si="47"/>
        <v>|</v>
      </c>
      <c r="AE631" s="1" t="s">
        <v>2346</v>
      </c>
    </row>
    <row r="632" spans="1:31" ht="24" customHeight="1">
      <c r="A632" s="285">
        <f t="shared" si="49"/>
        <v>461</v>
      </c>
      <c r="B632" s="286" t="s">
        <v>1660</v>
      </c>
      <c r="C632" s="287">
        <v>145</v>
      </c>
      <c r="D632" s="286" t="s">
        <v>611</v>
      </c>
      <c r="H632" s="1" t="s">
        <v>382</v>
      </c>
      <c r="I632">
        <f>K631</f>
        <v>1316.9</v>
      </c>
      <c r="J632" s="11">
        <f>J631</f>
        <v>3.35</v>
      </c>
      <c r="K632" s="40">
        <f>I632+J632</f>
        <v>1320.25</v>
      </c>
      <c r="M632" s="8">
        <v>15.22</v>
      </c>
      <c r="N632" s="1" t="s">
        <v>611</v>
      </c>
      <c r="O632" s="1" t="s">
        <v>2209</v>
      </c>
      <c r="P632" s="8">
        <f>(R303)</f>
        <v>136.35</v>
      </c>
      <c r="Q632" s="1" t="s">
        <v>611</v>
      </c>
      <c r="R632" s="8">
        <f t="shared" si="50"/>
        <v>2075.25</v>
      </c>
      <c r="AC632" s="57" t="str">
        <f t="shared" si="47"/>
        <v>|</v>
      </c>
      <c r="AE632" s="1" t="s">
        <v>2346</v>
      </c>
    </row>
    <row r="633" spans="1:31" ht="24" customHeight="1">
      <c r="A633" s="285">
        <f t="shared" si="49"/>
        <v>462</v>
      </c>
      <c r="B633" s="286" t="s">
        <v>2091</v>
      </c>
      <c r="C633" s="287">
        <v>97.31</v>
      </c>
      <c r="D633" s="286" t="s">
        <v>611</v>
      </c>
      <c r="H633" s="1" t="s">
        <v>1427</v>
      </c>
      <c r="I633">
        <f>K632</f>
        <v>1320.25</v>
      </c>
      <c r="J633" s="11">
        <f>J632</f>
        <v>3.35</v>
      </c>
      <c r="K633" s="40">
        <f>I633+J633</f>
        <v>1323.6</v>
      </c>
      <c r="M633" s="8">
        <v>0.18</v>
      </c>
      <c r="N633" s="1" t="s">
        <v>884</v>
      </c>
      <c r="O633" s="1" t="s">
        <v>1392</v>
      </c>
      <c r="P633" s="8">
        <f>(K279)</f>
        <v>4823.13</v>
      </c>
      <c r="Q633" s="1" t="s">
        <v>884</v>
      </c>
      <c r="R633" s="8">
        <f t="shared" si="50"/>
        <v>868.16</v>
      </c>
      <c r="AC633" s="57" t="str">
        <f t="shared" si="47"/>
        <v>|</v>
      </c>
      <c r="AE633" s="1" t="s">
        <v>2346</v>
      </c>
    </row>
    <row r="634" spans="1:31" ht="24" customHeight="1">
      <c r="A634" s="285">
        <f t="shared" si="49"/>
        <v>463</v>
      </c>
      <c r="B634" s="286" t="s">
        <v>1389</v>
      </c>
      <c r="C634" s="287">
        <v>150</v>
      </c>
      <c r="D634" s="286" t="s">
        <v>1199</v>
      </c>
      <c r="F634" s="2" t="s">
        <v>1393</v>
      </c>
      <c r="H634" s="1" t="s">
        <v>772</v>
      </c>
      <c r="M634" s="8">
        <v>0.36</v>
      </c>
      <c r="N634" s="1" t="s">
        <v>611</v>
      </c>
      <c r="O634" s="1" t="s">
        <v>773</v>
      </c>
      <c r="P634" s="8">
        <f>(K466)</f>
        <v>228.54</v>
      </c>
      <c r="Q634" s="1" t="s">
        <v>611</v>
      </c>
      <c r="R634" s="8">
        <f t="shared" si="50"/>
        <v>82.27</v>
      </c>
      <c r="AC634" s="57" t="str">
        <f t="shared" si="47"/>
        <v>|</v>
      </c>
      <c r="AE634" s="1" t="s">
        <v>2346</v>
      </c>
    </row>
    <row r="635" spans="1:31" ht="24" customHeight="1">
      <c r="A635" s="285">
        <f t="shared" si="49"/>
        <v>464</v>
      </c>
      <c r="B635" s="286" t="s">
        <v>1390</v>
      </c>
      <c r="C635" s="287">
        <v>150</v>
      </c>
      <c r="D635" s="286" t="s">
        <v>1199</v>
      </c>
      <c r="H635" s="1" t="s">
        <v>1469</v>
      </c>
      <c r="M635" s="8">
        <v>1</v>
      </c>
      <c r="N635" s="1" t="s">
        <v>883</v>
      </c>
      <c r="O635" s="1" t="s">
        <v>1211</v>
      </c>
      <c r="P635" s="8">
        <f>(C202)</f>
        <v>121</v>
      </c>
      <c r="Q635" s="1" t="s">
        <v>883</v>
      </c>
      <c r="R635" s="8">
        <f t="shared" si="50"/>
        <v>121</v>
      </c>
      <c r="AC635" s="57" t="str">
        <f t="shared" si="47"/>
        <v>|</v>
      </c>
      <c r="AE635" s="1" t="s">
        <v>2346</v>
      </c>
    </row>
    <row r="636" spans="1:31" ht="24" customHeight="1">
      <c r="A636" s="285">
        <f t="shared" si="49"/>
        <v>465</v>
      </c>
      <c r="B636" s="286" t="s">
        <v>1212</v>
      </c>
      <c r="C636" s="287">
        <v>3</v>
      </c>
      <c r="D636" s="286" t="s">
        <v>883</v>
      </c>
      <c r="E636" t="s">
        <v>154</v>
      </c>
      <c r="H636" s="1" t="s">
        <v>339</v>
      </c>
      <c r="M636" s="8">
        <v>1.8</v>
      </c>
      <c r="N636" s="1" t="s">
        <v>340</v>
      </c>
      <c r="O636" s="1" t="s">
        <v>341</v>
      </c>
      <c r="P636" s="8">
        <f>(C324)</f>
        <v>14.91</v>
      </c>
      <c r="Q636" s="1" t="s">
        <v>340</v>
      </c>
      <c r="R636" s="8">
        <f t="shared" si="50"/>
        <v>26.84</v>
      </c>
      <c r="AC636" s="57" t="str">
        <f t="shared" si="47"/>
        <v>|</v>
      </c>
      <c r="AE636" s="1" t="s">
        <v>2346</v>
      </c>
    </row>
    <row r="637" spans="1:31" ht="24" customHeight="1">
      <c r="A637" s="285">
        <f t="shared" si="49"/>
        <v>466</v>
      </c>
      <c r="B637" s="286" t="s">
        <v>2980</v>
      </c>
      <c r="C637" s="57">
        <v>65</v>
      </c>
      <c r="D637" s="211">
        <v>63.3</v>
      </c>
      <c r="E637" t="s">
        <v>1730</v>
      </c>
      <c r="H637" s="1" t="s">
        <v>1566</v>
      </c>
      <c r="M637" s="8">
        <v>1</v>
      </c>
      <c r="N637" s="1" t="s">
        <v>883</v>
      </c>
      <c r="O637" s="1" t="s">
        <v>1987</v>
      </c>
      <c r="P637" s="8">
        <f>(C370)</f>
        <v>13.29</v>
      </c>
      <c r="Q637" s="1" t="s">
        <v>883</v>
      </c>
      <c r="R637" s="8">
        <f t="shared" si="50"/>
        <v>13.29</v>
      </c>
      <c r="AC637" s="57" t="str">
        <f t="shared" si="47"/>
        <v>|</v>
      </c>
      <c r="AE637" s="1" t="s">
        <v>2346</v>
      </c>
    </row>
    <row r="638" spans="1:31" ht="24" customHeight="1">
      <c r="A638" s="285">
        <f t="shared" si="49"/>
        <v>467</v>
      </c>
      <c r="B638" s="293" t="s">
        <v>1988</v>
      </c>
      <c r="C638" s="642">
        <v>3.7</v>
      </c>
      <c r="D638" s="286" t="s">
        <v>1854</v>
      </c>
      <c r="E638" s="208">
        <v>7.6</v>
      </c>
      <c r="H638" s="1" t="s">
        <v>173</v>
      </c>
      <c r="N638" s="1" t="s">
        <v>448</v>
      </c>
      <c r="O638" s="1" t="s">
        <v>345</v>
      </c>
      <c r="Q638" s="1" t="s">
        <v>448</v>
      </c>
      <c r="R638" s="8">
        <v>1.72</v>
      </c>
      <c r="AC638" s="57" t="str">
        <f t="shared" si="47"/>
        <v>|</v>
      </c>
      <c r="AE638" s="1" t="s">
        <v>2346</v>
      </c>
    </row>
    <row r="639" spans="1:31" ht="24" customHeight="1">
      <c r="A639" s="285">
        <f t="shared" si="49"/>
        <v>468</v>
      </c>
      <c r="B639" s="293" t="s">
        <v>174</v>
      </c>
      <c r="C639" s="642">
        <v>6.3</v>
      </c>
      <c r="D639" s="286" t="s">
        <v>1854</v>
      </c>
      <c r="H639" s="1" t="s">
        <v>175</v>
      </c>
      <c r="R639" s="1" t="s">
        <v>995</v>
      </c>
      <c r="AC639" s="57" t="str">
        <f t="shared" si="47"/>
        <v>|</v>
      </c>
      <c r="AE639" s="1" t="s">
        <v>2346</v>
      </c>
    </row>
    <row r="640" spans="1:31" ht="24" customHeight="1">
      <c r="A640" s="285">
        <f t="shared" si="49"/>
        <v>469</v>
      </c>
      <c r="B640" s="286" t="s">
        <v>3082</v>
      </c>
      <c r="C640" s="57">
        <v>3.6</v>
      </c>
      <c r="D640" s="202">
        <v>4.4000000000000004</v>
      </c>
      <c r="E640">
        <v>2</v>
      </c>
      <c r="H640" s="1" t="s">
        <v>176</v>
      </c>
      <c r="R640" s="5" t="s">
        <v>1667</v>
      </c>
      <c r="AC640" s="57" t="str">
        <f t="shared" si="47"/>
        <v>|</v>
      </c>
      <c r="AE640" s="1" t="s">
        <v>2346</v>
      </c>
    </row>
    <row r="641" spans="1:31" ht="24" customHeight="1">
      <c r="A641" s="285">
        <f t="shared" si="49"/>
        <v>470</v>
      </c>
      <c r="B641" s="286" t="s">
        <v>177</v>
      </c>
      <c r="C641" s="57">
        <v>5.05</v>
      </c>
      <c r="D641" s="202">
        <v>5.25</v>
      </c>
      <c r="E641">
        <v>3.7</v>
      </c>
      <c r="H641" s="5" t="s">
        <v>1667</v>
      </c>
      <c r="I641" s="5" t="s">
        <v>1667</v>
      </c>
      <c r="O641" s="1" t="s">
        <v>1834</v>
      </c>
      <c r="R641" s="8">
        <f>SUM(R629:R639)</f>
        <v>9096.24</v>
      </c>
      <c r="AC641" s="57" t="str">
        <f t="shared" si="47"/>
        <v>|</v>
      </c>
      <c r="AE641" s="1" t="s">
        <v>2346</v>
      </c>
    </row>
    <row r="642" spans="1:31" ht="24" customHeight="1">
      <c r="A642" s="285">
        <f t="shared" si="49"/>
        <v>471</v>
      </c>
      <c r="B642" s="286" t="s">
        <v>178</v>
      </c>
      <c r="C642" s="69">
        <v>4</v>
      </c>
      <c r="D642" s="286" t="s">
        <v>448</v>
      </c>
      <c r="F642" s="8">
        <v>1</v>
      </c>
      <c r="G642" s="7" t="s">
        <v>611</v>
      </c>
      <c r="H642" s="1" t="s">
        <v>179</v>
      </c>
      <c r="I642" s="8">
        <f>D76</f>
        <v>270</v>
      </c>
      <c r="J642" s="1" t="s">
        <v>611</v>
      </c>
      <c r="K642" s="8">
        <f>(F642*I642)</f>
        <v>270</v>
      </c>
      <c r="R642" s="5" t="s">
        <v>1667</v>
      </c>
      <c r="AC642" s="57" t="str">
        <f t="shared" si="47"/>
        <v>|</v>
      </c>
      <c r="AE642" s="1" t="s">
        <v>2346</v>
      </c>
    </row>
    <row r="643" spans="1:31" ht="24" customHeight="1">
      <c r="A643" s="285">
        <f t="shared" si="49"/>
        <v>472</v>
      </c>
      <c r="B643" s="286" t="s">
        <v>417</v>
      </c>
      <c r="C643" s="69">
        <v>5</v>
      </c>
      <c r="D643" s="286" t="s">
        <v>448</v>
      </c>
      <c r="F643" s="8">
        <v>1</v>
      </c>
      <c r="G643" s="7" t="s">
        <v>611</v>
      </c>
      <c r="H643" s="1" t="s">
        <v>1499</v>
      </c>
      <c r="I643" s="8">
        <f>C75</f>
        <v>20</v>
      </c>
      <c r="J643" s="1" t="s">
        <v>611</v>
      </c>
      <c r="K643" s="8">
        <f>(F643*I643)</f>
        <v>20</v>
      </c>
      <c r="O643" s="1" t="s">
        <v>1500</v>
      </c>
      <c r="AC643" s="57" t="str">
        <f t="shared" si="47"/>
        <v>|</v>
      </c>
      <c r="AE643" s="1" t="s">
        <v>2346</v>
      </c>
    </row>
    <row r="644" spans="1:31" ht="24" customHeight="1">
      <c r="A644" s="285">
        <f t="shared" si="49"/>
        <v>473</v>
      </c>
      <c r="B644" s="286" t="s">
        <v>1679</v>
      </c>
      <c r="C644" s="287">
        <v>96</v>
      </c>
      <c r="D644" s="286" t="s">
        <v>883</v>
      </c>
      <c r="F644" s="8">
        <v>1</v>
      </c>
      <c r="G644" s="7" t="s">
        <v>448</v>
      </c>
      <c r="H644" s="1" t="s">
        <v>1680</v>
      </c>
      <c r="I644" s="347">
        <v>15</v>
      </c>
      <c r="J644" s="1" t="s">
        <v>448</v>
      </c>
      <c r="K644" s="8">
        <f>(F644*I644)</f>
        <v>15</v>
      </c>
      <c r="N644" s="1" t="s">
        <v>2338</v>
      </c>
      <c r="O644" s="1" t="s">
        <v>1681</v>
      </c>
      <c r="AC644" s="57" t="str">
        <f t="shared" si="47"/>
        <v>|</v>
      </c>
      <c r="AE644" s="1" t="s">
        <v>2346</v>
      </c>
    </row>
    <row r="645" spans="1:31" ht="24" customHeight="1">
      <c r="A645" s="285">
        <f t="shared" si="49"/>
        <v>474</v>
      </c>
      <c r="B645" s="286" t="s">
        <v>1682</v>
      </c>
      <c r="C645" s="287">
        <v>75</v>
      </c>
      <c r="D645" s="286" t="s">
        <v>883</v>
      </c>
      <c r="K645" s="5" t="s">
        <v>1667</v>
      </c>
      <c r="O645" s="1" t="s">
        <v>1683</v>
      </c>
      <c r="AC645" s="57" t="str">
        <f t="shared" si="47"/>
        <v>|</v>
      </c>
      <c r="AE645" s="1" t="s">
        <v>2346</v>
      </c>
    </row>
    <row r="646" spans="1:31" ht="24" customHeight="1">
      <c r="A646" s="285">
        <f t="shared" si="49"/>
        <v>475</v>
      </c>
      <c r="B646" s="286" t="s">
        <v>1684</v>
      </c>
      <c r="C646" s="57">
        <v>10.55</v>
      </c>
      <c r="D646" s="57">
        <v>17.850000000000001</v>
      </c>
      <c r="E646">
        <v>3</v>
      </c>
      <c r="H646" s="1" t="s">
        <v>555</v>
      </c>
      <c r="K646" s="8">
        <f>SUM(K640:K644)</f>
        <v>305</v>
      </c>
      <c r="O646" s="5" t="s">
        <v>1667</v>
      </c>
      <c r="AC646" s="57" t="str">
        <f t="shared" si="47"/>
        <v>|</v>
      </c>
      <c r="AE646" s="1" t="s">
        <v>2346</v>
      </c>
    </row>
    <row r="647" spans="1:31" ht="24" customHeight="1">
      <c r="A647" s="285">
        <f t="shared" si="49"/>
        <v>476</v>
      </c>
      <c r="B647" s="286" t="s">
        <v>1662</v>
      </c>
      <c r="C647" s="287">
        <v>80</v>
      </c>
      <c r="D647" s="286" t="s">
        <v>883</v>
      </c>
      <c r="H647" s="1" t="s">
        <v>1663</v>
      </c>
      <c r="K647" s="5" t="s">
        <v>2130</v>
      </c>
      <c r="M647" s="8">
        <v>1</v>
      </c>
      <c r="N647" s="1" t="s">
        <v>883</v>
      </c>
      <c r="O647" s="1" t="s">
        <v>1664</v>
      </c>
      <c r="P647" s="8">
        <f>(C382)</f>
        <v>14.91</v>
      </c>
      <c r="Q647" s="1" t="s">
        <v>883</v>
      </c>
      <c r="R647" s="8">
        <f>(M647*P647)</f>
        <v>14.91</v>
      </c>
      <c r="AC647" s="57" t="str">
        <f t="shared" si="47"/>
        <v>|</v>
      </c>
      <c r="AE647" s="1" t="s">
        <v>2346</v>
      </c>
    </row>
    <row r="648" spans="1:31" ht="24" customHeight="1">
      <c r="A648" s="285">
        <f t="shared" si="49"/>
        <v>477</v>
      </c>
      <c r="B648" s="286" t="s">
        <v>139</v>
      </c>
      <c r="C648" s="287">
        <v>64</v>
      </c>
      <c r="D648" s="286" t="s">
        <v>883</v>
      </c>
      <c r="H648" s="1" t="s">
        <v>388</v>
      </c>
      <c r="I648">
        <f>K646</f>
        <v>305</v>
      </c>
      <c r="J648" s="11">
        <f>C19*0.05</f>
        <v>1.63</v>
      </c>
      <c r="K648" s="40">
        <f>I648+J648</f>
        <v>306.63</v>
      </c>
      <c r="N648" s="1" t="s">
        <v>448</v>
      </c>
      <c r="O648" s="1" t="s">
        <v>140</v>
      </c>
      <c r="Q648" s="1" t="s">
        <v>448</v>
      </c>
      <c r="R648" s="8">
        <v>2.09</v>
      </c>
      <c r="AC648" s="57" t="str">
        <f t="shared" ref="AC648:AC711" si="51">AE649</f>
        <v>|</v>
      </c>
      <c r="AE648" s="1" t="s">
        <v>2346</v>
      </c>
    </row>
    <row r="649" spans="1:31" ht="24" customHeight="1">
      <c r="A649" s="285">
        <f t="shared" si="49"/>
        <v>478</v>
      </c>
      <c r="B649" s="286" t="s">
        <v>141</v>
      </c>
      <c r="C649" s="287">
        <v>40.5</v>
      </c>
      <c r="D649" s="286" t="s">
        <v>883</v>
      </c>
      <c r="H649" s="1" t="s">
        <v>390</v>
      </c>
      <c r="I649">
        <f>K648</f>
        <v>306.63</v>
      </c>
      <c r="J649" s="11">
        <f>C20*0.05</f>
        <v>3.27</v>
      </c>
      <c r="K649" s="40">
        <f>I649+J649</f>
        <v>309.89999999999998</v>
      </c>
      <c r="O649" s="1" t="s">
        <v>142</v>
      </c>
      <c r="R649" s="1" t="s">
        <v>995</v>
      </c>
      <c r="AC649" s="57" t="str">
        <f t="shared" si="51"/>
        <v>|</v>
      </c>
      <c r="AE649" s="1" t="s">
        <v>2346</v>
      </c>
    </row>
    <row r="650" spans="1:31" ht="24" customHeight="1">
      <c r="A650" s="285">
        <f t="shared" si="49"/>
        <v>479</v>
      </c>
      <c r="B650" s="286" t="s">
        <v>1524</v>
      </c>
      <c r="C650" s="287">
        <v>92</v>
      </c>
      <c r="D650" s="286" t="s">
        <v>883</v>
      </c>
      <c r="H650" s="1" t="s">
        <v>2319</v>
      </c>
      <c r="I650">
        <f>K649</f>
        <v>309.89999999999998</v>
      </c>
      <c r="J650" s="11">
        <f>J649</f>
        <v>3.27</v>
      </c>
      <c r="K650" s="40">
        <f>I650+J650</f>
        <v>313.17</v>
      </c>
      <c r="R650" s="5" t="s">
        <v>1667</v>
      </c>
      <c r="AC650" s="57" t="str">
        <f t="shared" si="51"/>
        <v>|</v>
      </c>
      <c r="AE650" s="1" t="s">
        <v>2346</v>
      </c>
    </row>
    <row r="651" spans="1:31" ht="24" customHeight="1">
      <c r="A651" s="285">
        <f t="shared" si="49"/>
        <v>480</v>
      </c>
      <c r="B651" s="286" t="s">
        <v>1645</v>
      </c>
      <c r="C651" s="287">
        <v>60</v>
      </c>
      <c r="D651" s="286" t="s">
        <v>883</v>
      </c>
      <c r="H651" s="1" t="s">
        <v>382</v>
      </c>
      <c r="I651">
        <f>K650</f>
        <v>313.17</v>
      </c>
      <c r="J651" s="11">
        <f>J650</f>
        <v>3.27</v>
      </c>
      <c r="K651" s="40">
        <f>I651+J651</f>
        <v>316.44</v>
      </c>
      <c r="O651" s="1" t="s">
        <v>1646</v>
      </c>
      <c r="R651" s="8">
        <f>SUM(R647:R649)</f>
        <v>17</v>
      </c>
      <c r="AC651" s="57" t="str">
        <f t="shared" si="51"/>
        <v>|</v>
      </c>
      <c r="AE651" s="1" t="s">
        <v>2346</v>
      </c>
    </row>
    <row r="652" spans="1:31" ht="24" customHeight="1">
      <c r="A652" s="285">
        <f t="shared" si="49"/>
        <v>481</v>
      </c>
      <c r="B652" s="286" t="s">
        <v>1426</v>
      </c>
      <c r="C652" s="287">
        <v>49.87</v>
      </c>
      <c r="D652" s="286" t="s">
        <v>883</v>
      </c>
      <c r="H652" s="1" t="s">
        <v>1427</v>
      </c>
      <c r="I652">
        <f>K651</f>
        <v>316.44</v>
      </c>
      <c r="J652" s="11">
        <f>J651</f>
        <v>3.27</v>
      </c>
      <c r="K652" s="40">
        <f>I652+J652</f>
        <v>319.70999999999998</v>
      </c>
      <c r="R652" s="5" t="s">
        <v>1667</v>
      </c>
      <c r="AC652" s="57" t="str">
        <f t="shared" si="51"/>
        <v>|</v>
      </c>
      <c r="AE652" s="1" t="s">
        <v>2346</v>
      </c>
    </row>
    <row r="653" spans="1:31" ht="24" customHeight="1">
      <c r="A653" s="285">
        <f t="shared" si="49"/>
        <v>482</v>
      </c>
      <c r="B653" s="286" t="s">
        <v>1893</v>
      </c>
      <c r="C653" s="287">
        <v>80</v>
      </c>
      <c r="D653" s="286" t="s">
        <v>883</v>
      </c>
      <c r="F653" s="2" t="s">
        <v>1894</v>
      </c>
      <c r="H653" s="1" t="s">
        <v>772</v>
      </c>
      <c r="AC653" s="57" t="str">
        <f t="shared" si="51"/>
        <v>|</v>
      </c>
      <c r="AE653" s="1" t="s">
        <v>2346</v>
      </c>
    </row>
    <row r="654" spans="1:31" ht="24" customHeight="1">
      <c r="A654" s="285">
        <f t="shared" si="49"/>
        <v>483</v>
      </c>
      <c r="B654" s="286" t="s">
        <v>1895</v>
      </c>
      <c r="C654" s="287">
        <v>52</v>
      </c>
      <c r="D654" s="286" t="s">
        <v>883</v>
      </c>
      <c r="H654" s="1" t="s">
        <v>1896</v>
      </c>
      <c r="N654" s="1" t="s">
        <v>2338</v>
      </c>
      <c r="O654" s="1" t="s">
        <v>910</v>
      </c>
      <c r="AC654" s="57" t="str">
        <f t="shared" si="51"/>
        <v>|</v>
      </c>
      <c r="AE654" s="1" t="s">
        <v>2346</v>
      </c>
    </row>
    <row r="655" spans="1:31" ht="24" customHeight="1">
      <c r="A655" s="285">
        <f t="shared" si="49"/>
        <v>484</v>
      </c>
      <c r="B655" s="286" t="s">
        <v>1232</v>
      </c>
      <c r="C655" s="287">
        <v>39</v>
      </c>
      <c r="D655" s="286" t="s">
        <v>883</v>
      </c>
      <c r="H655" s="1" t="s">
        <v>339</v>
      </c>
      <c r="O655" s="1" t="s">
        <v>1683</v>
      </c>
      <c r="AC655" s="57" t="str">
        <f t="shared" si="51"/>
        <v>|</v>
      </c>
      <c r="AE655" s="1" t="s">
        <v>2346</v>
      </c>
    </row>
    <row r="656" spans="1:31" ht="24" customHeight="1">
      <c r="A656" s="285">
        <f t="shared" si="49"/>
        <v>485</v>
      </c>
      <c r="B656" s="286" t="s">
        <v>1311</v>
      </c>
      <c r="C656" s="287">
        <v>90</v>
      </c>
      <c r="D656" s="286" t="s">
        <v>883</v>
      </c>
      <c r="H656" s="1" t="s">
        <v>1566</v>
      </c>
      <c r="O656" s="5" t="s">
        <v>1667</v>
      </c>
      <c r="AC656" s="57" t="str">
        <f t="shared" si="51"/>
        <v>|</v>
      </c>
      <c r="AE656" s="1" t="s">
        <v>2346</v>
      </c>
    </row>
    <row r="657" spans="1:31" ht="24" customHeight="1">
      <c r="A657" s="285">
        <f t="shared" si="49"/>
        <v>486</v>
      </c>
      <c r="B657" s="286" t="s">
        <v>1312</v>
      </c>
      <c r="C657" s="287">
        <v>60</v>
      </c>
      <c r="D657" s="286" t="s">
        <v>883</v>
      </c>
      <c r="H657" s="1" t="s">
        <v>173</v>
      </c>
      <c r="M657" s="8">
        <v>1</v>
      </c>
      <c r="N657" s="1" t="s">
        <v>883</v>
      </c>
      <c r="O657" s="1" t="s">
        <v>1121</v>
      </c>
      <c r="P657" s="8">
        <f>(C383)</f>
        <v>17.579999999999998</v>
      </c>
      <c r="Q657" s="1" t="s">
        <v>883</v>
      </c>
      <c r="R657" s="8">
        <f>(M657*P657)</f>
        <v>17.579999999999998</v>
      </c>
      <c r="AC657" s="57" t="str">
        <f t="shared" si="51"/>
        <v>|</v>
      </c>
      <c r="AE657" s="1" t="s">
        <v>2346</v>
      </c>
    </row>
    <row r="658" spans="1:31" ht="24" customHeight="1">
      <c r="A658" s="285">
        <f t="shared" si="49"/>
        <v>487</v>
      </c>
      <c r="B658" s="286" t="s">
        <v>1122</v>
      </c>
      <c r="C658" s="287">
        <v>43.5</v>
      </c>
      <c r="D658" s="286" t="s">
        <v>883</v>
      </c>
      <c r="H658" s="1" t="s">
        <v>175</v>
      </c>
      <c r="N658" s="1" t="s">
        <v>448</v>
      </c>
      <c r="O658" s="1" t="s">
        <v>140</v>
      </c>
      <c r="Q658" s="1" t="s">
        <v>448</v>
      </c>
      <c r="R658" s="8">
        <v>2.09</v>
      </c>
      <c r="AC658" s="57" t="str">
        <f t="shared" si="51"/>
        <v>|</v>
      </c>
      <c r="AE658" s="1" t="s">
        <v>2346</v>
      </c>
    </row>
    <row r="659" spans="1:31" ht="24" customHeight="1">
      <c r="A659" s="285">
        <f t="shared" si="49"/>
        <v>488</v>
      </c>
      <c r="B659" s="286" t="s">
        <v>244</v>
      </c>
      <c r="C659" s="287">
        <v>75</v>
      </c>
      <c r="D659" s="286" t="s">
        <v>883</v>
      </c>
      <c r="H659" s="1" t="s">
        <v>2143</v>
      </c>
      <c r="O659" s="1" t="s">
        <v>142</v>
      </c>
      <c r="R659" s="1" t="s">
        <v>995</v>
      </c>
      <c r="AC659" s="57" t="str">
        <f t="shared" si="51"/>
        <v>|</v>
      </c>
      <c r="AE659" s="1" t="s">
        <v>2346</v>
      </c>
    </row>
    <row r="660" spans="1:31" ht="24" customHeight="1">
      <c r="A660" s="285">
        <f t="shared" si="49"/>
        <v>489</v>
      </c>
      <c r="B660" s="286" t="s">
        <v>2101</v>
      </c>
      <c r="C660" s="287">
        <v>52</v>
      </c>
      <c r="D660" s="286" t="s">
        <v>883</v>
      </c>
      <c r="H660" s="5" t="s">
        <v>1667</v>
      </c>
      <c r="I660" s="5" t="s">
        <v>1667</v>
      </c>
      <c r="R660" s="5" t="s">
        <v>1667</v>
      </c>
      <c r="AC660" s="57" t="str">
        <f t="shared" si="51"/>
        <v>|</v>
      </c>
      <c r="AE660" s="1" t="s">
        <v>2346</v>
      </c>
    </row>
    <row r="661" spans="1:31" ht="24" customHeight="1">
      <c r="A661" s="285">
        <f t="shared" si="49"/>
        <v>490</v>
      </c>
      <c r="B661" s="286" t="s">
        <v>1232</v>
      </c>
      <c r="C661" s="287">
        <v>35.25</v>
      </c>
      <c r="D661" s="286" t="s">
        <v>883</v>
      </c>
      <c r="F661" s="8">
        <v>1</v>
      </c>
      <c r="G661" s="7" t="s">
        <v>611</v>
      </c>
      <c r="H661" s="1" t="s">
        <v>941</v>
      </c>
      <c r="I661" s="8">
        <f>C76</f>
        <v>475</v>
      </c>
      <c r="J661" s="1" t="s">
        <v>611</v>
      </c>
      <c r="K661" s="8">
        <f>(F661*I661)</f>
        <v>475</v>
      </c>
      <c r="O661" s="1" t="s">
        <v>1646</v>
      </c>
      <c r="R661" s="8">
        <f>SUM(R657:R659)</f>
        <v>19.670000000000002</v>
      </c>
      <c r="AC661" s="57" t="str">
        <f t="shared" si="51"/>
        <v>|</v>
      </c>
      <c r="AE661" s="1" t="s">
        <v>2346</v>
      </c>
    </row>
    <row r="662" spans="1:31" ht="24" customHeight="1">
      <c r="A662" s="285">
        <f t="shared" si="49"/>
        <v>491</v>
      </c>
      <c r="B662" s="286" t="s">
        <v>942</v>
      </c>
      <c r="C662" s="287">
        <v>37.5</v>
      </c>
      <c r="D662" s="286" t="s">
        <v>883</v>
      </c>
      <c r="F662" s="8">
        <v>1</v>
      </c>
      <c r="G662" s="7" t="s">
        <v>611</v>
      </c>
      <c r="H662" s="1" t="s">
        <v>1499</v>
      </c>
      <c r="I662" s="8">
        <f>C75</f>
        <v>20</v>
      </c>
      <c r="J662" s="1" t="s">
        <v>611</v>
      </c>
      <c r="K662" s="8">
        <f>(F662*I662)</f>
        <v>20</v>
      </c>
      <c r="R662" s="5" t="s">
        <v>1667</v>
      </c>
      <c r="AC662" s="57" t="str">
        <f t="shared" si="51"/>
        <v>|</v>
      </c>
      <c r="AE662" s="1" t="s">
        <v>2346</v>
      </c>
    </row>
    <row r="663" spans="1:31" ht="24" customHeight="1">
      <c r="A663" s="285">
        <f t="shared" si="49"/>
        <v>492</v>
      </c>
      <c r="B663" s="286" t="s">
        <v>943</v>
      </c>
      <c r="C663" s="287">
        <v>24</v>
      </c>
      <c r="D663" s="286" t="s">
        <v>883</v>
      </c>
      <c r="F663" s="8">
        <v>1</v>
      </c>
      <c r="G663" s="7" t="s">
        <v>448</v>
      </c>
      <c r="H663" s="1" t="s">
        <v>1680</v>
      </c>
      <c r="I663" s="347">
        <v>15</v>
      </c>
      <c r="J663" s="1" t="s">
        <v>448</v>
      </c>
      <c r="K663" s="8">
        <f>(F663*I663)</f>
        <v>15</v>
      </c>
      <c r="O663" t="s">
        <v>246</v>
      </c>
      <c r="AC663" s="57" t="str">
        <f t="shared" si="51"/>
        <v>|</v>
      </c>
      <c r="AE663" s="1" t="s">
        <v>2346</v>
      </c>
    </row>
    <row r="664" spans="1:31" ht="24" customHeight="1">
      <c r="A664" s="285">
        <f t="shared" si="49"/>
        <v>493</v>
      </c>
      <c r="B664" s="286" t="s">
        <v>944</v>
      </c>
      <c r="C664" s="287">
        <v>16</v>
      </c>
      <c r="D664" s="286" t="s">
        <v>883</v>
      </c>
      <c r="H664" s="1" t="s">
        <v>449</v>
      </c>
      <c r="J664" s="1" t="s">
        <v>448</v>
      </c>
      <c r="K664" s="8">
        <v>0</v>
      </c>
      <c r="N664" s="1" t="s">
        <v>2338</v>
      </c>
      <c r="O664" s="1" t="s">
        <v>476</v>
      </c>
      <c r="AC664" s="57" t="str">
        <f t="shared" si="51"/>
        <v>|</v>
      </c>
      <c r="AE664" s="1" t="s">
        <v>2346</v>
      </c>
    </row>
    <row r="665" spans="1:31" ht="24" customHeight="1">
      <c r="A665" s="285">
        <f t="shared" si="49"/>
        <v>494</v>
      </c>
      <c r="B665" s="286" t="s">
        <v>477</v>
      </c>
      <c r="C665" s="57">
        <v>29.3</v>
      </c>
      <c r="D665" s="286" t="s">
        <v>883</v>
      </c>
      <c r="K665" s="5" t="s">
        <v>1667</v>
      </c>
      <c r="O665" s="1" t="s">
        <v>1683</v>
      </c>
      <c r="AC665" s="57" t="str">
        <f t="shared" si="51"/>
        <v>|</v>
      </c>
      <c r="AE665" s="1" t="s">
        <v>2346</v>
      </c>
    </row>
    <row r="666" spans="1:31" ht="24" customHeight="1">
      <c r="A666" s="285">
        <f t="shared" si="49"/>
        <v>495</v>
      </c>
      <c r="B666" s="286" t="s">
        <v>478</v>
      </c>
      <c r="C666" s="287">
        <v>6</v>
      </c>
      <c r="D666" s="286" t="s">
        <v>883</v>
      </c>
      <c r="H666" s="1" t="s">
        <v>555</v>
      </c>
      <c r="K666" s="8">
        <f>SUM(K661:K664)</f>
        <v>510</v>
      </c>
      <c r="O666" s="5" t="s">
        <v>1667</v>
      </c>
      <c r="AC666" s="57" t="str">
        <f t="shared" si="51"/>
        <v>|</v>
      </c>
      <c r="AE666" s="1" t="s">
        <v>2346</v>
      </c>
    </row>
    <row r="667" spans="1:31" ht="24" customHeight="1">
      <c r="A667" s="285">
        <f t="shared" si="49"/>
        <v>496</v>
      </c>
      <c r="B667" s="286" t="s">
        <v>130</v>
      </c>
      <c r="C667" s="287">
        <v>152.5</v>
      </c>
      <c r="D667" s="286" t="s">
        <v>1854</v>
      </c>
      <c r="E667" s="208">
        <v>102.8</v>
      </c>
      <c r="H667" s="1" t="s">
        <v>1663</v>
      </c>
      <c r="K667" s="5" t="s">
        <v>2130</v>
      </c>
      <c r="M667" s="8">
        <v>1</v>
      </c>
      <c r="N667" s="1" t="s">
        <v>883</v>
      </c>
      <c r="O667" s="1" t="s">
        <v>480</v>
      </c>
      <c r="P667" s="8">
        <f>(C384)</f>
        <v>19.3</v>
      </c>
      <c r="Q667" s="1" t="s">
        <v>883</v>
      </c>
      <c r="R667" s="8">
        <f>(M667*P667)</f>
        <v>19.3</v>
      </c>
      <c r="AC667" s="57" t="str">
        <f t="shared" si="51"/>
        <v>|</v>
      </c>
      <c r="AE667" s="1" t="s">
        <v>2346</v>
      </c>
    </row>
    <row r="668" spans="1:31" ht="24" customHeight="1">
      <c r="A668" s="285">
        <f t="shared" si="49"/>
        <v>497</v>
      </c>
      <c r="B668" s="286" t="s">
        <v>1029</v>
      </c>
      <c r="C668" s="287">
        <v>108.68</v>
      </c>
      <c r="D668" s="286" t="s">
        <v>883</v>
      </c>
      <c r="H668" s="1" t="s">
        <v>388</v>
      </c>
      <c r="I668">
        <f>K666</f>
        <v>510</v>
      </c>
      <c r="J668" s="1">
        <f>C19*0.11</f>
        <v>3.58</v>
      </c>
      <c r="K668" s="40">
        <f>I668+J668</f>
        <v>513.58000000000004</v>
      </c>
      <c r="N668" s="1" t="s">
        <v>448</v>
      </c>
      <c r="O668" s="1" t="s">
        <v>140</v>
      </c>
      <c r="Q668" s="1" t="s">
        <v>448</v>
      </c>
      <c r="R668" s="8">
        <v>2.09</v>
      </c>
      <c r="AC668" s="57" t="str">
        <f t="shared" si="51"/>
        <v>|</v>
      </c>
      <c r="AE668" s="1" t="s">
        <v>2346</v>
      </c>
    </row>
    <row r="669" spans="1:31" ht="24" customHeight="1">
      <c r="A669" s="285">
        <f t="shared" si="49"/>
        <v>498</v>
      </c>
      <c r="B669" s="286" t="s">
        <v>551</v>
      </c>
      <c r="C669" s="287">
        <v>119.89</v>
      </c>
      <c r="D669" s="286" t="s">
        <v>883</v>
      </c>
      <c r="H669" s="1" t="s">
        <v>390</v>
      </c>
      <c r="I669">
        <f>K668</f>
        <v>513.58000000000004</v>
      </c>
      <c r="J669" s="11">
        <f>C20*0.11</f>
        <v>7.18</v>
      </c>
      <c r="K669" s="40">
        <f>I669+J669</f>
        <v>520.76</v>
      </c>
      <c r="O669" s="1" t="s">
        <v>142</v>
      </c>
      <c r="R669" s="1" t="s">
        <v>995</v>
      </c>
      <c r="AC669" s="57" t="str">
        <f t="shared" si="51"/>
        <v>|::</v>
      </c>
      <c r="AE669" s="1" t="s">
        <v>2346</v>
      </c>
    </row>
    <row r="670" spans="1:31" ht="24" customHeight="1">
      <c r="A670" s="285">
        <f t="shared" si="49"/>
        <v>499</v>
      </c>
      <c r="B670" s="286" t="s">
        <v>552</v>
      </c>
      <c r="C670" s="287">
        <v>297.44</v>
      </c>
      <c r="D670" s="286" t="s">
        <v>883</v>
      </c>
      <c r="H670" s="1" t="s">
        <v>2319</v>
      </c>
      <c r="I670">
        <f>K669</f>
        <v>520.76</v>
      </c>
      <c r="J670" s="11">
        <f>J669</f>
        <v>7.18</v>
      </c>
      <c r="K670" s="40">
        <f>I670+J670</f>
        <v>527.94000000000005</v>
      </c>
      <c r="R670" s="5" t="s">
        <v>1667</v>
      </c>
      <c r="AC670" s="57">
        <f t="shared" si="51"/>
        <v>0</v>
      </c>
      <c r="AE670" s="1" t="s">
        <v>325</v>
      </c>
    </row>
    <row r="671" spans="1:31" ht="24" customHeight="1">
      <c r="A671" s="285">
        <f t="shared" si="49"/>
        <v>500</v>
      </c>
      <c r="B671" s="286" t="s">
        <v>553</v>
      </c>
      <c r="C671" s="287">
        <v>28.6</v>
      </c>
      <c r="D671" s="286" t="s">
        <v>883</v>
      </c>
      <c r="H671" s="1" t="s">
        <v>382</v>
      </c>
      <c r="I671">
        <f>K670</f>
        <v>527.94000000000005</v>
      </c>
      <c r="J671" s="11">
        <f>J670</f>
        <v>7.18</v>
      </c>
      <c r="K671" s="40">
        <f>I671+J671</f>
        <v>535.12</v>
      </c>
      <c r="O671" s="1" t="s">
        <v>1646</v>
      </c>
      <c r="R671" s="8">
        <f>SUM(R667:R669)</f>
        <v>21.39</v>
      </c>
      <c r="AC671" s="57">
        <f t="shared" si="51"/>
        <v>0</v>
      </c>
    </row>
    <row r="672" spans="1:31" ht="24" customHeight="1">
      <c r="A672" s="285">
        <f t="shared" si="49"/>
        <v>501</v>
      </c>
      <c r="B672" s="286" t="s">
        <v>187</v>
      </c>
      <c r="C672" s="287">
        <v>228.86</v>
      </c>
      <c r="D672" s="286" t="s">
        <v>883</v>
      </c>
      <c r="H672" s="1" t="s">
        <v>1427</v>
      </c>
      <c r="I672">
        <f>K671</f>
        <v>535.12</v>
      </c>
      <c r="J672" s="11">
        <f>J671</f>
        <v>7.18</v>
      </c>
      <c r="K672" s="40">
        <f>I672+J672</f>
        <v>542.29999999999995</v>
      </c>
      <c r="R672" s="5" t="s">
        <v>1667</v>
      </c>
      <c r="AC672" s="57">
        <f t="shared" si="51"/>
        <v>0</v>
      </c>
    </row>
    <row r="673" spans="1:31" ht="24" customHeight="1">
      <c r="A673" s="288"/>
      <c r="B673" s="288" t="s">
        <v>2979</v>
      </c>
      <c r="C673" s="348">
        <v>2875</v>
      </c>
      <c r="D673" s="288" t="s">
        <v>611</v>
      </c>
      <c r="F673" s="1" t="s">
        <v>995</v>
      </c>
      <c r="AC673" s="57" t="str">
        <f t="shared" si="51"/>
        <v>|</v>
      </c>
    </row>
    <row r="674" spans="1:31" ht="24" customHeight="1">
      <c r="A674" s="285">
        <f>(A672+1)</f>
        <v>502</v>
      </c>
      <c r="B674" s="286" t="s">
        <v>188</v>
      </c>
      <c r="C674" s="287">
        <v>70.47</v>
      </c>
      <c r="D674" s="286" t="s">
        <v>883</v>
      </c>
      <c r="AC674" s="57" t="str">
        <f t="shared" si="51"/>
        <v>|</v>
      </c>
      <c r="AE674" s="1" t="s">
        <v>2346</v>
      </c>
    </row>
    <row r="675" spans="1:31" ht="24" customHeight="1">
      <c r="A675" s="285">
        <f t="shared" ref="A675:A732" si="52">(A674+1)</f>
        <v>503</v>
      </c>
      <c r="B675" s="286" t="s">
        <v>189</v>
      </c>
      <c r="C675" s="287">
        <v>133.62</v>
      </c>
      <c r="D675" s="286" t="s">
        <v>883</v>
      </c>
      <c r="F675" s="2" t="s">
        <v>1416</v>
      </c>
      <c r="H675" s="1" t="s">
        <v>190</v>
      </c>
      <c r="N675" s="1" t="s">
        <v>2338</v>
      </c>
      <c r="O675" s="1" t="s">
        <v>1515</v>
      </c>
      <c r="AC675" s="57" t="str">
        <f t="shared" si="51"/>
        <v>|</v>
      </c>
      <c r="AE675" s="1" t="s">
        <v>2346</v>
      </c>
    </row>
    <row r="676" spans="1:31" ht="24" customHeight="1">
      <c r="A676" s="285">
        <f t="shared" si="52"/>
        <v>504</v>
      </c>
      <c r="B676" s="286" t="s">
        <v>1516</v>
      </c>
      <c r="C676" s="287">
        <v>133.62</v>
      </c>
      <c r="D676" s="286" t="s">
        <v>883</v>
      </c>
      <c r="H676" s="1" t="s">
        <v>1517</v>
      </c>
      <c r="O676" s="1" t="s">
        <v>1518</v>
      </c>
      <c r="AC676" s="57" t="str">
        <f t="shared" si="51"/>
        <v>|</v>
      </c>
      <c r="AE676" s="1" t="s">
        <v>2346</v>
      </c>
    </row>
    <row r="677" spans="1:31" ht="24" customHeight="1">
      <c r="A677" s="285">
        <f t="shared" si="52"/>
        <v>505</v>
      </c>
      <c r="B677" s="286" t="s">
        <v>1519</v>
      </c>
      <c r="C677" s="287">
        <v>215</v>
      </c>
      <c r="D677" s="286" t="s">
        <v>883</v>
      </c>
      <c r="H677" s="1" t="s">
        <v>1520</v>
      </c>
      <c r="O677" s="5" t="s">
        <v>1667</v>
      </c>
      <c r="AC677" s="57" t="str">
        <f t="shared" si="51"/>
        <v>|</v>
      </c>
      <c r="AE677" s="1" t="s">
        <v>2346</v>
      </c>
    </row>
    <row r="678" spans="1:31" ht="24" customHeight="1">
      <c r="A678" s="285">
        <f t="shared" si="52"/>
        <v>506</v>
      </c>
      <c r="B678" s="286" t="s">
        <v>1271</v>
      </c>
      <c r="C678" s="287">
        <v>215</v>
      </c>
      <c r="D678" s="286" t="s">
        <v>883</v>
      </c>
      <c r="H678" s="5" t="s">
        <v>1667</v>
      </c>
      <c r="M678" s="8">
        <v>1</v>
      </c>
      <c r="N678" s="1" t="s">
        <v>883</v>
      </c>
      <c r="O678" s="1" t="s">
        <v>1272</v>
      </c>
      <c r="P678" s="8">
        <f>(C392/1*0.3)</f>
        <v>40.01</v>
      </c>
      <c r="Q678" s="1" t="s">
        <v>883</v>
      </c>
      <c r="R678" s="8">
        <f>(M678*P678)</f>
        <v>40.01</v>
      </c>
      <c r="AC678" s="57" t="str">
        <f t="shared" si="51"/>
        <v>|</v>
      </c>
      <c r="AE678" s="1" t="s">
        <v>2346</v>
      </c>
    </row>
    <row r="679" spans="1:31" ht="24" customHeight="1">
      <c r="A679" s="285">
        <f t="shared" si="52"/>
        <v>507</v>
      </c>
      <c r="B679" s="286" t="s">
        <v>1273</v>
      </c>
      <c r="C679" s="287">
        <v>107.64</v>
      </c>
      <c r="D679" s="286" t="s">
        <v>611</v>
      </c>
      <c r="F679" s="8">
        <v>0.4</v>
      </c>
      <c r="G679" s="7" t="s">
        <v>884</v>
      </c>
      <c r="H679" s="1" t="s">
        <v>1274</v>
      </c>
      <c r="I679" s="8">
        <f>(C267)</f>
        <v>14880</v>
      </c>
      <c r="J679" s="1" t="s">
        <v>884</v>
      </c>
      <c r="K679" s="8">
        <f>(F679*I679)</f>
        <v>5952</v>
      </c>
      <c r="N679" s="1" t="s">
        <v>448</v>
      </c>
      <c r="O679" s="1" t="s">
        <v>140</v>
      </c>
      <c r="Q679" s="1" t="s">
        <v>448</v>
      </c>
      <c r="R679" s="8">
        <v>1.65</v>
      </c>
      <c r="AC679" s="57" t="str">
        <f t="shared" si="51"/>
        <v>|</v>
      </c>
      <c r="AE679" s="1" t="s">
        <v>2346</v>
      </c>
    </row>
    <row r="680" spans="1:31" ht="24" customHeight="1">
      <c r="A680" s="285">
        <f t="shared" si="52"/>
        <v>508</v>
      </c>
      <c r="B680" s="286" t="s">
        <v>1275</v>
      </c>
      <c r="C680" s="288"/>
      <c r="D680" s="288"/>
      <c r="F680" s="8">
        <v>0.12</v>
      </c>
      <c r="G680" s="7" t="s">
        <v>884</v>
      </c>
      <c r="H680" s="1" t="s">
        <v>1224</v>
      </c>
      <c r="I680" s="8">
        <f>(C268)</f>
        <v>13060</v>
      </c>
      <c r="J680" s="1" t="s">
        <v>884</v>
      </c>
      <c r="K680" s="8">
        <f>(F680*I680)</f>
        <v>1567.2</v>
      </c>
      <c r="O680" s="1" t="s">
        <v>142</v>
      </c>
      <c r="R680" s="1" t="s">
        <v>995</v>
      </c>
      <c r="AC680" s="57" t="str">
        <f t="shared" si="51"/>
        <v>|</v>
      </c>
      <c r="AE680" s="1" t="s">
        <v>2346</v>
      </c>
    </row>
    <row r="681" spans="1:31" ht="24" customHeight="1">
      <c r="A681" s="285">
        <f t="shared" si="52"/>
        <v>509</v>
      </c>
      <c r="B681" s="286" t="s">
        <v>2190</v>
      </c>
      <c r="C681" s="287">
        <v>11.55</v>
      </c>
      <c r="D681" s="286" t="s">
        <v>883</v>
      </c>
      <c r="H681" s="1" t="s">
        <v>2191</v>
      </c>
      <c r="I681" s="1" t="s">
        <v>995</v>
      </c>
      <c r="K681" s="1" t="s">
        <v>995</v>
      </c>
      <c r="R681" s="5" t="s">
        <v>1667</v>
      </c>
      <c r="AC681" s="57" t="str">
        <f t="shared" si="51"/>
        <v>|</v>
      </c>
      <c r="AE681" s="1" t="s">
        <v>2346</v>
      </c>
    </row>
    <row r="682" spans="1:31" ht="24" customHeight="1">
      <c r="A682" s="285">
        <f t="shared" si="52"/>
        <v>510</v>
      </c>
      <c r="B682" s="286" t="s">
        <v>1160</v>
      </c>
      <c r="C682" s="287">
        <v>16.399999999999999</v>
      </c>
      <c r="D682" s="286" t="s">
        <v>883</v>
      </c>
      <c r="F682" s="8">
        <v>98.5</v>
      </c>
      <c r="G682" s="7" t="s">
        <v>1854</v>
      </c>
      <c r="H682" s="1" t="s">
        <v>1486</v>
      </c>
      <c r="I682" s="8">
        <f>(C269)</f>
        <v>21.1</v>
      </c>
      <c r="J682" s="1" t="s">
        <v>1854</v>
      </c>
      <c r="K682" s="8">
        <f>(F682*I682)</f>
        <v>2078.35</v>
      </c>
      <c r="O682" s="1" t="s">
        <v>1646</v>
      </c>
      <c r="R682" s="8">
        <f>SUM(R678:R680)</f>
        <v>41.66</v>
      </c>
      <c r="AC682" s="57" t="str">
        <f t="shared" si="51"/>
        <v>|</v>
      </c>
      <c r="AE682" s="1" t="s">
        <v>2346</v>
      </c>
    </row>
    <row r="683" spans="1:31" ht="24" customHeight="1">
      <c r="A683" s="285">
        <f t="shared" si="52"/>
        <v>511</v>
      </c>
      <c r="B683" s="286" t="s">
        <v>1161</v>
      </c>
      <c r="C683" s="287">
        <v>27.85</v>
      </c>
      <c r="D683" s="286" t="s">
        <v>883</v>
      </c>
      <c r="H683" s="1" t="s">
        <v>316</v>
      </c>
      <c r="I683" s="1" t="s">
        <v>995</v>
      </c>
      <c r="K683" s="1" t="s">
        <v>246</v>
      </c>
      <c r="R683" s="5" t="s">
        <v>1667</v>
      </c>
      <c r="AC683" s="57" t="str">
        <f t="shared" si="51"/>
        <v>|</v>
      </c>
      <c r="AE683" s="1" t="s">
        <v>2346</v>
      </c>
    </row>
    <row r="684" spans="1:31" ht="24" customHeight="1">
      <c r="A684" s="285">
        <f t="shared" si="52"/>
        <v>512</v>
      </c>
      <c r="B684" s="286" t="s">
        <v>1162</v>
      </c>
      <c r="C684" s="287">
        <v>49.9</v>
      </c>
      <c r="D684" s="286" t="s">
        <v>883</v>
      </c>
      <c r="K684" s="5" t="s">
        <v>1667</v>
      </c>
      <c r="O684" s="2" t="s">
        <v>672</v>
      </c>
      <c r="R684" s="1" t="s">
        <v>995</v>
      </c>
      <c r="AC684" s="57" t="str">
        <f t="shared" si="51"/>
        <v>|</v>
      </c>
      <c r="AE684" s="1" t="s">
        <v>2346</v>
      </c>
    </row>
    <row r="685" spans="1:31" ht="24" customHeight="1">
      <c r="A685" s="285">
        <f t="shared" si="52"/>
        <v>513</v>
      </c>
      <c r="B685" s="286" t="s">
        <v>1164</v>
      </c>
      <c r="C685" s="287">
        <v>69.25</v>
      </c>
      <c r="D685" s="286" t="s">
        <v>883</v>
      </c>
      <c r="H685" s="1" t="s">
        <v>673</v>
      </c>
      <c r="K685" s="8">
        <f>SUM(K679:K683)</f>
        <v>9597.5499999999993</v>
      </c>
      <c r="M685" s="17"/>
      <c r="O685" s="2" t="s">
        <v>2158</v>
      </c>
      <c r="AC685" s="57" t="str">
        <f t="shared" si="51"/>
        <v>|</v>
      </c>
      <c r="AE685" s="1" t="s">
        <v>2346</v>
      </c>
    </row>
    <row r="686" spans="1:31" ht="24" customHeight="1">
      <c r="A686" s="285">
        <f t="shared" si="52"/>
        <v>514</v>
      </c>
      <c r="B686" s="286" t="s">
        <v>1980</v>
      </c>
      <c r="C686" s="288"/>
      <c r="D686" s="286" t="s">
        <v>995</v>
      </c>
      <c r="H686" s="1" t="s">
        <v>995</v>
      </c>
      <c r="K686" s="5" t="s">
        <v>1667</v>
      </c>
      <c r="M686" s="2" t="s">
        <v>1602</v>
      </c>
      <c r="N686" s="1" t="s">
        <v>1981</v>
      </c>
      <c r="O686" s="1" t="s">
        <v>335</v>
      </c>
      <c r="AC686" s="57" t="str">
        <f t="shared" si="51"/>
        <v>|</v>
      </c>
      <c r="AE686" s="1" t="s">
        <v>2346</v>
      </c>
    </row>
    <row r="687" spans="1:31" ht="24" customHeight="1">
      <c r="A687" s="285">
        <f t="shared" si="52"/>
        <v>515</v>
      </c>
      <c r="B687" s="286" t="s">
        <v>238</v>
      </c>
      <c r="C687" s="287">
        <v>20</v>
      </c>
      <c r="D687" s="286" t="s">
        <v>883</v>
      </c>
      <c r="F687" s="8">
        <v>10</v>
      </c>
      <c r="G687" s="7" t="s">
        <v>611</v>
      </c>
      <c r="H687" s="1" t="s">
        <v>497</v>
      </c>
      <c r="I687" s="8">
        <f>(K685/50)</f>
        <v>191.95</v>
      </c>
      <c r="J687" s="1" t="s">
        <v>611</v>
      </c>
      <c r="K687" s="8">
        <f>(F687*I687)</f>
        <v>1919.5</v>
      </c>
      <c r="O687" s="5" t="s">
        <v>1667</v>
      </c>
      <c r="AC687" s="57" t="str">
        <f t="shared" si="51"/>
        <v>|</v>
      </c>
      <c r="AE687" s="1" t="s">
        <v>2346</v>
      </c>
    </row>
    <row r="688" spans="1:31" ht="24" customHeight="1">
      <c r="A688" s="285">
        <f t="shared" si="52"/>
        <v>516</v>
      </c>
      <c r="B688" s="286" t="s">
        <v>498</v>
      </c>
      <c r="C688" s="287">
        <v>45</v>
      </c>
      <c r="D688" s="286" t="s">
        <v>883</v>
      </c>
      <c r="F688" s="8">
        <v>3.8</v>
      </c>
      <c r="G688" s="7" t="s">
        <v>781</v>
      </c>
      <c r="H688" s="1" t="s">
        <v>499</v>
      </c>
      <c r="I688" s="8">
        <f>(C16)</f>
        <v>421.05</v>
      </c>
      <c r="J688" s="1" t="s">
        <v>781</v>
      </c>
      <c r="K688" s="8">
        <f>(F688*I688)</f>
        <v>1599.99</v>
      </c>
      <c r="M688" s="17">
        <v>2.69E-2</v>
      </c>
      <c r="N688" s="1" t="s">
        <v>884</v>
      </c>
      <c r="O688" s="1" t="s">
        <v>483</v>
      </c>
      <c r="P688" s="57">
        <f>C86</f>
        <v>31660</v>
      </c>
      <c r="Q688" s="1" t="s">
        <v>884</v>
      </c>
      <c r="R688" s="8">
        <f t="shared" ref="R688:R694" si="53">M688*P688</f>
        <v>851.65</v>
      </c>
      <c r="AC688" s="57" t="str">
        <f t="shared" si="51"/>
        <v>|</v>
      </c>
      <c r="AE688" s="1" t="s">
        <v>2346</v>
      </c>
    </row>
    <row r="689" spans="1:31" ht="24" customHeight="1">
      <c r="A689" s="285">
        <f t="shared" si="52"/>
        <v>517</v>
      </c>
      <c r="B689" s="286" t="s">
        <v>1373</v>
      </c>
      <c r="C689" s="288"/>
      <c r="D689" s="286" t="s">
        <v>246</v>
      </c>
      <c r="F689" s="8">
        <v>5.4</v>
      </c>
      <c r="G689" s="7" t="s">
        <v>781</v>
      </c>
      <c r="H689" s="1" t="s">
        <v>1979</v>
      </c>
      <c r="I689" s="8">
        <f>(C12)</f>
        <v>269.85000000000002</v>
      </c>
      <c r="J689" s="1" t="s">
        <v>781</v>
      </c>
      <c r="K689" s="8">
        <f>(F689*I689)</f>
        <v>1457.19</v>
      </c>
      <c r="M689" s="17">
        <v>1.2949999999999999</v>
      </c>
      <c r="N689" s="1" t="s">
        <v>611</v>
      </c>
      <c r="O689" s="1" t="s">
        <v>1355</v>
      </c>
      <c r="P689" s="8">
        <f>C752</f>
        <v>387.5</v>
      </c>
      <c r="Q689" s="1" t="s">
        <v>611</v>
      </c>
      <c r="R689" s="8">
        <f t="shared" si="53"/>
        <v>501.81</v>
      </c>
      <c r="AC689" s="57" t="str">
        <f t="shared" si="51"/>
        <v>|</v>
      </c>
      <c r="AE689" s="1" t="s">
        <v>2346</v>
      </c>
    </row>
    <row r="690" spans="1:31" ht="24" customHeight="1">
      <c r="A690" s="285">
        <f t="shared" si="52"/>
        <v>518</v>
      </c>
      <c r="B690" s="286" t="s">
        <v>238</v>
      </c>
      <c r="C690" s="287">
        <v>19.09</v>
      </c>
      <c r="D690" s="286" t="s">
        <v>883</v>
      </c>
      <c r="G690" s="7" t="s">
        <v>448</v>
      </c>
      <c r="H690" s="1" t="s">
        <v>1356</v>
      </c>
      <c r="J690" s="1" t="s">
        <v>448</v>
      </c>
      <c r="K690" s="8">
        <v>5</v>
      </c>
      <c r="M690" s="17">
        <v>1.8149999999999999</v>
      </c>
      <c r="N690" s="1" t="s">
        <v>611</v>
      </c>
      <c r="O690" s="1" t="s">
        <v>2164</v>
      </c>
      <c r="P690" s="8">
        <f>C31</f>
        <v>666.75</v>
      </c>
      <c r="Q690" s="1" t="s">
        <v>611</v>
      </c>
      <c r="R690" s="8">
        <f t="shared" si="53"/>
        <v>1210.1500000000001</v>
      </c>
      <c r="AC690" s="57" t="str">
        <f t="shared" si="51"/>
        <v>|</v>
      </c>
      <c r="AE690" s="1" t="s">
        <v>2346</v>
      </c>
    </row>
    <row r="691" spans="1:31" ht="24" customHeight="1">
      <c r="A691" s="285">
        <f t="shared" si="52"/>
        <v>519</v>
      </c>
      <c r="B691" s="286" t="s">
        <v>498</v>
      </c>
      <c r="C691" s="287">
        <v>50.66</v>
      </c>
      <c r="D691" s="286" t="s">
        <v>883</v>
      </c>
      <c r="K691" s="5" t="s">
        <v>1667</v>
      </c>
      <c r="M691" s="8">
        <v>2</v>
      </c>
      <c r="N691" s="1" t="s">
        <v>883</v>
      </c>
      <c r="O691" s="1" t="s">
        <v>1803</v>
      </c>
      <c r="P691" s="8">
        <f>C298</f>
        <v>10.5</v>
      </c>
      <c r="Q691" s="1" t="s">
        <v>883</v>
      </c>
      <c r="R691" s="8">
        <f t="shared" si="53"/>
        <v>21</v>
      </c>
      <c r="AC691" s="57" t="str">
        <f t="shared" si="51"/>
        <v>|</v>
      </c>
      <c r="AE691" s="1" t="s">
        <v>2346</v>
      </c>
    </row>
    <row r="692" spans="1:31" ht="24" customHeight="1">
      <c r="A692" s="285">
        <f t="shared" si="52"/>
        <v>520</v>
      </c>
      <c r="B692" s="286" t="s">
        <v>1701</v>
      </c>
      <c r="C692" s="287">
        <v>1183.82</v>
      </c>
      <c r="D692" s="286" t="s">
        <v>611</v>
      </c>
      <c r="H692" s="1" t="s">
        <v>440</v>
      </c>
      <c r="K692" s="8">
        <f>SUM(K687:K690)</f>
        <v>4981.68</v>
      </c>
      <c r="M692" s="8">
        <v>3</v>
      </c>
      <c r="N692" s="1" t="s">
        <v>883</v>
      </c>
      <c r="O692" s="1" t="s">
        <v>1702</v>
      </c>
      <c r="P692" s="8">
        <f>C294</f>
        <v>8.5</v>
      </c>
      <c r="Q692" s="1" t="s">
        <v>883</v>
      </c>
      <c r="R692" s="8">
        <f t="shared" si="53"/>
        <v>25.5</v>
      </c>
      <c r="AC692" s="57" t="str">
        <f t="shared" si="51"/>
        <v>|</v>
      </c>
      <c r="AE692" s="1" t="s">
        <v>2346</v>
      </c>
    </row>
    <row r="693" spans="1:31" ht="24" customHeight="1">
      <c r="A693" s="285">
        <f t="shared" si="52"/>
        <v>521</v>
      </c>
      <c r="B693" s="286" t="s">
        <v>1703</v>
      </c>
      <c r="C693" s="287">
        <v>1605</v>
      </c>
      <c r="D693" s="286" t="s">
        <v>611</v>
      </c>
      <c r="K693" s="5" t="s">
        <v>1667</v>
      </c>
      <c r="M693" s="8">
        <v>1</v>
      </c>
      <c r="N693" s="1" t="s">
        <v>883</v>
      </c>
      <c r="O693" s="1" t="s">
        <v>1786</v>
      </c>
      <c r="P693" s="8">
        <f>C300</f>
        <v>21</v>
      </c>
      <c r="Q693" s="1" t="s">
        <v>883</v>
      </c>
      <c r="R693" s="8">
        <f t="shared" si="53"/>
        <v>21</v>
      </c>
      <c r="AC693" s="57" t="str">
        <f t="shared" si="51"/>
        <v>|</v>
      </c>
      <c r="AE693" s="1" t="s">
        <v>2346</v>
      </c>
    </row>
    <row r="694" spans="1:31" ht="24" customHeight="1">
      <c r="A694" s="285">
        <f t="shared" si="52"/>
        <v>522</v>
      </c>
      <c r="B694" s="286" t="s">
        <v>1795</v>
      </c>
      <c r="C694" s="292">
        <v>7.5</v>
      </c>
      <c r="D694" s="286" t="s">
        <v>59</v>
      </c>
      <c r="H694" s="1" t="s">
        <v>555</v>
      </c>
      <c r="K694" s="8">
        <f>(K692/10)</f>
        <v>498.17</v>
      </c>
      <c r="M694" s="8">
        <v>1</v>
      </c>
      <c r="N694" s="1" t="s">
        <v>883</v>
      </c>
      <c r="O694" s="1" t="s">
        <v>2056</v>
      </c>
      <c r="P694" s="8">
        <f>C302</f>
        <v>4</v>
      </c>
      <c r="Q694" s="1" t="s">
        <v>883</v>
      </c>
      <c r="R694" s="8">
        <f t="shared" si="53"/>
        <v>4</v>
      </c>
      <c r="AC694" s="57" t="str">
        <f t="shared" si="51"/>
        <v>|</v>
      </c>
      <c r="AE694" s="1" t="s">
        <v>2346</v>
      </c>
    </row>
    <row r="695" spans="1:31" ht="24" customHeight="1">
      <c r="A695" s="285">
        <f t="shared" si="52"/>
        <v>523</v>
      </c>
      <c r="B695" s="286" t="s">
        <v>1797</v>
      </c>
      <c r="C695" s="287">
        <v>147.6</v>
      </c>
      <c r="D695" s="286" t="s">
        <v>1854</v>
      </c>
      <c r="K695" s="5" t="s">
        <v>2130</v>
      </c>
      <c r="N695" s="1" t="s">
        <v>448</v>
      </c>
      <c r="O695" s="1" t="s">
        <v>449</v>
      </c>
      <c r="Q695" s="1" t="s">
        <v>448</v>
      </c>
      <c r="R695" s="8">
        <v>0</v>
      </c>
      <c r="AC695" s="57" t="str">
        <f t="shared" si="51"/>
        <v>|</v>
      </c>
      <c r="AE695" s="1" t="s">
        <v>2346</v>
      </c>
    </row>
    <row r="696" spans="1:31" ht="24" customHeight="1">
      <c r="A696" s="285">
        <f t="shared" si="52"/>
        <v>524</v>
      </c>
      <c r="B696" s="286" t="s">
        <v>1798</v>
      </c>
      <c r="C696" s="287">
        <v>147.6</v>
      </c>
      <c r="D696" s="286" t="s">
        <v>1854</v>
      </c>
      <c r="R696" s="5" t="s">
        <v>1667</v>
      </c>
      <c r="AC696" s="57" t="str">
        <f t="shared" si="51"/>
        <v>|</v>
      </c>
      <c r="AE696" s="1" t="s">
        <v>2346</v>
      </c>
    </row>
    <row r="697" spans="1:31" ht="24" customHeight="1">
      <c r="A697" s="285">
        <f t="shared" si="52"/>
        <v>525</v>
      </c>
      <c r="B697" s="286" t="s">
        <v>1799</v>
      </c>
      <c r="C697" s="287">
        <v>147.6</v>
      </c>
      <c r="D697" s="286" t="s">
        <v>1854</v>
      </c>
      <c r="F697" s="2" t="s">
        <v>2121</v>
      </c>
      <c r="G697" s="7" t="s">
        <v>2338</v>
      </c>
      <c r="H697" s="1" t="s">
        <v>10</v>
      </c>
      <c r="O697" s="2" t="s">
        <v>11</v>
      </c>
      <c r="R697" s="8">
        <f>SUM(R688:R695)</f>
        <v>2635.11</v>
      </c>
      <c r="AC697" s="57" t="str">
        <f t="shared" si="51"/>
        <v>|</v>
      </c>
      <c r="AE697" s="1" t="s">
        <v>2346</v>
      </c>
    </row>
    <row r="698" spans="1:31" ht="24" customHeight="1">
      <c r="A698" s="285">
        <f t="shared" si="52"/>
        <v>526</v>
      </c>
      <c r="B698" s="286" t="s">
        <v>656</v>
      </c>
      <c r="C698" s="287">
        <v>1250</v>
      </c>
      <c r="D698" s="286" t="s">
        <v>611</v>
      </c>
      <c r="H698" s="1" t="s">
        <v>657</v>
      </c>
      <c r="R698" s="5" t="s">
        <v>1667</v>
      </c>
      <c r="AC698" s="57" t="str">
        <f t="shared" si="51"/>
        <v>|</v>
      </c>
      <c r="AE698" s="1" t="s">
        <v>2346</v>
      </c>
    </row>
    <row r="699" spans="1:31" ht="24" customHeight="1">
      <c r="A699" s="285">
        <f t="shared" si="52"/>
        <v>527</v>
      </c>
      <c r="B699" s="286" t="s">
        <v>658</v>
      </c>
      <c r="C699" s="287">
        <v>1250</v>
      </c>
      <c r="D699" s="286" t="s">
        <v>611</v>
      </c>
      <c r="H699" s="1" t="s">
        <v>659</v>
      </c>
      <c r="N699" s="1" t="s">
        <v>995</v>
      </c>
      <c r="O699" s="2" t="s">
        <v>555</v>
      </c>
      <c r="R699" s="8">
        <f>R697/M689</f>
        <v>2034.83</v>
      </c>
      <c r="AC699" s="57" t="str">
        <f t="shared" si="51"/>
        <v>|</v>
      </c>
      <c r="AE699" s="1" t="s">
        <v>2346</v>
      </c>
    </row>
    <row r="700" spans="1:31" ht="24" customHeight="1">
      <c r="A700" s="285">
        <f t="shared" si="52"/>
        <v>528</v>
      </c>
      <c r="B700" s="286" t="s">
        <v>1294</v>
      </c>
      <c r="C700" s="287">
        <v>1250</v>
      </c>
      <c r="D700" s="286" t="s">
        <v>611</v>
      </c>
      <c r="H700" s="1" t="s">
        <v>516</v>
      </c>
      <c r="R700" s="5" t="s">
        <v>2130</v>
      </c>
      <c r="AC700" s="57" t="str">
        <f t="shared" si="51"/>
        <v>|</v>
      </c>
      <c r="AE700" s="1" t="s">
        <v>2346</v>
      </c>
    </row>
    <row r="701" spans="1:31" ht="24" customHeight="1">
      <c r="A701" s="285">
        <f t="shared" si="52"/>
        <v>529</v>
      </c>
      <c r="B701" s="286" t="s">
        <v>517</v>
      </c>
      <c r="C701" s="287">
        <v>1250</v>
      </c>
      <c r="D701" s="286" t="s">
        <v>611</v>
      </c>
      <c r="H701" s="1" t="s">
        <v>518</v>
      </c>
      <c r="M701" s="2" t="s">
        <v>1602</v>
      </c>
      <c r="N701" s="1" t="s">
        <v>519</v>
      </c>
      <c r="O701" s="1" t="s">
        <v>520</v>
      </c>
      <c r="AC701" s="57" t="str">
        <f t="shared" si="51"/>
        <v>|</v>
      </c>
      <c r="AE701" s="1" t="s">
        <v>2346</v>
      </c>
    </row>
    <row r="702" spans="1:31" ht="24" customHeight="1">
      <c r="A702" s="285">
        <f t="shared" si="52"/>
        <v>530</v>
      </c>
      <c r="B702" s="286" t="s">
        <v>521</v>
      </c>
      <c r="C702" s="287">
        <v>1250</v>
      </c>
      <c r="D702" s="286" t="s">
        <v>611</v>
      </c>
      <c r="H702" s="1" t="s">
        <v>1</v>
      </c>
      <c r="O702" s="5" t="s">
        <v>1667</v>
      </c>
      <c r="AC702" s="57" t="str">
        <f t="shared" si="51"/>
        <v>|</v>
      </c>
      <c r="AE702" s="1" t="s">
        <v>2346</v>
      </c>
    </row>
    <row r="703" spans="1:31" ht="24" customHeight="1">
      <c r="A703" s="285">
        <f t="shared" si="52"/>
        <v>531</v>
      </c>
      <c r="B703" s="286" t="s">
        <v>774</v>
      </c>
      <c r="C703" s="287">
        <v>1250</v>
      </c>
      <c r="D703" s="286" t="s">
        <v>611</v>
      </c>
      <c r="H703" s="1" t="s">
        <v>1285</v>
      </c>
      <c r="M703" s="17">
        <v>2.5499999999999998E-2</v>
      </c>
      <c r="N703" s="1" t="s">
        <v>884</v>
      </c>
      <c r="O703" s="1" t="s">
        <v>1372</v>
      </c>
      <c r="P703" s="8">
        <f>C86</f>
        <v>31660</v>
      </c>
      <c r="Q703" s="1" t="s">
        <v>884</v>
      </c>
      <c r="R703" s="8">
        <f t="shared" ref="R703:R709" si="54">M703*P703</f>
        <v>807.33</v>
      </c>
      <c r="AC703" s="57" t="str">
        <f t="shared" si="51"/>
        <v>|</v>
      </c>
      <c r="AE703" s="1" t="s">
        <v>2346</v>
      </c>
    </row>
    <row r="704" spans="1:31" ht="24" customHeight="1">
      <c r="A704" s="285">
        <f t="shared" si="52"/>
        <v>532</v>
      </c>
      <c r="B704" s="286" t="s">
        <v>1286</v>
      </c>
      <c r="C704" s="287">
        <v>1250</v>
      </c>
      <c r="D704" s="286" t="s">
        <v>611</v>
      </c>
      <c r="H704" s="5" t="s">
        <v>1667</v>
      </c>
      <c r="I704" s="5" t="s">
        <v>1667</v>
      </c>
      <c r="J704" s="1" t="s">
        <v>1667</v>
      </c>
      <c r="M704" s="17">
        <v>1.1299999999999999</v>
      </c>
      <c r="N704" s="1" t="s">
        <v>611</v>
      </c>
      <c r="O704" s="1" t="s">
        <v>1355</v>
      </c>
      <c r="P704" s="8">
        <f>C752</f>
        <v>387.5</v>
      </c>
      <c r="Q704" s="1" t="s">
        <v>611</v>
      </c>
      <c r="R704" s="8">
        <f t="shared" si="54"/>
        <v>437.88</v>
      </c>
      <c r="AC704" s="57" t="str">
        <f t="shared" si="51"/>
        <v>|</v>
      </c>
      <c r="AE704" s="1" t="s">
        <v>2346</v>
      </c>
    </row>
    <row r="705" spans="1:31" ht="24" customHeight="1">
      <c r="A705" s="285">
        <f t="shared" si="52"/>
        <v>533</v>
      </c>
      <c r="B705" s="286" t="s">
        <v>1287</v>
      </c>
      <c r="C705" s="287">
        <v>1250</v>
      </c>
      <c r="D705" s="286" t="s">
        <v>611</v>
      </c>
      <c r="F705" s="8">
        <v>13.46</v>
      </c>
      <c r="G705" s="7" t="s">
        <v>267</v>
      </c>
      <c r="H705" s="1" t="s">
        <v>268</v>
      </c>
      <c r="I705" s="8">
        <f>C34/1000</f>
        <v>48</v>
      </c>
      <c r="J705" s="1" t="s">
        <v>267</v>
      </c>
      <c r="K705" s="8">
        <f>(F705*I705)</f>
        <v>646.08000000000004</v>
      </c>
      <c r="M705" s="17">
        <v>1.6191</v>
      </c>
      <c r="N705" s="1" t="s">
        <v>611</v>
      </c>
      <c r="O705" s="1" t="s">
        <v>2164</v>
      </c>
      <c r="P705" s="8">
        <f>C31</f>
        <v>666.75</v>
      </c>
      <c r="Q705" s="1" t="s">
        <v>611</v>
      </c>
      <c r="R705" s="8">
        <f t="shared" si="54"/>
        <v>1079.53</v>
      </c>
      <c r="AC705" s="57" t="str">
        <f t="shared" si="51"/>
        <v>|</v>
      </c>
      <c r="AE705" s="1" t="s">
        <v>2346</v>
      </c>
    </row>
    <row r="706" spans="1:31" ht="24" customHeight="1">
      <c r="A706" s="285">
        <f t="shared" si="52"/>
        <v>534</v>
      </c>
      <c r="B706" s="286" t="s">
        <v>998</v>
      </c>
      <c r="C706" s="287">
        <v>1250</v>
      </c>
      <c r="D706" s="286" t="s">
        <v>611</v>
      </c>
      <c r="H706" s="1" t="s">
        <v>999</v>
      </c>
      <c r="M706" s="8">
        <v>2</v>
      </c>
      <c r="N706" s="1" t="s">
        <v>883</v>
      </c>
      <c r="O706" s="1" t="s">
        <v>1803</v>
      </c>
      <c r="P706" s="8">
        <f>C298</f>
        <v>10.5</v>
      </c>
      <c r="Q706" s="1" t="s">
        <v>883</v>
      </c>
      <c r="R706" s="8">
        <f t="shared" si="54"/>
        <v>21</v>
      </c>
      <c r="AC706" s="57" t="str">
        <f t="shared" si="51"/>
        <v>|</v>
      </c>
      <c r="AE706" s="1" t="s">
        <v>2346</v>
      </c>
    </row>
    <row r="707" spans="1:31" ht="24" customHeight="1">
      <c r="A707" s="285">
        <f t="shared" si="52"/>
        <v>535</v>
      </c>
      <c r="B707" s="286" t="s">
        <v>1000</v>
      </c>
      <c r="C707" s="287">
        <v>1250</v>
      </c>
      <c r="D707" s="286" t="s">
        <v>611</v>
      </c>
      <c r="F707" s="8">
        <v>4</v>
      </c>
      <c r="G707" s="7" t="s">
        <v>267</v>
      </c>
      <c r="H707" s="1" t="s">
        <v>1001</v>
      </c>
      <c r="I707" s="8">
        <f>C34/1000</f>
        <v>48</v>
      </c>
      <c r="J707" s="1" t="s">
        <v>267</v>
      </c>
      <c r="K707" s="8">
        <f>(F707*I707)</f>
        <v>192</v>
      </c>
      <c r="M707" s="8">
        <v>3</v>
      </c>
      <c r="N707" s="1" t="s">
        <v>883</v>
      </c>
      <c r="O707" s="1" t="s">
        <v>1702</v>
      </c>
      <c r="P707" s="8">
        <f>C294</f>
        <v>8.5</v>
      </c>
      <c r="Q707" s="1" t="s">
        <v>883</v>
      </c>
      <c r="R707" s="8">
        <f t="shared" si="54"/>
        <v>25.5</v>
      </c>
      <c r="AC707" s="57" t="str">
        <f t="shared" si="51"/>
        <v>|</v>
      </c>
      <c r="AE707" s="1" t="s">
        <v>2346</v>
      </c>
    </row>
    <row r="708" spans="1:31" ht="24" customHeight="1">
      <c r="A708" s="285">
        <f t="shared" si="52"/>
        <v>536</v>
      </c>
      <c r="B708" s="286" t="s">
        <v>961</v>
      </c>
      <c r="C708" s="287">
        <v>1250</v>
      </c>
      <c r="D708" s="286" t="s">
        <v>611</v>
      </c>
      <c r="H708" s="1" t="s">
        <v>1058</v>
      </c>
      <c r="M708" s="8">
        <v>1</v>
      </c>
      <c r="N708" s="1" t="s">
        <v>883</v>
      </c>
      <c r="O708" s="1" t="s">
        <v>1786</v>
      </c>
      <c r="P708" s="8">
        <f>C300</f>
        <v>21</v>
      </c>
      <c r="Q708" s="1" t="s">
        <v>883</v>
      </c>
      <c r="R708" s="8">
        <f t="shared" si="54"/>
        <v>21</v>
      </c>
      <c r="AC708" s="57" t="str">
        <f t="shared" si="51"/>
        <v>|</v>
      </c>
      <c r="AE708" s="1" t="s">
        <v>2346</v>
      </c>
    </row>
    <row r="709" spans="1:31" ht="24" customHeight="1">
      <c r="A709" s="285">
        <f t="shared" si="52"/>
        <v>537</v>
      </c>
      <c r="B709" s="286" t="s">
        <v>1286</v>
      </c>
      <c r="C709" s="287">
        <v>1250</v>
      </c>
      <c r="D709" s="286" t="s">
        <v>611</v>
      </c>
      <c r="F709" s="8"/>
      <c r="G709" s="7" t="s">
        <v>448</v>
      </c>
      <c r="H709" s="1" t="s">
        <v>1742</v>
      </c>
      <c r="J709" s="1" t="s">
        <v>448</v>
      </c>
      <c r="K709" s="8">
        <v>40</v>
      </c>
      <c r="M709" s="8">
        <v>1</v>
      </c>
      <c r="N709" s="1" t="s">
        <v>883</v>
      </c>
      <c r="O709" s="1" t="s">
        <v>2056</v>
      </c>
      <c r="P709" s="8">
        <f>C302</f>
        <v>4</v>
      </c>
      <c r="Q709" s="1" t="s">
        <v>883</v>
      </c>
      <c r="R709" s="8">
        <f t="shared" si="54"/>
        <v>4</v>
      </c>
      <c r="AC709" s="57" t="str">
        <f t="shared" si="51"/>
        <v>|</v>
      </c>
      <c r="AE709" s="1" t="s">
        <v>2346</v>
      </c>
    </row>
    <row r="710" spans="1:31" ht="24" customHeight="1">
      <c r="A710" s="285">
        <f t="shared" si="52"/>
        <v>538</v>
      </c>
      <c r="B710" s="286" t="s">
        <v>1743</v>
      </c>
      <c r="C710" s="288"/>
      <c r="D710" s="286" t="s">
        <v>995</v>
      </c>
      <c r="H710" s="1" t="s">
        <v>1744</v>
      </c>
      <c r="K710" s="5" t="s">
        <v>1667</v>
      </c>
      <c r="N710" s="1" t="s">
        <v>448</v>
      </c>
      <c r="O710" s="1" t="s">
        <v>449</v>
      </c>
      <c r="Q710" s="1" t="s">
        <v>448</v>
      </c>
      <c r="R710" s="8">
        <v>0</v>
      </c>
      <c r="AC710" s="57" t="str">
        <f t="shared" si="51"/>
        <v>|</v>
      </c>
      <c r="AE710" s="1" t="s">
        <v>2346</v>
      </c>
    </row>
    <row r="711" spans="1:31" ht="24" customHeight="1">
      <c r="A711" s="285">
        <f t="shared" si="52"/>
        <v>539</v>
      </c>
      <c r="B711" s="286" t="s">
        <v>1745</v>
      </c>
      <c r="C711" s="287">
        <v>65</v>
      </c>
      <c r="D711" s="286" t="s">
        <v>1796</v>
      </c>
      <c r="H711" s="2" t="s">
        <v>24</v>
      </c>
      <c r="K711" s="8">
        <f>SUM(K705:K709)</f>
        <v>878.08</v>
      </c>
      <c r="R711" s="5" t="s">
        <v>1667</v>
      </c>
      <c r="AC711" s="57" t="str">
        <f t="shared" si="51"/>
        <v>|</v>
      </c>
      <c r="AE711" s="1" t="s">
        <v>2346</v>
      </c>
    </row>
    <row r="712" spans="1:31" ht="24" customHeight="1">
      <c r="A712" s="285">
        <f t="shared" si="52"/>
        <v>540</v>
      </c>
      <c r="B712" s="286" t="s">
        <v>25</v>
      </c>
      <c r="C712" s="287">
        <v>64.55</v>
      </c>
      <c r="D712" s="286" t="s">
        <v>1796</v>
      </c>
      <c r="K712" s="5" t="s">
        <v>1667</v>
      </c>
      <c r="O712" s="2" t="s">
        <v>26</v>
      </c>
      <c r="R712" s="8">
        <f>SUM(R703:R710)</f>
        <v>2396.2399999999998</v>
      </c>
      <c r="AC712" s="57" t="str">
        <f t="shared" ref="AC712:AC774" si="55">AE713</f>
        <v>|</v>
      </c>
      <c r="AE712" s="1" t="s">
        <v>2346</v>
      </c>
    </row>
    <row r="713" spans="1:31" ht="24" customHeight="1">
      <c r="A713" s="285">
        <f t="shared" si="52"/>
        <v>541</v>
      </c>
      <c r="B713" s="286" t="s">
        <v>27</v>
      </c>
      <c r="C713" s="287">
        <v>110.95</v>
      </c>
      <c r="D713" s="286" t="s">
        <v>1796</v>
      </c>
      <c r="H713" s="2" t="s">
        <v>28</v>
      </c>
      <c r="K713" s="8">
        <f>K711/40</f>
        <v>21.95</v>
      </c>
      <c r="R713" s="5" t="s">
        <v>1667</v>
      </c>
      <c r="AC713" s="57" t="str">
        <f t="shared" si="55"/>
        <v>|</v>
      </c>
      <c r="AE713" s="1" t="s">
        <v>2346</v>
      </c>
    </row>
    <row r="714" spans="1:31" ht="24" customHeight="1">
      <c r="A714" s="285">
        <f t="shared" si="52"/>
        <v>542</v>
      </c>
      <c r="B714" s="286" t="s">
        <v>1040</v>
      </c>
      <c r="C714" s="287">
        <v>399</v>
      </c>
      <c r="D714" s="286" t="s">
        <v>1796</v>
      </c>
      <c r="K714" s="5" t="s">
        <v>1667</v>
      </c>
      <c r="O714" s="2" t="s">
        <v>555</v>
      </c>
      <c r="R714" s="8">
        <f>R712/M705</f>
        <v>1479.98</v>
      </c>
      <c r="AC714" s="57" t="str">
        <f t="shared" si="55"/>
        <v>|</v>
      </c>
      <c r="AE714" s="1" t="s">
        <v>2346</v>
      </c>
    </row>
    <row r="715" spans="1:31" ht="24" customHeight="1">
      <c r="A715" s="285">
        <f t="shared" si="52"/>
        <v>543</v>
      </c>
      <c r="B715" s="286" t="s">
        <v>914</v>
      </c>
      <c r="C715" s="287">
        <v>92</v>
      </c>
      <c r="D715" s="286" t="s">
        <v>1796</v>
      </c>
      <c r="H715" s="1" t="s">
        <v>915</v>
      </c>
      <c r="R715" s="5" t="s">
        <v>2130</v>
      </c>
      <c r="AC715" s="57" t="str">
        <f t="shared" si="55"/>
        <v>|</v>
      </c>
      <c r="AE715" s="1" t="s">
        <v>2346</v>
      </c>
    </row>
    <row r="716" spans="1:31" ht="24" customHeight="1">
      <c r="A716" s="285">
        <f t="shared" si="52"/>
        <v>544</v>
      </c>
      <c r="B716" s="286" t="s">
        <v>317</v>
      </c>
      <c r="C716" s="287">
        <v>174.24</v>
      </c>
      <c r="D716" s="286" t="s">
        <v>1796</v>
      </c>
      <c r="H716" s="1" t="s">
        <v>318</v>
      </c>
      <c r="AC716" s="57" t="str">
        <f t="shared" si="55"/>
        <v>|</v>
      </c>
      <c r="AE716" s="1" t="s">
        <v>2346</v>
      </c>
    </row>
    <row r="717" spans="1:31" ht="24" customHeight="1">
      <c r="A717" s="285">
        <f t="shared" si="52"/>
        <v>545</v>
      </c>
      <c r="B717" s="286" t="s">
        <v>319</v>
      </c>
      <c r="C717" s="287">
        <v>215.06</v>
      </c>
      <c r="D717" s="286" t="s">
        <v>1796</v>
      </c>
      <c r="H717" s="1" t="s">
        <v>320</v>
      </c>
      <c r="M717" s="2" t="s">
        <v>1602</v>
      </c>
      <c r="N717" s="1" t="s">
        <v>321</v>
      </c>
      <c r="O717" s="1" t="s">
        <v>1706</v>
      </c>
      <c r="AC717" s="57" t="str">
        <f t="shared" si="55"/>
        <v>|</v>
      </c>
      <c r="AE717" s="1" t="s">
        <v>2346</v>
      </c>
    </row>
    <row r="718" spans="1:31" ht="24" customHeight="1">
      <c r="A718" s="285">
        <f t="shared" si="52"/>
        <v>546</v>
      </c>
      <c r="B718" s="286" t="s">
        <v>1707</v>
      </c>
      <c r="C718" s="287">
        <v>97.24</v>
      </c>
      <c r="D718" s="286" t="s">
        <v>1796</v>
      </c>
      <c r="O718" s="5" t="s">
        <v>1667</v>
      </c>
      <c r="AC718" s="57" t="str">
        <f t="shared" si="55"/>
        <v>|</v>
      </c>
      <c r="AE718" s="1" t="s">
        <v>2346</v>
      </c>
    </row>
    <row r="719" spans="1:31" ht="24" customHeight="1">
      <c r="A719" s="285">
        <f t="shared" si="52"/>
        <v>547</v>
      </c>
      <c r="B719" s="286" t="s">
        <v>1491</v>
      </c>
      <c r="C719" s="287">
        <v>168.96</v>
      </c>
      <c r="D719" s="286" t="s">
        <v>1796</v>
      </c>
      <c r="F719" s="8">
        <v>19</v>
      </c>
      <c r="G719" s="7" t="s">
        <v>1492</v>
      </c>
      <c r="H719" s="1" t="s">
        <v>73</v>
      </c>
      <c r="I719" s="14">
        <f>K713</f>
        <v>21.95</v>
      </c>
      <c r="J719" s="1" t="s">
        <v>258</v>
      </c>
      <c r="K719" s="8">
        <f>(F719*I719)</f>
        <v>417.05</v>
      </c>
      <c r="M719" s="17">
        <v>2.35E-2</v>
      </c>
      <c r="N719" s="1" t="s">
        <v>884</v>
      </c>
      <c r="O719" s="1" t="s">
        <v>1372</v>
      </c>
      <c r="P719" s="8">
        <f>C86</f>
        <v>31660</v>
      </c>
      <c r="Q719" s="1" t="s">
        <v>884</v>
      </c>
      <c r="R719" s="8">
        <f t="shared" ref="R719:R725" si="56">M719*P719</f>
        <v>744.01</v>
      </c>
      <c r="AC719" s="57" t="str">
        <f t="shared" si="55"/>
        <v>|</v>
      </c>
      <c r="AE719" s="1" t="s">
        <v>2346</v>
      </c>
    </row>
    <row r="720" spans="1:31" ht="24" customHeight="1">
      <c r="A720" s="285">
        <f t="shared" si="52"/>
        <v>548</v>
      </c>
      <c r="B720" s="286" t="s">
        <v>1628</v>
      </c>
      <c r="C720" s="615">
        <v>304</v>
      </c>
      <c r="D720" s="615">
        <v>330</v>
      </c>
      <c r="H720" s="1" t="s">
        <v>1746</v>
      </c>
      <c r="M720" s="17">
        <v>0.872</v>
      </c>
      <c r="N720" s="1" t="s">
        <v>611</v>
      </c>
      <c r="O720" s="1" t="s">
        <v>1355</v>
      </c>
      <c r="P720" s="8">
        <f>C752</f>
        <v>387.5</v>
      </c>
      <c r="Q720" s="1" t="s">
        <v>611</v>
      </c>
      <c r="R720" s="8">
        <f t="shared" si="56"/>
        <v>337.9</v>
      </c>
      <c r="AC720" s="57" t="str">
        <f t="shared" si="55"/>
        <v>|</v>
      </c>
      <c r="AE720" s="1" t="s">
        <v>2346</v>
      </c>
    </row>
    <row r="721" spans="1:31" ht="24" customHeight="1">
      <c r="A721" s="285">
        <f t="shared" si="52"/>
        <v>549</v>
      </c>
      <c r="B721" s="286" t="s">
        <v>2225</v>
      </c>
      <c r="C721" s="207">
        <v>663</v>
      </c>
      <c r="D721" s="286" t="s">
        <v>1796</v>
      </c>
      <c r="F721" s="8">
        <v>0.12</v>
      </c>
      <c r="G721" s="7" t="s">
        <v>2226</v>
      </c>
      <c r="H721" s="1" t="s">
        <v>1179</v>
      </c>
      <c r="I721" s="8">
        <f>C268/5</f>
        <v>2612</v>
      </c>
      <c r="J721" s="1" t="s">
        <v>258</v>
      </c>
      <c r="K721" s="8">
        <f t="shared" ref="K721:K728" si="57">(F721*I721)</f>
        <v>313.44</v>
      </c>
      <c r="M721" s="17">
        <v>1.3247</v>
      </c>
      <c r="N721" s="1" t="s">
        <v>611</v>
      </c>
      <c r="O721" s="1" t="s">
        <v>2164</v>
      </c>
      <c r="P721" s="8">
        <f>C31</f>
        <v>666.75</v>
      </c>
      <c r="Q721" s="1" t="s">
        <v>611</v>
      </c>
      <c r="R721" s="8">
        <f t="shared" si="56"/>
        <v>883.24</v>
      </c>
      <c r="AC721" s="57" t="str">
        <f t="shared" si="55"/>
        <v>|</v>
      </c>
      <c r="AE721" s="1" t="s">
        <v>2346</v>
      </c>
    </row>
    <row r="722" spans="1:31" ht="24" customHeight="1">
      <c r="A722" s="285">
        <f t="shared" si="52"/>
        <v>550</v>
      </c>
      <c r="B722" s="286" t="s">
        <v>839</v>
      </c>
      <c r="C722" s="287">
        <v>210</v>
      </c>
      <c r="D722" s="286" t="s">
        <v>1796</v>
      </c>
      <c r="F722" s="8">
        <v>98.5</v>
      </c>
      <c r="G722" s="7" t="s">
        <v>840</v>
      </c>
      <c r="H722" s="1" t="s">
        <v>841</v>
      </c>
      <c r="I722" s="8">
        <f>C269/5</f>
        <v>4.22</v>
      </c>
      <c r="J722" s="1" t="s">
        <v>258</v>
      </c>
      <c r="K722" s="8">
        <f t="shared" si="57"/>
        <v>415.67</v>
      </c>
      <c r="M722" s="8">
        <v>1</v>
      </c>
      <c r="N722" s="1" t="s">
        <v>883</v>
      </c>
      <c r="O722" s="1" t="s">
        <v>1803</v>
      </c>
      <c r="P722" s="8">
        <f>C298</f>
        <v>10.5</v>
      </c>
      <c r="Q722" s="1" t="s">
        <v>883</v>
      </c>
      <c r="R722" s="8">
        <f t="shared" si="56"/>
        <v>10.5</v>
      </c>
      <c r="AC722" s="57" t="str">
        <f t="shared" si="55"/>
        <v>|</v>
      </c>
      <c r="AE722" s="1" t="s">
        <v>2346</v>
      </c>
    </row>
    <row r="723" spans="1:31" ht="24" customHeight="1">
      <c r="A723" s="285">
        <f t="shared" si="52"/>
        <v>551</v>
      </c>
      <c r="B723" s="286" t="s">
        <v>1099</v>
      </c>
      <c r="C723" s="287">
        <v>1100</v>
      </c>
      <c r="D723" s="286" t="s">
        <v>611</v>
      </c>
      <c r="F723" s="8">
        <v>1</v>
      </c>
      <c r="G723" s="7" t="s">
        <v>448</v>
      </c>
      <c r="H723" s="1" t="s">
        <v>1451</v>
      </c>
      <c r="I723" s="347">
        <v>11</v>
      </c>
      <c r="J723" s="1" t="s">
        <v>448</v>
      </c>
      <c r="K723" s="8">
        <f t="shared" si="57"/>
        <v>11</v>
      </c>
      <c r="M723" s="8">
        <v>3</v>
      </c>
      <c r="N723" s="1" t="s">
        <v>883</v>
      </c>
      <c r="O723" s="1" t="s">
        <v>1452</v>
      </c>
      <c r="P723" s="8">
        <f>C293</f>
        <v>5.75</v>
      </c>
      <c r="Q723" s="1" t="s">
        <v>883</v>
      </c>
      <c r="R723" s="8">
        <f t="shared" si="56"/>
        <v>17.25</v>
      </c>
      <c r="AC723" s="57" t="str">
        <f t="shared" si="55"/>
        <v>|</v>
      </c>
      <c r="AE723" s="1" t="s">
        <v>2346</v>
      </c>
    </row>
    <row r="724" spans="1:31" ht="24" customHeight="1">
      <c r="A724" s="285">
        <f t="shared" si="52"/>
        <v>552</v>
      </c>
      <c r="B724" s="286" t="s">
        <v>1453</v>
      </c>
      <c r="C724" s="288"/>
      <c r="D724" s="286" t="s">
        <v>995</v>
      </c>
      <c r="F724" s="8">
        <v>3.8</v>
      </c>
      <c r="G724" s="7" t="s">
        <v>1454</v>
      </c>
      <c r="H724" s="1" t="s">
        <v>1455</v>
      </c>
      <c r="I724" s="8">
        <f>C16</f>
        <v>421.05</v>
      </c>
      <c r="J724" s="1" t="s">
        <v>1458</v>
      </c>
      <c r="K724" s="8">
        <f t="shared" si="57"/>
        <v>1599.99</v>
      </c>
      <c r="M724" s="8">
        <v>1</v>
      </c>
      <c r="N724" s="1" t="s">
        <v>883</v>
      </c>
      <c r="O724" s="1" t="s">
        <v>1456</v>
      </c>
      <c r="P724" s="8">
        <f>C301</f>
        <v>10</v>
      </c>
      <c r="Q724" s="1" t="s">
        <v>883</v>
      </c>
      <c r="R724" s="8">
        <f t="shared" si="56"/>
        <v>10</v>
      </c>
      <c r="AC724" s="57" t="str">
        <f t="shared" si="55"/>
        <v>|</v>
      </c>
      <c r="AE724" s="1" t="s">
        <v>2346</v>
      </c>
    </row>
    <row r="725" spans="1:31" ht="24" customHeight="1">
      <c r="A725" s="285">
        <f t="shared" si="52"/>
        <v>553</v>
      </c>
      <c r="B725" s="286" t="s">
        <v>1457</v>
      </c>
      <c r="C725" s="288"/>
      <c r="D725" s="288"/>
      <c r="F725" s="8">
        <v>5.4</v>
      </c>
      <c r="G725" s="7" t="s">
        <v>1454</v>
      </c>
      <c r="H725" s="1" t="s">
        <v>838</v>
      </c>
      <c r="I725" s="8">
        <f>C12</f>
        <v>269.85000000000002</v>
      </c>
      <c r="J725" s="1" t="s">
        <v>1458</v>
      </c>
      <c r="K725" s="8">
        <f t="shared" si="57"/>
        <v>1457.19</v>
      </c>
      <c r="M725" s="8">
        <v>1</v>
      </c>
      <c r="N725" s="1" t="s">
        <v>883</v>
      </c>
      <c r="O725" s="1" t="s">
        <v>2056</v>
      </c>
      <c r="P725" s="8">
        <f>C302</f>
        <v>4</v>
      </c>
      <c r="Q725" s="1" t="s">
        <v>883</v>
      </c>
      <c r="R725" s="8">
        <f t="shared" si="56"/>
        <v>4</v>
      </c>
      <c r="AC725" s="57" t="str">
        <f t="shared" si="55"/>
        <v>|</v>
      </c>
      <c r="AE725" s="1" t="s">
        <v>2346</v>
      </c>
    </row>
    <row r="726" spans="1:31" ht="24" customHeight="1">
      <c r="A726" s="285">
        <f t="shared" si="52"/>
        <v>554</v>
      </c>
      <c r="B726" s="286" t="s">
        <v>2254</v>
      </c>
      <c r="C726" s="287">
        <v>300</v>
      </c>
      <c r="D726" s="286" t="s">
        <v>2373</v>
      </c>
      <c r="F726" s="8">
        <v>1</v>
      </c>
      <c r="G726" s="7" t="s">
        <v>1454</v>
      </c>
      <c r="H726" s="1" t="s">
        <v>2374</v>
      </c>
      <c r="I726" s="8">
        <f>C66</f>
        <v>355.95</v>
      </c>
      <c r="J726" s="1" t="s">
        <v>1458</v>
      </c>
      <c r="K726" s="8">
        <f t="shared" si="57"/>
        <v>355.95</v>
      </c>
      <c r="N726" s="1" t="s">
        <v>448</v>
      </c>
      <c r="O726" s="1" t="s">
        <v>449</v>
      </c>
      <c r="Q726" s="1" t="s">
        <v>448</v>
      </c>
      <c r="R726" s="8">
        <v>0</v>
      </c>
      <c r="AC726" s="57" t="str">
        <f t="shared" si="55"/>
        <v>|</v>
      </c>
      <c r="AE726" s="1" t="s">
        <v>2346</v>
      </c>
    </row>
    <row r="727" spans="1:31" ht="24" customHeight="1">
      <c r="A727" s="285">
        <f t="shared" si="52"/>
        <v>555</v>
      </c>
      <c r="B727" s="294" t="s">
        <v>786</v>
      </c>
      <c r="C727" s="287">
        <v>302</v>
      </c>
      <c r="D727" s="286" t="s">
        <v>2373</v>
      </c>
      <c r="F727" s="8">
        <v>1</v>
      </c>
      <c r="G727" s="7" t="s">
        <v>448</v>
      </c>
      <c r="H727" s="1" t="s">
        <v>787</v>
      </c>
      <c r="I727" s="347">
        <v>10</v>
      </c>
      <c r="J727" s="1" t="s">
        <v>448</v>
      </c>
      <c r="K727" s="8">
        <f t="shared" si="57"/>
        <v>10</v>
      </c>
      <c r="R727" s="5" t="s">
        <v>1667</v>
      </c>
      <c r="AC727" s="57" t="str">
        <f t="shared" si="55"/>
        <v>|</v>
      </c>
      <c r="AE727" s="1" t="s">
        <v>2346</v>
      </c>
    </row>
    <row r="728" spans="1:31" ht="24" customHeight="1">
      <c r="A728" s="285">
        <f t="shared" si="52"/>
        <v>556</v>
      </c>
      <c r="B728" s="286" t="s">
        <v>788</v>
      </c>
      <c r="C728" s="287">
        <v>382</v>
      </c>
      <c r="D728" s="286" t="s">
        <v>2373</v>
      </c>
      <c r="F728" s="8">
        <v>19</v>
      </c>
      <c r="G728" s="7" t="s">
        <v>1492</v>
      </c>
      <c r="H728" s="1" t="s">
        <v>789</v>
      </c>
      <c r="I728" s="347">
        <v>2</v>
      </c>
      <c r="J728" s="1" t="s">
        <v>1492</v>
      </c>
      <c r="K728" s="8">
        <f t="shared" si="57"/>
        <v>38</v>
      </c>
      <c r="O728" s="2" t="s">
        <v>757</v>
      </c>
      <c r="R728" s="8">
        <f>SUM(R719:R726)</f>
        <v>2006.9</v>
      </c>
      <c r="AC728" s="57" t="str">
        <f t="shared" si="55"/>
        <v>|::</v>
      </c>
      <c r="AE728" s="1" t="s">
        <v>2346</v>
      </c>
    </row>
    <row r="729" spans="1:31" ht="24" customHeight="1">
      <c r="A729" s="285">
        <f t="shared" si="52"/>
        <v>557</v>
      </c>
      <c r="B729" s="286" t="s">
        <v>573</v>
      </c>
      <c r="C729" s="287">
        <v>140</v>
      </c>
      <c r="D729" s="286" t="s">
        <v>2373</v>
      </c>
      <c r="H729" s="1" t="s">
        <v>502</v>
      </c>
      <c r="K729" s="5" t="s">
        <v>1667</v>
      </c>
      <c r="R729" s="5" t="s">
        <v>1667</v>
      </c>
      <c r="AC729" s="57">
        <f t="shared" si="55"/>
        <v>0</v>
      </c>
      <c r="AE729" s="1" t="s">
        <v>325</v>
      </c>
    </row>
    <row r="730" spans="1:31" ht="24" customHeight="1">
      <c r="A730" s="285">
        <f t="shared" si="52"/>
        <v>558</v>
      </c>
      <c r="B730" s="286" t="s">
        <v>853</v>
      </c>
      <c r="C730" s="287">
        <v>222</v>
      </c>
      <c r="D730" s="286" t="s">
        <v>2373</v>
      </c>
      <c r="H730" s="2" t="s">
        <v>440</v>
      </c>
      <c r="K730" s="8">
        <f>SUM(K719:K728)+0.07</f>
        <v>4618.3599999999997</v>
      </c>
      <c r="O730" s="2" t="s">
        <v>555</v>
      </c>
      <c r="R730" s="8">
        <f>R728/1.3247</f>
        <v>1514.98</v>
      </c>
      <c r="AC730" s="57">
        <f t="shared" si="55"/>
        <v>0</v>
      </c>
    </row>
    <row r="731" spans="1:31" ht="24" customHeight="1">
      <c r="A731" s="285">
        <f t="shared" si="52"/>
        <v>559</v>
      </c>
      <c r="B731" s="286" t="s">
        <v>615</v>
      </c>
      <c r="C731" s="287">
        <v>505</v>
      </c>
      <c r="D731" s="286" t="s">
        <v>2373</v>
      </c>
      <c r="K731" s="5" t="s">
        <v>1667</v>
      </c>
      <c r="R731" s="5" t="s">
        <v>2130</v>
      </c>
      <c r="AC731" s="57" t="str">
        <f t="shared" si="55"/>
        <v>|</v>
      </c>
    </row>
    <row r="732" spans="1:31" ht="24" customHeight="1">
      <c r="A732" s="285">
        <f t="shared" si="52"/>
        <v>560</v>
      </c>
      <c r="B732" s="286" t="s">
        <v>749</v>
      </c>
      <c r="C732" s="287">
        <v>75</v>
      </c>
      <c r="D732" s="286" t="s">
        <v>1796</v>
      </c>
      <c r="H732" s="2" t="s">
        <v>555</v>
      </c>
      <c r="K732" s="615">
        <f>(K730/10)</f>
        <v>461.84</v>
      </c>
      <c r="N732" s="1" t="s">
        <v>2338</v>
      </c>
      <c r="AC732" s="57">
        <f t="shared" si="55"/>
        <v>0</v>
      </c>
      <c r="AE732" s="1" t="s">
        <v>2346</v>
      </c>
    </row>
    <row r="733" spans="1:31" ht="24" customHeight="1">
      <c r="A733" s="288" t="s">
        <v>2977</v>
      </c>
      <c r="B733" s="286" t="s">
        <v>2978</v>
      </c>
      <c r="C733" s="207">
        <v>877</v>
      </c>
      <c r="D733" s="286" t="s">
        <v>1796</v>
      </c>
      <c r="F733" s="1" t="s">
        <v>995</v>
      </c>
      <c r="O733" s="1" t="s">
        <v>2372</v>
      </c>
      <c r="AC733" s="57" t="str">
        <f t="shared" si="55"/>
        <v>|</v>
      </c>
    </row>
    <row r="734" spans="1:31" ht="24" customHeight="1">
      <c r="A734" s="285">
        <f>(A732+1)</f>
        <v>561</v>
      </c>
      <c r="B734" s="286" t="s">
        <v>103</v>
      </c>
      <c r="C734" s="287">
        <v>43.3</v>
      </c>
      <c r="D734" s="286" t="s">
        <v>1854</v>
      </c>
      <c r="K734" s="5" t="s">
        <v>2130</v>
      </c>
      <c r="O734" s="1" t="s">
        <v>2186</v>
      </c>
      <c r="AC734" s="57" t="str">
        <f t="shared" si="55"/>
        <v>|</v>
      </c>
      <c r="AE734" s="1" t="s">
        <v>2346</v>
      </c>
    </row>
    <row r="735" spans="1:31" ht="24" customHeight="1">
      <c r="A735" s="285">
        <f t="shared" ref="A735:A752" si="58">(A734+1)</f>
        <v>562</v>
      </c>
      <c r="B735" s="286" t="s">
        <v>2187</v>
      </c>
      <c r="C735" s="287">
        <v>218</v>
      </c>
      <c r="D735" s="286" t="s">
        <v>1796</v>
      </c>
      <c r="F735" s="2" t="s">
        <v>1553</v>
      </c>
      <c r="G735" s="7" t="s">
        <v>2338</v>
      </c>
      <c r="H735" s="1" t="s">
        <v>724</v>
      </c>
      <c r="O735" s="1" t="s">
        <v>725</v>
      </c>
      <c r="AC735" s="57" t="str">
        <f t="shared" si="55"/>
        <v>|</v>
      </c>
      <c r="AE735" s="1" t="s">
        <v>2346</v>
      </c>
    </row>
    <row r="736" spans="1:31" ht="24" customHeight="1">
      <c r="A736" s="285">
        <f t="shared" si="58"/>
        <v>563</v>
      </c>
      <c r="B736" s="286" t="s">
        <v>726</v>
      </c>
      <c r="C736" s="287">
        <v>926</v>
      </c>
      <c r="D736" s="286" t="s">
        <v>1796</v>
      </c>
      <c r="H736" s="1" t="s">
        <v>727</v>
      </c>
      <c r="O736" s="1" t="s">
        <v>90</v>
      </c>
      <c r="AC736" s="57" t="str">
        <f t="shared" si="55"/>
        <v>|</v>
      </c>
      <c r="AE736" s="1" t="s">
        <v>2346</v>
      </c>
    </row>
    <row r="737" spans="1:31" ht="24" customHeight="1">
      <c r="A737" s="285">
        <f t="shared" si="58"/>
        <v>564</v>
      </c>
      <c r="B737" s="286" t="s">
        <v>91</v>
      </c>
      <c r="C737" s="287">
        <v>5.15</v>
      </c>
      <c r="D737" s="286" t="s">
        <v>1854</v>
      </c>
      <c r="H737" s="1" t="s">
        <v>2361</v>
      </c>
      <c r="O737" s="5" t="s">
        <v>1667</v>
      </c>
      <c r="AC737" s="57" t="str">
        <f t="shared" si="55"/>
        <v>|</v>
      </c>
      <c r="AE737" s="1" t="s">
        <v>2346</v>
      </c>
    </row>
    <row r="738" spans="1:31" ht="24" customHeight="1">
      <c r="A738" s="285">
        <f t="shared" si="58"/>
        <v>565</v>
      </c>
      <c r="B738" s="286" t="s">
        <v>570</v>
      </c>
      <c r="C738" s="287">
        <v>550</v>
      </c>
      <c r="D738" s="286" t="s">
        <v>1796</v>
      </c>
      <c r="H738" s="5" t="s">
        <v>1667</v>
      </c>
      <c r="AC738" s="57" t="str">
        <f t="shared" si="55"/>
        <v>|</v>
      </c>
      <c r="AE738" s="1" t="s">
        <v>2346</v>
      </c>
    </row>
    <row r="739" spans="1:31" ht="24" customHeight="1">
      <c r="A739" s="285">
        <f t="shared" si="58"/>
        <v>566</v>
      </c>
      <c r="B739" s="286" t="s">
        <v>997</v>
      </c>
      <c r="C739" s="287">
        <v>286</v>
      </c>
      <c r="D739" s="286" t="s">
        <v>1796</v>
      </c>
      <c r="F739" s="8">
        <v>10</v>
      </c>
      <c r="G739" s="7" t="s">
        <v>611</v>
      </c>
      <c r="H739" s="1" t="s">
        <v>916</v>
      </c>
      <c r="I739" s="8">
        <f>(K719)*1.2</f>
        <v>500.46</v>
      </c>
      <c r="J739" s="1" t="s">
        <v>258</v>
      </c>
      <c r="K739" s="8">
        <f>(F739*I739)/10</f>
        <v>500.46</v>
      </c>
      <c r="O739" s="1" t="s">
        <v>917</v>
      </c>
      <c r="R739" s="8">
        <f>(C692)</f>
        <v>1183.82</v>
      </c>
      <c r="AC739" s="57" t="str">
        <f t="shared" si="55"/>
        <v>|</v>
      </c>
      <c r="AE739" s="1" t="s">
        <v>2346</v>
      </c>
    </row>
    <row r="740" spans="1:31" ht="24" customHeight="1">
      <c r="A740" s="285">
        <f t="shared" si="58"/>
        <v>567</v>
      </c>
      <c r="B740" s="286" t="s">
        <v>918</v>
      </c>
      <c r="C740" s="287">
        <v>96.3</v>
      </c>
      <c r="D740" s="286" t="s">
        <v>1854</v>
      </c>
      <c r="H740" s="1" t="s">
        <v>919</v>
      </c>
      <c r="R740" s="5" t="s">
        <v>2130</v>
      </c>
      <c r="AC740" s="57" t="str">
        <f t="shared" si="55"/>
        <v>|</v>
      </c>
      <c r="AE740" s="1" t="s">
        <v>2346</v>
      </c>
    </row>
    <row r="741" spans="1:31" ht="24" customHeight="1">
      <c r="A741" s="285">
        <f t="shared" si="58"/>
        <v>568</v>
      </c>
      <c r="B741" s="286" t="s">
        <v>854</v>
      </c>
      <c r="C741" s="287">
        <v>51</v>
      </c>
      <c r="D741" s="286" t="s">
        <v>1796</v>
      </c>
      <c r="H741" s="1" t="s">
        <v>855</v>
      </c>
      <c r="AC741" s="57" t="str">
        <f t="shared" si="55"/>
        <v>|</v>
      </c>
      <c r="AE741" s="1" t="s">
        <v>2346</v>
      </c>
    </row>
    <row r="742" spans="1:31" ht="24" customHeight="1">
      <c r="A742" s="285">
        <f t="shared" si="58"/>
        <v>569</v>
      </c>
      <c r="B742" s="286" t="s">
        <v>557</v>
      </c>
      <c r="C742" s="287">
        <v>181</v>
      </c>
      <c r="D742" s="286" t="s">
        <v>799</v>
      </c>
      <c r="F742" s="8">
        <v>10</v>
      </c>
      <c r="G742" s="7" t="s">
        <v>611</v>
      </c>
      <c r="H742" s="1" t="s">
        <v>558</v>
      </c>
      <c r="I742" s="8">
        <f>K721*1.2</f>
        <v>376.13</v>
      </c>
      <c r="J742" s="1" t="s">
        <v>258</v>
      </c>
      <c r="K742" s="8">
        <f>(F742*I742)/10</f>
        <v>376.13</v>
      </c>
      <c r="N742" s="1" t="s">
        <v>2338</v>
      </c>
      <c r="O742" s="1" t="s">
        <v>559</v>
      </c>
      <c r="AC742" s="57" t="str">
        <f t="shared" si="55"/>
        <v>|</v>
      </c>
      <c r="AE742" s="1" t="s">
        <v>2346</v>
      </c>
    </row>
    <row r="743" spans="1:31" ht="24" customHeight="1">
      <c r="A743" s="285">
        <f t="shared" si="58"/>
        <v>570</v>
      </c>
      <c r="B743" s="286" t="s">
        <v>560</v>
      </c>
      <c r="C743" s="287">
        <v>36.200000000000003</v>
      </c>
      <c r="D743" s="286" t="s">
        <v>1854</v>
      </c>
      <c r="H743" s="1" t="s">
        <v>1022</v>
      </c>
      <c r="O743" s="5" t="s">
        <v>2130</v>
      </c>
      <c r="P743" s="5" t="s">
        <v>2130</v>
      </c>
      <c r="Q743" s="5" t="s">
        <v>2130</v>
      </c>
      <c r="R743" s="1" t="s">
        <v>1023</v>
      </c>
      <c r="AC743" s="57" t="str">
        <f t="shared" si="55"/>
        <v>|</v>
      </c>
      <c r="AE743" s="1" t="s">
        <v>2346</v>
      </c>
    </row>
    <row r="744" spans="1:31" ht="24" customHeight="1">
      <c r="A744" s="285">
        <f t="shared" si="58"/>
        <v>571</v>
      </c>
      <c r="B744" s="286" t="s">
        <v>668</v>
      </c>
      <c r="C744" s="287">
        <v>98</v>
      </c>
      <c r="D744" s="286" t="s">
        <v>1796</v>
      </c>
      <c r="H744" s="1" t="s">
        <v>832</v>
      </c>
      <c r="O744" s="1" t="s">
        <v>1494</v>
      </c>
      <c r="Q744" s="2" t="s">
        <v>840</v>
      </c>
      <c r="R744" s="8">
        <f>(C695)</f>
        <v>147.6</v>
      </c>
      <c r="AC744" s="57" t="str">
        <f t="shared" si="55"/>
        <v>|</v>
      </c>
      <c r="AE744" s="1" t="s">
        <v>2346</v>
      </c>
    </row>
    <row r="745" spans="1:31" ht="24" customHeight="1">
      <c r="A745" s="285">
        <f t="shared" si="58"/>
        <v>572</v>
      </c>
      <c r="B745" s="286" t="s">
        <v>2035</v>
      </c>
      <c r="C745" s="287">
        <v>92</v>
      </c>
      <c r="D745" s="286" t="s">
        <v>1854</v>
      </c>
      <c r="F745" s="8">
        <v>98.5</v>
      </c>
      <c r="G745" s="7" t="s">
        <v>840</v>
      </c>
      <c r="H745" s="1" t="s">
        <v>841</v>
      </c>
      <c r="I745" s="8">
        <f>C269/5</f>
        <v>4.22</v>
      </c>
      <c r="J745" s="1" t="s">
        <v>258</v>
      </c>
      <c r="K745" s="8">
        <f t="shared" ref="K745:K751" si="59">(F745*I745)</f>
        <v>415.67</v>
      </c>
      <c r="O745" s="1" t="s">
        <v>2156</v>
      </c>
      <c r="AC745" s="57" t="str">
        <f t="shared" si="55"/>
        <v>|</v>
      </c>
      <c r="AE745" s="1" t="s">
        <v>2346</v>
      </c>
    </row>
    <row r="746" spans="1:31" ht="24" customHeight="1">
      <c r="A746" s="285">
        <f t="shared" si="58"/>
        <v>573</v>
      </c>
      <c r="B746" s="286" t="s">
        <v>328</v>
      </c>
      <c r="C746" s="287">
        <v>49.42</v>
      </c>
      <c r="D746" s="286" t="s">
        <v>1796</v>
      </c>
      <c r="F746" s="8">
        <v>3.8</v>
      </c>
      <c r="G746" s="7" t="s">
        <v>781</v>
      </c>
      <c r="H746" s="1" t="s">
        <v>499</v>
      </c>
      <c r="I746" s="8">
        <f>(C16)</f>
        <v>421.05</v>
      </c>
      <c r="J746" s="1" t="s">
        <v>781</v>
      </c>
      <c r="K746" s="8">
        <f t="shared" si="59"/>
        <v>1599.99</v>
      </c>
      <c r="O746" s="1" t="s">
        <v>329</v>
      </c>
      <c r="AC746" s="57" t="str">
        <f t="shared" si="55"/>
        <v>|</v>
      </c>
      <c r="AE746" s="1" t="s">
        <v>2346</v>
      </c>
    </row>
    <row r="747" spans="1:31" ht="24" customHeight="1">
      <c r="A747" s="285">
        <f t="shared" si="58"/>
        <v>574</v>
      </c>
      <c r="B747" s="286" t="s">
        <v>723</v>
      </c>
      <c r="C747" s="287">
        <v>53.2</v>
      </c>
      <c r="D747" s="286" t="s">
        <v>1796</v>
      </c>
      <c r="F747" s="8">
        <v>5.4</v>
      </c>
      <c r="G747" s="7" t="s">
        <v>781</v>
      </c>
      <c r="H747" s="1" t="s">
        <v>1979</v>
      </c>
      <c r="I747" s="8">
        <f>(C12)</f>
        <v>269.85000000000002</v>
      </c>
      <c r="J747" s="1" t="s">
        <v>781</v>
      </c>
      <c r="K747" s="8">
        <f t="shared" si="59"/>
        <v>1457.19</v>
      </c>
      <c r="O747" s="1" t="s">
        <v>1076</v>
      </c>
      <c r="AC747" s="57" t="str">
        <f t="shared" si="55"/>
        <v>|</v>
      </c>
      <c r="AE747" s="1" t="s">
        <v>2346</v>
      </c>
    </row>
    <row r="748" spans="1:31" ht="24" customHeight="1">
      <c r="A748" s="285">
        <f t="shared" si="58"/>
        <v>575</v>
      </c>
      <c r="B748" s="286" t="s">
        <v>1077</v>
      </c>
      <c r="C748" s="287">
        <v>59</v>
      </c>
      <c r="D748" s="286" t="s">
        <v>1796</v>
      </c>
      <c r="F748" s="8">
        <v>1</v>
      </c>
      <c r="G748" s="7" t="s">
        <v>781</v>
      </c>
      <c r="H748" s="1" t="s">
        <v>2374</v>
      </c>
      <c r="I748" s="8">
        <f>C66</f>
        <v>355.95</v>
      </c>
      <c r="J748" s="1" t="s">
        <v>1458</v>
      </c>
      <c r="K748" s="8">
        <f t="shared" si="59"/>
        <v>355.95</v>
      </c>
      <c r="O748" s="1" t="s">
        <v>1138</v>
      </c>
      <c r="AC748" s="57" t="str">
        <f t="shared" si="55"/>
        <v>|</v>
      </c>
      <c r="AE748" s="1" t="s">
        <v>2346</v>
      </c>
    </row>
    <row r="749" spans="1:31" ht="24" customHeight="1">
      <c r="A749" s="285">
        <f t="shared" si="58"/>
        <v>576</v>
      </c>
      <c r="B749" s="286" t="s">
        <v>980</v>
      </c>
      <c r="C749" s="287">
        <v>100</v>
      </c>
      <c r="D749" s="286" t="s">
        <v>1796</v>
      </c>
      <c r="F749" s="8">
        <v>1</v>
      </c>
      <c r="G749" s="7" t="s">
        <v>448</v>
      </c>
      <c r="H749" s="1" t="s">
        <v>981</v>
      </c>
      <c r="I749" s="8">
        <f>I723</f>
        <v>11</v>
      </c>
      <c r="J749" s="1" t="s">
        <v>1458</v>
      </c>
      <c r="K749" s="8">
        <f t="shared" si="59"/>
        <v>11</v>
      </c>
      <c r="O749" s="1" t="s">
        <v>1154</v>
      </c>
      <c r="R749" s="1" t="s">
        <v>995</v>
      </c>
      <c r="AC749" s="57" t="str">
        <f t="shared" si="55"/>
        <v>|</v>
      </c>
      <c r="AE749" s="1" t="s">
        <v>2346</v>
      </c>
    </row>
    <row r="750" spans="1:31" ht="24" customHeight="1">
      <c r="A750" s="285">
        <f t="shared" si="58"/>
        <v>577</v>
      </c>
      <c r="B750" s="286" t="s">
        <v>1155</v>
      </c>
      <c r="C750" s="287">
        <v>49.52</v>
      </c>
      <c r="D750" s="286" t="s">
        <v>1854</v>
      </c>
      <c r="F750" s="8">
        <v>1</v>
      </c>
      <c r="G750" s="7" t="s">
        <v>448</v>
      </c>
      <c r="H750" s="1" t="s">
        <v>1356</v>
      </c>
      <c r="I750" s="8">
        <v>10</v>
      </c>
      <c r="J750" s="1" t="s">
        <v>448</v>
      </c>
      <c r="K750" s="8">
        <f t="shared" si="59"/>
        <v>10</v>
      </c>
      <c r="O750" s="1" t="s">
        <v>995</v>
      </c>
      <c r="AC750" s="57" t="str">
        <f t="shared" si="55"/>
        <v>|</v>
      </c>
      <c r="AE750" s="1" t="s">
        <v>2346</v>
      </c>
    </row>
    <row r="751" spans="1:31" ht="24" customHeight="1">
      <c r="A751" s="285">
        <f t="shared" si="58"/>
        <v>578</v>
      </c>
      <c r="B751" s="286" t="s">
        <v>2199</v>
      </c>
      <c r="C751" s="287">
        <v>1080</v>
      </c>
      <c r="D751" s="286" t="s">
        <v>1796</v>
      </c>
      <c r="F751" s="8">
        <v>19</v>
      </c>
      <c r="G751" s="7" t="s">
        <v>1492</v>
      </c>
      <c r="H751" s="1" t="s">
        <v>2200</v>
      </c>
      <c r="I751" s="8">
        <v>2</v>
      </c>
      <c r="J751" s="11" t="s">
        <v>1492</v>
      </c>
      <c r="K751" s="8">
        <f t="shared" si="59"/>
        <v>38</v>
      </c>
      <c r="AC751" s="57" t="str">
        <f t="shared" si="55"/>
        <v>|</v>
      </c>
      <c r="AE751" s="1" t="s">
        <v>2346</v>
      </c>
    </row>
    <row r="752" spans="1:31" ht="24" customHeight="1">
      <c r="A752" s="285">
        <f t="shared" si="58"/>
        <v>579</v>
      </c>
      <c r="B752" s="286" t="s">
        <v>1691</v>
      </c>
      <c r="C752" s="287">
        <v>387.5</v>
      </c>
      <c r="D752" s="286" t="s">
        <v>611</v>
      </c>
      <c r="H752" s="1" t="s">
        <v>79</v>
      </c>
      <c r="N752" s="1" t="s">
        <v>2338</v>
      </c>
      <c r="O752" s="1" t="s">
        <v>2201</v>
      </c>
      <c r="Q752" s="2" t="s">
        <v>2371</v>
      </c>
      <c r="R752" s="8">
        <f>(C699)</f>
        <v>1250</v>
      </c>
      <c r="AC752" s="57" t="str">
        <f t="shared" si="55"/>
        <v>|</v>
      </c>
      <c r="AE752" s="1" t="s">
        <v>2346</v>
      </c>
    </row>
    <row r="753" spans="1:31" ht="24" customHeight="1">
      <c r="A753" s="285" t="e">
        <f>(#REF!+1)</f>
        <v>#REF!</v>
      </c>
      <c r="B753" s="286" t="s">
        <v>1457</v>
      </c>
      <c r="C753" s="288"/>
      <c r="D753" s="288"/>
      <c r="K753" s="5" t="s">
        <v>1667</v>
      </c>
      <c r="O753" s="1" t="s">
        <v>1769</v>
      </c>
      <c r="AC753" s="57" t="str">
        <f t="shared" si="55"/>
        <v>|</v>
      </c>
      <c r="AE753" s="1" t="s">
        <v>2346</v>
      </c>
    </row>
    <row r="754" spans="1:31" ht="24" customHeight="1">
      <c r="A754" s="285"/>
      <c r="B754" s="286" t="s">
        <v>2254</v>
      </c>
      <c r="C754" s="287">
        <v>300</v>
      </c>
      <c r="D754" s="288"/>
      <c r="H754" s="1" t="s">
        <v>440</v>
      </c>
      <c r="K754" s="8">
        <f>SUM(K739:K752)</f>
        <v>4764.3900000000003</v>
      </c>
      <c r="O754" s="1" t="s">
        <v>322</v>
      </c>
      <c r="AC754" s="57" t="str">
        <f t="shared" si="55"/>
        <v>|</v>
      </c>
      <c r="AE754" s="1" t="s">
        <v>2346</v>
      </c>
    </row>
    <row r="755" spans="1:31" ht="24" customHeight="1">
      <c r="A755" s="285"/>
      <c r="B755" s="294" t="s">
        <v>786</v>
      </c>
      <c r="C755" s="287">
        <v>302</v>
      </c>
      <c r="D755" s="288"/>
      <c r="K755" s="5" t="s">
        <v>1667</v>
      </c>
      <c r="O755" s="1" t="s">
        <v>1327</v>
      </c>
      <c r="AC755" s="57" t="str">
        <f t="shared" si="55"/>
        <v>|</v>
      </c>
      <c r="AE755" s="1" t="s">
        <v>2346</v>
      </c>
    </row>
    <row r="756" spans="1:31" ht="24" customHeight="1">
      <c r="A756" s="285"/>
      <c r="B756" s="286" t="s">
        <v>1328</v>
      </c>
      <c r="C756" s="287">
        <v>324</v>
      </c>
      <c r="D756" s="288"/>
      <c r="H756" s="1" t="s">
        <v>555</v>
      </c>
      <c r="K756" s="615">
        <f>(K754/10)</f>
        <v>476.44</v>
      </c>
      <c r="AC756" s="57" t="str">
        <f t="shared" si="55"/>
        <v>|</v>
      </c>
      <c r="AE756" s="1" t="s">
        <v>2346</v>
      </c>
    </row>
    <row r="757" spans="1:31" ht="24" customHeight="1">
      <c r="A757" s="285"/>
      <c r="B757" s="286" t="s">
        <v>788</v>
      </c>
      <c r="C757" s="287">
        <v>382</v>
      </c>
      <c r="D757" s="288"/>
      <c r="K757" s="5" t="s">
        <v>2130</v>
      </c>
      <c r="N757" s="1" t="s">
        <v>2338</v>
      </c>
      <c r="O757" s="1" t="s">
        <v>596</v>
      </c>
      <c r="AC757" s="57" t="str">
        <f t="shared" si="55"/>
        <v>|</v>
      </c>
      <c r="AE757" s="1" t="s">
        <v>2346</v>
      </c>
    </row>
    <row r="758" spans="1:31" ht="24" customHeight="1">
      <c r="A758" s="285"/>
      <c r="B758" s="286" t="s">
        <v>615</v>
      </c>
      <c r="C758" s="287">
        <v>505</v>
      </c>
      <c r="D758" s="288"/>
      <c r="O758" s="1" t="s">
        <v>2161</v>
      </c>
      <c r="R758" s="1" t="s">
        <v>995</v>
      </c>
      <c r="AC758" s="57" t="str">
        <f t="shared" si="55"/>
        <v>|</v>
      </c>
      <c r="AE758" s="1" t="s">
        <v>2346</v>
      </c>
    </row>
    <row r="759" spans="1:31" ht="24" customHeight="1">
      <c r="A759" s="285"/>
      <c r="B759" s="286" t="s">
        <v>573</v>
      </c>
      <c r="C759" s="287">
        <v>140</v>
      </c>
      <c r="D759" s="288"/>
      <c r="F759" s="2" t="s">
        <v>901</v>
      </c>
      <c r="G759" s="7" t="s">
        <v>2338</v>
      </c>
      <c r="H759" s="1" t="s">
        <v>724</v>
      </c>
      <c r="O759" s="1" t="s">
        <v>2162</v>
      </c>
      <c r="AC759" s="57" t="str">
        <f t="shared" si="55"/>
        <v>|</v>
      </c>
      <c r="AE759" s="1" t="s">
        <v>2346</v>
      </c>
    </row>
    <row r="760" spans="1:31" ht="24" customHeight="1">
      <c r="A760" s="285"/>
      <c r="B760" s="286" t="s">
        <v>853</v>
      </c>
      <c r="C760" s="287">
        <v>222</v>
      </c>
      <c r="D760" s="288"/>
      <c r="H760" s="1" t="s">
        <v>727</v>
      </c>
      <c r="O760" s="5" t="s">
        <v>1667</v>
      </c>
      <c r="AC760" s="57" t="str">
        <f t="shared" si="55"/>
        <v>|</v>
      </c>
      <c r="AE760" s="1" t="s">
        <v>2346</v>
      </c>
    </row>
    <row r="761" spans="1:31" ht="24" customHeight="1">
      <c r="A761" s="285"/>
      <c r="B761" s="286" t="s">
        <v>741</v>
      </c>
      <c r="C761" s="287">
        <v>100</v>
      </c>
      <c r="D761" s="288"/>
      <c r="H761" s="1" t="s">
        <v>279</v>
      </c>
      <c r="N761" s="1" t="s">
        <v>234</v>
      </c>
      <c r="O761" s="1" t="s">
        <v>495</v>
      </c>
      <c r="P761" s="8">
        <f>(C271)</f>
        <v>326.7</v>
      </c>
      <c r="Q761" s="1" t="s">
        <v>234</v>
      </c>
      <c r="R761" s="8" t="e">
        <f>(#VALUE!*P761)</f>
        <v>#VALUE!</v>
      </c>
      <c r="AC761" s="57" t="str">
        <f t="shared" si="55"/>
        <v>|</v>
      </c>
      <c r="AE761" s="1" t="s">
        <v>2346</v>
      </c>
    </row>
    <row r="762" spans="1:31" ht="24" customHeight="1">
      <c r="A762" s="285"/>
      <c r="B762" s="286" t="s">
        <v>496</v>
      </c>
      <c r="C762" s="287">
        <v>75</v>
      </c>
      <c r="D762" s="288"/>
      <c r="H762" s="5" t="s">
        <v>1667</v>
      </c>
      <c r="AC762" s="57" t="str">
        <f t="shared" si="55"/>
        <v>|</v>
      </c>
      <c r="AE762" s="1" t="s">
        <v>2346</v>
      </c>
    </row>
    <row r="763" spans="1:31" ht="24" customHeight="1">
      <c r="A763" s="285"/>
      <c r="B763" s="286" t="s">
        <v>1203</v>
      </c>
      <c r="C763" s="287">
        <v>218</v>
      </c>
      <c r="D763" s="288"/>
      <c r="H763" s="1" t="s">
        <v>1204</v>
      </c>
      <c r="K763" s="8">
        <f>(K694/2)</f>
        <v>249.09</v>
      </c>
      <c r="N763" s="1" t="s">
        <v>1205</v>
      </c>
      <c r="O763" s="1" t="s">
        <v>271</v>
      </c>
      <c r="P763" s="8">
        <f>(C16)</f>
        <v>421.05</v>
      </c>
      <c r="Q763" s="1" t="s">
        <v>1205</v>
      </c>
      <c r="R763" s="8" t="e">
        <f>(#VALUE!*P763)</f>
        <v>#VALUE!</v>
      </c>
      <c r="AC763" s="57" t="str">
        <f t="shared" si="55"/>
        <v>|</v>
      </c>
      <c r="AE763" s="1" t="s">
        <v>2346</v>
      </c>
    </row>
    <row r="764" spans="1:31" ht="24" customHeight="1">
      <c r="A764" s="285"/>
      <c r="B764" s="286" t="s">
        <v>272</v>
      </c>
      <c r="C764" s="287">
        <v>1854</v>
      </c>
      <c r="D764" s="288"/>
      <c r="H764" s="1" t="s">
        <v>273</v>
      </c>
      <c r="K764" s="5" t="s">
        <v>2130</v>
      </c>
      <c r="AC764" s="57" t="str">
        <f t="shared" si="55"/>
        <v>|</v>
      </c>
      <c r="AE764" s="1" t="s">
        <v>2346</v>
      </c>
    </row>
    <row r="765" spans="1:31" ht="24" customHeight="1">
      <c r="A765" s="285"/>
      <c r="B765" s="286" t="s">
        <v>168</v>
      </c>
      <c r="C765" s="287">
        <v>51</v>
      </c>
      <c r="D765" s="288"/>
      <c r="F765" s="2" t="s">
        <v>169</v>
      </c>
      <c r="G765" s="7" t="s">
        <v>2338</v>
      </c>
      <c r="H765" s="1" t="s">
        <v>170</v>
      </c>
      <c r="O765" s="1" t="s">
        <v>1384</v>
      </c>
      <c r="P765" s="6" t="s">
        <v>448</v>
      </c>
      <c r="R765" s="8">
        <v>0.64</v>
      </c>
      <c r="AC765" s="57" t="str">
        <f t="shared" si="55"/>
        <v>|</v>
      </c>
      <c r="AE765" s="1" t="s">
        <v>2346</v>
      </c>
    </row>
    <row r="766" spans="1:31" ht="24" customHeight="1">
      <c r="A766" s="285"/>
      <c r="B766" s="286" t="s">
        <v>1442</v>
      </c>
      <c r="C766" s="287">
        <v>915</v>
      </c>
      <c r="D766" s="288"/>
      <c r="H766" s="1" t="s">
        <v>1443</v>
      </c>
      <c r="R766" s="5" t="s">
        <v>1667</v>
      </c>
      <c r="AC766" s="57" t="str">
        <f t="shared" si="55"/>
        <v>|</v>
      </c>
      <c r="AE766" s="1" t="s">
        <v>2346</v>
      </c>
    </row>
    <row r="767" spans="1:31" ht="24" customHeight="1">
      <c r="A767" s="285"/>
      <c r="B767" s="286" t="s">
        <v>135</v>
      </c>
      <c r="C767" s="287">
        <v>890</v>
      </c>
      <c r="D767" s="288"/>
      <c r="H767" s="1" t="s">
        <v>136</v>
      </c>
      <c r="O767" s="1" t="s">
        <v>2006</v>
      </c>
      <c r="R767" s="8" t="e">
        <f>SUM(R761:R765)</f>
        <v>#VALUE!</v>
      </c>
      <c r="U767" s="38" t="s">
        <v>3687</v>
      </c>
      <c r="AC767" s="57" t="str">
        <f t="shared" si="55"/>
        <v>|</v>
      </c>
      <c r="AE767" s="1" t="s">
        <v>2346</v>
      </c>
    </row>
    <row r="768" spans="1:31" ht="24" customHeight="1">
      <c r="A768" s="285"/>
      <c r="B768" s="286" t="s">
        <v>2007</v>
      </c>
      <c r="C768" s="287">
        <v>5.15</v>
      </c>
      <c r="D768" s="288"/>
      <c r="H768" s="5" t="s">
        <v>1667</v>
      </c>
      <c r="R768" s="5" t="s">
        <v>1667</v>
      </c>
      <c r="T768" t="s">
        <v>1402</v>
      </c>
      <c r="U768" t="s">
        <v>3680</v>
      </c>
      <c r="V768">
        <f>AA14</f>
        <v>1236.78</v>
      </c>
      <c r="X768">
        <f t="shared" ref="X768:X775" si="60">V768*S769</f>
        <v>547.89</v>
      </c>
      <c r="AC768" s="57" t="str">
        <f t="shared" si="55"/>
        <v>|</v>
      </c>
      <c r="AE768" s="1" t="s">
        <v>2346</v>
      </c>
    </row>
    <row r="769" spans="1:31" ht="24" customHeight="1">
      <c r="A769" s="285"/>
      <c r="B769" s="286" t="s">
        <v>1470</v>
      </c>
      <c r="C769" s="287">
        <v>43.3</v>
      </c>
      <c r="D769" s="288"/>
      <c r="F769" s="14">
        <v>9</v>
      </c>
      <c r="G769" s="7" t="s">
        <v>884</v>
      </c>
      <c r="H769" s="1" t="s">
        <v>1471</v>
      </c>
      <c r="I769" s="8">
        <f>C73</f>
        <v>1236.78</v>
      </c>
      <c r="J769" s="1" t="s">
        <v>884</v>
      </c>
      <c r="K769" s="8">
        <f t="shared" ref="K769:K774" si="61">F769*I769</f>
        <v>11131.02</v>
      </c>
      <c r="O769" s="1" t="s">
        <v>1472</v>
      </c>
      <c r="R769" s="8" t="e">
        <f>(R767/0.4)</f>
        <v>#VALUE!</v>
      </c>
      <c r="S769" s="56">
        <v>0.443</v>
      </c>
      <c r="T769" t="s">
        <v>1402</v>
      </c>
      <c r="U769" t="s">
        <v>3681</v>
      </c>
      <c r="V769">
        <f>AA12</f>
        <v>876.78</v>
      </c>
      <c r="X769">
        <f t="shared" si="60"/>
        <v>258.64999999999998</v>
      </c>
      <c r="AC769" s="57" t="str">
        <f t="shared" si="55"/>
        <v>|</v>
      </c>
      <c r="AE769" s="1" t="s">
        <v>2346</v>
      </c>
    </row>
    <row r="770" spans="1:31" ht="24" customHeight="1">
      <c r="A770" s="285"/>
      <c r="B770" s="286" t="s">
        <v>83</v>
      </c>
      <c r="C770" s="287">
        <v>920</v>
      </c>
      <c r="D770" s="288"/>
      <c r="F770" s="14">
        <v>4.3079999999999998</v>
      </c>
      <c r="G770" s="7" t="s">
        <v>876</v>
      </c>
      <c r="H770" s="1" t="s">
        <v>877</v>
      </c>
      <c r="I770" s="8">
        <f>C67</f>
        <v>5600</v>
      </c>
      <c r="J770" s="1" t="s">
        <v>876</v>
      </c>
      <c r="K770" s="8">
        <f t="shared" si="61"/>
        <v>24124.799999999999</v>
      </c>
      <c r="R770" s="5" t="s">
        <v>2130</v>
      </c>
      <c r="S770" s="56">
        <v>0.29499999999999998</v>
      </c>
      <c r="T770" t="s">
        <v>1402</v>
      </c>
      <c r="U770" t="s">
        <v>1103</v>
      </c>
      <c r="V770">
        <f>I771</f>
        <v>740.98</v>
      </c>
      <c r="X770">
        <f t="shared" si="60"/>
        <v>318.62</v>
      </c>
      <c r="AC770" s="57" t="str">
        <f t="shared" si="55"/>
        <v>|</v>
      </c>
      <c r="AE770" s="1" t="s">
        <v>2346</v>
      </c>
    </row>
    <row r="771" spans="1:31" ht="24" customHeight="1">
      <c r="A771" s="285"/>
      <c r="B771" s="286" t="s">
        <v>84</v>
      </c>
      <c r="C771" s="287">
        <v>98</v>
      </c>
      <c r="D771" s="288"/>
      <c r="F771" s="14">
        <v>4.5</v>
      </c>
      <c r="G771" s="7" t="s">
        <v>884</v>
      </c>
      <c r="H771" s="1" t="s">
        <v>885</v>
      </c>
      <c r="I771" s="8">
        <f>C78</f>
        <v>740.98</v>
      </c>
      <c r="J771" s="1" t="s">
        <v>884</v>
      </c>
      <c r="K771" s="8">
        <f t="shared" si="61"/>
        <v>3334.41</v>
      </c>
      <c r="N771" s="1" t="s">
        <v>2338</v>
      </c>
      <c r="O771" s="1" t="s">
        <v>2188</v>
      </c>
      <c r="S771" s="56">
        <v>0.43</v>
      </c>
      <c r="T771" t="s">
        <v>528</v>
      </c>
      <c r="U771" t="s">
        <v>391</v>
      </c>
      <c r="V771">
        <f>I770</f>
        <v>5600</v>
      </c>
      <c r="X771">
        <f t="shared" si="60"/>
        <v>2184</v>
      </c>
      <c r="AC771" s="57" t="str">
        <f t="shared" si="55"/>
        <v>|</v>
      </c>
      <c r="AE771" s="1" t="s">
        <v>2346</v>
      </c>
    </row>
    <row r="772" spans="1:31" ht="24" customHeight="1">
      <c r="A772" s="285"/>
      <c r="B772" s="286" t="s">
        <v>2189</v>
      </c>
      <c r="C772" s="287">
        <v>181</v>
      </c>
      <c r="D772" s="288"/>
      <c r="F772" s="14">
        <v>3.5</v>
      </c>
      <c r="G772" s="7" t="s">
        <v>883</v>
      </c>
      <c r="H772" s="1" t="s">
        <v>1791</v>
      </c>
      <c r="I772" s="8">
        <f>C11</f>
        <v>386.4</v>
      </c>
      <c r="J772" s="1" t="s">
        <v>883</v>
      </c>
      <c r="K772" s="8">
        <f t="shared" si="61"/>
        <v>1352.4</v>
      </c>
      <c r="O772" s="1" t="s">
        <v>719</v>
      </c>
      <c r="S772" s="56">
        <v>0.39</v>
      </c>
      <c r="T772" t="s">
        <v>1492</v>
      </c>
      <c r="U772" t="s">
        <v>465</v>
      </c>
      <c r="V772">
        <f>I772</f>
        <v>386.4</v>
      </c>
      <c r="W772" t="str">
        <f>J772</f>
        <v>NO.</v>
      </c>
      <c r="X772">
        <f t="shared" si="60"/>
        <v>135.24</v>
      </c>
      <c r="AC772" s="57" t="str">
        <f t="shared" si="55"/>
        <v>|</v>
      </c>
      <c r="AE772" s="1" t="s">
        <v>2346</v>
      </c>
    </row>
    <row r="773" spans="1:31" ht="24" customHeight="1">
      <c r="A773" s="285"/>
      <c r="B773" s="286" t="s">
        <v>94</v>
      </c>
      <c r="C773" s="287">
        <v>1148.76</v>
      </c>
      <c r="D773" s="288"/>
      <c r="F773" s="14">
        <v>21.2</v>
      </c>
      <c r="G773" s="7" t="s">
        <v>883</v>
      </c>
      <c r="H773" s="1" t="s">
        <v>1979</v>
      </c>
      <c r="I773" s="8">
        <f>C12</f>
        <v>269.85000000000002</v>
      </c>
      <c r="J773" s="1" t="s">
        <v>883</v>
      </c>
      <c r="K773" s="8">
        <f t="shared" si="61"/>
        <v>5720.82</v>
      </c>
      <c r="O773" s="1" t="s">
        <v>95</v>
      </c>
      <c r="S773" s="56">
        <v>0.35</v>
      </c>
      <c r="T773" t="s">
        <v>1492</v>
      </c>
      <c r="U773" t="s">
        <v>3682</v>
      </c>
      <c r="V773">
        <f>I773</f>
        <v>269.85000000000002</v>
      </c>
      <c r="X773">
        <f t="shared" si="60"/>
        <v>572.08000000000004</v>
      </c>
      <c r="AC773" s="57" t="str">
        <f t="shared" si="55"/>
        <v>|</v>
      </c>
      <c r="AE773" s="1" t="s">
        <v>2346</v>
      </c>
    </row>
    <row r="774" spans="1:31" ht="24" customHeight="1">
      <c r="A774" s="285"/>
      <c r="B774" s="286" t="s">
        <v>1627</v>
      </c>
      <c r="C774" s="287">
        <v>967</v>
      </c>
      <c r="D774" s="288"/>
      <c r="F774" s="14">
        <v>35.299999999999997</v>
      </c>
      <c r="G774" s="7" t="s">
        <v>883</v>
      </c>
      <c r="H774" s="1" t="s">
        <v>324</v>
      </c>
      <c r="I774" s="8">
        <f>C13</f>
        <v>243.6</v>
      </c>
      <c r="J774" s="1" t="s">
        <v>883</v>
      </c>
      <c r="K774" s="8">
        <f t="shared" si="61"/>
        <v>8599.08</v>
      </c>
      <c r="O774" s="5" t="s">
        <v>1667</v>
      </c>
      <c r="S774" s="56">
        <v>2.12</v>
      </c>
      <c r="T774" t="s">
        <v>1492</v>
      </c>
      <c r="U774" t="s">
        <v>3683</v>
      </c>
      <c r="V774">
        <f>I774</f>
        <v>243.6</v>
      </c>
      <c r="X774">
        <f t="shared" si="60"/>
        <v>859.91</v>
      </c>
      <c r="AC774" s="57" t="str">
        <f t="shared" si="55"/>
        <v>|</v>
      </c>
      <c r="AE774" s="1" t="s">
        <v>2346</v>
      </c>
    </row>
    <row r="775" spans="1:31" ht="24" customHeight="1">
      <c r="A775" s="285"/>
      <c r="B775" s="286" t="s">
        <v>2131</v>
      </c>
      <c r="C775" s="219">
        <v>34</v>
      </c>
      <c r="D775" s="288"/>
      <c r="F775" s="6" t="s">
        <v>448</v>
      </c>
      <c r="H775" s="1" t="s">
        <v>449</v>
      </c>
      <c r="J775" s="1" t="s">
        <v>448</v>
      </c>
      <c r="K775" s="8">
        <v>0</v>
      </c>
      <c r="N775" s="6" t="s">
        <v>1981</v>
      </c>
      <c r="O775" s="1" t="s">
        <v>870</v>
      </c>
      <c r="S775" s="56">
        <v>3.53</v>
      </c>
      <c r="T775" t="s">
        <v>1402</v>
      </c>
      <c r="U775" t="s">
        <v>3684</v>
      </c>
      <c r="V775">
        <f>K781</f>
        <v>40.69</v>
      </c>
      <c r="X775">
        <f t="shared" si="60"/>
        <v>40.69</v>
      </c>
      <c r="AC775" s="57" t="str">
        <f t="shared" ref="AC775:AC838" si="62">AE776</f>
        <v>|</v>
      </c>
      <c r="AE775" s="1" t="s">
        <v>2346</v>
      </c>
    </row>
    <row r="776" spans="1:31" ht="24" customHeight="1">
      <c r="A776" s="285"/>
      <c r="B776" s="286" t="s">
        <v>1845</v>
      </c>
      <c r="C776" s="287">
        <v>2107</v>
      </c>
      <c r="D776" s="288"/>
      <c r="K776" s="5" t="s">
        <v>1667</v>
      </c>
      <c r="O776" s="1" t="s">
        <v>1846</v>
      </c>
      <c r="S776" s="56">
        <v>1</v>
      </c>
      <c r="U776" t="s">
        <v>3685</v>
      </c>
      <c r="V776" s="612" t="s">
        <v>667</v>
      </c>
      <c r="X776">
        <v>270</v>
      </c>
      <c r="AC776" s="57" t="str">
        <f t="shared" si="62"/>
        <v>|</v>
      </c>
      <c r="AE776" s="1" t="s">
        <v>2346</v>
      </c>
    </row>
    <row r="777" spans="1:31" ht="24" customHeight="1">
      <c r="A777" s="285"/>
      <c r="B777" s="286" t="s">
        <v>1847</v>
      </c>
      <c r="C777" s="57">
        <v>847</v>
      </c>
      <c r="D777" s="288"/>
      <c r="H777" s="2" t="s">
        <v>618</v>
      </c>
      <c r="K777" s="8">
        <f>SUM(K769:K775)</f>
        <v>54262.53</v>
      </c>
      <c r="N777" s="1" t="s">
        <v>267</v>
      </c>
      <c r="O777" s="1" t="s">
        <v>1848</v>
      </c>
      <c r="P777" s="8">
        <v>43</v>
      </c>
      <c r="R777" s="8" t="e">
        <f>(#VALUE!*P777)</f>
        <v>#VALUE!</v>
      </c>
      <c r="S777" s="612" t="s">
        <v>667</v>
      </c>
      <c r="U777" t="s">
        <v>3686</v>
      </c>
      <c r="V777" s="612" t="s">
        <v>667</v>
      </c>
      <c r="X777">
        <v>150</v>
      </c>
      <c r="AC777" s="57" t="str">
        <f t="shared" si="62"/>
        <v>|</v>
      </c>
      <c r="AE777" s="1" t="s">
        <v>2346</v>
      </c>
    </row>
    <row r="778" spans="1:31" ht="24" customHeight="1">
      <c r="A778" s="285"/>
      <c r="B778" s="286" t="s">
        <v>1342</v>
      </c>
      <c r="C778" s="57">
        <v>317</v>
      </c>
      <c r="D778" s="288"/>
      <c r="K778" s="5" t="s">
        <v>2130</v>
      </c>
      <c r="O778" s="1" t="s">
        <v>1995</v>
      </c>
      <c r="S778" s="612" t="s">
        <v>667</v>
      </c>
      <c r="U778" t="s">
        <v>2359</v>
      </c>
      <c r="V778" s="612" t="s">
        <v>667</v>
      </c>
      <c r="X778">
        <v>0.06</v>
      </c>
      <c r="AC778" s="57" t="str">
        <f t="shared" si="62"/>
        <v>|</v>
      </c>
      <c r="AE778" s="1" t="s">
        <v>2346</v>
      </c>
    </row>
    <row r="779" spans="1:31" ht="24" customHeight="1">
      <c r="A779" s="285"/>
      <c r="B779" s="286" t="s">
        <v>1343</v>
      </c>
      <c r="C779" s="57">
        <v>226</v>
      </c>
      <c r="D779" s="288"/>
      <c r="H779" s="1" t="s">
        <v>785</v>
      </c>
      <c r="K779" s="8">
        <f>K777/10</f>
        <v>5426.25</v>
      </c>
      <c r="O779" s="1" t="s">
        <v>1005</v>
      </c>
      <c r="S779" s="612" t="s">
        <v>667</v>
      </c>
      <c r="X779" s="38">
        <f>SUM(X768:X778)</f>
        <v>5337.14</v>
      </c>
      <c r="Y779">
        <v>38.85</v>
      </c>
      <c r="Z779">
        <v>77.45</v>
      </c>
      <c r="AC779" s="57" t="str">
        <f t="shared" si="62"/>
        <v>|</v>
      </c>
      <c r="AE779" s="1" t="s">
        <v>2346</v>
      </c>
    </row>
    <row r="780" spans="1:31" ht="24" customHeight="1">
      <c r="A780" s="285"/>
      <c r="B780" s="288"/>
      <c r="C780" s="288"/>
      <c r="D780" s="288"/>
      <c r="N780" s="1" t="s">
        <v>611</v>
      </c>
      <c r="O780" s="1" t="s">
        <v>1006</v>
      </c>
      <c r="P780" s="8">
        <f>C271</f>
        <v>326.7</v>
      </c>
      <c r="R780" s="8" t="e">
        <f t="shared" ref="R780:R786" si="63">(#VALUE!*P780)</f>
        <v>#VALUE!</v>
      </c>
      <c r="AC780" s="57" t="str">
        <f t="shared" si="62"/>
        <v>|</v>
      </c>
      <c r="AE780" s="1" t="s">
        <v>2346</v>
      </c>
    </row>
    <row r="781" spans="1:31" ht="24" customHeight="1">
      <c r="A781" s="285"/>
      <c r="B781" s="286" t="s">
        <v>1104</v>
      </c>
      <c r="C781" s="288">
        <v>3.15</v>
      </c>
      <c r="D781" s="288"/>
      <c r="F781" s="8">
        <v>1</v>
      </c>
      <c r="G781" s="7" t="s">
        <v>884</v>
      </c>
      <c r="H781" s="1" t="s">
        <v>50</v>
      </c>
      <c r="I781" s="8">
        <f>C25</f>
        <v>40.69</v>
      </c>
      <c r="K781" s="8">
        <f>F781*I781</f>
        <v>40.69</v>
      </c>
      <c r="N781" s="1" t="s">
        <v>883</v>
      </c>
      <c r="O781" s="1" t="s">
        <v>155</v>
      </c>
      <c r="P781" s="8">
        <v>5</v>
      </c>
      <c r="R781" s="8" t="e">
        <f t="shared" si="63"/>
        <v>#VALUE!</v>
      </c>
      <c r="AC781" s="57" t="str">
        <f t="shared" si="62"/>
        <v>|</v>
      </c>
      <c r="AE781" s="1" t="s">
        <v>2346</v>
      </c>
    </row>
    <row r="782" spans="1:31" ht="24" customHeight="1">
      <c r="A782" s="285"/>
      <c r="B782" s="288"/>
      <c r="C782" s="288"/>
      <c r="D782" s="288"/>
      <c r="K782" s="5" t="s">
        <v>1667</v>
      </c>
      <c r="N782" s="1" t="s">
        <v>883</v>
      </c>
      <c r="O782" s="1" t="s">
        <v>156</v>
      </c>
      <c r="P782" s="8">
        <v>10</v>
      </c>
      <c r="R782" s="8" t="e">
        <f t="shared" si="63"/>
        <v>#VALUE!</v>
      </c>
      <c r="U782" s="38" t="s">
        <v>3688</v>
      </c>
      <c r="AC782" s="57" t="str">
        <f t="shared" si="62"/>
        <v>|</v>
      </c>
      <c r="AE782" s="1" t="s">
        <v>2346</v>
      </c>
    </row>
    <row r="783" spans="1:31" ht="24" customHeight="1">
      <c r="A783" s="285"/>
      <c r="B783" s="286" t="s">
        <v>1105</v>
      </c>
      <c r="C783" s="130">
        <v>4.4000000000000004</v>
      </c>
      <c r="D783" s="288"/>
      <c r="K783" s="8">
        <f>SUM(K779:K781)</f>
        <v>5466.94</v>
      </c>
      <c r="N783" s="1" t="s">
        <v>883</v>
      </c>
      <c r="O783" s="1" t="s">
        <v>1830</v>
      </c>
      <c r="P783" s="8">
        <v>8</v>
      </c>
      <c r="R783" s="8" t="e">
        <f t="shared" si="63"/>
        <v>#VALUE!</v>
      </c>
      <c r="T783" t="s">
        <v>1402</v>
      </c>
      <c r="U783" t="s">
        <v>3680</v>
      </c>
      <c r="V783">
        <f>V768</f>
        <v>1236.78</v>
      </c>
      <c r="X783">
        <f t="shared" ref="X783:X790" si="64">V783*S784</f>
        <v>560.26</v>
      </c>
      <c r="Z783">
        <f>X794+Y779</f>
        <v>5290.02</v>
      </c>
      <c r="AC783" s="57" t="str">
        <f t="shared" si="62"/>
        <v>|</v>
      </c>
      <c r="AE783" s="1" t="s">
        <v>2346</v>
      </c>
    </row>
    <row r="784" spans="1:31" ht="24" customHeight="1">
      <c r="A784" s="285"/>
      <c r="B784" s="286" t="s">
        <v>1106</v>
      </c>
      <c r="C784" s="130">
        <v>10.55</v>
      </c>
      <c r="D784" s="288"/>
      <c r="K784" s="5" t="s">
        <v>1667</v>
      </c>
      <c r="N784" s="1" t="s">
        <v>840</v>
      </c>
      <c r="O784" s="1" t="s">
        <v>1562</v>
      </c>
      <c r="P784" s="8">
        <v>13.66</v>
      </c>
      <c r="R784" s="8" t="e">
        <f t="shared" si="63"/>
        <v>#VALUE!</v>
      </c>
      <c r="S784" s="56">
        <v>0.45300000000000001</v>
      </c>
      <c r="T784" t="s">
        <v>1402</v>
      </c>
      <c r="U784" t="s">
        <v>3681</v>
      </c>
      <c r="V784">
        <f t="shared" ref="V784:V793" si="65">V769</f>
        <v>876.78</v>
      </c>
      <c r="X784">
        <f t="shared" si="64"/>
        <v>264.79000000000002</v>
      </c>
      <c r="Z784">
        <f>Z783+Z779</f>
        <v>5367.47</v>
      </c>
      <c r="AC784" s="57" t="str">
        <f t="shared" si="62"/>
        <v>|</v>
      </c>
      <c r="AE784" s="1" t="s">
        <v>2346</v>
      </c>
    </row>
    <row r="785" spans="1:31" ht="24" customHeight="1">
      <c r="A785" s="285"/>
      <c r="B785" s="288"/>
      <c r="C785" s="288"/>
      <c r="D785" s="288"/>
      <c r="H785" s="1" t="s">
        <v>388</v>
      </c>
      <c r="K785" s="40">
        <f>(K783+C22)</f>
        <v>5511.59</v>
      </c>
      <c r="N785" s="1" t="s">
        <v>611</v>
      </c>
      <c r="O785" s="1" t="s">
        <v>1563</v>
      </c>
      <c r="P785" s="8">
        <v>25.46</v>
      </c>
      <c r="R785" s="8" t="e">
        <f t="shared" si="63"/>
        <v>#VALUE!</v>
      </c>
      <c r="S785" s="56">
        <v>0.30199999999999999</v>
      </c>
      <c r="T785" t="s">
        <v>1402</v>
      </c>
      <c r="U785" t="s">
        <v>1103</v>
      </c>
      <c r="V785">
        <f t="shared" si="65"/>
        <v>740.98</v>
      </c>
      <c r="X785">
        <f t="shared" si="64"/>
        <v>326.02999999999997</v>
      </c>
      <c r="Z785">
        <f>Z784+Z779</f>
        <v>5444.92</v>
      </c>
      <c r="AC785" s="57" t="str">
        <f t="shared" si="62"/>
        <v>|</v>
      </c>
      <c r="AE785" s="1" t="s">
        <v>2346</v>
      </c>
    </row>
    <row r="786" spans="1:31" ht="24" customHeight="1">
      <c r="A786" s="10"/>
      <c r="H786" s="1" t="s">
        <v>390</v>
      </c>
      <c r="K786" s="40">
        <f>(K785+C23)</f>
        <v>5600.59</v>
      </c>
      <c r="N786" s="1" t="s">
        <v>883</v>
      </c>
      <c r="O786" s="1" t="s">
        <v>1377</v>
      </c>
      <c r="P786" s="8">
        <v>0.5</v>
      </c>
      <c r="R786" s="8" t="e">
        <f t="shared" si="63"/>
        <v>#VALUE!</v>
      </c>
      <c r="S786" s="56">
        <v>0.44</v>
      </c>
      <c r="T786" t="s">
        <v>528</v>
      </c>
      <c r="U786" t="s">
        <v>391</v>
      </c>
      <c r="V786">
        <f t="shared" si="65"/>
        <v>5600</v>
      </c>
      <c r="X786">
        <f t="shared" si="64"/>
        <v>2072</v>
      </c>
      <c r="Z786">
        <f>Z785+Z779</f>
        <v>5522.37</v>
      </c>
      <c r="AC786" s="57" t="str">
        <f t="shared" si="62"/>
        <v>|::</v>
      </c>
      <c r="AE786" s="1" t="s">
        <v>2346</v>
      </c>
    </row>
    <row r="787" spans="1:31" ht="24" customHeight="1">
      <c r="A787" s="10"/>
      <c r="H787" s="1" t="s">
        <v>2319</v>
      </c>
      <c r="K787" s="40">
        <f>(K786+C24)</f>
        <v>5689.59</v>
      </c>
      <c r="R787" s="8">
        <v>0.54</v>
      </c>
      <c r="S787" s="56">
        <v>0.37</v>
      </c>
      <c r="T787" t="s">
        <v>1492</v>
      </c>
      <c r="U787" t="s">
        <v>465</v>
      </c>
      <c r="V787">
        <f t="shared" si="65"/>
        <v>386.4</v>
      </c>
      <c r="W787">
        <f>J787</f>
        <v>0</v>
      </c>
      <c r="X787">
        <f t="shared" si="64"/>
        <v>135.24</v>
      </c>
      <c r="Z787">
        <f>Z779+Z786</f>
        <v>5599.82</v>
      </c>
      <c r="AC787" s="57">
        <f t="shared" si="62"/>
        <v>0</v>
      </c>
      <c r="AE787" s="1" t="s">
        <v>325</v>
      </c>
    </row>
    <row r="788" spans="1:31" ht="24" customHeight="1">
      <c r="A788" s="10"/>
      <c r="H788" s="1" t="s">
        <v>382</v>
      </c>
      <c r="K788" s="40">
        <f>(K787+C24)</f>
        <v>5778.59</v>
      </c>
      <c r="R788" s="5" t="s">
        <v>1667</v>
      </c>
      <c r="S788" s="56">
        <v>0.35</v>
      </c>
      <c r="T788" t="s">
        <v>1492</v>
      </c>
      <c r="U788" t="s">
        <v>3682</v>
      </c>
      <c r="V788">
        <f t="shared" si="65"/>
        <v>269.85000000000002</v>
      </c>
      <c r="X788">
        <f t="shared" si="64"/>
        <v>572.08000000000004</v>
      </c>
      <c r="Z788">
        <f>Z779+Z787</f>
        <v>5677.27</v>
      </c>
      <c r="AC788" s="57">
        <f t="shared" si="62"/>
        <v>0</v>
      </c>
    </row>
    <row r="789" spans="1:31" ht="24" customHeight="1">
      <c r="A789" s="10"/>
      <c r="H789" s="1" t="s">
        <v>1595</v>
      </c>
      <c r="K789" s="40">
        <f>(K788+C24)</f>
        <v>5867.59</v>
      </c>
      <c r="O789" s="2" t="s">
        <v>1378</v>
      </c>
      <c r="R789" s="8" t="e">
        <f>SUM(R777:R787)</f>
        <v>#VALUE!</v>
      </c>
      <c r="S789" s="56">
        <v>2.12</v>
      </c>
      <c r="T789" t="s">
        <v>1492</v>
      </c>
      <c r="U789" t="s">
        <v>3683</v>
      </c>
      <c r="V789">
        <f t="shared" si="65"/>
        <v>243.6</v>
      </c>
      <c r="X789">
        <f t="shared" si="64"/>
        <v>859.91</v>
      </c>
      <c r="Z789">
        <f>Z779+Z788</f>
        <v>5754.72</v>
      </c>
      <c r="AC789" s="57">
        <f t="shared" si="62"/>
        <v>0</v>
      </c>
    </row>
    <row r="790" spans="1:31" ht="24" customHeight="1">
      <c r="F790" s="1" t="s">
        <v>995</v>
      </c>
      <c r="S790" s="56">
        <v>3.53</v>
      </c>
      <c r="T790" t="s">
        <v>1402</v>
      </c>
      <c r="U790" t="s">
        <v>3684</v>
      </c>
      <c r="V790">
        <f t="shared" si="65"/>
        <v>40.69</v>
      </c>
      <c r="X790">
        <f t="shared" si="64"/>
        <v>40.69</v>
      </c>
      <c r="Z790">
        <f>Z779+Z789</f>
        <v>5832.17</v>
      </c>
      <c r="AC790" s="57" t="str">
        <f t="shared" si="62"/>
        <v>|</v>
      </c>
    </row>
    <row r="791" spans="1:31" ht="24" customHeight="1">
      <c r="A791" s="10"/>
      <c r="F791" s="1" t="s">
        <v>995</v>
      </c>
      <c r="G791" s="7" t="s">
        <v>2338</v>
      </c>
      <c r="H791" s="2" t="s">
        <v>1379</v>
      </c>
      <c r="R791" s="5" t="s">
        <v>1667</v>
      </c>
      <c r="S791" s="56">
        <v>1</v>
      </c>
      <c r="U791" t="s">
        <v>3685</v>
      </c>
      <c r="V791" s="34" t="str">
        <f t="shared" si="65"/>
        <v>LS</v>
      </c>
      <c r="X791">
        <v>270</v>
      </c>
      <c r="Z791">
        <f>Z779+Z790</f>
        <v>5909.62</v>
      </c>
      <c r="AC791" s="57" t="str">
        <f t="shared" si="62"/>
        <v>|</v>
      </c>
      <c r="AE791" s="1" t="s">
        <v>2346</v>
      </c>
    </row>
    <row r="792" spans="1:31" ht="24" customHeight="1">
      <c r="A792" s="10"/>
      <c r="H792" s="5" t="s">
        <v>2130</v>
      </c>
      <c r="S792" s="612" t="s">
        <v>667</v>
      </c>
      <c r="U792" t="s">
        <v>3686</v>
      </c>
      <c r="V792" s="34" t="str">
        <f t="shared" si="65"/>
        <v>LS</v>
      </c>
      <c r="X792">
        <v>150</v>
      </c>
      <c r="Z792">
        <f>Z779+Z791</f>
        <v>5987.07</v>
      </c>
      <c r="AC792" s="57" t="str">
        <f t="shared" si="62"/>
        <v>|</v>
      </c>
      <c r="AE792" s="1" t="s">
        <v>2346</v>
      </c>
    </row>
    <row r="793" spans="1:31" ht="24" customHeight="1">
      <c r="A793" s="10"/>
      <c r="N793" s="1" t="s">
        <v>519</v>
      </c>
      <c r="O793" s="1" t="s">
        <v>1380</v>
      </c>
      <c r="S793" s="612" t="s">
        <v>667</v>
      </c>
      <c r="U793" t="s">
        <v>2359</v>
      </c>
      <c r="V793" s="34" t="str">
        <f t="shared" si="65"/>
        <v>LS</v>
      </c>
      <c r="X793">
        <v>0.17</v>
      </c>
      <c r="AC793" s="57" t="str">
        <f t="shared" si="62"/>
        <v>|</v>
      </c>
      <c r="AE793" s="1" t="s">
        <v>2346</v>
      </c>
    </row>
    <row r="794" spans="1:31" ht="24" customHeight="1">
      <c r="A794" s="10"/>
      <c r="F794" s="2" t="s">
        <v>1381</v>
      </c>
      <c r="G794" s="7" t="s">
        <v>2338</v>
      </c>
      <c r="H794" s="1" t="s">
        <v>2106</v>
      </c>
      <c r="O794" s="1" t="s">
        <v>1846</v>
      </c>
      <c r="S794" s="612" t="s">
        <v>667</v>
      </c>
      <c r="X794" s="38">
        <f>SUM(X783:X793)</f>
        <v>5251.17</v>
      </c>
      <c r="AC794" s="57" t="str">
        <f t="shared" si="62"/>
        <v>|</v>
      </c>
      <c r="AE794" s="1" t="s">
        <v>2346</v>
      </c>
    </row>
    <row r="795" spans="1:31" ht="24" customHeight="1">
      <c r="A795" s="10"/>
      <c r="H795" s="1" t="s">
        <v>2107</v>
      </c>
      <c r="N795" s="1" t="s">
        <v>267</v>
      </c>
      <c r="O795" s="1" t="s">
        <v>1848</v>
      </c>
      <c r="P795" s="8">
        <v>43</v>
      </c>
      <c r="R795" s="8" t="e">
        <f>(#VALUE!*P795)</f>
        <v>#VALUE!</v>
      </c>
      <c r="AC795" s="57" t="str">
        <f t="shared" si="62"/>
        <v>|</v>
      </c>
      <c r="AE795" s="1" t="s">
        <v>2346</v>
      </c>
    </row>
    <row r="796" spans="1:31" ht="24" customHeight="1">
      <c r="H796" s="1" t="s">
        <v>2108</v>
      </c>
      <c r="O796" s="1" t="s">
        <v>1995</v>
      </c>
      <c r="AC796" s="57" t="str">
        <f t="shared" si="62"/>
        <v>|</v>
      </c>
      <c r="AE796" s="1" t="s">
        <v>2346</v>
      </c>
    </row>
    <row r="797" spans="1:31" ht="24" customHeight="1">
      <c r="H797" s="1" t="s">
        <v>907</v>
      </c>
      <c r="O797" s="1" t="s">
        <v>1005</v>
      </c>
      <c r="AC797" s="57" t="str">
        <f t="shared" si="62"/>
        <v>|</v>
      </c>
      <c r="AE797" s="1" t="s">
        <v>2346</v>
      </c>
    </row>
    <row r="798" spans="1:31" ht="24" customHeight="1">
      <c r="H798" s="1" t="s">
        <v>908</v>
      </c>
      <c r="N798" s="1" t="s">
        <v>611</v>
      </c>
      <c r="O798" s="1" t="s">
        <v>1006</v>
      </c>
      <c r="P798" s="8">
        <f>C271</f>
        <v>326.7</v>
      </c>
      <c r="R798" s="8" t="e">
        <f t="shared" ref="R798:R804" si="66">(#VALUE!*P798)</f>
        <v>#VALUE!</v>
      </c>
      <c r="AC798" s="57" t="str">
        <f t="shared" si="62"/>
        <v>|</v>
      </c>
      <c r="AE798" s="1" t="s">
        <v>2346</v>
      </c>
    </row>
    <row r="799" spans="1:31" ht="24" customHeight="1">
      <c r="H799" s="1" t="s">
        <v>1801</v>
      </c>
      <c r="N799" s="1" t="s">
        <v>883</v>
      </c>
      <c r="O799" s="1" t="s">
        <v>155</v>
      </c>
      <c r="P799" s="8">
        <v>5</v>
      </c>
      <c r="R799" s="8" t="e">
        <f t="shared" si="66"/>
        <v>#VALUE!</v>
      </c>
      <c r="AC799" s="57" t="str">
        <f t="shared" si="62"/>
        <v>|</v>
      </c>
      <c r="AE799" s="1" t="s">
        <v>2346</v>
      </c>
    </row>
    <row r="800" spans="1:31" ht="24" customHeight="1">
      <c r="H800" s="1" t="s">
        <v>96</v>
      </c>
      <c r="N800" s="1" t="s">
        <v>883</v>
      </c>
      <c r="O800" s="1" t="s">
        <v>156</v>
      </c>
      <c r="P800" s="8">
        <v>10</v>
      </c>
      <c r="R800" s="8" t="e">
        <f t="shared" si="66"/>
        <v>#VALUE!</v>
      </c>
      <c r="AC800" s="57" t="str">
        <f t="shared" si="62"/>
        <v>|</v>
      </c>
      <c r="AE800" s="1" t="s">
        <v>2346</v>
      </c>
    </row>
    <row r="801" spans="6:31" ht="24" customHeight="1">
      <c r="H801" s="1" t="s">
        <v>97</v>
      </c>
      <c r="N801" s="1" t="s">
        <v>883</v>
      </c>
      <c r="O801" s="1" t="s">
        <v>1830</v>
      </c>
      <c r="P801" s="8">
        <v>8</v>
      </c>
      <c r="R801" s="8" t="e">
        <f t="shared" si="66"/>
        <v>#VALUE!</v>
      </c>
      <c r="AC801" s="57" t="str">
        <f t="shared" si="62"/>
        <v>|</v>
      </c>
      <c r="AE801" s="1" t="s">
        <v>2346</v>
      </c>
    </row>
    <row r="802" spans="6:31" ht="24" customHeight="1">
      <c r="H802" s="1" t="s">
        <v>98</v>
      </c>
      <c r="N802" s="1" t="s">
        <v>840</v>
      </c>
      <c r="O802" s="1" t="s">
        <v>1562</v>
      </c>
      <c r="P802" s="8">
        <v>13.66</v>
      </c>
      <c r="R802" s="8" t="e">
        <f t="shared" si="66"/>
        <v>#VALUE!</v>
      </c>
      <c r="AC802" s="57" t="str">
        <f t="shared" si="62"/>
        <v>|</v>
      </c>
      <c r="AE802" s="1" t="s">
        <v>2346</v>
      </c>
    </row>
    <row r="803" spans="6:31" ht="24" customHeight="1">
      <c r="H803" s="1" t="s">
        <v>99</v>
      </c>
      <c r="N803" s="1" t="s">
        <v>611</v>
      </c>
      <c r="O803" s="1" t="s">
        <v>1563</v>
      </c>
      <c r="P803" s="8">
        <v>25.46</v>
      </c>
      <c r="R803" s="8" t="e">
        <f t="shared" si="66"/>
        <v>#VALUE!</v>
      </c>
      <c r="AC803" s="57" t="str">
        <f t="shared" si="62"/>
        <v>|</v>
      </c>
      <c r="AE803" s="1" t="s">
        <v>2346</v>
      </c>
    </row>
    <row r="804" spans="6:31" ht="24" customHeight="1">
      <c r="H804" s="1" t="s">
        <v>2128</v>
      </c>
      <c r="N804" s="1" t="s">
        <v>883</v>
      </c>
      <c r="O804" s="1" t="s">
        <v>1377</v>
      </c>
      <c r="P804" s="8">
        <v>0.5</v>
      </c>
      <c r="R804" s="8" t="e">
        <f t="shared" si="66"/>
        <v>#VALUE!</v>
      </c>
      <c r="AC804" s="57" t="str">
        <f t="shared" si="62"/>
        <v>|</v>
      </c>
      <c r="AE804" s="1" t="s">
        <v>2346</v>
      </c>
    </row>
    <row r="805" spans="6:31" ht="24" customHeight="1">
      <c r="H805" s="1" t="s">
        <v>1057</v>
      </c>
      <c r="R805" s="8">
        <v>0.7</v>
      </c>
      <c r="AC805" s="57" t="str">
        <f t="shared" si="62"/>
        <v>|</v>
      </c>
      <c r="AE805" s="1" t="s">
        <v>2346</v>
      </c>
    </row>
    <row r="806" spans="6:31" ht="24" customHeight="1">
      <c r="H806" s="1" t="s">
        <v>1861</v>
      </c>
      <c r="R806" s="5" t="s">
        <v>1667</v>
      </c>
      <c r="AC806" s="57" t="str">
        <f t="shared" si="62"/>
        <v>|</v>
      </c>
      <c r="AE806" s="1" t="s">
        <v>2346</v>
      </c>
    </row>
    <row r="807" spans="6:31" ht="24" customHeight="1">
      <c r="H807" s="1" t="s">
        <v>1862</v>
      </c>
      <c r="O807" s="2" t="s">
        <v>1378</v>
      </c>
      <c r="R807" s="8" t="e">
        <f>SUM(R795:R805)</f>
        <v>#VALUE!</v>
      </c>
      <c r="AC807" s="57" t="str">
        <f t="shared" si="62"/>
        <v>|</v>
      </c>
      <c r="AE807" s="1" t="s">
        <v>2346</v>
      </c>
    </row>
    <row r="808" spans="6:31" ht="24" customHeight="1">
      <c r="O808" t="s">
        <v>995</v>
      </c>
      <c r="R808" s="5" t="s">
        <v>1667</v>
      </c>
      <c r="AC808" s="57">
        <f t="shared" si="62"/>
        <v>0</v>
      </c>
      <c r="AE808" s="1" t="s">
        <v>2346</v>
      </c>
    </row>
    <row r="809" spans="6:31" ht="24" customHeight="1">
      <c r="R809" s="5"/>
      <c r="AC809" s="57">
        <f t="shared" si="62"/>
        <v>0</v>
      </c>
      <c r="AE809" s="1"/>
    </row>
    <row r="810" spans="6:31" ht="24" customHeight="1">
      <c r="G810" s="7" t="s">
        <v>321</v>
      </c>
      <c r="H810" s="2" t="s">
        <v>1859</v>
      </c>
      <c r="O810" s="2" t="s">
        <v>1826</v>
      </c>
      <c r="R810" s="5"/>
      <c r="AC810" s="57">
        <f t="shared" si="62"/>
        <v>0</v>
      </c>
      <c r="AE810" s="1"/>
    </row>
    <row r="811" spans="6:31" ht="24" customHeight="1">
      <c r="H811" s="2" t="s">
        <v>1864</v>
      </c>
      <c r="R811" s="5"/>
      <c r="AC811" s="57">
        <f t="shared" si="62"/>
        <v>0</v>
      </c>
      <c r="AE811" s="1"/>
    </row>
    <row r="812" spans="6:31" ht="24" customHeight="1">
      <c r="F812" s="16">
        <v>3.8100000000000002E-2</v>
      </c>
      <c r="G812" s="7" t="s">
        <v>884</v>
      </c>
      <c r="H812" s="1" t="s">
        <v>2146</v>
      </c>
      <c r="I812" s="8">
        <f>K779</f>
        <v>5426.25</v>
      </c>
      <c r="J812" s="1" t="s">
        <v>884</v>
      </c>
      <c r="K812" s="8">
        <f>F812*I812</f>
        <v>206.74</v>
      </c>
      <c r="M812" s="16">
        <v>6.5000000000000002E-2</v>
      </c>
      <c r="N812" s="7" t="s">
        <v>884</v>
      </c>
      <c r="O812" s="1" t="s">
        <v>2146</v>
      </c>
      <c r="P812" s="8">
        <f>I812</f>
        <v>5426.25</v>
      </c>
      <c r="Q812" s="1" t="s">
        <v>884</v>
      </c>
      <c r="R812" s="8">
        <f>P812*M812</f>
        <v>352.71</v>
      </c>
      <c r="AC812" s="57">
        <f t="shared" si="62"/>
        <v>0</v>
      </c>
      <c r="AE812" s="1"/>
    </row>
    <row r="813" spans="6:31" ht="24" customHeight="1">
      <c r="F813" s="280">
        <v>5.01</v>
      </c>
      <c r="G813" s="7" t="s">
        <v>1730</v>
      </c>
      <c r="H813" s="1" t="s">
        <v>2147</v>
      </c>
      <c r="I813" s="8">
        <f>K1511</f>
        <v>62475.9</v>
      </c>
      <c r="J813" s="1" t="s">
        <v>876</v>
      </c>
      <c r="K813" s="8">
        <f>F813*I813/1000</f>
        <v>313</v>
      </c>
      <c r="M813" s="592">
        <v>8.4499999999999993</v>
      </c>
      <c r="N813" s="7" t="s">
        <v>1730</v>
      </c>
      <c r="O813" s="1" t="s">
        <v>2147</v>
      </c>
      <c r="P813" s="8">
        <f t="shared" ref="P813:P822" si="67">I813</f>
        <v>62475.9</v>
      </c>
      <c r="Q813" s="1" t="s">
        <v>876</v>
      </c>
      <c r="R813" s="8">
        <f>P813*M813/1000</f>
        <v>527.91999999999996</v>
      </c>
      <c r="AC813" s="57">
        <f t="shared" si="62"/>
        <v>0</v>
      </c>
      <c r="AE813" s="1"/>
    </row>
    <row r="814" spans="6:31" ht="24" customHeight="1">
      <c r="F814" s="8">
        <v>3</v>
      </c>
      <c r="G814" s="7" t="s">
        <v>883</v>
      </c>
      <c r="H814" s="1" t="s">
        <v>1235</v>
      </c>
      <c r="I814" s="347">
        <v>15</v>
      </c>
      <c r="J814" s="1" t="s">
        <v>883</v>
      </c>
      <c r="K814" s="8">
        <f t="shared" ref="K814:K821" si="68">F814*I814</f>
        <v>45</v>
      </c>
      <c r="M814" s="8">
        <v>3</v>
      </c>
      <c r="N814" s="7" t="s">
        <v>883</v>
      </c>
      <c r="O814" s="1" t="s">
        <v>1235</v>
      </c>
      <c r="P814" s="8">
        <f t="shared" si="67"/>
        <v>15</v>
      </c>
      <c r="Q814" s="1" t="s">
        <v>883</v>
      </c>
      <c r="R814" s="8">
        <f t="shared" ref="R814:R821" si="69">P814*M814</f>
        <v>45</v>
      </c>
      <c r="AC814" s="57">
        <f t="shared" si="62"/>
        <v>0</v>
      </c>
      <c r="AE814" s="1"/>
    </row>
    <row r="815" spans="6:31" ht="24" customHeight="1">
      <c r="F815" s="8">
        <v>12</v>
      </c>
      <c r="G815" s="7" t="s">
        <v>883</v>
      </c>
      <c r="H815" s="1" t="s">
        <v>1236</v>
      </c>
      <c r="I815" s="347">
        <v>2</v>
      </c>
      <c r="J815" s="1" t="s">
        <v>883</v>
      </c>
      <c r="K815" s="8">
        <f t="shared" si="68"/>
        <v>24</v>
      </c>
      <c r="M815" s="8">
        <v>12</v>
      </c>
      <c r="N815" s="7" t="s">
        <v>883</v>
      </c>
      <c r="O815" s="1" t="s">
        <v>1236</v>
      </c>
      <c r="P815" s="8">
        <f t="shared" si="67"/>
        <v>2</v>
      </c>
      <c r="Q815" s="1" t="s">
        <v>883</v>
      </c>
      <c r="R815" s="8">
        <f t="shared" si="69"/>
        <v>24</v>
      </c>
      <c r="AC815" s="57">
        <f t="shared" si="62"/>
        <v>0</v>
      </c>
      <c r="AE815" s="1"/>
    </row>
    <row r="816" spans="6:31" ht="24" customHeight="1">
      <c r="F816" s="8">
        <v>2</v>
      </c>
      <c r="G816" s="7" t="s">
        <v>883</v>
      </c>
      <c r="H816" s="1" t="s">
        <v>1237</v>
      </c>
      <c r="I816" s="347">
        <v>5</v>
      </c>
      <c r="J816" s="1" t="s">
        <v>883</v>
      </c>
      <c r="K816" s="8">
        <f t="shared" si="68"/>
        <v>10</v>
      </c>
      <c r="M816" s="8">
        <v>2</v>
      </c>
      <c r="N816" s="7" t="s">
        <v>883</v>
      </c>
      <c r="O816" s="1" t="s">
        <v>1237</v>
      </c>
      <c r="P816" s="8">
        <f t="shared" si="67"/>
        <v>5</v>
      </c>
      <c r="Q816" s="1" t="s">
        <v>883</v>
      </c>
      <c r="R816" s="8">
        <f t="shared" si="69"/>
        <v>10</v>
      </c>
      <c r="AC816" s="57">
        <f t="shared" si="62"/>
        <v>0</v>
      </c>
      <c r="AE816" s="1"/>
    </row>
    <row r="817" spans="6:31" ht="24" customHeight="1">
      <c r="F817" s="8">
        <v>6</v>
      </c>
      <c r="G817" s="7" t="s">
        <v>883</v>
      </c>
      <c r="H817" s="1" t="s">
        <v>2300</v>
      </c>
      <c r="I817" s="347">
        <v>4.5</v>
      </c>
      <c r="J817" s="1" t="s">
        <v>883</v>
      </c>
      <c r="K817" s="8">
        <f t="shared" si="68"/>
        <v>27</v>
      </c>
      <c r="M817" s="8">
        <v>6</v>
      </c>
      <c r="N817" s="7" t="s">
        <v>883</v>
      </c>
      <c r="O817" s="1" t="s">
        <v>2300</v>
      </c>
      <c r="P817" s="8">
        <f t="shared" si="67"/>
        <v>4.5</v>
      </c>
      <c r="Q817" s="1" t="s">
        <v>883</v>
      </c>
      <c r="R817" s="8">
        <f t="shared" si="69"/>
        <v>27</v>
      </c>
      <c r="AC817" s="57">
        <f t="shared" si="62"/>
        <v>0</v>
      </c>
      <c r="AE817" s="1"/>
    </row>
    <row r="818" spans="6:31" ht="24" customHeight="1">
      <c r="F818" s="8">
        <v>1</v>
      </c>
      <c r="G818" s="7" t="s">
        <v>883</v>
      </c>
      <c r="H818" s="1" t="s">
        <v>1241</v>
      </c>
      <c r="I818" s="8">
        <f>C10</f>
        <v>430.5</v>
      </c>
      <c r="J818" s="1" t="s">
        <v>883</v>
      </c>
      <c r="K818" s="8">
        <f t="shared" si="68"/>
        <v>430.5</v>
      </c>
      <c r="M818" s="8">
        <v>1</v>
      </c>
      <c r="N818" s="7" t="s">
        <v>883</v>
      </c>
      <c r="O818" s="1" t="s">
        <v>1241</v>
      </c>
      <c r="P818" s="8">
        <f t="shared" si="67"/>
        <v>430.5</v>
      </c>
      <c r="Q818" s="1" t="s">
        <v>883</v>
      </c>
      <c r="R818" s="8">
        <f t="shared" si="69"/>
        <v>430.5</v>
      </c>
      <c r="AC818" s="57">
        <f t="shared" si="62"/>
        <v>0</v>
      </c>
      <c r="AE818" s="1"/>
    </row>
    <row r="819" spans="6:31" ht="24" customHeight="1">
      <c r="F819" s="8">
        <v>1</v>
      </c>
      <c r="G819" s="7" t="s">
        <v>883</v>
      </c>
      <c r="H819" s="1" t="s">
        <v>1242</v>
      </c>
      <c r="I819" s="8">
        <f>C12</f>
        <v>269.85000000000002</v>
      </c>
      <c r="J819" s="1" t="s">
        <v>883</v>
      </c>
      <c r="K819" s="8">
        <f t="shared" si="68"/>
        <v>269.85000000000002</v>
      </c>
      <c r="M819" s="8">
        <v>1</v>
      </c>
      <c r="N819" s="7" t="s">
        <v>883</v>
      </c>
      <c r="O819" s="1" t="s">
        <v>1242</v>
      </c>
      <c r="P819" s="8">
        <f t="shared" si="67"/>
        <v>269.85000000000002</v>
      </c>
      <c r="Q819" s="1" t="s">
        <v>883</v>
      </c>
      <c r="R819" s="8">
        <f t="shared" si="69"/>
        <v>269.85000000000002</v>
      </c>
      <c r="AC819" s="57">
        <f t="shared" si="62"/>
        <v>0</v>
      </c>
      <c r="AE819" s="1"/>
    </row>
    <row r="820" spans="6:31" ht="24" customHeight="1">
      <c r="F820" s="8">
        <v>1</v>
      </c>
      <c r="G820" s="7" t="s">
        <v>883</v>
      </c>
      <c r="H820" s="1" t="s">
        <v>1243</v>
      </c>
      <c r="I820" s="347">
        <v>25</v>
      </c>
      <c r="J820" s="1" t="s">
        <v>883</v>
      </c>
      <c r="K820" s="8">
        <f t="shared" si="68"/>
        <v>25</v>
      </c>
      <c r="M820" s="8">
        <v>1</v>
      </c>
      <c r="N820" s="7" t="s">
        <v>883</v>
      </c>
      <c r="O820" s="1" t="s">
        <v>1243</v>
      </c>
      <c r="P820" s="8">
        <f t="shared" si="67"/>
        <v>25</v>
      </c>
      <c r="Q820" s="1" t="s">
        <v>883</v>
      </c>
      <c r="R820" s="8">
        <f t="shared" si="69"/>
        <v>25</v>
      </c>
      <c r="AC820" s="57">
        <f t="shared" si="62"/>
        <v>0</v>
      </c>
      <c r="AE820" s="1"/>
    </row>
    <row r="821" spans="6:31" ht="24" customHeight="1">
      <c r="F821" s="8">
        <v>0.5</v>
      </c>
      <c r="G821" s="7" t="s">
        <v>883</v>
      </c>
      <c r="H821" s="1" t="s">
        <v>1244</v>
      </c>
      <c r="I821" s="8">
        <f>C13</f>
        <v>243.6</v>
      </c>
      <c r="J821" s="1" t="s">
        <v>883</v>
      </c>
      <c r="K821" s="8">
        <f t="shared" si="68"/>
        <v>121.8</v>
      </c>
      <c r="M821" s="8">
        <v>0.5</v>
      </c>
      <c r="N821" s="7" t="s">
        <v>883</v>
      </c>
      <c r="O821" s="1" t="s">
        <v>1244</v>
      </c>
      <c r="P821" s="8">
        <f t="shared" si="67"/>
        <v>243.6</v>
      </c>
      <c r="Q821" s="1" t="s">
        <v>883</v>
      </c>
      <c r="R821" s="8">
        <f t="shared" si="69"/>
        <v>121.8</v>
      </c>
      <c r="AC821" s="57">
        <f t="shared" si="62"/>
        <v>0</v>
      </c>
      <c r="AE821" s="1"/>
    </row>
    <row r="822" spans="6:31" ht="24" customHeight="1">
      <c r="G822" s="7" t="s">
        <v>448</v>
      </c>
      <c r="H822" s="1" t="s">
        <v>2213</v>
      </c>
      <c r="J822" s="1" t="s">
        <v>448</v>
      </c>
      <c r="K822" s="8">
        <v>1.1299999999999999</v>
      </c>
      <c r="N822" s="7" t="s">
        <v>448</v>
      </c>
      <c r="O822" s="1" t="s">
        <v>2213</v>
      </c>
      <c r="P822" s="8">
        <f t="shared" si="67"/>
        <v>0</v>
      </c>
      <c r="Q822" s="1" t="s">
        <v>448</v>
      </c>
      <c r="R822" s="8">
        <v>1.1299999999999999</v>
      </c>
      <c r="AC822" s="57">
        <f t="shared" si="62"/>
        <v>0</v>
      </c>
      <c r="AE822" s="1"/>
    </row>
    <row r="823" spans="6:31" ht="24" customHeight="1">
      <c r="K823" s="5" t="s">
        <v>1667</v>
      </c>
      <c r="N823" s="3"/>
      <c r="Q823" s="11"/>
      <c r="R823" s="5" t="s">
        <v>1667</v>
      </c>
      <c r="AC823" s="57">
        <f t="shared" si="62"/>
        <v>0</v>
      </c>
      <c r="AE823" s="1"/>
    </row>
    <row r="824" spans="6:31" ht="24" customHeight="1">
      <c r="H824" s="64" t="s">
        <v>286</v>
      </c>
      <c r="K824" s="40">
        <f>SUM(K812:K822)</f>
        <v>1474.02</v>
      </c>
      <c r="N824" s="3"/>
      <c r="O824" s="64" t="s">
        <v>286</v>
      </c>
      <c r="Q824" s="11"/>
      <c r="R824" s="593">
        <f>SUM(R812:R822)</f>
        <v>1834.91</v>
      </c>
      <c r="AC824" s="57">
        <f t="shared" si="62"/>
        <v>0</v>
      </c>
      <c r="AE824" s="1"/>
    </row>
    <row r="825" spans="6:31" ht="24" customHeight="1">
      <c r="K825" s="5" t="s">
        <v>1667</v>
      </c>
      <c r="N825" s="3"/>
      <c r="Q825" s="11"/>
      <c r="R825" s="5" t="s">
        <v>1667</v>
      </c>
      <c r="AC825" s="57">
        <f t="shared" si="62"/>
        <v>0</v>
      </c>
      <c r="AE825" s="1"/>
    </row>
    <row r="826" spans="6:31" ht="24" customHeight="1">
      <c r="AC826" s="57">
        <f t="shared" si="62"/>
        <v>0</v>
      </c>
      <c r="AE826" s="1"/>
    </row>
    <row r="827" spans="6:31" ht="24" customHeight="1">
      <c r="R827" s="5"/>
      <c r="AC827" s="57" t="str">
        <f t="shared" si="62"/>
        <v>|</v>
      </c>
      <c r="AE827" s="1"/>
    </row>
    <row r="828" spans="6:31" ht="24" customHeight="1">
      <c r="G828" s="7" t="s">
        <v>1981</v>
      </c>
      <c r="H828" s="2" t="s">
        <v>1863</v>
      </c>
      <c r="R828" s="1" t="s">
        <v>995</v>
      </c>
      <c r="AC828" s="57" t="str">
        <f t="shared" si="62"/>
        <v>|</v>
      </c>
      <c r="AE828" s="1" t="s">
        <v>2346</v>
      </c>
    </row>
    <row r="829" spans="6:31" ht="24" customHeight="1">
      <c r="H829" s="2" t="s">
        <v>1864</v>
      </c>
      <c r="N829" s="1" t="s">
        <v>321</v>
      </c>
      <c r="O829" s="1" t="s">
        <v>44</v>
      </c>
      <c r="AC829" s="57" t="str">
        <f t="shared" si="62"/>
        <v>|</v>
      </c>
      <c r="AE829" s="1" t="s">
        <v>2346</v>
      </c>
    </row>
    <row r="830" spans="6:31" ht="24" customHeight="1">
      <c r="F830" s="16">
        <v>3.6799999999999999E-2</v>
      </c>
      <c r="G830" s="7" t="s">
        <v>884</v>
      </c>
      <c r="H830" s="1" t="s">
        <v>2146</v>
      </c>
      <c r="I830" s="8">
        <f>K779</f>
        <v>5426.25</v>
      </c>
      <c r="J830" s="1" t="s">
        <v>884</v>
      </c>
      <c r="K830" s="8">
        <f>F830*I830</f>
        <v>199.69</v>
      </c>
      <c r="O830" s="1" t="s">
        <v>1846</v>
      </c>
      <c r="AC830" s="57" t="str">
        <f t="shared" si="62"/>
        <v>|</v>
      </c>
      <c r="AE830" s="1" t="s">
        <v>2346</v>
      </c>
    </row>
    <row r="831" spans="6:31" ht="24" customHeight="1">
      <c r="F831" s="8">
        <v>4.87</v>
      </c>
      <c r="G831" s="7" t="s">
        <v>1730</v>
      </c>
      <c r="H831" s="1" t="s">
        <v>2147</v>
      </c>
      <c r="I831" s="8">
        <f>K1511</f>
        <v>62475.9</v>
      </c>
      <c r="J831" s="1" t="s">
        <v>876</v>
      </c>
      <c r="K831" s="8">
        <f>F831*I831/1000</f>
        <v>304.26</v>
      </c>
      <c r="N831" s="1" t="s">
        <v>267</v>
      </c>
      <c r="O831" s="1" t="s">
        <v>1848</v>
      </c>
      <c r="P831" s="8">
        <v>43</v>
      </c>
      <c r="R831" s="8" t="e">
        <f>(#VALUE!*P831)</f>
        <v>#VALUE!</v>
      </c>
      <c r="AC831" s="57" t="str">
        <f t="shared" si="62"/>
        <v>|</v>
      </c>
      <c r="AE831" s="1" t="s">
        <v>2346</v>
      </c>
    </row>
    <row r="832" spans="6:31" ht="24" customHeight="1">
      <c r="F832" s="8">
        <v>3</v>
      </c>
      <c r="G832" s="7" t="s">
        <v>883</v>
      </c>
      <c r="H832" s="1" t="s">
        <v>1235</v>
      </c>
      <c r="I832" s="219">
        <f>I814</f>
        <v>15</v>
      </c>
      <c r="J832" s="1" t="s">
        <v>883</v>
      </c>
      <c r="K832" s="8">
        <f t="shared" ref="K832:K839" si="70">F832*I832</f>
        <v>45</v>
      </c>
      <c r="O832" s="1" t="s">
        <v>1995</v>
      </c>
      <c r="AC832" s="57" t="str">
        <f t="shared" si="62"/>
        <v>|</v>
      </c>
      <c r="AE832" s="1" t="s">
        <v>2346</v>
      </c>
    </row>
    <row r="833" spans="6:31" ht="24" customHeight="1">
      <c r="F833" s="8">
        <v>12</v>
      </c>
      <c r="G833" s="7" t="s">
        <v>883</v>
      </c>
      <c r="H833" s="1" t="s">
        <v>1236</v>
      </c>
      <c r="I833" s="219">
        <f>I815</f>
        <v>2</v>
      </c>
      <c r="J833" s="1" t="s">
        <v>883</v>
      </c>
      <c r="K833" s="8">
        <f t="shared" si="70"/>
        <v>24</v>
      </c>
      <c r="O833" s="1" t="s">
        <v>1005</v>
      </c>
      <c r="AC833" s="57" t="str">
        <f t="shared" si="62"/>
        <v>|</v>
      </c>
      <c r="AE833" s="1" t="s">
        <v>2346</v>
      </c>
    </row>
    <row r="834" spans="6:31" ht="24" customHeight="1">
      <c r="F834" s="8">
        <v>2</v>
      </c>
      <c r="G834" s="7" t="s">
        <v>883</v>
      </c>
      <c r="H834" s="1" t="s">
        <v>1237</v>
      </c>
      <c r="I834" s="219">
        <f>I816</f>
        <v>5</v>
      </c>
      <c r="J834" s="1" t="s">
        <v>883</v>
      </c>
      <c r="K834" s="8">
        <f t="shared" si="70"/>
        <v>10</v>
      </c>
      <c r="N834" s="1" t="s">
        <v>611</v>
      </c>
      <c r="O834" s="1" t="s">
        <v>1006</v>
      </c>
      <c r="P834" s="8">
        <f>C271</f>
        <v>326.7</v>
      </c>
      <c r="R834" s="8" t="e">
        <f t="shared" ref="R834:R840" si="71">(#VALUE!*P834)</f>
        <v>#VALUE!</v>
      </c>
      <c r="AC834" s="57" t="str">
        <f t="shared" si="62"/>
        <v>|</v>
      </c>
      <c r="AE834" s="1" t="s">
        <v>2346</v>
      </c>
    </row>
    <row r="835" spans="6:31" ht="24" customHeight="1">
      <c r="F835" s="8">
        <v>6</v>
      </c>
      <c r="G835" s="7" t="s">
        <v>883</v>
      </c>
      <c r="H835" s="1" t="s">
        <v>2300</v>
      </c>
      <c r="I835" s="219">
        <f>I817</f>
        <v>4.5</v>
      </c>
      <c r="J835" s="1" t="s">
        <v>883</v>
      </c>
      <c r="K835" s="8">
        <f t="shared" si="70"/>
        <v>27</v>
      </c>
      <c r="N835" s="1" t="s">
        <v>883</v>
      </c>
      <c r="O835" s="1" t="s">
        <v>155</v>
      </c>
      <c r="P835" s="8">
        <v>5</v>
      </c>
      <c r="R835" s="8" t="e">
        <f t="shared" si="71"/>
        <v>#VALUE!</v>
      </c>
      <c r="AC835" s="57" t="str">
        <f t="shared" si="62"/>
        <v>|</v>
      </c>
      <c r="AE835" s="1" t="s">
        <v>2346</v>
      </c>
    </row>
    <row r="836" spans="6:31" ht="24" customHeight="1">
      <c r="F836" s="8">
        <v>1</v>
      </c>
      <c r="G836" s="7" t="s">
        <v>883</v>
      </c>
      <c r="H836" s="1" t="s">
        <v>1241</v>
      </c>
      <c r="I836" s="8">
        <f>C10</f>
        <v>430.5</v>
      </c>
      <c r="J836" s="1" t="s">
        <v>883</v>
      </c>
      <c r="K836" s="8">
        <f t="shared" si="70"/>
        <v>430.5</v>
      </c>
      <c r="N836" s="1" t="s">
        <v>883</v>
      </c>
      <c r="O836" s="1" t="s">
        <v>156</v>
      </c>
      <c r="P836" s="8">
        <v>10</v>
      </c>
      <c r="R836" s="8" t="e">
        <f t="shared" si="71"/>
        <v>#VALUE!</v>
      </c>
      <c r="AC836" s="57" t="str">
        <f t="shared" si="62"/>
        <v>|</v>
      </c>
      <c r="AE836" s="1" t="s">
        <v>2346</v>
      </c>
    </row>
    <row r="837" spans="6:31" ht="24" customHeight="1">
      <c r="F837" s="8">
        <v>1</v>
      </c>
      <c r="G837" s="7" t="s">
        <v>883</v>
      </c>
      <c r="H837" s="1" t="s">
        <v>1242</v>
      </c>
      <c r="I837" s="8">
        <f>C12</f>
        <v>269.85000000000002</v>
      </c>
      <c r="J837" s="1" t="s">
        <v>883</v>
      </c>
      <c r="K837" s="8">
        <f t="shared" si="70"/>
        <v>269.85000000000002</v>
      </c>
      <c r="N837" s="1" t="s">
        <v>883</v>
      </c>
      <c r="O837" s="1" t="s">
        <v>1830</v>
      </c>
      <c r="P837" s="8">
        <v>8</v>
      </c>
      <c r="R837" s="8" t="e">
        <f t="shared" si="71"/>
        <v>#VALUE!</v>
      </c>
      <c r="AC837" s="57" t="str">
        <f t="shared" si="62"/>
        <v>|</v>
      </c>
      <c r="AE837" s="1" t="s">
        <v>2346</v>
      </c>
    </row>
    <row r="838" spans="6:31" ht="24" customHeight="1">
      <c r="F838" s="8">
        <v>1</v>
      </c>
      <c r="G838" s="7" t="s">
        <v>883</v>
      </c>
      <c r="H838" s="1" t="s">
        <v>1243</v>
      </c>
      <c r="I838" s="633">
        <v>25</v>
      </c>
      <c r="J838" s="1" t="s">
        <v>883</v>
      </c>
      <c r="K838" s="8">
        <f t="shared" si="70"/>
        <v>25</v>
      </c>
      <c r="N838" s="1" t="s">
        <v>840</v>
      </c>
      <c r="O838" s="1" t="s">
        <v>1562</v>
      </c>
      <c r="P838" s="8">
        <v>13.66</v>
      </c>
      <c r="R838" s="8" t="e">
        <f t="shared" si="71"/>
        <v>#VALUE!</v>
      </c>
      <c r="AC838" s="57" t="str">
        <f t="shared" si="62"/>
        <v>|</v>
      </c>
      <c r="AE838" s="1" t="s">
        <v>2346</v>
      </c>
    </row>
    <row r="839" spans="6:31" ht="24" customHeight="1">
      <c r="F839" s="8">
        <v>0.5</v>
      </c>
      <c r="G839" s="7" t="s">
        <v>883</v>
      </c>
      <c r="H839" s="1" t="s">
        <v>1244</v>
      </c>
      <c r="I839" s="8">
        <f>C13</f>
        <v>243.6</v>
      </c>
      <c r="J839" s="1" t="s">
        <v>883</v>
      </c>
      <c r="K839" s="8">
        <f t="shared" si="70"/>
        <v>121.8</v>
      </c>
      <c r="N839" s="1" t="s">
        <v>611</v>
      </c>
      <c r="O839" s="1" t="s">
        <v>1563</v>
      </c>
      <c r="P839" s="8">
        <v>25.46</v>
      </c>
      <c r="R839" s="8" t="e">
        <f t="shared" si="71"/>
        <v>#VALUE!</v>
      </c>
      <c r="AC839" s="57" t="str">
        <f t="shared" ref="AC839:AC902" si="72">AE840</f>
        <v>|</v>
      </c>
      <c r="AE839" s="1" t="s">
        <v>2346</v>
      </c>
    </row>
    <row r="840" spans="6:31" ht="24" customHeight="1">
      <c r="G840" s="7" t="s">
        <v>448</v>
      </c>
      <c r="H840" s="1" t="s">
        <v>2213</v>
      </c>
      <c r="J840" s="1" t="s">
        <v>448</v>
      </c>
      <c r="K840" s="8">
        <v>1.9</v>
      </c>
      <c r="N840" s="1" t="s">
        <v>883</v>
      </c>
      <c r="O840" s="1" t="s">
        <v>1377</v>
      </c>
      <c r="P840" s="8">
        <v>0.5</v>
      </c>
      <c r="R840" s="8" t="e">
        <f t="shared" si="71"/>
        <v>#VALUE!</v>
      </c>
      <c r="AC840" s="57" t="str">
        <f t="shared" si="72"/>
        <v>|</v>
      </c>
      <c r="AE840" s="1" t="s">
        <v>2346</v>
      </c>
    </row>
    <row r="841" spans="6:31" ht="24" customHeight="1">
      <c r="K841" s="5" t="s">
        <v>1667</v>
      </c>
      <c r="R841" s="8">
        <v>0.97</v>
      </c>
      <c r="AC841" s="57" t="str">
        <f t="shared" si="72"/>
        <v>|</v>
      </c>
      <c r="AE841" s="1" t="s">
        <v>2346</v>
      </c>
    </row>
    <row r="842" spans="6:31" ht="24" customHeight="1">
      <c r="H842" s="64" t="s">
        <v>286</v>
      </c>
      <c r="K842" s="40">
        <f>SUM(K830:K840)</f>
        <v>1459</v>
      </c>
      <c r="R842" s="5" t="s">
        <v>1667</v>
      </c>
      <c r="AC842" s="57" t="str">
        <f t="shared" si="72"/>
        <v>|</v>
      </c>
      <c r="AE842" s="1" t="s">
        <v>2346</v>
      </c>
    </row>
    <row r="843" spans="6:31" ht="24" customHeight="1">
      <c r="K843" s="5" t="s">
        <v>1667</v>
      </c>
      <c r="O843" s="2" t="s">
        <v>1378</v>
      </c>
      <c r="R843" s="8" t="e">
        <f>SUM(R831:R841)</f>
        <v>#VALUE!</v>
      </c>
      <c r="AC843" s="57" t="str">
        <f t="shared" si="72"/>
        <v>|</v>
      </c>
      <c r="AE843" s="1" t="s">
        <v>2346</v>
      </c>
    </row>
    <row r="844" spans="6:31" ht="24" customHeight="1">
      <c r="F844" s="2"/>
      <c r="G844" s="7" t="s">
        <v>519</v>
      </c>
      <c r="H844" s="2" t="s">
        <v>566</v>
      </c>
      <c r="R844" s="5" t="s">
        <v>1667</v>
      </c>
      <c r="AC844" s="57">
        <f t="shared" si="72"/>
        <v>0</v>
      </c>
      <c r="AE844" s="1" t="s">
        <v>2346</v>
      </c>
    </row>
    <row r="845" spans="6:31" ht="24" customHeight="1">
      <c r="H845" s="2" t="s">
        <v>1864</v>
      </c>
      <c r="AC845" s="57">
        <f t="shared" si="72"/>
        <v>0</v>
      </c>
    </row>
    <row r="846" spans="6:31" ht="24" customHeight="1">
      <c r="F846" s="16">
        <v>3.5299999999999998E-2</v>
      </c>
      <c r="G846" s="7" t="s">
        <v>884</v>
      </c>
      <c r="H846" s="1" t="s">
        <v>2146</v>
      </c>
      <c r="I846" s="8">
        <f>K779</f>
        <v>5426.25</v>
      </c>
      <c r="J846" s="1" t="s">
        <v>884</v>
      </c>
      <c r="K846" s="8">
        <f>F846*I846</f>
        <v>191.55</v>
      </c>
      <c r="M846" s="2" t="s">
        <v>1142</v>
      </c>
      <c r="N846" s="1" t="s">
        <v>2338</v>
      </c>
      <c r="O846" s="1" t="s">
        <v>1143</v>
      </c>
      <c r="AC846" s="57">
        <f t="shared" si="72"/>
        <v>0</v>
      </c>
    </row>
    <row r="847" spans="6:31" ht="24" customHeight="1">
      <c r="F847" s="8">
        <v>4.59</v>
      </c>
      <c r="G847" s="7" t="s">
        <v>1730</v>
      </c>
      <c r="H847" s="1" t="s">
        <v>2147</v>
      </c>
      <c r="I847" s="8">
        <f>K1511</f>
        <v>62475.9</v>
      </c>
      <c r="J847" s="1" t="s">
        <v>876</v>
      </c>
      <c r="K847" s="8">
        <f>F847*I847/1000</f>
        <v>286.76</v>
      </c>
      <c r="O847" s="1" t="s">
        <v>582</v>
      </c>
      <c r="AC847" s="57">
        <f t="shared" si="72"/>
        <v>0</v>
      </c>
    </row>
    <row r="848" spans="6:31" ht="24" customHeight="1">
      <c r="F848" s="8">
        <v>3</v>
      </c>
      <c r="G848" s="7" t="s">
        <v>883</v>
      </c>
      <c r="H848" s="1" t="s">
        <v>1235</v>
      </c>
      <c r="I848" s="219">
        <f>I832</f>
        <v>15</v>
      </c>
      <c r="J848" s="1" t="s">
        <v>883</v>
      </c>
      <c r="K848" s="8">
        <f t="shared" ref="K848:K855" si="73">F848*I848</f>
        <v>45</v>
      </c>
      <c r="O848" s="5" t="s">
        <v>1667</v>
      </c>
      <c r="P848" s="5" t="s">
        <v>1667</v>
      </c>
      <c r="AC848" s="57">
        <f t="shared" si="72"/>
        <v>0</v>
      </c>
    </row>
    <row r="849" spans="6:31" ht="24" customHeight="1">
      <c r="F849" s="8">
        <v>12</v>
      </c>
      <c r="G849" s="7" t="s">
        <v>883</v>
      </c>
      <c r="H849" s="1" t="s">
        <v>1236</v>
      </c>
      <c r="I849" s="219">
        <f>I833</f>
        <v>2</v>
      </c>
      <c r="J849" s="1" t="s">
        <v>883</v>
      </c>
      <c r="K849" s="8">
        <f t="shared" si="73"/>
        <v>24</v>
      </c>
      <c r="O849" s="1" t="s">
        <v>583</v>
      </c>
      <c r="AC849" s="57">
        <f t="shared" si="72"/>
        <v>0</v>
      </c>
    </row>
    <row r="850" spans="6:31" ht="24" customHeight="1">
      <c r="F850" s="8">
        <v>2</v>
      </c>
      <c r="G850" s="7" t="s">
        <v>883</v>
      </c>
      <c r="H850" s="8" t="str">
        <f>H834</f>
        <v>TOWER BOLT RECEIVER</v>
      </c>
      <c r="I850" s="219">
        <f>I834</f>
        <v>5</v>
      </c>
      <c r="J850" s="1" t="s">
        <v>883</v>
      </c>
      <c r="K850" s="8">
        <f t="shared" si="73"/>
        <v>10</v>
      </c>
      <c r="M850" s="8">
        <v>0.5</v>
      </c>
      <c r="N850" s="2" t="s">
        <v>781</v>
      </c>
      <c r="O850" s="1" t="s">
        <v>78</v>
      </c>
      <c r="P850" s="8">
        <f>C16</f>
        <v>421.05</v>
      </c>
      <c r="Q850" s="2" t="s">
        <v>1796</v>
      </c>
      <c r="R850" s="8">
        <f>(M850*P850)</f>
        <v>210.53</v>
      </c>
      <c r="AC850" s="57">
        <f t="shared" si="72"/>
        <v>0</v>
      </c>
    </row>
    <row r="851" spans="6:31" ht="24" customHeight="1">
      <c r="F851" s="8">
        <v>6</v>
      </c>
      <c r="G851" s="7" t="s">
        <v>883</v>
      </c>
      <c r="H851" s="1" t="s">
        <v>2300</v>
      </c>
      <c r="I851" s="219">
        <f>I835</f>
        <v>4.5</v>
      </c>
      <c r="J851" s="1" t="s">
        <v>883</v>
      </c>
      <c r="K851" s="8">
        <f t="shared" si="73"/>
        <v>27</v>
      </c>
      <c r="M851" s="8">
        <v>0.25</v>
      </c>
      <c r="N851" s="2" t="s">
        <v>781</v>
      </c>
      <c r="O851" s="1" t="s">
        <v>893</v>
      </c>
      <c r="P851" s="8">
        <f>C13</f>
        <v>243.6</v>
      </c>
      <c r="Q851" s="2" t="s">
        <v>1796</v>
      </c>
      <c r="R851" s="8">
        <f>(M851*P851)</f>
        <v>60.9</v>
      </c>
      <c r="AC851" s="57">
        <f t="shared" si="72"/>
        <v>0</v>
      </c>
    </row>
    <row r="852" spans="6:31" ht="24" customHeight="1">
      <c r="F852" s="8">
        <v>1</v>
      </c>
      <c r="G852" s="7" t="s">
        <v>883</v>
      </c>
      <c r="H852" s="1" t="s">
        <v>1241</v>
      </c>
      <c r="I852" s="8">
        <f>C10</f>
        <v>430.5</v>
      </c>
      <c r="J852" s="1" t="s">
        <v>883</v>
      </c>
      <c r="K852" s="8">
        <f t="shared" si="73"/>
        <v>430.5</v>
      </c>
      <c r="R852" s="5" t="s">
        <v>1667</v>
      </c>
      <c r="AC852" s="57">
        <f t="shared" si="72"/>
        <v>0</v>
      </c>
    </row>
    <row r="853" spans="6:31" ht="24" customHeight="1">
      <c r="F853" s="8">
        <v>1</v>
      </c>
      <c r="G853" s="7" t="s">
        <v>883</v>
      </c>
      <c r="H853" s="1" t="s">
        <v>1242</v>
      </c>
      <c r="I853" s="8">
        <f>C12</f>
        <v>269.85000000000002</v>
      </c>
      <c r="J853" s="1" t="s">
        <v>883</v>
      </c>
      <c r="K853" s="8">
        <f t="shared" si="73"/>
        <v>269.85000000000002</v>
      </c>
      <c r="O853" s="2" t="s">
        <v>1209</v>
      </c>
      <c r="R853" s="8">
        <f>SUM(R850:R851)</f>
        <v>271.43</v>
      </c>
      <c r="AC853" s="57">
        <f t="shared" si="72"/>
        <v>0</v>
      </c>
    </row>
    <row r="854" spans="6:31" ht="24" customHeight="1">
      <c r="F854" s="8">
        <v>1</v>
      </c>
      <c r="G854" s="7" t="s">
        <v>883</v>
      </c>
      <c r="H854" s="8" t="str">
        <f>H838</f>
        <v>MOULDING CHARGES</v>
      </c>
      <c r="I854" s="347">
        <v>25</v>
      </c>
      <c r="J854" s="1" t="s">
        <v>883</v>
      </c>
      <c r="K854" s="8">
        <f t="shared" si="73"/>
        <v>25</v>
      </c>
      <c r="R854" s="5" t="s">
        <v>1667</v>
      </c>
      <c r="AC854" s="57">
        <f t="shared" si="72"/>
        <v>0</v>
      </c>
    </row>
    <row r="855" spans="6:31" ht="24" customHeight="1">
      <c r="F855" s="8">
        <v>0.5</v>
      </c>
      <c r="G855" s="7" t="s">
        <v>883</v>
      </c>
      <c r="H855" s="1" t="s">
        <v>1244</v>
      </c>
      <c r="I855" s="8">
        <f>C13</f>
        <v>243.6</v>
      </c>
      <c r="J855" s="1" t="s">
        <v>883</v>
      </c>
      <c r="K855" s="8">
        <f t="shared" si="73"/>
        <v>121.8</v>
      </c>
      <c r="O855" s="2" t="s">
        <v>1210</v>
      </c>
      <c r="R855" s="8">
        <f>R853/0.0283</f>
        <v>9591.17</v>
      </c>
      <c r="AC855" s="57">
        <f t="shared" si="72"/>
        <v>0</v>
      </c>
    </row>
    <row r="856" spans="6:31" ht="24" customHeight="1">
      <c r="G856" s="7" t="s">
        <v>448</v>
      </c>
      <c r="H856" s="1" t="s">
        <v>2213</v>
      </c>
      <c r="J856" s="1" t="s">
        <v>448</v>
      </c>
      <c r="K856" s="8">
        <v>1.39</v>
      </c>
      <c r="R856" s="5" t="s">
        <v>1667</v>
      </c>
      <c r="AC856" s="57">
        <f t="shared" si="72"/>
        <v>0</v>
      </c>
    </row>
    <row r="857" spans="6:31" ht="24" customHeight="1">
      <c r="K857" s="5" t="s">
        <v>1667</v>
      </c>
      <c r="AC857" s="57">
        <f t="shared" si="72"/>
        <v>0</v>
      </c>
    </row>
    <row r="858" spans="6:31" ht="24" customHeight="1">
      <c r="H858" s="64" t="s">
        <v>286</v>
      </c>
      <c r="K858" s="40">
        <f>SUM(K846:K856)</f>
        <v>1432.85</v>
      </c>
      <c r="AC858" s="57">
        <f t="shared" si="72"/>
        <v>0</v>
      </c>
    </row>
    <row r="859" spans="6:31" ht="24" customHeight="1">
      <c r="K859" s="5" t="s">
        <v>1667</v>
      </c>
      <c r="AC859" s="57">
        <f t="shared" si="72"/>
        <v>0</v>
      </c>
    </row>
    <row r="860" spans="6:31" ht="24" customHeight="1">
      <c r="AC860" s="57" t="str">
        <f t="shared" si="72"/>
        <v>|</v>
      </c>
    </row>
    <row r="861" spans="6:31" ht="101.25" customHeight="1">
      <c r="F861" s="36">
        <v>21.3</v>
      </c>
      <c r="G861" s="7" t="s">
        <v>2338</v>
      </c>
      <c r="H861" s="37" t="s">
        <v>1808</v>
      </c>
      <c r="AC861" s="57" t="str">
        <f t="shared" si="72"/>
        <v>|</v>
      </c>
      <c r="AE861" s="1" t="s">
        <v>2346</v>
      </c>
    </row>
    <row r="862" spans="6:31" ht="24" customHeight="1">
      <c r="H862" s="1" t="s">
        <v>2347</v>
      </c>
      <c r="M862" s="8">
        <v>11.64</v>
      </c>
      <c r="N862" s="1" t="s">
        <v>840</v>
      </c>
      <c r="O862" s="1" t="s">
        <v>1562</v>
      </c>
      <c r="P862" s="8">
        <v>13.66</v>
      </c>
      <c r="R862" s="8">
        <f>(M862*P862)</f>
        <v>159</v>
      </c>
      <c r="AC862" s="57" t="str">
        <f t="shared" si="72"/>
        <v>|</v>
      </c>
      <c r="AE862" s="1" t="s">
        <v>2346</v>
      </c>
    </row>
    <row r="863" spans="6:31" ht="24" customHeight="1">
      <c r="H863" s="5" t="s">
        <v>1667</v>
      </c>
      <c r="J863" s="11" t="s">
        <v>1363</v>
      </c>
      <c r="M863" s="17">
        <v>1.62</v>
      </c>
      <c r="N863" s="1" t="s">
        <v>611</v>
      </c>
      <c r="O863" s="1" t="s">
        <v>1563</v>
      </c>
      <c r="P863" s="8">
        <v>25.46</v>
      </c>
      <c r="R863" s="8">
        <f>(M863*P863)</f>
        <v>41.25</v>
      </c>
      <c r="AC863" s="57" t="str">
        <f t="shared" si="72"/>
        <v>|</v>
      </c>
      <c r="AE863" s="1" t="s">
        <v>2346</v>
      </c>
    </row>
    <row r="864" spans="6:31" ht="24" customHeight="1">
      <c r="M864" s="8">
        <v>48</v>
      </c>
      <c r="N864" s="1" t="s">
        <v>883</v>
      </c>
      <c r="O864" s="1" t="s">
        <v>1377</v>
      </c>
      <c r="P864" s="8">
        <v>0.5</v>
      </c>
      <c r="R864" s="8">
        <f>(M864*P864)</f>
        <v>24</v>
      </c>
      <c r="AC864" s="57" t="str">
        <f t="shared" si="72"/>
        <v>|</v>
      </c>
      <c r="AE864" s="1" t="s">
        <v>2346</v>
      </c>
    </row>
    <row r="865" spans="6:31" ht="24" customHeight="1">
      <c r="H865" s="1" t="s">
        <v>1704</v>
      </c>
      <c r="J865" s="1" t="s">
        <v>611</v>
      </c>
      <c r="K865" s="639">
        <v>2055</v>
      </c>
      <c r="R865" s="8">
        <v>0.23</v>
      </c>
      <c r="AC865" s="57">
        <f t="shared" si="72"/>
        <v>0</v>
      </c>
      <c r="AE865" s="1" t="s">
        <v>2346</v>
      </c>
    </row>
    <row r="866" spans="6:31" ht="24" customHeight="1">
      <c r="F866" s="1" t="s">
        <v>995</v>
      </c>
      <c r="AC866" s="57" t="str">
        <f t="shared" si="72"/>
        <v>|</v>
      </c>
    </row>
    <row r="867" spans="6:31" ht="24" customHeight="1">
      <c r="H867" s="2" t="s">
        <v>2348</v>
      </c>
      <c r="K867" s="5" t="s">
        <v>2130</v>
      </c>
      <c r="R867" s="5" t="s">
        <v>1667</v>
      </c>
      <c r="AC867" s="57" t="str">
        <f t="shared" si="72"/>
        <v>|</v>
      </c>
      <c r="AE867" s="1" t="s">
        <v>2346</v>
      </c>
    </row>
    <row r="868" spans="6:31" ht="24" customHeight="1">
      <c r="H868" s="2" t="s">
        <v>1428</v>
      </c>
      <c r="O868" s="2" t="s">
        <v>1378</v>
      </c>
      <c r="R868" s="8">
        <f>SUM(R862:R865)</f>
        <v>224.48</v>
      </c>
      <c r="AC868" s="57" t="str">
        <f t="shared" si="72"/>
        <v>|</v>
      </c>
      <c r="AE868" s="1" t="s">
        <v>2346</v>
      </c>
    </row>
    <row r="869" spans="6:31" ht="24" customHeight="1">
      <c r="F869" s="32">
        <v>21.2</v>
      </c>
      <c r="H869" s="38" t="s">
        <v>1809</v>
      </c>
      <c r="AC869" s="57">
        <f t="shared" si="72"/>
        <v>0</v>
      </c>
      <c r="AE869" s="1" t="s">
        <v>2346</v>
      </c>
    </row>
    <row r="870" spans="6:31" ht="24" customHeight="1">
      <c r="F870" s="32"/>
      <c r="H870" s="5" t="s">
        <v>1667</v>
      </c>
      <c r="AC870" s="57" t="str">
        <f t="shared" si="72"/>
        <v>|</v>
      </c>
      <c r="AE870" s="1"/>
    </row>
    <row r="871" spans="6:31" ht="24" customHeight="1">
      <c r="G871" s="7" t="s">
        <v>160</v>
      </c>
      <c r="H871" s="1" t="s">
        <v>1429</v>
      </c>
      <c r="K871" s="1" t="s">
        <v>995</v>
      </c>
      <c r="AC871" s="57" t="str">
        <f t="shared" si="72"/>
        <v>|</v>
      </c>
      <c r="AE871" s="1" t="s">
        <v>2346</v>
      </c>
    </row>
    <row r="872" spans="6:31" ht="24" customHeight="1">
      <c r="H872" s="5" t="s">
        <v>1667</v>
      </c>
      <c r="K872" s="1" t="s">
        <v>995</v>
      </c>
      <c r="AC872" s="57" t="str">
        <f t="shared" si="72"/>
        <v>|</v>
      </c>
      <c r="AE872" s="1" t="s">
        <v>2346</v>
      </c>
    </row>
    <row r="873" spans="6:31" ht="24" customHeight="1">
      <c r="F873" s="8">
        <v>1</v>
      </c>
      <c r="G873" s="7" t="s">
        <v>884</v>
      </c>
      <c r="H873" s="1" t="s">
        <v>1649</v>
      </c>
      <c r="I873" s="8">
        <f>C30</f>
        <v>5906.25</v>
      </c>
      <c r="J873" s="1" t="s">
        <v>884</v>
      </c>
      <c r="K873" s="8">
        <f>(F873*I873)</f>
        <v>5906.25</v>
      </c>
      <c r="AC873" s="57" t="str">
        <f t="shared" si="72"/>
        <v>|</v>
      </c>
      <c r="AE873" s="1" t="s">
        <v>2346</v>
      </c>
    </row>
    <row r="874" spans="6:31" ht="24" customHeight="1">
      <c r="F874" s="8">
        <v>1</v>
      </c>
      <c r="G874" s="7" t="s">
        <v>884</v>
      </c>
      <c r="H874" s="1" t="s">
        <v>1429</v>
      </c>
      <c r="I874" s="8">
        <f>C88</f>
        <v>102600</v>
      </c>
      <c r="J874" s="1" t="s">
        <v>884</v>
      </c>
      <c r="K874" s="8">
        <f>(F874*I874)</f>
        <v>102600</v>
      </c>
      <c r="AC874" s="57" t="str">
        <f t="shared" si="72"/>
        <v>|</v>
      </c>
      <c r="AE874" s="1" t="s">
        <v>2346</v>
      </c>
    </row>
    <row r="875" spans="6:31" ht="24" customHeight="1">
      <c r="K875" s="5" t="s">
        <v>2130</v>
      </c>
      <c r="AC875" s="57" t="str">
        <f t="shared" si="72"/>
        <v>|</v>
      </c>
      <c r="AE875" s="1" t="s">
        <v>2346</v>
      </c>
    </row>
    <row r="876" spans="6:31" ht="24" customHeight="1">
      <c r="H876" s="1" t="s">
        <v>1650</v>
      </c>
      <c r="K876" s="40">
        <f>SUM(K873:K874)</f>
        <v>108506.25</v>
      </c>
      <c r="AC876" s="57" t="str">
        <f t="shared" si="72"/>
        <v>|</v>
      </c>
      <c r="AE876" s="1" t="s">
        <v>2346</v>
      </c>
    </row>
    <row r="877" spans="6:31" ht="24" customHeight="1">
      <c r="K877" s="5" t="s">
        <v>2130</v>
      </c>
      <c r="AC877" s="57" t="str">
        <f t="shared" si="72"/>
        <v>|</v>
      </c>
      <c r="AE877" s="1" t="s">
        <v>2346</v>
      </c>
    </row>
    <row r="878" spans="6:31" ht="24" customHeight="1">
      <c r="G878" s="7" t="s">
        <v>1635</v>
      </c>
      <c r="H878" s="1" t="s">
        <v>1651</v>
      </c>
      <c r="K878" s="1" t="s">
        <v>995</v>
      </c>
      <c r="AC878" s="57" t="str">
        <f t="shared" si="72"/>
        <v>|</v>
      </c>
      <c r="AE878" s="1" t="s">
        <v>2346</v>
      </c>
    </row>
    <row r="879" spans="6:31" ht="24" customHeight="1">
      <c r="H879" s="5" t="s">
        <v>1667</v>
      </c>
      <c r="AC879" s="57" t="str">
        <f t="shared" si="72"/>
        <v>|</v>
      </c>
      <c r="AE879" s="1" t="s">
        <v>2346</v>
      </c>
    </row>
    <row r="880" spans="6:31" ht="24" customHeight="1">
      <c r="F880" s="8">
        <v>1</v>
      </c>
      <c r="G880" s="7" t="s">
        <v>884</v>
      </c>
      <c r="H880" s="1" t="s">
        <v>1649</v>
      </c>
      <c r="I880" s="8">
        <f>C30</f>
        <v>5906.25</v>
      </c>
      <c r="J880" s="1" t="s">
        <v>884</v>
      </c>
      <c r="K880" s="8">
        <f>(F880*I880)</f>
        <v>5906.25</v>
      </c>
      <c r="AC880" s="57" t="str">
        <f t="shared" si="72"/>
        <v>|</v>
      </c>
      <c r="AE880" s="1" t="s">
        <v>2346</v>
      </c>
    </row>
    <row r="881" spans="6:31" ht="24" customHeight="1">
      <c r="F881" s="8">
        <v>1</v>
      </c>
      <c r="G881" s="7" t="s">
        <v>884</v>
      </c>
      <c r="H881" s="1" t="s">
        <v>1429</v>
      </c>
      <c r="I881" s="8">
        <f>C89</f>
        <v>91300</v>
      </c>
      <c r="J881" s="1" t="s">
        <v>884</v>
      </c>
      <c r="K881" s="8">
        <f>(F881*I881)</f>
        <v>91300</v>
      </c>
      <c r="AC881" s="57" t="str">
        <f t="shared" si="72"/>
        <v>|</v>
      </c>
      <c r="AE881" s="1" t="s">
        <v>2346</v>
      </c>
    </row>
    <row r="882" spans="6:31" ht="24" customHeight="1">
      <c r="K882" s="5" t="s">
        <v>2130</v>
      </c>
      <c r="AC882" s="57" t="str">
        <f t="shared" si="72"/>
        <v>|</v>
      </c>
      <c r="AE882" s="1" t="s">
        <v>2346</v>
      </c>
    </row>
    <row r="883" spans="6:31" ht="24" customHeight="1">
      <c r="H883" s="1" t="s">
        <v>1652</v>
      </c>
      <c r="K883" s="40">
        <f>SUM(K880:K881)</f>
        <v>97206.25</v>
      </c>
      <c r="AC883" s="57" t="str">
        <f t="shared" si="72"/>
        <v>|</v>
      </c>
      <c r="AE883" s="1" t="s">
        <v>2346</v>
      </c>
    </row>
    <row r="884" spans="6:31" ht="24" customHeight="1">
      <c r="K884" s="5" t="s">
        <v>2130</v>
      </c>
      <c r="AC884" s="57" t="str">
        <f t="shared" si="72"/>
        <v>|</v>
      </c>
      <c r="AE884" s="1" t="s">
        <v>2346</v>
      </c>
    </row>
    <row r="885" spans="6:31" ht="24" customHeight="1">
      <c r="AC885" s="57" t="str">
        <f t="shared" si="72"/>
        <v>|</v>
      </c>
      <c r="AE885" s="1" t="s">
        <v>2346</v>
      </c>
    </row>
    <row r="886" spans="6:31" ht="24" customHeight="1">
      <c r="F886" s="2" t="s">
        <v>567</v>
      </c>
      <c r="G886" s="7" t="s">
        <v>2338</v>
      </c>
      <c r="H886" s="1" t="s">
        <v>253</v>
      </c>
      <c r="M886" s="2" t="s">
        <v>567</v>
      </c>
      <c r="N886" s="7" t="s">
        <v>2338</v>
      </c>
      <c r="O886" s="1" t="s">
        <v>333</v>
      </c>
      <c r="Q886" s="11"/>
      <c r="AC886" s="57" t="str">
        <f t="shared" si="72"/>
        <v>|</v>
      </c>
      <c r="AE886" s="1" t="s">
        <v>2346</v>
      </c>
    </row>
    <row r="887" spans="6:31" ht="24" customHeight="1">
      <c r="H887" s="1" t="s">
        <v>254</v>
      </c>
      <c r="N887" s="3"/>
      <c r="O887" s="1" t="s">
        <v>254</v>
      </c>
      <c r="Q887" s="11"/>
      <c r="AC887" s="57" t="str">
        <f t="shared" si="72"/>
        <v>|</v>
      </c>
      <c r="AE887" s="1" t="s">
        <v>2346</v>
      </c>
    </row>
    <row r="888" spans="6:31" ht="24" customHeight="1">
      <c r="H888" s="1" t="s">
        <v>1533</v>
      </c>
      <c r="N888" s="3"/>
      <c r="O888" s="1" t="s">
        <v>1533</v>
      </c>
      <c r="Q888" s="11"/>
      <c r="AC888" s="57" t="str">
        <f t="shared" si="72"/>
        <v>|</v>
      </c>
      <c r="AE888" s="1" t="s">
        <v>2346</v>
      </c>
    </row>
    <row r="889" spans="6:31" ht="24" customHeight="1">
      <c r="H889" s="5" t="s">
        <v>1667</v>
      </c>
      <c r="N889" s="3"/>
      <c r="O889" s="5" t="s">
        <v>1667</v>
      </c>
      <c r="Q889" s="11"/>
      <c r="AC889" s="57">
        <f t="shared" si="72"/>
        <v>0</v>
      </c>
      <c r="AE889" s="1" t="s">
        <v>2346</v>
      </c>
    </row>
    <row r="890" spans="6:31" ht="24" customHeight="1">
      <c r="H890" s="1" t="s">
        <v>92</v>
      </c>
      <c r="N890" s="3"/>
      <c r="O890" s="1" t="s">
        <v>92</v>
      </c>
      <c r="Q890" s="11"/>
      <c r="AC890" s="57">
        <f t="shared" si="72"/>
        <v>0</v>
      </c>
    </row>
    <row r="891" spans="6:31" ht="24" customHeight="1">
      <c r="H891" s="1" t="s">
        <v>93</v>
      </c>
      <c r="N891" s="3"/>
      <c r="O891" s="1" t="s">
        <v>93</v>
      </c>
      <c r="Q891" s="11"/>
      <c r="AC891" s="57">
        <f t="shared" si="72"/>
        <v>0</v>
      </c>
    </row>
    <row r="892" spans="6:31" ht="24" customHeight="1">
      <c r="J892" s="1" t="s">
        <v>1667</v>
      </c>
      <c r="N892" s="3"/>
      <c r="Q892" s="1" t="s">
        <v>1667</v>
      </c>
      <c r="AC892" s="57">
        <f t="shared" si="72"/>
        <v>0</v>
      </c>
    </row>
    <row r="893" spans="6:31" ht="24" customHeight="1">
      <c r="H893" s="1" t="s">
        <v>1222</v>
      </c>
      <c r="N893" s="3"/>
      <c r="O893" s="1" t="s">
        <v>1222</v>
      </c>
      <c r="Q893" s="11"/>
      <c r="AC893" s="57">
        <f t="shared" si="72"/>
        <v>0</v>
      </c>
    </row>
    <row r="894" spans="6:31" ht="24" customHeight="1">
      <c r="H894" s="1" t="s">
        <v>2079</v>
      </c>
      <c r="K894" s="16">
        <v>2.4299999999999999E-2</v>
      </c>
      <c r="N894" s="3"/>
      <c r="O894" s="1" t="s">
        <v>2079</v>
      </c>
      <c r="Q894" s="11"/>
      <c r="R894" s="16">
        <v>2.4299999999999999E-2</v>
      </c>
      <c r="AC894" s="57">
        <f t="shared" si="72"/>
        <v>0</v>
      </c>
    </row>
    <row r="895" spans="6:31" ht="24" customHeight="1">
      <c r="J895" s="1" t="s">
        <v>995</v>
      </c>
      <c r="K895" s="5" t="s">
        <v>1667</v>
      </c>
      <c r="N895" s="3"/>
      <c r="Q895" s="1" t="s">
        <v>995</v>
      </c>
      <c r="R895" s="5" t="s">
        <v>1667</v>
      </c>
      <c r="AC895" s="57">
        <f t="shared" si="72"/>
        <v>0</v>
      </c>
    </row>
    <row r="896" spans="6:31" ht="24" customHeight="1">
      <c r="H896" s="1" t="s">
        <v>2080</v>
      </c>
      <c r="J896" s="19" t="s">
        <v>995</v>
      </c>
      <c r="K896" s="16">
        <v>1.47E-2</v>
      </c>
      <c r="N896" s="3"/>
      <c r="O896" s="1" t="s">
        <v>2080</v>
      </c>
      <c r="Q896" s="19" t="s">
        <v>995</v>
      </c>
      <c r="R896" s="16">
        <v>1.47E-2</v>
      </c>
      <c r="AC896" s="57">
        <f t="shared" si="72"/>
        <v>0</v>
      </c>
    </row>
    <row r="897" spans="6:31" ht="24" customHeight="1">
      <c r="H897" s="1" t="s">
        <v>1849</v>
      </c>
      <c r="J897" s="1" t="s">
        <v>995</v>
      </c>
      <c r="K897" s="16">
        <v>4.5999999999999999E-3</v>
      </c>
      <c r="N897" s="3"/>
      <c r="O897" s="1" t="s">
        <v>1849</v>
      </c>
      <c r="Q897" s="1" t="s">
        <v>995</v>
      </c>
      <c r="R897" s="16">
        <v>4.5999999999999999E-3</v>
      </c>
      <c r="AC897" s="57">
        <f t="shared" si="72"/>
        <v>0</v>
      </c>
    </row>
    <row r="898" spans="6:31" ht="24" customHeight="1">
      <c r="K898" s="5" t="s">
        <v>1667</v>
      </c>
      <c r="N898" s="3"/>
      <c r="Q898" s="11"/>
      <c r="R898" s="5" t="s">
        <v>1667</v>
      </c>
      <c r="AC898" s="57">
        <f t="shared" si="72"/>
        <v>0</v>
      </c>
    </row>
    <row r="899" spans="6:31" ht="24" customHeight="1">
      <c r="K899" s="16">
        <v>1.9300000000000001E-2</v>
      </c>
      <c r="N899" s="3"/>
      <c r="Q899" s="11"/>
      <c r="R899" s="16">
        <v>1.9300000000000001E-2</v>
      </c>
      <c r="AC899" s="57">
        <f t="shared" si="72"/>
        <v>0</v>
      </c>
    </row>
    <row r="900" spans="6:31" ht="24" customHeight="1">
      <c r="K900" s="5" t="s">
        <v>1667</v>
      </c>
      <c r="N900" s="3"/>
      <c r="Q900" s="11"/>
      <c r="R900" s="5" t="s">
        <v>1667</v>
      </c>
      <c r="AC900" s="57">
        <f t="shared" si="72"/>
        <v>0</v>
      </c>
    </row>
    <row r="901" spans="6:31" ht="24" customHeight="1">
      <c r="N901" s="3"/>
      <c r="Q901" s="11"/>
      <c r="AC901" s="57">
        <f t="shared" si="72"/>
        <v>0</v>
      </c>
    </row>
    <row r="902" spans="6:31" ht="24" customHeight="1">
      <c r="N902" s="3"/>
      <c r="Q902" s="11"/>
      <c r="AC902" s="57" t="str">
        <f t="shared" si="72"/>
        <v>|</v>
      </c>
    </row>
    <row r="903" spans="6:31" ht="24" customHeight="1">
      <c r="F903" s="16">
        <v>1.14E-2</v>
      </c>
      <c r="G903" s="7" t="s">
        <v>884</v>
      </c>
      <c r="H903" s="1" t="s">
        <v>313</v>
      </c>
      <c r="I903" s="8">
        <f>C88</f>
        <v>102600</v>
      </c>
      <c r="J903" s="1" t="s">
        <v>884</v>
      </c>
      <c r="K903" s="8">
        <f>(F903*I903)</f>
        <v>1169.6400000000001</v>
      </c>
      <c r="M903" s="16">
        <v>1.14E-2</v>
      </c>
      <c r="N903" s="7" t="s">
        <v>884</v>
      </c>
      <c r="O903" s="1" t="s">
        <v>481</v>
      </c>
      <c r="P903" s="8">
        <f>C86</f>
        <v>31660</v>
      </c>
      <c r="Q903" s="1" t="s">
        <v>884</v>
      </c>
      <c r="R903" s="8">
        <f>(M903*P903)</f>
        <v>360.92</v>
      </c>
      <c r="AC903" s="57" t="str">
        <f t="shared" ref="AC903:AC967" si="74">AE904</f>
        <v>|</v>
      </c>
      <c r="AE903" s="1" t="s">
        <v>2346</v>
      </c>
    </row>
    <row r="904" spans="6:31" ht="24" customHeight="1">
      <c r="F904" s="16">
        <v>2.4299999999999999E-2</v>
      </c>
      <c r="G904" s="7" t="s">
        <v>884</v>
      </c>
      <c r="H904" s="1" t="s">
        <v>314</v>
      </c>
      <c r="I904" s="8">
        <f>C89</f>
        <v>91300</v>
      </c>
      <c r="J904" s="1" t="s">
        <v>884</v>
      </c>
      <c r="K904" s="8">
        <f>(F904*I904)</f>
        <v>2218.59</v>
      </c>
      <c r="M904" s="16">
        <v>2.4299999999999999E-2</v>
      </c>
      <c r="N904" s="7" t="s">
        <v>884</v>
      </c>
      <c r="O904" s="1" t="s">
        <v>482</v>
      </c>
      <c r="P904" s="8">
        <f>P903</f>
        <v>31660</v>
      </c>
      <c r="Q904" s="1" t="s">
        <v>884</v>
      </c>
      <c r="R904" s="8">
        <f>(M904*P904)</f>
        <v>769.34</v>
      </c>
      <c r="AC904" s="57" t="str">
        <f t="shared" si="74"/>
        <v>|</v>
      </c>
      <c r="AE904" s="1" t="s">
        <v>2346</v>
      </c>
    </row>
    <row r="905" spans="6:31" ht="24" customHeight="1">
      <c r="F905" s="16">
        <v>1.9300000000000001E-2</v>
      </c>
      <c r="G905" s="7" t="s">
        <v>884</v>
      </c>
      <c r="H905" s="1" t="s">
        <v>315</v>
      </c>
      <c r="I905" s="8">
        <f>C90</f>
        <v>87300</v>
      </c>
      <c r="J905" s="1" t="s">
        <v>884</v>
      </c>
      <c r="K905" s="8">
        <f>(F905*I905)</f>
        <v>1684.89</v>
      </c>
      <c r="M905" s="16">
        <v>1.9300000000000001E-2</v>
      </c>
      <c r="N905" s="7" t="s">
        <v>884</v>
      </c>
      <c r="O905" s="1" t="s">
        <v>334</v>
      </c>
      <c r="P905" s="8">
        <f>C87</f>
        <v>36330</v>
      </c>
      <c r="Q905" s="1" t="s">
        <v>884</v>
      </c>
      <c r="R905" s="8">
        <f>(M905*P905)</f>
        <v>701.17</v>
      </c>
      <c r="AC905" s="57" t="str">
        <f t="shared" si="74"/>
        <v>|</v>
      </c>
      <c r="AE905" s="1" t="s">
        <v>2346</v>
      </c>
    </row>
    <row r="906" spans="6:31" ht="24" customHeight="1">
      <c r="F906" s="17"/>
      <c r="H906" s="1" t="s">
        <v>445</v>
      </c>
      <c r="I906" s="1" t="s">
        <v>995</v>
      </c>
      <c r="K906" s="1" t="s">
        <v>995</v>
      </c>
      <c r="M906" s="17"/>
      <c r="N906" s="3"/>
      <c r="O906" s="1"/>
      <c r="P906" s="1" t="s">
        <v>995</v>
      </c>
      <c r="Q906" s="11"/>
      <c r="R906" s="1" t="s">
        <v>995</v>
      </c>
      <c r="AC906" s="57" t="str">
        <f t="shared" si="74"/>
        <v>|</v>
      </c>
      <c r="AE906" s="1" t="s">
        <v>2346</v>
      </c>
    </row>
    <row r="907" spans="6:31" ht="24" customHeight="1">
      <c r="F907" s="17">
        <v>1.823</v>
      </c>
      <c r="G907" s="7" t="s">
        <v>611</v>
      </c>
      <c r="H907" s="1" t="s">
        <v>446</v>
      </c>
      <c r="I907" s="8">
        <f>C31</f>
        <v>666.75</v>
      </c>
      <c r="J907" s="1" t="s">
        <v>611</v>
      </c>
      <c r="K907" s="8">
        <f t="shared" ref="K907:K914" si="75">(F907*I907)</f>
        <v>1215.49</v>
      </c>
      <c r="M907" s="17">
        <v>1.823</v>
      </c>
      <c r="N907" s="7" t="s">
        <v>611</v>
      </c>
      <c r="O907" s="1" t="s">
        <v>446</v>
      </c>
      <c r="P907" s="8">
        <f>I907</f>
        <v>666.75</v>
      </c>
      <c r="Q907" s="1" t="s">
        <v>611</v>
      </c>
      <c r="R907" s="8">
        <f t="shared" ref="R907:R913" si="76">(M907*P907)</f>
        <v>1215.49</v>
      </c>
      <c r="AC907" s="57" t="str">
        <f t="shared" si="74"/>
        <v>|</v>
      </c>
      <c r="AE907" s="1" t="s">
        <v>2346</v>
      </c>
    </row>
    <row r="908" spans="6:31" ht="24" customHeight="1">
      <c r="F908" s="8">
        <v>1</v>
      </c>
      <c r="G908" s="7" t="s">
        <v>781</v>
      </c>
      <c r="H908" s="1" t="s">
        <v>1180</v>
      </c>
      <c r="I908" s="8">
        <f>C575</f>
        <v>50.6</v>
      </c>
      <c r="J908" s="1" t="s">
        <v>883</v>
      </c>
      <c r="K908" s="8">
        <f t="shared" si="75"/>
        <v>50.6</v>
      </c>
      <c r="M908" s="8">
        <v>1</v>
      </c>
      <c r="N908" s="7" t="s">
        <v>781</v>
      </c>
      <c r="O908" s="1" t="s">
        <v>1526</v>
      </c>
      <c r="P908" s="8">
        <f t="shared" ref="P908:P913" si="77">I908</f>
        <v>50.6</v>
      </c>
      <c r="Q908" s="1" t="s">
        <v>883</v>
      </c>
      <c r="R908" s="8">
        <f t="shared" si="76"/>
        <v>50.6</v>
      </c>
      <c r="AC908" s="57" t="str">
        <f t="shared" si="74"/>
        <v>|</v>
      </c>
      <c r="AE908" s="1" t="s">
        <v>2346</v>
      </c>
    </row>
    <row r="909" spans="6:31" ht="24" customHeight="1">
      <c r="F909" s="8">
        <v>3</v>
      </c>
      <c r="G909" s="7" t="s">
        <v>883</v>
      </c>
      <c r="H909" s="1" t="s">
        <v>1527</v>
      </c>
      <c r="I909" s="8">
        <f>C278</f>
        <v>69.849999999999994</v>
      </c>
      <c r="J909" s="1" t="s">
        <v>883</v>
      </c>
      <c r="K909" s="8">
        <f t="shared" si="75"/>
        <v>209.55</v>
      </c>
      <c r="M909" s="8">
        <v>3</v>
      </c>
      <c r="N909" s="7" t="s">
        <v>883</v>
      </c>
      <c r="O909" s="1" t="s">
        <v>1527</v>
      </c>
      <c r="P909" s="8">
        <f t="shared" si="77"/>
        <v>69.849999999999994</v>
      </c>
      <c r="Q909" s="1" t="s">
        <v>883</v>
      </c>
      <c r="R909" s="8">
        <f t="shared" si="76"/>
        <v>209.55</v>
      </c>
      <c r="AC909" s="57" t="str">
        <f t="shared" si="74"/>
        <v>|</v>
      </c>
      <c r="AE909" s="1" t="s">
        <v>2346</v>
      </c>
    </row>
    <row r="910" spans="6:31" ht="24" customHeight="1">
      <c r="F910" s="8">
        <v>2</v>
      </c>
      <c r="G910" s="7" t="s">
        <v>883</v>
      </c>
      <c r="H910" s="1" t="s">
        <v>1528</v>
      </c>
      <c r="I910" s="8">
        <f>C283</f>
        <v>50.6</v>
      </c>
      <c r="J910" s="1" t="s">
        <v>883</v>
      </c>
      <c r="K910" s="8">
        <f t="shared" si="75"/>
        <v>101.2</v>
      </c>
      <c r="M910" s="8">
        <v>2</v>
      </c>
      <c r="N910" s="7" t="s">
        <v>883</v>
      </c>
      <c r="O910" s="1" t="s">
        <v>1528</v>
      </c>
      <c r="P910" s="8">
        <f t="shared" si="77"/>
        <v>50.6</v>
      </c>
      <c r="Q910" s="1" t="s">
        <v>883</v>
      </c>
      <c r="R910" s="8">
        <f t="shared" si="76"/>
        <v>101.2</v>
      </c>
      <c r="AC910" s="57" t="str">
        <f t="shared" si="74"/>
        <v>|</v>
      </c>
      <c r="AE910" s="1" t="s">
        <v>2346</v>
      </c>
    </row>
    <row r="911" spans="6:31" ht="24" customHeight="1">
      <c r="F911" s="8">
        <v>1</v>
      </c>
      <c r="G911" s="7" t="s">
        <v>883</v>
      </c>
      <c r="H911" s="1" t="s">
        <v>1529</v>
      </c>
      <c r="I911" s="8">
        <f>C285</f>
        <v>158.4</v>
      </c>
      <c r="J911" s="1" t="s">
        <v>883</v>
      </c>
      <c r="K911" s="8">
        <f t="shared" si="75"/>
        <v>158.4</v>
      </c>
      <c r="M911" s="8">
        <v>1</v>
      </c>
      <c r="N911" s="7" t="s">
        <v>883</v>
      </c>
      <c r="O911" s="1" t="s">
        <v>1529</v>
      </c>
      <c r="P911" s="8">
        <f t="shared" si="77"/>
        <v>158.4</v>
      </c>
      <c r="Q911" s="1" t="s">
        <v>883</v>
      </c>
      <c r="R911" s="8">
        <f t="shared" si="76"/>
        <v>158.4</v>
      </c>
      <c r="AC911" s="57" t="str">
        <f t="shared" si="74"/>
        <v>|</v>
      </c>
      <c r="AE911" s="1" t="s">
        <v>2346</v>
      </c>
    </row>
    <row r="912" spans="6:31" ht="24" customHeight="1">
      <c r="F912" s="8">
        <v>1</v>
      </c>
      <c r="G912" s="7" t="s">
        <v>883</v>
      </c>
      <c r="H912" s="1" t="s">
        <v>1530</v>
      </c>
      <c r="I912" s="8">
        <f>C287</f>
        <v>7.5</v>
      </c>
      <c r="J912" s="1" t="s">
        <v>883</v>
      </c>
      <c r="K912" s="8">
        <f t="shared" si="75"/>
        <v>7.5</v>
      </c>
      <c r="M912" s="8">
        <v>1</v>
      </c>
      <c r="N912" s="7" t="s">
        <v>883</v>
      </c>
      <c r="O912" s="1" t="s">
        <v>1530</v>
      </c>
      <c r="P912" s="8">
        <f t="shared" si="77"/>
        <v>7.5</v>
      </c>
      <c r="Q912" s="1" t="s">
        <v>883</v>
      </c>
      <c r="R912" s="8">
        <f t="shared" si="76"/>
        <v>7.5</v>
      </c>
      <c r="AC912" s="57" t="str">
        <f t="shared" si="74"/>
        <v>|</v>
      </c>
      <c r="AE912" s="1" t="s">
        <v>2346</v>
      </c>
    </row>
    <row r="913" spans="6:31" ht="24" customHeight="1">
      <c r="F913" s="8">
        <v>1</v>
      </c>
      <c r="G913" s="7" t="s">
        <v>883</v>
      </c>
      <c r="H913" s="1" t="s">
        <v>2058</v>
      </c>
      <c r="I913" s="8">
        <f>D575</f>
        <v>44.4</v>
      </c>
      <c r="J913" s="1" t="s">
        <v>883</v>
      </c>
      <c r="K913" s="8">
        <f t="shared" si="75"/>
        <v>44.4</v>
      </c>
      <c r="M913" s="8">
        <v>1</v>
      </c>
      <c r="N913" s="7" t="s">
        <v>883</v>
      </c>
      <c r="O913" s="1" t="s">
        <v>2058</v>
      </c>
      <c r="P913" s="8">
        <f t="shared" si="77"/>
        <v>44.4</v>
      </c>
      <c r="Q913" s="1" t="s">
        <v>883</v>
      </c>
      <c r="R913" s="8">
        <f t="shared" si="76"/>
        <v>44.4</v>
      </c>
      <c r="AC913" s="57" t="str">
        <f t="shared" si="74"/>
        <v>|</v>
      </c>
      <c r="AE913" s="1" t="s">
        <v>2346</v>
      </c>
    </row>
    <row r="914" spans="6:31" ht="24" customHeight="1">
      <c r="F914" s="8">
        <v>10</v>
      </c>
      <c r="G914" s="7" t="s">
        <v>1059</v>
      </c>
      <c r="H914" s="1" t="s">
        <v>1188</v>
      </c>
      <c r="I914" s="634">
        <v>2.2999999999999998</v>
      </c>
      <c r="J914" s="11" t="s">
        <v>164</v>
      </c>
      <c r="K914" s="8">
        <f t="shared" si="75"/>
        <v>23</v>
      </c>
      <c r="N914" s="3"/>
      <c r="Q914" s="11"/>
      <c r="R914" s="5" t="s">
        <v>1667</v>
      </c>
      <c r="AC914" s="57" t="str">
        <f t="shared" si="74"/>
        <v>|</v>
      </c>
      <c r="AE914" s="1" t="s">
        <v>2346</v>
      </c>
    </row>
    <row r="915" spans="6:31" ht="24" customHeight="1">
      <c r="H915" s="1" t="s">
        <v>1531</v>
      </c>
      <c r="K915" s="8">
        <f>SUM(K903:K914)</f>
        <v>6883.26</v>
      </c>
      <c r="N915" s="3"/>
      <c r="O915" s="1" t="s">
        <v>1531</v>
      </c>
      <c r="Q915" s="11"/>
      <c r="R915" s="8">
        <f>SUM(R903:R913)</f>
        <v>3618.57</v>
      </c>
      <c r="AC915" s="57" t="str">
        <f t="shared" si="74"/>
        <v>|</v>
      </c>
      <c r="AE915" s="1" t="s">
        <v>2346</v>
      </c>
    </row>
    <row r="916" spans="6:31" ht="24" customHeight="1">
      <c r="K916" s="5" t="s">
        <v>1667</v>
      </c>
      <c r="N916" s="3"/>
      <c r="Q916" s="11"/>
      <c r="R916" s="5" t="s">
        <v>1667</v>
      </c>
      <c r="AC916" s="57" t="str">
        <f t="shared" si="74"/>
        <v>|</v>
      </c>
      <c r="AE916" s="1" t="s">
        <v>2346</v>
      </c>
    </row>
    <row r="917" spans="6:31" ht="24" customHeight="1">
      <c r="H917" s="64" t="s">
        <v>555</v>
      </c>
      <c r="K917" s="40">
        <f>K915/F907</f>
        <v>3775.79</v>
      </c>
      <c r="N917" s="3"/>
      <c r="O917" s="64" t="s">
        <v>555</v>
      </c>
      <c r="Q917" s="11"/>
      <c r="R917" s="40">
        <f>R915/M907</f>
        <v>1984.95</v>
      </c>
      <c r="AC917" s="57">
        <f t="shared" si="74"/>
        <v>0</v>
      </c>
      <c r="AE917" s="1" t="s">
        <v>2346</v>
      </c>
    </row>
    <row r="918" spans="6:31" ht="24" customHeight="1">
      <c r="F918" s="1" t="s">
        <v>995</v>
      </c>
      <c r="M918" s="1" t="s">
        <v>995</v>
      </c>
      <c r="N918" s="3"/>
      <c r="Q918" s="11"/>
      <c r="AC918" s="57" t="str">
        <f t="shared" si="74"/>
        <v>|</v>
      </c>
    </row>
    <row r="919" spans="6:31" ht="24" customHeight="1">
      <c r="K919" s="5" t="s">
        <v>2130</v>
      </c>
      <c r="N919" s="3"/>
      <c r="Q919" s="11"/>
      <c r="R919" s="5" t="s">
        <v>2130</v>
      </c>
      <c r="AC919" s="57">
        <f t="shared" si="74"/>
        <v>0</v>
      </c>
      <c r="AE919" s="1" t="s">
        <v>2346</v>
      </c>
    </row>
    <row r="920" spans="6:31" ht="24" customHeight="1">
      <c r="AC920" s="57">
        <f t="shared" si="74"/>
        <v>0</v>
      </c>
    </row>
    <row r="921" spans="6:31" ht="24" customHeight="1">
      <c r="AC921" s="57" t="str">
        <f t="shared" si="74"/>
        <v>|</v>
      </c>
    </row>
    <row r="922" spans="6:31" ht="24" customHeight="1">
      <c r="F922" s="2" t="s">
        <v>1397</v>
      </c>
      <c r="G922" s="7" t="s">
        <v>2338</v>
      </c>
      <c r="H922" s="1" t="s">
        <v>253</v>
      </c>
      <c r="AC922" s="57" t="str">
        <f t="shared" si="74"/>
        <v>|</v>
      </c>
      <c r="AE922" s="1" t="s">
        <v>2346</v>
      </c>
    </row>
    <row r="923" spans="6:31" ht="24" customHeight="1">
      <c r="H923" s="1" t="s">
        <v>254</v>
      </c>
      <c r="AC923" s="57" t="str">
        <f t="shared" si="74"/>
        <v>|</v>
      </c>
      <c r="AE923" s="1" t="s">
        <v>2346</v>
      </c>
    </row>
    <row r="924" spans="6:31" ht="24" customHeight="1">
      <c r="H924" s="1" t="s">
        <v>1534</v>
      </c>
      <c r="AC924" s="57" t="str">
        <f t="shared" si="74"/>
        <v>|</v>
      </c>
      <c r="AE924" s="1" t="s">
        <v>2346</v>
      </c>
    </row>
    <row r="925" spans="6:31" ht="24" customHeight="1">
      <c r="H925" s="5" t="s">
        <v>1667</v>
      </c>
      <c r="AC925" s="57">
        <f t="shared" si="74"/>
        <v>0</v>
      </c>
      <c r="AE925" s="1" t="s">
        <v>2346</v>
      </c>
    </row>
    <row r="926" spans="6:31" ht="24" customHeight="1">
      <c r="AC926" s="57">
        <f t="shared" si="74"/>
        <v>0</v>
      </c>
    </row>
    <row r="927" spans="6:31" ht="24" customHeight="1">
      <c r="H927" s="1" t="s">
        <v>652</v>
      </c>
      <c r="AC927" s="57">
        <f t="shared" si="74"/>
        <v>0</v>
      </c>
    </row>
    <row r="928" spans="6:31" ht="24" customHeight="1">
      <c r="H928" s="1" t="s">
        <v>653</v>
      </c>
      <c r="AC928" s="57">
        <f t="shared" si="74"/>
        <v>0</v>
      </c>
    </row>
    <row r="929" spans="6:31" ht="24" customHeight="1">
      <c r="J929" s="1" t="s">
        <v>1667</v>
      </c>
      <c r="AC929" s="57">
        <f t="shared" si="74"/>
        <v>0</v>
      </c>
    </row>
    <row r="930" spans="6:31" ht="24" customHeight="1">
      <c r="H930" s="1" t="s">
        <v>654</v>
      </c>
      <c r="AC930" s="57">
        <f t="shared" si="74"/>
        <v>0</v>
      </c>
    </row>
    <row r="931" spans="6:31" ht="24" customHeight="1">
      <c r="H931" s="1" t="s">
        <v>655</v>
      </c>
      <c r="K931" s="16">
        <v>2.1999999999999999E-2</v>
      </c>
      <c r="AC931" s="57">
        <f t="shared" si="74"/>
        <v>0</v>
      </c>
    </row>
    <row r="932" spans="6:31" ht="24" customHeight="1">
      <c r="J932" s="1" t="s">
        <v>995</v>
      </c>
      <c r="K932" s="5" t="s">
        <v>1667</v>
      </c>
      <c r="AC932" s="57">
        <f t="shared" si="74"/>
        <v>0</v>
      </c>
    </row>
    <row r="933" spans="6:31" ht="24" customHeight="1">
      <c r="H933" s="1" t="s">
        <v>874</v>
      </c>
      <c r="J933" s="19" t="s">
        <v>995</v>
      </c>
      <c r="K933" s="16">
        <v>1.3100000000000001E-2</v>
      </c>
      <c r="AC933" s="57">
        <f t="shared" si="74"/>
        <v>0</v>
      </c>
    </row>
    <row r="934" spans="6:31" ht="24" customHeight="1">
      <c r="H934" s="1" t="s">
        <v>2227</v>
      </c>
      <c r="J934" s="1" t="s">
        <v>995</v>
      </c>
      <c r="K934" s="16">
        <v>3.3999999999999998E-3</v>
      </c>
      <c r="AC934" s="57">
        <f t="shared" si="74"/>
        <v>0</v>
      </c>
    </row>
    <row r="935" spans="6:31" ht="24" customHeight="1">
      <c r="K935" s="5" t="s">
        <v>1667</v>
      </c>
      <c r="AC935" s="57">
        <f t="shared" si="74"/>
        <v>0</v>
      </c>
    </row>
    <row r="936" spans="6:31" ht="24" customHeight="1">
      <c r="K936" s="16">
        <v>1.6500000000000001E-2</v>
      </c>
      <c r="AC936" s="57">
        <f t="shared" si="74"/>
        <v>0</v>
      </c>
    </row>
    <row r="937" spans="6:31" ht="24" customHeight="1">
      <c r="K937" s="5" t="s">
        <v>1667</v>
      </c>
      <c r="AC937" s="57" t="str">
        <f t="shared" si="74"/>
        <v>|</v>
      </c>
    </row>
    <row r="938" spans="6:31" ht="24" customHeight="1">
      <c r="F938" s="16">
        <v>1.15E-2</v>
      </c>
      <c r="G938" s="7" t="s">
        <v>884</v>
      </c>
      <c r="H938" s="1" t="s">
        <v>313</v>
      </c>
      <c r="I938" s="8">
        <f>C88</f>
        <v>102600</v>
      </c>
      <c r="J938" s="1" t="s">
        <v>884</v>
      </c>
      <c r="K938" s="8">
        <f>(F938*I938)</f>
        <v>1179.9000000000001</v>
      </c>
      <c r="AC938" s="57" t="str">
        <f t="shared" si="74"/>
        <v>|</v>
      </c>
      <c r="AE938" s="1" t="s">
        <v>2346</v>
      </c>
    </row>
    <row r="939" spans="6:31" ht="24" customHeight="1">
      <c r="F939" s="16">
        <v>2.1999999999999999E-2</v>
      </c>
      <c r="G939" s="7" t="s">
        <v>884</v>
      </c>
      <c r="H939" s="1" t="s">
        <v>314</v>
      </c>
      <c r="I939" s="8">
        <f>C89</f>
        <v>91300</v>
      </c>
      <c r="J939" s="1" t="s">
        <v>884</v>
      </c>
      <c r="K939" s="8">
        <f>(F939*I939)</f>
        <v>2008.6</v>
      </c>
      <c r="AC939" s="57" t="str">
        <f t="shared" si="74"/>
        <v>|</v>
      </c>
      <c r="AE939" s="1" t="s">
        <v>2346</v>
      </c>
    </row>
    <row r="940" spans="6:31" ht="24" customHeight="1">
      <c r="F940" s="16">
        <v>1.6500000000000001E-2</v>
      </c>
      <c r="G940" s="7" t="s">
        <v>884</v>
      </c>
      <c r="H940" s="1" t="s">
        <v>315</v>
      </c>
      <c r="I940" s="8">
        <f>C90</f>
        <v>87300</v>
      </c>
      <c r="J940" s="1" t="s">
        <v>884</v>
      </c>
      <c r="K940" s="8">
        <f>(F940*I940)</f>
        <v>1440.45</v>
      </c>
      <c r="AC940" s="57" t="str">
        <f t="shared" si="74"/>
        <v>|</v>
      </c>
      <c r="AE940" s="1" t="s">
        <v>2346</v>
      </c>
    </row>
    <row r="941" spans="6:31" ht="24" customHeight="1">
      <c r="F941" s="16"/>
      <c r="H941" s="1" t="s">
        <v>445</v>
      </c>
      <c r="I941" s="1" t="s">
        <v>995</v>
      </c>
      <c r="K941" s="1" t="s">
        <v>995</v>
      </c>
      <c r="AC941" s="57" t="str">
        <f t="shared" si="74"/>
        <v>|</v>
      </c>
      <c r="AE941" s="1" t="s">
        <v>2346</v>
      </c>
    </row>
    <row r="942" spans="6:31" ht="24" customHeight="1">
      <c r="F942" s="16">
        <v>1.64</v>
      </c>
      <c r="G942" s="7" t="s">
        <v>611</v>
      </c>
      <c r="H942" s="1" t="s">
        <v>446</v>
      </c>
      <c r="I942" s="8">
        <f>C31</f>
        <v>666.75</v>
      </c>
      <c r="J942" s="1" t="s">
        <v>611</v>
      </c>
      <c r="K942" s="8">
        <f t="shared" ref="K942:K949" si="78">(F942*I942)</f>
        <v>1093.47</v>
      </c>
      <c r="AC942" s="57" t="str">
        <f t="shared" si="74"/>
        <v>|</v>
      </c>
      <c r="AE942" s="1" t="s">
        <v>2346</v>
      </c>
    </row>
    <row r="943" spans="6:31" ht="24" customHeight="1">
      <c r="F943" s="8">
        <v>1</v>
      </c>
      <c r="G943" s="7" t="s">
        <v>781</v>
      </c>
      <c r="H943" s="1" t="s">
        <v>1180</v>
      </c>
      <c r="I943" s="8">
        <f>C575</f>
        <v>50.6</v>
      </c>
      <c r="J943" s="1" t="s">
        <v>883</v>
      </c>
      <c r="K943" s="8">
        <f t="shared" si="78"/>
        <v>50.6</v>
      </c>
      <c r="AC943" s="57" t="str">
        <f t="shared" si="74"/>
        <v>|</v>
      </c>
      <c r="AE943" s="1" t="s">
        <v>2346</v>
      </c>
    </row>
    <row r="944" spans="6:31" ht="24" customHeight="1">
      <c r="F944" s="8">
        <v>3</v>
      </c>
      <c r="G944" s="7" t="s">
        <v>883</v>
      </c>
      <c r="H944" s="1" t="s">
        <v>1527</v>
      </c>
      <c r="I944" s="8">
        <f>C278</f>
        <v>69.849999999999994</v>
      </c>
      <c r="J944" s="1" t="s">
        <v>883</v>
      </c>
      <c r="K944" s="8">
        <f t="shared" si="78"/>
        <v>209.55</v>
      </c>
      <c r="AC944" s="57" t="str">
        <f t="shared" si="74"/>
        <v>|::</v>
      </c>
      <c r="AE944" s="1" t="s">
        <v>2346</v>
      </c>
    </row>
    <row r="945" spans="6:31" ht="24" customHeight="1">
      <c r="F945" s="8">
        <v>2</v>
      </c>
      <c r="G945" s="7" t="s">
        <v>883</v>
      </c>
      <c r="H945" s="1" t="s">
        <v>1528</v>
      </c>
      <c r="I945" s="8">
        <f>C283</f>
        <v>50.6</v>
      </c>
      <c r="J945" s="1" t="s">
        <v>883</v>
      </c>
      <c r="K945" s="8">
        <f t="shared" si="78"/>
        <v>101.2</v>
      </c>
      <c r="AC945" s="57">
        <f t="shared" si="74"/>
        <v>0</v>
      </c>
      <c r="AE945" s="1" t="s">
        <v>325</v>
      </c>
    </row>
    <row r="946" spans="6:31" ht="24" customHeight="1">
      <c r="F946" s="8">
        <v>1</v>
      </c>
      <c r="G946" s="7" t="s">
        <v>883</v>
      </c>
      <c r="H946" s="1" t="s">
        <v>1529</v>
      </c>
      <c r="I946" s="8">
        <f>C285</f>
        <v>158.4</v>
      </c>
      <c r="J946" s="1" t="s">
        <v>883</v>
      </c>
      <c r="K946" s="8">
        <f t="shared" si="78"/>
        <v>158.4</v>
      </c>
      <c r="AC946" s="57">
        <f t="shared" si="74"/>
        <v>0</v>
      </c>
    </row>
    <row r="947" spans="6:31" ht="24" customHeight="1">
      <c r="F947" s="8">
        <v>1</v>
      </c>
      <c r="G947" s="7" t="s">
        <v>883</v>
      </c>
      <c r="H947" s="1" t="s">
        <v>1530</v>
      </c>
      <c r="I947" s="8">
        <f>C287</f>
        <v>7.5</v>
      </c>
      <c r="J947" s="1" t="s">
        <v>883</v>
      </c>
      <c r="K947" s="8">
        <f t="shared" si="78"/>
        <v>7.5</v>
      </c>
      <c r="AC947" s="57" t="str">
        <f t="shared" si="74"/>
        <v>|</v>
      </c>
    </row>
    <row r="948" spans="6:31" ht="24" customHeight="1">
      <c r="F948" s="8">
        <v>1</v>
      </c>
      <c r="G948" s="7" t="s">
        <v>883</v>
      </c>
      <c r="H948" s="1" t="s">
        <v>2058</v>
      </c>
      <c r="I948" s="8">
        <f>D575</f>
        <v>44.4</v>
      </c>
      <c r="J948" s="1" t="s">
        <v>883</v>
      </c>
      <c r="K948" s="8">
        <f t="shared" si="78"/>
        <v>44.4</v>
      </c>
      <c r="AC948" s="57"/>
      <c r="AE948" s="1" t="s">
        <v>2346</v>
      </c>
    </row>
    <row r="949" spans="6:31" ht="24" customHeight="1">
      <c r="F949" s="8">
        <v>10</v>
      </c>
      <c r="G949" s="7" t="s">
        <v>1059</v>
      </c>
      <c r="H949" s="1" t="s">
        <v>1188</v>
      </c>
      <c r="I949" s="8">
        <f>I914</f>
        <v>2.2999999999999998</v>
      </c>
      <c r="J949" s="1" t="s">
        <v>883</v>
      </c>
      <c r="K949" s="8">
        <f t="shared" si="78"/>
        <v>23</v>
      </c>
      <c r="AC949" s="57" t="str">
        <f t="shared" si="74"/>
        <v>|</v>
      </c>
      <c r="AE949" s="1"/>
    </row>
    <row r="950" spans="6:31" ht="24" customHeight="1">
      <c r="K950" s="5" t="s">
        <v>1667</v>
      </c>
      <c r="AC950" s="57" t="str">
        <f t="shared" si="74"/>
        <v>|</v>
      </c>
      <c r="AE950" s="1" t="s">
        <v>2346</v>
      </c>
    </row>
    <row r="951" spans="6:31" ht="24" customHeight="1">
      <c r="H951" s="1" t="s">
        <v>2228</v>
      </c>
      <c r="K951" s="8">
        <f>SUM(K938:K949)</f>
        <v>6317.07</v>
      </c>
      <c r="AC951" s="57" t="str">
        <f t="shared" si="74"/>
        <v>|</v>
      </c>
      <c r="AE951" s="1" t="s">
        <v>2346</v>
      </c>
    </row>
    <row r="952" spans="6:31" ht="24" customHeight="1">
      <c r="K952" s="5" t="s">
        <v>1667</v>
      </c>
      <c r="AC952" s="57" t="str">
        <f t="shared" si="74"/>
        <v>|</v>
      </c>
      <c r="AE952" s="1" t="s">
        <v>2346</v>
      </c>
    </row>
    <row r="953" spans="6:31" ht="24" customHeight="1">
      <c r="H953" s="64" t="s">
        <v>555</v>
      </c>
      <c r="K953" s="40">
        <f>K951/F942</f>
        <v>3851.87</v>
      </c>
      <c r="AC953" s="57" t="str">
        <f t="shared" si="74"/>
        <v>|</v>
      </c>
      <c r="AE953" s="1" t="s">
        <v>2346</v>
      </c>
    </row>
    <row r="954" spans="6:31" ht="24" customHeight="1">
      <c r="K954" s="5" t="s">
        <v>2130</v>
      </c>
      <c r="AC954" s="57">
        <f t="shared" si="74"/>
        <v>0</v>
      </c>
      <c r="AE954" s="1" t="s">
        <v>2346</v>
      </c>
    </row>
    <row r="955" spans="6:31" ht="24" customHeight="1">
      <c r="F955" s="2" t="s">
        <v>1396</v>
      </c>
      <c r="G955" s="7" t="s">
        <v>2338</v>
      </c>
      <c r="H955" s="1" t="s">
        <v>253</v>
      </c>
      <c r="AC955" s="57">
        <f t="shared" si="74"/>
        <v>0</v>
      </c>
    </row>
    <row r="956" spans="6:31" ht="24" customHeight="1">
      <c r="H956" s="1" t="s">
        <v>254</v>
      </c>
      <c r="AC956" s="57">
        <f t="shared" si="74"/>
        <v>0</v>
      </c>
    </row>
    <row r="957" spans="6:31" ht="24" customHeight="1">
      <c r="H957" s="1" t="s">
        <v>1535</v>
      </c>
      <c r="AC957" s="57">
        <f t="shared" si="74"/>
        <v>0</v>
      </c>
    </row>
    <row r="958" spans="6:31" ht="24" customHeight="1">
      <c r="H958" s="5" t="s">
        <v>1667</v>
      </c>
      <c r="AC958" s="57">
        <f t="shared" si="74"/>
        <v>0</v>
      </c>
    </row>
    <row r="959" spans="6:31" ht="24" customHeight="1">
      <c r="H959" s="1" t="s">
        <v>2229</v>
      </c>
      <c r="AC959" s="57">
        <f t="shared" si="74"/>
        <v>0</v>
      </c>
    </row>
    <row r="960" spans="6:31" ht="24" customHeight="1">
      <c r="H960" s="1" t="s">
        <v>93</v>
      </c>
      <c r="AC960" s="57">
        <f t="shared" si="74"/>
        <v>0</v>
      </c>
    </row>
    <row r="961" spans="6:29" ht="24" customHeight="1">
      <c r="J961" s="1" t="s">
        <v>1667</v>
      </c>
      <c r="AC961" s="57">
        <f t="shared" si="74"/>
        <v>0</v>
      </c>
    </row>
    <row r="962" spans="6:29" ht="24" customHeight="1">
      <c r="H962" s="1" t="s">
        <v>2230</v>
      </c>
      <c r="AC962" s="57">
        <f t="shared" si="74"/>
        <v>0</v>
      </c>
    </row>
    <row r="963" spans="6:29" ht="24" customHeight="1">
      <c r="H963" s="1" t="s">
        <v>459</v>
      </c>
      <c r="K963" s="16">
        <v>1.1900000000000001E-2</v>
      </c>
      <c r="AC963" s="57">
        <f t="shared" si="74"/>
        <v>0</v>
      </c>
    </row>
    <row r="964" spans="6:29" ht="24" customHeight="1">
      <c r="J964" s="1" t="s">
        <v>995</v>
      </c>
      <c r="K964" s="5" t="s">
        <v>1667</v>
      </c>
      <c r="AC964" s="57">
        <f t="shared" si="74"/>
        <v>0</v>
      </c>
    </row>
    <row r="965" spans="6:29" ht="24" customHeight="1">
      <c r="H965" s="1" t="s">
        <v>460</v>
      </c>
      <c r="J965" s="19" t="s">
        <v>995</v>
      </c>
      <c r="K965" s="16">
        <v>1.18E-2</v>
      </c>
      <c r="AC965" s="57">
        <f t="shared" si="74"/>
        <v>0</v>
      </c>
    </row>
    <row r="966" spans="6:29" ht="24" customHeight="1">
      <c r="H966" s="1" t="s">
        <v>246</v>
      </c>
      <c r="J966" s="1" t="s">
        <v>995</v>
      </c>
      <c r="K966" s="18" t="s">
        <v>1667</v>
      </c>
      <c r="AC966" s="57">
        <f t="shared" si="74"/>
        <v>0</v>
      </c>
    </row>
    <row r="967" spans="6:29" ht="24" customHeight="1">
      <c r="AC967" s="57">
        <f t="shared" si="74"/>
        <v>0</v>
      </c>
    </row>
    <row r="968" spans="6:29" ht="24" customHeight="1">
      <c r="F968" s="16">
        <v>1.14E-2</v>
      </c>
      <c r="G968" s="7" t="s">
        <v>884</v>
      </c>
      <c r="H968" s="1" t="s">
        <v>313</v>
      </c>
      <c r="I968" s="8">
        <f>C88</f>
        <v>102600</v>
      </c>
      <c r="J968" s="1" t="s">
        <v>884</v>
      </c>
      <c r="K968" s="8">
        <f>(F968*I968)</f>
        <v>1169.6400000000001</v>
      </c>
      <c r="AC968" s="57">
        <f t="shared" ref="AC968:AC977" si="79">AE969</f>
        <v>0</v>
      </c>
    </row>
    <row r="969" spans="6:29" ht="24" customHeight="1">
      <c r="F969" s="16">
        <v>1.1900000000000001E-2</v>
      </c>
      <c r="G969" s="7" t="s">
        <v>884</v>
      </c>
      <c r="H969" s="1" t="s">
        <v>314</v>
      </c>
      <c r="I969" s="8">
        <f>C89</f>
        <v>91300</v>
      </c>
      <c r="J969" s="1" t="s">
        <v>884</v>
      </c>
      <c r="K969" s="8">
        <f>(F969*I969)</f>
        <v>1086.47</v>
      </c>
      <c r="AC969" s="57">
        <f t="shared" si="79"/>
        <v>0</v>
      </c>
    </row>
    <row r="970" spans="6:29" ht="24" customHeight="1">
      <c r="F970" s="16">
        <v>1.18E-2</v>
      </c>
      <c r="G970" s="7" t="s">
        <v>884</v>
      </c>
      <c r="H970" s="1" t="s">
        <v>315</v>
      </c>
      <c r="I970" s="8">
        <f>C90</f>
        <v>87300</v>
      </c>
      <c r="J970" s="1" t="s">
        <v>884</v>
      </c>
      <c r="K970" s="8">
        <f>(F970*I970)</f>
        <v>1030.1400000000001</v>
      </c>
      <c r="AC970" s="57">
        <f t="shared" si="79"/>
        <v>0</v>
      </c>
    </row>
    <row r="971" spans="6:29" ht="24" customHeight="1">
      <c r="F971" s="16"/>
      <c r="H971" s="1" t="s">
        <v>445</v>
      </c>
      <c r="I971" s="1" t="s">
        <v>995</v>
      </c>
      <c r="K971" s="1" t="s">
        <v>995</v>
      </c>
      <c r="AC971" s="57">
        <f t="shared" si="79"/>
        <v>0</v>
      </c>
    </row>
    <row r="972" spans="6:29" ht="24" customHeight="1">
      <c r="F972" s="16">
        <v>1.2150000000000001</v>
      </c>
      <c r="G972" s="7" t="s">
        <v>611</v>
      </c>
      <c r="H972" s="1" t="s">
        <v>446</v>
      </c>
      <c r="I972" s="8">
        <f>C31</f>
        <v>666.75</v>
      </c>
      <c r="J972" s="1" t="s">
        <v>611</v>
      </c>
      <c r="K972" s="8">
        <f t="shared" ref="K972:K979" si="80">(F972*I972)</f>
        <v>810.1</v>
      </c>
      <c r="AC972" s="57">
        <f t="shared" si="79"/>
        <v>0</v>
      </c>
    </row>
    <row r="973" spans="6:29" ht="24" customHeight="1">
      <c r="F973" s="8">
        <v>1</v>
      </c>
      <c r="G973" s="7" t="s">
        <v>781</v>
      </c>
      <c r="H973" s="1" t="s">
        <v>1180</v>
      </c>
      <c r="I973" s="8">
        <f>C575</f>
        <v>50.6</v>
      </c>
      <c r="J973" s="1" t="s">
        <v>883</v>
      </c>
      <c r="K973" s="8">
        <f t="shared" si="80"/>
        <v>50.6</v>
      </c>
      <c r="AC973" s="57">
        <f t="shared" si="79"/>
        <v>0</v>
      </c>
    </row>
    <row r="974" spans="6:29" ht="24" customHeight="1">
      <c r="F974" s="8">
        <v>3</v>
      </c>
      <c r="G974" s="7" t="s">
        <v>883</v>
      </c>
      <c r="H974" s="1" t="s">
        <v>1527</v>
      </c>
      <c r="I974" s="8">
        <f>C278</f>
        <v>69.849999999999994</v>
      </c>
      <c r="J974" s="1" t="s">
        <v>883</v>
      </c>
      <c r="K974" s="8">
        <f t="shared" si="80"/>
        <v>209.55</v>
      </c>
      <c r="AC974" s="57">
        <f t="shared" si="79"/>
        <v>0</v>
      </c>
    </row>
    <row r="975" spans="6:29" ht="24" customHeight="1">
      <c r="F975" s="8">
        <v>2</v>
      </c>
      <c r="G975" s="7" t="s">
        <v>883</v>
      </c>
      <c r="H975" s="1" t="s">
        <v>1528</v>
      </c>
      <c r="I975" s="8">
        <f>C283</f>
        <v>50.6</v>
      </c>
      <c r="J975" s="1" t="s">
        <v>883</v>
      </c>
      <c r="K975" s="8">
        <f t="shared" si="80"/>
        <v>101.2</v>
      </c>
      <c r="AC975" s="57">
        <f t="shared" si="79"/>
        <v>0</v>
      </c>
    </row>
    <row r="976" spans="6:29" ht="24" customHeight="1">
      <c r="F976" s="8">
        <v>1</v>
      </c>
      <c r="G976" s="7" t="s">
        <v>883</v>
      </c>
      <c r="H976" s="1" t="s">
        <v>1529</v>
      </c>
      <c r="I976" s="8">
        <f>C285</f>
        <v>158.4</v>
      </c>
      <c r="J976" s="1" t="s">
        <v>883</v>
      </c>
      <c r="K976" s="8">
        <f t="shared" si="80"/>
        <v>158.4</v>
      </c>
      <c r="AC976" s="57">
        <f t="shared" si="79"/>
        <v>0</v>
      </c>
    </row>
    <row r="977" spans="6:30" ht="24" customHeight="1">
      <c r="F977" s="8">
        <v>1</v>
      </c>
      <c r="G977" s="7" t="s">
        <v>883</v>
      </c>
      <c r="H977" s="1" t="s">
        <v>1530</v>
      </c>
      <c r="I977" s="8">
        <f>C287</f>
        <v>7.5</v>
      </c>
      <c r="J977" s="1" t="s">
        <v>883</v>
      </c>
      <c r="K977" s="8">
        <f t="shared" si="80"/>
        <v>7.5</v>
      </c>
      <c r="AC977" s="57">
        <f t="shared" si="79"/>
        <v>0</v>
      </c>
    </row>
    <row r="978" spans="6:30" ht="24" customHeight="1">
      <c r="F978" s="8">
        <v>1</v>
      </c>
      <c r="G978" s="7" t="s">
        <v>883</v>
      </c>
      <c r="H978" s="1" t="s">
        <v>2058</v>
      </c>
      <c r="I978" s="8">
        <f>D575</f>
        <v>44.4</v>
      </c>
      <c r="J978" s="1" t="s">
        <v>883</v>
      </c>
      <c r="K978" s="8">
        <f t="shared" si="80"/>
        <v>44.4</v>
      </c>
      <c r="AC978" s="57"/>
    </row>
    <row r="979" spans="6:30" ht="24" customHeight="1">
      <c r="F979" s="8">
        <v>10</v>
      </c>
      <c r="G979" s="7" t="s">
        <v>1059</v>
      </c>
      <c r="H979" s="1" t="s">
        <v>1188</v>
      </c>
      <c r="I979" s="8">
        <f>I949</f>
        <v>2.2999999999999998</v>
      </c>
      <c r="J979" s="1" t="s">
        <v>883</v>
      </c>
      <c r="K979" s="8">
        <f t="shared" si="80"/>
        <v>23</v>
      </c>
      <c r="AC979" s="57">
        <f t="shared" ref="AC979:AC984" si="81">AE980</f>
        <v>0</v>
      </c>
    </row>
    <row r="980" spans="6:30" ht="24" customHeight="1">
      <c r="K980" s="5" t="s">
        <v>1667</v>
      </c>
      <c r="AC980" s="57">
        <f t="shared" si="81"/>
        <v>0</v>
      </c>
    </row>
    <row r="981" spans="6:30" ht="24" customHeight="1">
      <c r="H981" s="1" t="s">
        <v>461</v>
      </c>
      <c r="K981" s="8">
        <f>SUM(K968:K979)</f>
        <v>4691</v>
      </c>
      <c r="AC981" s="57">
        <f t="shared" si="81"/>
        <v>0</v>
      </c>
    </row>
    <row r="982" spans="6:30" ht="24" customHeight="1">
      <c r="K982" s="5" t="s">
        <v>1667</v>
      </c>
      <c r="AC982" s="57">
        <f t="shared" si="81"/>
        <v>0</v>
      </c>
    </row>
    <row r="983" spans="6:30" ht="24" customHeight="1">
      <c r="H983" s="64" t="s">
        <v>555</v>
      </c>
      <c r="K983" s="40">
        <f>K981/F972</f>
        <v>3860.91</v>
      </c>
      <c r="AC983" s="57">
        <f t="shared" si="81"/>
        <v>0</v>
      </c>
    </row>
    <row r="984" spans="6:30" ht="24" customHeight="1">
      <c r="K984" s="5" t="s">
        <v>2130</v>
      </c>
      <c r="AC984" s="57">
        <f t="shared" si="81"/>
        <v>0</v>
      </c>
    </row>
    <row r="985" spans="6:30" ht="24" customHeight="1">
      <c r="H985" s="635" t="s">
        <v>3737</v>
      </c>
      <c r="I985" s="636"/>
      <c r="J985" s="637"/>
      <c r="K985" s="635">
        <v>2055</v>
      </c>
      <c r="AA985" s="7" t="s">
        <v>2338</v>
      </c>
      <c r="AB985" s="1" t="s">
        <v>1812</v>
      </c>
    </row>
    <row r="986" spans="6:30" ht="24" customHeight="1">
      <c r="F986" s="2" t="s">
        <v>462</v>
      </c>
      <c r="G986" s="7" t="s">
        <v>2338</v>
      </c>
      <c r="H986" s="1" t="s">
        <v>2253</v>
      </c>
      <c r="M986" s="2" t="s">
        <v>462</v>
      </c>
      <c r="N986" s="7" t="s">
        <v>2338</v>
      </c>
      <c r="O986" s="1" t="s">
        <v>2253</v>
      </c>
      <c r="Q986" s="11"/>
      <c r="AA986" s="3"/>
      <c r="AB986" s="1" t="s">
        <v>2255</v>
      </c>
      <c r="AD986" s="11"/>
    </row>
    <row r="987" spans="6:30" ht="24" customHeight="1">
      <c r="H987" s="1" t="s">
        <v>2255</v>
      </c>
      <c r="N987" s="3"/>
      <c r="O987" s="1" t="s">
        <v>2255</v>
      </c>
      <c r="Q987" s="11"/>
      <c r="AA987" s="3"/>
      <c r="AB987" s="1" t="s">
        <v>2256</v>
      </c>
      <c r="AD987" s="11"/>
    </row>
    <row r="988" spans="6:30" ht="24" customHeight="1">
      <c r="H988" s="1" t="s">
        <v>2256</v>
      </c>
      <c r="N988" s="3"/>
      <c r="O988" s="1" t="s">
        <v>2256</v>
      </c>
      <c r="Q988" s="11"/>
      <c r="AA988" s="3"/>
      <c r="AB988" s="1" t="s">
        <v>2257</v>
      </c>
      <c r="AD988" s="11"/>
    </row>
    <row r="989" spans="6:30" ht="24" customHeight="1">
      <c r="H989" s="1" t="s">
        <v>2257</v>
      </c>
      <c r="N989" s="3"/>
      <c r="O989" s="1" t="s">
        <v>2257</v>
      </c>
      <c r="Q989" s="11"/>
      <c r="AA989" s="3"/>
      <c r="AB989" s="1" t="s">
        <v>2258</v>
      </c>
      <c r="AD989" s="11"/>
    </row>
    <row r="990" spans="6:30" ht="24" customHeight="1">
      <c r="H990" s="1" t="s">
        <v>2258</v>
      </c>
      <c r="N990" s="3"/>
      <c r="O990" s="1" t="s">
        <v>2258</v>
      </c>
      <c r="Q990" s="11"/>
      <c r="AA990" s="3"/>
      <c r="AB990" s="1" t="s">
        <v>1813</v>
      </c>
      <c r="AD990" s="11"/>
    </row>
    <row r="991" spans="6:30" ht="24" customHeight="1">
      <c r="H991" s="1" t="s">
        <v>2259</v>
      </c>
      <c r="N991" s="3"/>
      <c r="O991" s="1" t="s">
        <v>2259</v>
      </c>
      <c r="Q991" s="11"/>
      <c r="AA991" s="3"/>
      <c r="AB991" s="5" t="s">
        <v>1667</v>
      </c>
      <c r="AD991" s="11"/>
    </row>
    <row r="992" spans="6:30" ht="24" customHeight="1">
      <c r="H992" s="5" t="s">
        <v>1667</v>
      </c>
      <c r="N992" s="3"/>
      <c r="O992" s="5" t="s">
        <v>1667</v>
      </c>
      <c r="Q992" s="11"/>
      <c r="AA992" s="3"/>
      <c r="AB992" s="1" t="s">
        <v>1814</v>
      </c>
      <c r="AD992" s="11"/>
    </row>
    <row r="993" spans="6:31" ht="24" customHeight="1">
      <c r="H993" s="1" t="s">
        <v>652</v>
      </c>
      <c r="N993" s="3"/>
      <c r="O993" s="1" t="s">
        <v>652</v>
      </c>
      <c r="Q993" s="11"/>
      <c r="AA993" s="3"/>
      <c r="AB993" s="1" t="s">
        <v>1815</v>
      </c>
      <c r="AD993" s="11"/>
    </row>
    <row r="994" spans="6:31" ht="24" customHeight="1">
      <c r="H994" s="1" t="s">
        <v>2260</v>
      </c>
      <c r="N994" s="3"/>
      <c r="O994" s="1" t="s">
        <v>2260</v>
      </c>
      <c r="Q994" s="11"/>
      <c r="AA994" s="3"/>
      <c r="AD994" s="11"/>
    </row>
    <row r="995" spans="6:31" ht="24" customHeight="1">
      <c r="J995" s="1" t="s">
        <v>1667</v>
      </c>
      <c r="N995" s="3"/>
      <c r="Q995" s="1" t="s">
        <v>1667</v>
      </c>
      <c r="AA995" s="3"/>
      <c r="AB995" s="1" t="s">
        <v>1816</v>
      </c>
      <c r="AD995" s="1" t="s">
        <v>1667</v>
      </c>
    </row>
    <row r="996" spans="6:31" ht="24" customHeight="1">
      <c r="H996" s="1" t="s">
        <v>2261</v>
      </c>
      <c r="N996" s="3"/>
      <c r="O996" s="1" t="s">
        <v>2261</v>
      </c>
      <c r="Q996" s="11"/>
      <c r="AA996" s="3"/>
      <c r="AB996" s="1" t="s">
        <v>995</v>
      </c>
      <c r="AC996" s="1" t="s">
        <v>995</v>
      </c>
      <c r="AD996" s="11"/>
    </row>
    <row r="997" spans="6:31" ht="24" customHeight="1">
      <c r="H997" s="1" t="s">
        <v>995</v>
      </c>
      <c r="I997" s="1" t="s">
        <v>995</v>
      </c>
      <c r="K997" s="19" t="s">
        <v>995</v>
      </c>
      <c r="N997" s="3"/>
      <c r="O997" s="1" t="s">
        <v>995</v>
      </c>
      <c r="P997" s="1" t="s">
        <v>995</v>
      </c>
      <c r="Q997" s="11"/>
      <c r="R997" s="19" t="s">
        <v>995</v>
      </c>
      <c r="AA997" s="3"/>
      <c r="AD997" s="11"/>
      <c r="AE997" s="19" t="s">
        <v>995</v>
      </c>
    </row>
    <row r="998" spans="6:31" ht="24" customHeight="1">
      <c r="J998" s="1" t="s">
        <v>995</v>
      </c>
      <c r="K998" s="1" t="s">
        <v>995</v>
      </c>
      <c r="N998" s="3"/>
      <c r="Q998" s="1" t="s">
        <v>995</v>
      </c>
      <c r="R998" s="1" t="s">
        <v>995</v>
      </c>
      <c r="AA998" s="3"/>
      <c r="AB998" s="1" t="s">
        <v>1817</v>
      </c>
      <c r="AD998" s="1" t="s">
        <v>995</v>
      </c>
      <c r="AE998" s="1" t="s">
        <v>995</v>
      </c>
    </row>
    <row r="999" spans="6:31" ht="24" customHeight="1">
      <c r="H999" s="1" t="s">
        <v>2184</v>
      </c>
      <c r="J999" s="19" t="s">
        <v>995</v>
      </c>
      <c r="K999" s="19" t="s">
        <v>995</v>
      </c>
      <c r="N999" s="3"/>
      <c r="O999" s="1" t="s">
        <v>2184</v>
      </c>
      <c r="Q999" s="19" t="s">
        <v>995</v>
      </c>
      <c r="R999" s="19" t="s">
        <v>995</v>
      </c>
      <c r="AA999" s="3"/>
      <c r="AB999" s="1" t="s">
        <v>1818</v>
      </c>
      <c r="AD999" s="19" t="s">
        <v>995</v>
      </c>
      <c r="AE999" s="19" t="s">
        <v>995</v>
      </c>
    </row>
    <row r="1000" spans="6:31" ht="24" customHeight="1">
      <c r="H1000" s="1" t="s">
        <v>115</v>
      </c>
      <c r="K1000" s="19" t="s">
        <v>1823</v>
      </c>
      <c r="N1000" s="3"/>
      <c r="O1000" s="1" t="s">
        <v>115</v>
      </c>
      <c r="Q1000" s="11"/>
      <c r="R1000" s="19" t="s">
        <v>1823</v>
      </c>
      <c r="AA1000" s="3"/>
      <c r="AD1000" s="11"/>
      <c r="AE1000" s="19" t="s">
        <v>1819</v>
      </c>
    </row>
    <row r="1001" spans="6:31" ht="24" customHeight="1">
      <c r="K1001" s="1" t="s">
        <v>995</v>
      </c>
      <c r="N1001" s="3"/>
      <c r="Q1001" s="11"/>
      <c r="R1001" s="1" t="s">
        <v>995</v>
      </c>
      <c r="AA1001" s="3"/>
      <c r="AD1001" s="11"/>
      <c r="AE1001" s="1" t="s">
        <v>995</v>
      </c>
    </row>
    <row r="1002" spans="6:31" ht="24" customHeight="1">
      <c r="K1002" s="19" t="s">
        <v>995</v>
      </c>
      <c r="N1002" s="3"/>
      <c r="Q1002" s="11"/>
      <c r="R1002" s="19" t="s">
        <v>995</v>
      </c>
      <c r="AA1002" s="3"/>
      <c r="AD1002" s="11"/>
      <c r="AE1002" s="19" t="s">
        <v>995</v>
      </c>
    </row>
    <row r="1003" spans="6:31" ht="24" customHeight="1">
      <c r="K1003" s="1" t="s">
        <v>995</v>
      </c>
      <c r="N1003" s="3"/>
      <c r="Q1003" s="11"/>
      <c r="R1003" s="1" t="s">
        <v>995</v>
      </c>
      <c r="AA1003" s="7"/>
      <c r="AB1003" s="1" t="s">
        <v>1821</v>
      </c>
      <c r="AD1003" s="11"/>
      <c r="AE1003" s="1" t="s">
        <v>995</v>
      </c>
    </row>
    <row r="1004" spans="6:31" ht="24" customHeight="1">
      <c r="F1004" s="2" t="s">
        <v>1536</v>
      </c>
      <c r="G1004" s="7"/>
      <c r="H1004" s="1" t="s">
        <v>728</v>
      </c>
      <c r="K1004" s="1" t="s">
        <v>995</v>
      </c>
      <c r="M1004" s="2" t="s">
        <v>1536</v>
      </c>
      <c r="N1004" s="7"/>
      <c r="O1004" s="1" t="s">
        <v>728</v>
      </c>
      <c r="Q1004" s="11"/>
      <c r="R1004" s="1" t="s">
        <v>995</v>
      </c>
      <c r="AA1004" s="3"/>
      <c r="AB1004" s="5" t="s">
        <v>1667</v>
      </c>
      <c r="AD1004" s="11"/>
      <c r="AE1004" s="1" t="s">
        <v>995</v>
      </c>
    </row>
    <row r="1005" spans="6:31" ht="24" customHeight="1">
      <c r="H1005" s="5" t="s">
        <v>1667</v>
      </c>
      <c r="N1005" s="3"/>
      <c r="O1005" s="5" t="s">
        <v>1667</v>
      </c>
      <c r="Q1005" s="11"/>
      <c r="T1005" s="353"/>
      <c r="U1005" s="353"/>
      <c r="V1005" s="353"/>
      <c r="W1005" s="353"/>
      <c r="X1005" s="353"/>
      <c r="Y1005" s="353"/>
      <c r="Z1005" s="353"/>
      <c r="AA1005" s="350" t="s">
        <v>884</v>
      </c>
      <c r="AB1005" s="351" t="s">
        <v>702</v>
      </c>
      <c r="AC1005" s="352">
        <f t="shared" ref="AC1005:AC1015" si="82">I1006</f>
        <v>102600</v>
      </c>
      <c r="AD1005" s="11"/>
    </row>
    <row r="1006" spans="6:31" s="353" customFormat="1" ht="24" customHeight="1">
      <c r="F1006" s="349">
        <v>1.153E-2</v>
      </c>
      <c r="G1006" s="350" t="s">
        <v>884</v>
      </c>
      <c r="H1006" s="351" t="s">
        <v>702</v>
      </c>
      <c r="I1006" s="352">
        <f>C88</f>
        <v>102600</v>
      </c>
      <c r="J1006" s="351" t="s">
        <v>884</v>
      </c>
      <c r="K1006" s="352">
        <f t="shared" ref="K1006:K1016" si="83">(F1006*I1006)</f>
        <v>1182.98</v>
      </c>
      <c r="M1006" s="349">
        <v>1.153E-2</v>
      </c>
      <c r="N1006" s="350" t="s">
        <v>884</v>
      </c>
      <c r="O1006" s="351" t="s">
        <v>1844</v>
      </c>
      <c r="P1006" s="352">
        <f>C86</f>
        <v>31660</v>
      </c>
      <c r="Q1006" s="351" t="s">
        <v>884</v>
      </c>
      <c r="R1006" s="352">
        <f t="shared" ref="R1006:R1015" si="84">(M1006*P1006)</f>
        <v>365.04</v>
      </c>
      <c r="S1006" s="608"/>
      <c r="T1006"/>
      <c r="U1006"/>
      <c r="V1006"/>
      <c r="W1006"/>
      <c r="X1006"/>
      <c r="Y1006"/>
      <c r="Z1006"/>
      <c r="AA1006" s="7" t="s">
        <v>884</v>
      </c>
      <c r="AB1006" s="1" t="s">
        <v>703</v>
      </c>
      <c r="AC1006" s="352">
        <f t="shared" si="82"/>
        <v>91300</v>
      </c>
      <c r="AD1006" s="351" t="s">
        <v>884</v>
      </c>
      <c r="AE1006" s="352" t="e">
        <f>(#REF!*AC1005)</f>
        <v>#REF!</v>
      </c>
    </row>
    <row r="1007" spans="6:31" ht="24" customHeight="1">
      <c r="F1007" s="20">
        <v>1.35E-2</v>
      </c>
      <c r="G1007" s="7" t="s">
        <v>884</v>
      </c>
      <c r="H1007" s="1" t="s">
        <v>703</v>
      </c>
      <c r="I1007" s="8">
        <f>C89</f>
        <v>91300</v>
      </c>
      <c r="J1007" s="1" t="s">
        <v>884</v>
      </c>
      <c r="K1007" s="8">
        <f t="shared" si="83"/>
        <v>1232.55</v>
      </c>
      <c r="M1007" s="20">
        <v>1.35E-2</v>
      </c>
      <c r="N1007" s="7" t="s">
        <v>884</v>
      </c>
      <c r="O1007" s="1" t="s">
        <v>1844</v>
      </c>
      <c r="P1007" s="8">
        <f>P1006</f>
        <v>31660</v>
      </c>
      <c r="Q1007" s="1" t="s">
        <v>884</v>
      </c>
      <c r="R1007" s="8">
        <f t="shared" si="84"/>
        <v>427.41</v>
      </c>
      <c r="S1007" s="14"/>
      <c r="AA1007" s="7" t="s">
        <v>611</v>
      </c>
      <c r="AB1007" s="1" t="s">
        <v>2163</v>
      </c>
      <c r="AC1007" s="352">
        <f t="shared" si="82"/>
        <v>387.5</v>
      </c>
      <c r="AD1007" s="1" t="s">
        <v>884</v>
      </c>
      <c r="AE1007" s="8" t="e">
        <f>(#REF!*AC1006)</f>
        <v>#REF!</v>
      </c>
    </row>
    <row r="1008" spans="6:31" ht="24" customHeight="1">
      <c r="F1008" s="20">
        <v>1.016</v>
      </c>
      <c r="G1008" s="7" t="s">
        <v>611</v>
      </c>
      <c r="H1008" s="1" t="s">
        <v>2163</v>
      </c>
      <c r="I1008" s="8">
        <f>C752</f>
        <v>387.5</v>
      </c>
      <c r="J1008" s="1" t="s">
        <v>611</v>
      </c>
      <c r="K1008" s="8">
        <f t="shared" si="83"/>
        <v>393.7</v>
      </c>
      <c r="M1008" s="20">
        <v>1.016</v>
      </c>
      <c r="N1008" s="7" t="s">
        <v>611</v>
      </c>
      <c r="O1008" s="1" t="s">
        <v>2163</v>
      </c>
      <c r="P1008" s="8">
        <f>I1008</f>
        <v>387.5</v>
      </c>
      <c r="Q1008" s="1" t="s">
        <v>611</v>
      </c>
      <c r="R1008" s="8">
        <f t="shared" si="84"/>
        <v>393.7</v>
      </c>
      <c r="S1008" s="14"/>
      <c r="AA1008" s="7" t="s">
        <v>611</v>
      </c>
      <c r="AB1008" s="1" t="s">
        <v>2164</v>
      </c>
      <c r="AC1008" s="352">
        <f t="shared" si="82"/>
        <v>554.4</v>
      </c>
      <c r="AD1008" s="1" t="s">
        <v>611</v>
      </c>
      <c r="AE1008" s="8" t="e">
        <f>(#REF!*AC1007)</f>
        <v>#REF!</v>
      </c>
    </row>
    <row r="1009" spans="6:31" ht="24" customHeight="1">
      <c r="F1009" s="20">
        <v>1.64</v>
      </c>
      <c r="G1009" s="7" t="s">
        <v>611</v>
      </c>
      <c r="H1009" s="1" t="s">
        <v>2164</v>
      </c>
      <c r="I1009" s="8">
        <f>D30</f>
        <v>554.4</v>
      </c>
      <c r="J1009" s="1" t="s">
        <v>611</v>
      </c>
      <c r="K1009" s="8">
        <f t="shared" si="83"/>
        <v>909.22</v>
      </c>
      <c r="M1009" s="20">
        <v>1.64</v>
      </c>
      <c r="N1009" s="7" t="s">
        <v>611</v>
      </c>
      <c r="O1009" s="1" t="s">
        <v>2164</v>
      </c>
      <c r="P1009" s="8">
        <f t="shared" ref="P1009:P1014" si="85">I1009</f>
        <v>554.4</v>
      </c>
      <c r="Q1009" s="1" t="s">
        <v>611</v>
      </c>
      <c r="R1009" s="8">
        <f t="shared" si="84"/>
        <v>909.22</v>
      </c>
      <c r="S1009" s="14"/>
      <c r="AA1009" s="7" t="s">
        <v>883</v>
      </c>
      <c r="AB1009" s="1" t="s">
        <v>2165</v>
      </c>
      <c r="AC1009" s="352">
        <f t="shared" si="82"/>
        <v>50.6</v>
      </c>
      <c r="AD1009" s="1" t="s">
        <v>611</v>
      </c>
      <c r="AE1009" s="8" t="e">
        <f>(#REF!*AC1008)</f>
        <v>#REF!</v>
      </c>
    </row>
    <row r="1010" spans="6:31" ht="24" customHeight="1">
      <c r="F1010" s="8">
        <v>2</v>
      </c>
      <c r="G1010" s="7" t="s">
        <v>883</v>
      </c>
      <c r="H1010" s="1" t="s">
        <v>2165</v>
      </c>
      <c r="I1010" s="8">
        <f>C283</f>
        <v>50.6</v>
      </c>
      <c r="J1010" s="1" t="s">
        <v>883</v>
      </c>
      <c r="K1010" s="8">
        <f t="shared" si="83"/>
        <v>101.2</v>
      </c>
      <c r="M1010" s="8">
        <v>2</v>
      </c>
      <c r="N1010" s="7" t="s">
        <v>883</v>
      </c>
      <c r="O1010" s="1" t="s">
        <v>2165</v>
      </c>
      <c r="P1010" s="8">
        <f t="shared" si="85"/>
        <v>50.6</v>
      </c>
      <c r="Q1010" s="1" t="s">
        <v>883</v>
      </c>
      <c r="R1010" s="8">
        <f t="shared" si="84"/>
        <v>101.2</v>
      </c>
      <c r="S1010" s="14"/>
      <c r="AA1010" s="7" t="s">
        <v>883</v>
      </c>
      <c r="AB1010" s="1" t="s">
        <v>1579</v>
      </c>
      <c r="AC1010" s="352">
        <f t="shared" si="82"/>
        <v>69.849999999999994</v>
      </c>
      <c r="AD1010" s="1" t="s">
        <v>883</v>
      </c>
      <c r="AE1010" s="8" t="e">
        <f>(#REF!*AC1009)</f>
        <v>#REF!</v>
      </c>
    </row>
    <row r="1011" spans="6:31" ht="24" customHeight="1">
      <c r="F1011" s="8">
        <v>3</v>
      </c>
      <c r="G1011" s="7" t="s">
        <v>883</v>
      </c>
      <c r="H1011" s="1" t="s">
        <v>1579</v>
      </c>
      <c r="I1011" s="8">
        <f>C278</f>
        <v>69.849999999999994</v>
      </c>
      <c r="J1011" s="1" t="s">
        <v>883</v>
      </c>
      <c r="K1011" s="8">
        <f t="shared" si="83"/>
        <v>209.55</v>
      </c>
      <c r="M1011" s="8">
        <v>3</v>
      </c>
      <c r="N1011" s="7" t="s">
        <v>883</v>
      </c>
      <c r="O1011" s="1" t="s">
        <v>1579</v>
      </c>
      <c r="P1011" s="8">
        <f t="shared" si="85"/>
        <v>69.849999999999994</v>
      </c>
      <c r="Q1011" s="1" t="s">
        <v>883</v>
      </c>
      <c r="R1011" s="8">
        <f t="shared" si="84"/>
        <v>209.55</v>
      </c>
      <c r="S1011" s="14"/>
      <c r="AA1011" s="7" t="s">
        <v>883</v>
      </c>
      <c r="AB1011" s="1" t="s">
        <v>2055</v>
      </c>
      <c r="AC1011" s="352">
        <f t="shared" si="82"/>
        <v>158.4</v>
      </c>
      <c r="AD1011" s="1" t="s">
        <v>883</v>
      </c>
      <c r="AE1011" s="8" t="e">
        <f>(#REF!*AC1010)</f>
        <v>#REF!</v>
      </c>
    </row>
    <row r="1012" spans="6:31" ht="24" customHeight="1">
      <c r="F1012" s="8">
        <v>1</v>
      </c>
      <c r="G1012" s="7" t="s">
        <v>883</v>
      </c>
      <c r="H1012" s="1" t="s">
        <v>2055</v>
      </c>
      <c r="I1012" s="8">
        <f>C285</f>
        <v>158.4</v>
      </c>
      <c r="J1012" s="1" t="s">
        <v>883</v>
      </c>
      <c r="K1012" s="8">
        <f t="shared" si="83"/>
        <v>158.4</v>
      </c>
      <c r="M1012" s="8">
        <v>1</v>
      </c>
      <c r="N1012" s="7" t="s">
        <v>883</v>
      </c>
      <c r="O1012" s="1" t="s">
        <v>2055</v>
      </c>
      <c r="P1012" s="8">
        <f t="shared" si="85"/>
        <v>158.4</v>
      </c>
      <c r="Q1012" s="1" t="s">
        <v>883</v>
      </c>
      <c r="R1012" s="8">
        <f t="shared" si="84"/>
        <v>158.4</v>
      </c>
      <c r="S1012" s="14"/>
      <c r="AA1012" s="7" t="s">
        <v>883</v>
      </c>
      <c r="AB1012" s="1" t="s">
        <v>2056</v>
      </c>
      <c r="AC1012" s="352">
        <f t="shared" si="82"/>
        <v>7.5</v>
      </c>
      <c r="AD1012" s="1" t="s">
        <v>883</v>
      </c>
      <c r="AE1012" s="8" t="e">
        <f>(#REF!*AC1011)</f>
        <v>#REF!</v>
      </c>
    </row>
    <row r="1013" spans="6:31" ht="24" customHeight="1">
      <c r="F1013" s="8">
        <v>1</v>
      </c>
      <c r="G1013" s="7" t="s">
        <v>883</v>
      </c>
      <c r="H1013" s="1" t="s">
        <v>2056</v>
      </c>
      <c r="I1013" s="8">
        <f>C287</f>
        <v>7.5</v>
      </c>
      <c r="J1013" s="1" t="s">
        <v>883</v>
      </c>
      <c r="K1013" s="8">
        <f t="shared" si="83"/>
        <v>7.5</v>
      </c>
      <c r="M1013" s="8">
        <v>1</v>
      </c>
      <c r="N1013" s="7" t="s">
        <v>883</v>
      </c>
      <c r="O1013" s="1" t="s">
        <v>2056</v>
      </c>
      <c r="P1013" s="8">
        <f t="shared" si="85"/>
        <v>7.5</v>
      </c>
      <c r="Q1013" s="1" t="s">
        <v>883</v>
      </c>
      <c r="R1013" s="8">
        <f t="shared" si="84"/>
        <v>7.5</v>
      </c>
      <c r="S1013" s="14"/>
      <c r="AA1013" s="7" t="s">
        <v>883</v>
      </c>
      <c r="AB1013" s="1" t="s">
        <v>1181</v>
      </c>
      <c r="AC1013" s="352">
        <f t="shared" si="82"/>
        <v>50.6</v>
      </c>
      <c r="AD1013" s="1" t="s">
        <v>883</v>
      </c>
      <c r="AE1013" s="8" t="e">
        <f>(#REF!*AC1012)</f>
        <v>#REF!</v>
      </c>
    </row>
    <row r="1014" spans="6:31" ht="24" customHeight="1">
      <c r="F1014" s="8">
        <v>1</v>
      </c>
      <c r="G1014" s="7" t="s">
        <v>883</v>
      </c>
      <c r="H1014" s="1" t="s">
        <v>1181</v>
      </c>
      <c r="I1014" s="8">
        <f>C575</f>
        <v>50.6</v>
      </c>
      <c r="J1014" s="1" t="s">
        <v>883</v>
      </c>
      <c r="K1014" s="8">
        <f t="shared" si="83"/>
        <v>50.6</v>
      </c>
      <c r="M1014" s="8">
        <v>1</v>
      </c>
      <c r="N1014" s="7" t="s">
        <v>883</v>
      </c>
      <c r="O1014" s="1" t="s">
        <v>2057</v>
      </c>
      <c r="P1014" s="8">
        <f t="shared" si="85"/>
        <v>50.6</v>
      </c>
      <c r="Q1014" s="1" t="s">
        <v>883</v>
      </c>
      <c r="R1014" s="8">
        <f t="shared" si="84"/>
        <v>50.6</v>
      </c>
      <c r="S1014" s="14"/>
      <c r="AA1014" s="7" t="s">
        <v>883</v>
      </c>
      <c r="AB1014" s="1" t="s">
        <v>2058</v>
      </c>
      <c r="AC1014" s="352">
        <f t="shared" si="82"/>
        <v>44.4</v>
      </c>
      <c r="AD1014" s="1" t="s">
        <v>883</v>
      </c>
      <c r="AE1014" s="8" t="e">
        <f>(#REF!*AC1013)</f>
        <v>#REF!</v>
      </c>
    </row>
    <row r="1015" spans="6:31" ht="24" customHeight="1">
      <c r="F1015" s="8">
        <v>1</v>
      </c>
      <c r="G1015" s="7" t="s">
        <v>883</v>
      </c>
      <c r="H1015" s="1" t="s">
        <v>2058</v>
      </c>
      <c r="I1015" s="8">
        <f>D575</f>
        <v>44.4</v>
      </c>
      <c r="J1015" s="1" t="s">
        <v>883</v>
      </c>
      <c r="K1015" s="8">
        <f t="shared" si="83"/>
        <v>44.4</v>
      </c>
      <c r="M1015" s="8">
        <v>1</v>
      </c>
      <c r="N1015" s="7" t="s">
        <v>883</v>
      </c>
      <c r="O1015" s="1" t="s">
        <v>2058</v>
      </c>
      <c r="P1015" s="8">
        <f>P913</f>
        <v>44.4</v>
      </c>
      <c r="Q1015" s="1" t="s">
        <v>883</v>
      </c>
      <c r="R1015" s="8">
        <f t="shared" si="84"/>
        <v>44.4</v>
      </c>
      <c r="S1015" s="14"/>
      <c r="AA1015" s="7" t="s">
        <v>883</v>
      </c>
      <c r="AB1015" s="1" t="s">
        <v>1188</v>
      </c>
      <c r="AC1015" s="352">
        <f t="shared" si="82"/>
        <v>2.2999999999999998</v>
      </c>
      <c r="AD1015" s="1" t="s">
        <v>883</v>
      </c>
      <c r="AE1015" s="8" t="e">
        <f>(#REF!*AC1014)</f>
        <v>#REF!</v>
      </c>
    </row>
    <row r="1016" spans="6:31" ht="24" customHeight="1">
      <c r="F1016" s="8">
        <v>10</v>
      </c>
      <c r="G1016" s="7" t="s">
        <v>1059</v>
      </c>
      <c r="H1016" s="1" t="s">
        <v>1188</v>
      </c>
      <c r="I1016">
        <f>I979</f>
        <v>2.2999999999999998</v>
      </c>
      <c r="J1016" s="1" t="s">
        <v>883</v>
      </c>
      <c r="K1016" s="8">
        <f t="shared" si="83"/>
        <v>23</v>
      </c>
      <c r="N1016" s="3"/>
      <c r="Q1016" s="11"/>
      <c r="R1016" s="5" t="s">
        <v>1667</v>
      </c>
      <c r="S1016" s="609"/>
      <c r="AA1016" s="3"/>
      <c r="AB1016" s="2" t="s">
        <v>1820</v>
      </c>
      <c r="AD1016" s="11"/>
      <c r="AE1016" s="8" t="e">
        <f>(#REF!*AC1015)</f>
        <v>#REF!</v>
      </c>
    </row>
    <row r="1017" spans="6:31" ht="24" customHeight="1">
      <c r="H1017" s="2" t="s">
        <v>1580</v>
      </c>
      <c r="K1017" s="8">
        <f>SUM(K1006:K1016)</f>
        <v>4313.1000000000004</v>
      </c>
      <c r="N1017" s="3"/>
      <c r="O1017" s="2" t="s">
        <v>1580</v>
      </c>
      <c r="Q1017" s="11"/>
      <c r="R1017" s="8">
        <f>SUM(R1006:R1015)</f>
        <v>2667.02</v>
      </c>
      <c r="S1017" s="14"/>
      <c r="AA1017" s="7" t="s">
        <v>995</v>
      </c>
      <c r="AD1017" s="11"/>
      <c r="AE1017" s="8" t="e">
        <f>SUM(AE1006:AE1016)</f>
        <v>#REF!</v>
      </c>
    </row>
    <row r="1018" spans="6:31" ht="24" customHeight="1">
      <c r="G1018" s="7" t="s">
        <v>995</v>
      </c>
      <c r="K1018" s="5" t="s">
        <v>1667</v>
      </c>
      <c r="N1018" s="7" t="s">
        <v>995</v>
      </c>
      <c r="Q1018" s="11"/>
      <c r="R1018" s="5" t="s">
        <v>1667</v>
      </c>
      <c r="S1018" s="609"/>
      <c r="AA1018" s="3"/>
      <c r="AB1018" s="64" t="s">
        <v>555</v>
      </c>
      <c r="AD1018" s="11"/>
      <c r="AE1018" s="5" t="s">
        <v>1667</v>
      </c>
    </row>
    <row r="1019" spans="6:31" ht="24" customHeight="1">
      <c r="H1019" s="64" t="s">
        <v>555</v>
      </c>
      <c r="K1019" s="40">
        <f>K1017/F1009</f>
        <v>2629.94</v>
      </c>
      <c r="N1019" s="3"/>
      <c r="O1019" s="64" t="s">
        <v>555</v>
      </c>
      <c r="Q1019" s="11"/>
      <c r="R1019" s="40">
        <f>R1017/M1009</f>
        <v>1626.23</v>
      </c>
      <c r="S1019" s="14"/>
      <c r="AA1019" s="3"/>
      <c r="AD1019" s="11"/>
      <c r="AE1019" s="40" t="e">
        <f>AE1017/#REF!</f>
        <v>#REF!</v>
      </c>
    </row>
    <row r="1020" spans="6:31" ht="24" customHeight="1">
      <c r="K1020" s="5" t="s">
        <v>2130</v>
      </c>
      <c r="N1020" s="3"/>
      <c r="Q1020" s="11"/>
      <c r="R1020" s="5" t="s">
        <v>2130</v>
      </c>
      <c r="S1020" s="609" t="s">
        <v>2130</v>
      </c>
      <c r="AC1020" s="57">
        <f t="shared" ref="AC1020:AC1032" si="86">AE1021</f>
        <v>0</v>
      </c>
      <c r="AD1020" s="11"/>
      <c r="AE1020" s="5" t="s">
        <v>2130</v>
      </c>
    </row>
    <row r="1021" spans="6:31" ht="24" customHeight="1">
      <c r="F1021" s="2" t="s">
        <v>1653</v>
      </c>
      <c r="H1021" s="1" t="s">
        <v>1400</v>
      </c>
      <c r="M1021" s="2"/>
      <c r="N1021" s="7"/>
      <c r="O1021" s="1"/>
      <c r="Q1021" s="11"/>
      <c r="R1021" s="1" t="s">
        <v>995</v>
      </c>
      <c r="AC1021" s="57">
        <f t="shared" si="86"/>
        <v>0</v>
      </c>
    </row>
    <row r="1022" spans="6:31" ht="24" customHeight="1">
      <c r="H1022" s="1" t="s">
        <v>1401</v>
      </c>
      <c r="M1022" s="2" t="s">
        <v>1536</v>
      </c>
      <c r="N1022" s="7"/>
      <c r="O1022" s="1" t="s">
        <v>1892</v>
      </c>
      <c r="Q1022" s="11"/>
      <c r="R1022" s="1" t="s">
        <v>995</v>
      </c>
      <c r="AC1022" s="57">
        <f t="shared" si="86"/>
        <v>0</v>
      </c>
    </row>
    <row r="1023" spans="6:31" ht="24" customHeight="1">
      <c r="H1023" s="5" t="s">
        <v>1667</v>
      </c>
      <c r="N1023" s="3"/>
      <c r="O1023" s="5" t="s">
        <v>1667</v>
      </c>
      <c r="Q1023" s="11"/>
      <c r="AC1023" s="57">
        <f t="shared" si="86"/>
        <v>0</v>
      </c>
    </row>
    <row r="1024" spans="6:31" ht="24" customHeight="1">
      <c r="F1024" s="20">
        <v>6.6499999999999997E-3</v>
      </c>
      <c r="G1024" s="7" t="s">
        <v>1402</v>
      </c>
      <c r="H1024" s="1" t="s">
        <v>1403</v>
      </c>
      <c r="I1024" s="8">
        <f>C89</f>
        <v>91300</v>
      </c>
      <c r="J1024" s="1" t="s">
        <v>884</v>
      </c>
      <c r="K1024" s="8">
        <f t="shared" ref="K1024:K1031" si="87">(F1024*I1024)</f>
        <v>607.15</v>
      </c>
      <c r="M1024" s="349">
        <v>1.153E-2</v>
      </c>
      <c r="N1024" s="350" t="s">
        <v>884</v>
      </c>
      <c r="O1024" s="351" t="s">
        <v>702</v>
      </c>
      <c r="P1024" s="352">
        <f>I1006</f>
        <v>102600</v>
      </c>
      <c r="Q1024" s="351" t="s">
        <v>884</v>
      </c>
      <c r="R1024" s="352">
        <f t="shared" ref="R1024:R1034" si="88">(M1024*P1024)</f>
        <v>1182.98</v>
      </c>
      <c r="AC1024" s="57">
        <f t="shared" si="86"/>
        <v>0</v>
      </c>
    </row>
    <row r="1025" spans="6:29" ht="24" customHeight="1">
      <c r="F1025" s="20">
        <v>0.32346000000000003</v>
      </c>
      <c r="G1025" s="7" t="s">
        <v>611</v>
      </c>
      <c r="H1025" s="1" t="s">
        <v>1690</v>
      </c>
      <c r="I1025" s="219">
        <v>209.9</v>
      </c>
      <c r="J1025" s="1" t="s">
        <v>884</v>
      </c>
      <c r="K1025" s="8">
        <f t="shared" si="87"/>
        <v>67.89</v>
      </c>
      <c r="M1025" s="20">
        <v>1.52E-2</v>
      </c>
      <c r="N1025" s="7" t="s">
        <v>884</v>
      </c>
      <c r="O1025" s="1" t="s">
        <v>703</v>
      </c>
      <c r="P1025" s="352">
        <f t="shared" ref="P1025:P1033" si="89">I1007</f>
        <v>91300</v>
      </c>
      <c r="Q1025" s="1" t="s">
        <v>884</v>
      </c>
      <c r="R1025" s="8">
        <f t="shared" si="88"/>
        <v>1387.76</v>
      </c>
      <c r="AC1025" s="57">
        <f t="shared" si="86"/>
        <v>0</v>
      </c>
    </row>
    <row r="1026" spans="6:29" ht="24" customHeight="1">
      <c r="F1026" s="20">
        <v>0.47660000000000002</v>
      </c>
      <c r="G1026" s="7" t="s">
        <v>611</v>
      </c>
      <c r="H1026" s="1" t="s">
        <v>2164</v>
      </c>
      <c r="I1026" s="8">
        <f>D31</f>
        <v>619.5</v>
      </c>
      <c r="J1026" s="1" t="s">
        <v>611</v>
      </c>
      <c r="K1026" s="8">
        <f t="shared" si="87"/>
        <v>295.25</v>
      </c>
      <c r="M1026" s="20">
        <v>1.26</v>
      </c>
      <c r="N1026" s="7" t="s">
        <v>611</v>
      </c>
      <c r="O1026" s="1" t="s">
        <v>2163</v>
      </c>
      <c r="P1026" s="352">
        <f t="shared" si="89"/>
        <v>387.5</v>
      </c>
      <c r="Q1026" s="1" t="s">
        <v>611</v>
      </c>
      <c r="R1026" s="8">
        <f t="shared" si="88"/>
        <v>488.25</v>
      </c>
      <c r="AC1026" s="57">
        <f t="shared" si="86"/>
        <v>0</v>
      </c>
    </row>
    <row r="1027" spans="6:29" ht="24" customHeight="1">
      <c r="F1027" s="8">
        <v>3</v>
      </c>
      <c r="G1027" s="7" t="s">
        <v>883</v>
      </c>
      <c r="H1027" s="1" t="s">
        <v>1404</v>
      </c>
      <c r="I1027" s="8">
        <f>C281</f>
        <v>38.5</v>
      </c>
      <c r="J1027" s="1" t="s">
        <v>883</v>
      </c>
      <c r="K1027" s="8">
        <f t="shared" si="87"/>
        <v>115.5</v>
      </c>
      <c r="M1027" s="20">
        <v>1.845</v>
      </c>
      <c r="N1027" s="7" t="s">
        <v>611</v>
      </c>
      <c r="O1027" s="1" t="s">
        <v>2164</v>
      </c>
      <c r="P1027" s="352">
        <f t="shared" si="89"/>
        <v>554.4</v>
      </c>
      <c r="Q1027" s="1" t="s">
        <v>611</v>
      </c>
      <c r="R1027" s="8">
        <f t="shared" si="88"/>
        <v>1022.87</v>
      </c>
      <c r="AC1027" s="57">
        <f t="shared" si="86"/>
        <v>0</v>
      </c>
    </row>
    <row r="1028" spans="6:29" ht="24" customHeight="1">
      <c r="F1028" s="8">
        <v>2</v>
      </c>
      <c r="G1028" s="7" t="s">
        <v>883</v>
      </c>
      <c r="H1028" s="1" t="s">
        <v>2180</v>
      </c>
      <c r="I1028" s="8">
        <f>C284</f>
        <v>31.1</v>
      </c>
      <c r="J1028" s="1" t="s">
        <v>883</v>
      </c>
      <c r="K1028" s="8">
        <f t="shared" si="87"/>
        <v>62.2</v>
      </c>
      <c r="M1028" s="8">
        <v>2</v>
      </c>
      <c r="N1028" s="7" t="s">
        <v>883</v>
      </c>
      <c r="O1028" s="1" t="s">
        <v>2165</v>
      </c>
      <c r="P1028" s="352">
        <f t="shared" si="89"/>
        <v>50.6</v>
      </c>
      <c r="Q1028" s="1" t="s">
        <v>883</v>
      </c>
      <c r="R1028" s="8">
        <f t="shared" si="88"/>
        <v>101.2</v>
      </c>
      <c r="AC1028" s="57">
        <f t="shared" si="86"/>
        <v>0</v>
      </c>
    </row>
    <row r="1029" spans="6:29" ht="24" customHeight="1">
      <c r="F1029" s="8">
        <v>1</v>
      </c>
      <c r="G1029" s="7" t="s">
        <v>883</v>
      </c>
      <c r="H1029" s="1" t="s">
        <v>2181</v>
      </c>
      <c r="I1029" s="8">
        <f>I1013</f>
        <v>7.5</v>
      </c>
      <c r="J1029" s="1" t="s">
        <v>883</v>
      </c>
      <c r="K1029" s="8">
        <f t="shared" si="87"/>
        <v>7.5</v>
      </c>
      <c r="M1029" s="8">
        <v>3</v>
      </c>
      <c r="N1029" s="7" t="s">
        <v>883</v>
      </c>
      <c r="O1029" s="1" t="s">
        <v>1579</v>
      </c>
      <c r="P1029" s="352">
        <f t="shared" si="89"/>
        <v>69.849999999999994</v>
      </c>
      <c r="Q1029" s="1" t="s">
        <v>883</v>
      </c>
      <c r="R1029" s="8">
        <f t="shared" si="88"/>
        <v>209.55</v>
      </c>
      <c r="AC1029" s="57">
        <f t="shared" si="86"/>
        <v>0</v>
      </c>
    </row>
    <row r="1030" spans="6:29" ht="24" customHeight="1">
      <c r="F1030" s="8">
        <v>1</v>
      </c>
      <c r="G1030" s="7" t="s">
        <v>883</v>
      </c>
      <c r="H1030" s="1" t="s">
        <v>2182</v>
      </c>
      <c r="I1030" s="8">
        <f>C291</f>
        <v>9</v>
      </c>
      <c r="J1030" s="1" t="s">
        <v>883</v>
      </c>
      <c r="K1030" s="8">
        <f t="shared" si="87"/>
        <v>9</v>
      </c>
      <c r="M1030" s="8">
        <v>1</v>
      </c>
      <c r="N1030" s="7" t="s">
        <v>883</v>
      </c>
      <c r="O1030" s="1" t="s">
        <v>2055</v>
      </c>
      <c r="P1030" s="352">
        <f t="shared" si="89"/>
        <v>158.4</v>
      </c>
      <c r="Q1030" s="1" t="s">
        <v>883</v>
      </c>
      <c r="R1030" s="8">
        <f t="shared" si="88"/>
        <v>158.4</v>
      </c>
      <c r="AC1030" s="57">
        <f t="shared" si="86"/>
        <v>0</v>
      </c>
    </row>
    <row r="1031" spans="6:29" ht="24" customHeight="1">
      <c r="F1031" s="8">
        <v>10</v>
      </c>
      <c r="H1031" s="1" t="s">
        <v>1188</v>
      </c>
      <c r="I1031">
        <f>I1016</f>
        <v>2.2999999999999998</v>
      </c>
      <c r="J1031" s="1" t="s">
        <v>883</v>
      </c>
      <c r="K1031" s="8">
        <f t="shared" si="87"/>
        <v>23</v>
      </c>
      <c r="M1031" s="8">
        <v>1</v>
      </c>
      <c r="N1031" s="7" t="s">
        <v>883</v>
      </c>
      <c r="O1031" s="1" t="s">
        <v>2056</v>
      </c>
      <c r="P1031" s="352">
        <f t="shared" si="89"/>
        <v>7.5</v>
      </c>
      <c r="Q1031" s="1" t="s">
        <v>883</v>
      </c>
      <c r="R1031" s="8">
        <f t="shared" si="88"/>
        <v>7.5</v>
      </c>
      <c r="AC1031" s="57">
        <f t="shared" si="86"/>
        <v>0</v>
      </c>
    </row>
    <row r="1032" spans="6:29" ht="24" customHeight="1">
      <c r="H1032" s="2" t="s">
        <v>2183</v>
      </c>
      <c r="K1032" s="8">
        <f>SUM(K1024:K1031)</f>
        <v>1187.49</v>
      </c>
      <c r="M1032" s="8">
        <v>1</v>
      </c>
      <c r="N1032" s="7" t="s">
        <v>883</v>
      </c>
      <c r="O1032" s="1" t="s">
        <v>1181</v>
      </c>
      <c r="P1032" s="352">
        <f t="shared" si="89"/>
        <v>50.6</v>
      </c>
      <c r="Q1032" s="1" t="s">
        <v>883</v>
      </c>
      <c r="R1032" s="8">
        <f t="shared" si="88"/>
        <v>50.6</v>
      </c>
      <c r="AC1032" s="57">
        <f t="shared" si="86"/>
        <v>0</v>
      </c>
    </row>
    <row r="1033" spans="6:29" ht="24" customHeight="1">
      <c r="K1033" s="5" t="s">
        <v>1667</v>
      </c>
      <c r="M1033" s="8">
        <v>1</v>
      </c>
      <c r="N1033" s="7" t="s">
        <v>883</v>
      </c>
      <c r="O1033" s="1" t="s">
        <v>2058</v>
      </c>
      <c r="P1033" s="352">
        <f t="shared" si="89"/>
        <v>44.4</v>
      </c>
      <c r="Q1033" s="1" t="s">
        <v>883</v>
      </c>
      <c r="R1033" s="8">
        <f t="shared" si="88"/>
        <v>44.4</v>
      </c>
      <c r="AC1033" s="57">
        <f t="shared" ref="AC1033:AC1098" si="90">AE1034</f>
        <v>0</v>
      </c>
    </row>
    <row r="1034" spans="6:29" ht="24" customHeight="1">
      <c r="H1034" s="64" t="s">
        <v>555</v>
      </c>
      <c r="I1034" s="1" t="s">
        <v>995</v>
      </c>
      <c r="K1034" s="40">
        <f>K1032/F1026</f>
        <v>2491.59</v>
      </c>
      <c r="M1034" s="8">
        <v>10</v>
      </c>
      <c r="N1034" s="3"/>
      <c r="O1034" s="1" t="s">
        <v>1825</v>
      </c>
      <c r="P1034" s="352">
        <f>I1031</f>
        <v>2.2999999999999998</v>
      </c>
      <c r="Q1034" s="11"/>
      <c r="R1034" s="8">
        <f t="shared" si="88"/>
        <v>23</v>
      </c>
      <c r="AC1034" s="57">
        <f t="shared" si="90"/>
        <v>0</v>
      </c>
    </row>
    <row r="1035" spans="6:29" ht="24" customHeight="1">
      <c r="K1035" s="5" t="s">
        <v>2130</v>
      </c>
      <c r="N1035" s="3"/>
      <c r="O1035" s="2" t="s">
        <v>1580</v>
      </c>
      <c r="Q1035" s="11"/>
      <c r="R1035" s="8">
        <f>SUM(R1024:R1034)</f>
        <v>4676.51</v>
      </c>
      <c r="AC1035" s="57">
        <f t="shared" si="90"/>
        <v>0</v>
      </c>
    </row>
    <row r="1036" spans="6:29" ht="24" customHeight="1">
      <c r="F1036" s="2" t="s">
        <v>1698</v>
      </c>
      <c r="G1036" s="7" t="s">
        <v>2338</v>
      </c>
      <c r="H1036" s="1" t="s">
        <v>1400</v>
      </c>
      <c r="N1036" s="7" t="s">
        <v>995</v>
      </c>
      <c r="Q1036" s="11"/>
      <c r="R1036" s="5" t="s">
        <v>1667</v>
      </c>
      <c r="AC1036" s="57">
        <f t="shared" si="90"/>
        <v>0</v>
      </c>
    </row>
    <row r="1037" spans="6:29" ht="24" customHeight="1">
      <c r="H1037" s="1" t="s">
        <v>717</v>
      </c>
      <c r="N1037" s="3"/>
      <c r="O1037" s="64" t="s">
        <v>555</v>
      </c>
      <c r="Q1037" s="11"/>
      <c r="R1037" s="40">
        <f>R1035/M1027</f>
        <v>2534.69</v>
      </c>
      <c r="AC1037" s="57">
        <f t="shared" si="90"/>
        <v>0</v>
      </c>
    </row>
    <row r="1038" spans="6:29" ht="24" customHeight="1">
      <c r="H1038" s="5" t="s">
        <v>1667</v>
      </c>
      <c r="N1038" s="3"/>
      <c r="Q1038" s="11"/>
      <c r="R1038" s="5" t="s">
        <v>2130</v>
      </c>
      <c r="AC1038" s="57">
        <f t="shared" si="90"/>
        <v>0</v>
      </c>
    </row>
    <row r="1039" spans="6:29" ht="24" customHeight="1">
      <c r="F1039" s="20">
        <v>5.4000000000000003E-3</v>
      </c>
      <c r="G1039" s="7" t="s">
        <v>1402</v>
      </c>
      <c r="H1039" s="1" t="s">
        <v>1403</v>
      </c>
      <c r="I1039" s="8">
        <f>C89</f>
        <v>91300</v>
      </c>
      <c r="J1039" s="1" t="s">
        <v>884</v>
      </c>
      <c r="K1039" s="8">
        <f t="shared" ref="K1039:K1046" si="91">(F1039*I1039)</f>
        <v>493.02</v>
      </c>
      <c r="AC1039" s="57">
        <f t="shared" si="90"/>
        <v>0</v>
      </c>
    </row>
    <row r="1040" spans="6:29" ht="24" customHeight="1">
      <c r="F1040" s="20">
        <v>0.23871000000000001</v>
      </c>
      <c r="G1040" s="7" t="s">
        <v>611</v>
      </c>
      <c r="H1040" s="1" t="str">
        <f>H1025</f>
        <v>frosted glass 4mmthick</v>
      </c>
      <c r="I1040" s="219">
        <v>209.9</v>
      </c>
      <c r="J1040" s="1" t="s">
        <v>884</v>
      </c>
      <c r="K1040" s="8">
        <f t="shared" si="91"/>
        <v>50.11</v>
      </c>
      <c r="AC1040" s="57">
        <f t="shared" si="90"/>
        <v>0</v>
      </c>
    </row>
    <row r="1041" spans="6:29" ht="24" customHeight="1">
      <c r="F1041" s="20">
        <v>0.36199999999999999</v>
      </c>
      <c r="G1041" s="7" t="s">
        <v>611</v>
      </c>
      <c r="H1041" s="1" t="s">
        <v>2164</v>
      </c>
      <c r="I1041" s="8">
        <f>D31</f>
        <v>619.5</v>
      </c>
      <c r="J1041" s="1" t="s">
        <v>611</v>
      </c>
      <c r="K1041" s="8">
        <f t="shared" si="91"/>
        <v>224.26</v>
      </c>
      <c r="AC1041" s="57">
        <f t="shared" si="90"/>
        <v>0</v>
      </c>
    </row>
    <row r="1042" spans="6:29" ht="24" customHeight="1">
      <c r="F1042" s="8">
        <v>3</v>
      </c>
      <c r="G1042" s="7" t="s">
        <v>883</v>
      </c>
      <c r="H1042" s="1" t="s">
        <v>1404</v>
      </c>
      <c r="I1042" s="8">
        <f>C281</f>
        <v>38.5</v>
      </c>
      <c r="J1042" s="1" t="s">
        <v>883</v>
      </c>
      <c r="K1042" s="8">
        <f t="shared" si="91"/>
        <v>115.5</v>
      </c>
      <c r="AC1042" s="57">
        <f t="shared" si="90"/>
        <v>0</v>
      </c>
    </row>
    <row r="1043" spans="6:29" ht="24" customHeight="1">
      <c r="F1043" s="8">
        <v>2</v>
      </c>
      <c r="G1043" s="7" t="s">
        <v>883</v>
      </c>
      <c r="H1043" s="1" t="s">
        <v>2180</v>
      </c>
      <c r="I1043" s="8">
        <f>C284</f>
        <v>31.1</v>
      </c>
      <c r="J1043" s="1" t="s">
        <v>883</v>
      </c>
      <c r="K1043" s="8">
        <f t="shared" si="91"/>
        <v>62.2</v>
      </c>
      <c r="AC1043" s="57">
        <f t="shared" si="90"/>
        <v>0</v>
      </c>
    </row>
    <row r="1044" spans="6:29" ht="24" customHeight="1">
      <c r="F1044" s="8">
        <v>1</v>
      </c>
      <c r="G1044" s="7" t="s">
        <v>883</v>
      </c>
      <c r="H1044" s="1" t="s">
        <v>2181</v>
      </c>
      <c r="I1044" s="8">
        <f>I1029</f>
        <v>7.5</v>
      </c>
      <c r="J1044" s="1" t="s">
        <v>883</v>
      </c>
      <c r="K1044" s="8">
        <f t="shared" si="91"/>
        <v>7.5</v>
      </c>
      <c r="N1044" s="1" t="s">
        <v>253</v>
      </c>
      <c r="AC1044" s="57">
        <f t="shared" si="90"/>
        <v>0</v>
      </c>
    </row>
    <row r="1045" spans="6:29" ht="24" customHeight="1">
      <c r="F1045" s="8">
        <v>1</v>
      </c>
      <c r="G1045" s="7" t="s">
        <v>883</v>
      </c>
      <c r="H1045" s="1" t="s">
        <v>2182</v>
      </c>
      <c r="I1045" s="8">
        <f>C291</f>
        <v>9</v>
      </c>
      <c r="J1045" s="1" t="s">
        <v>883</v>
      </c>
      <c r="K1045" s="8">
        <f t="shared" si="91"/>
        <v>9</v>
      </c>
      <c r="N1045" s="1" t="s">
        <v>254</v>
      </c>
      <c r="AC1045" s="57"/>
    </row>
    <row r="1046" spans="6:29" ht="24" customHeight="1">
      <c r="F1046" s="8">
        <v>10</v>
      </c>
      <c r="H1046" s="1" t="s">
        <v>1188</v>
      </c>
      <c r="I1046" s="8">
        <f>I1031</f>
        <v>2.2999999999999998</v>
      </c>
      <c r="J1046" s="1" t="s">
        <v>883</v>
      </c>
      <c r="K1046" s="8">
        <f t="shared" si="91"/>
        <v>23</v>
      </c>
      <c r="N1046" s="1" t="s">
        <v>1822</v>
      </c>
      <c r="AC1046" s="57">
        <f t="shared" si="90"/>
        <v>0</v>
      </c>
    </row>
    <row r="1047" spans="6:29" ht="24" customHeight="1">
      <c r="K1047" s="5" t="s">
        <v>1667</v>
      </c>
      <c r="AC1047" s="57">
        <f t="shared" si="90"/>
        <v>0</v>
      </c>
    </row>
    <row r="1048" spans="6:29" ht="24" customHeight="1">
      <c r="H1048" s="2" t="s">
        <v>905</v>
      </c>
      <c r="K1048" s="8">
        <f>SUM(K1035:K1046)</f>
        <v>984.59</v>
      </c>
      <c r="AC1048" s="57">
        <f t="shared" si="90"/>
        <v>0</v>
      </c>
    </row>
    <row r="1049" spans="6:29" ht="24" customHeight="1">
      <c r="K1049" s="5" t="s">
        <v>1667</v>
      </c>
      <c r="M1049" s="16">
        <v>2.2800000000000001E-2</v>
      </c>
      <c r="N1049" s="7" t="s">
        <v>884</v>
      </c>
      <c r="O1049" s="1" t="s">
        <v>313</v>
      </c>
      <c r="P1049" s="8">
        <f>I1006</f>
        <v>102600</v>
      </c>
      <c r="Q1049" s="1" t="s">
        <v>884</v>
      </c>
      <c r="R1049" s="8">
        <f>P1049*M1049</f>
        <v>2339.2800000000002</v>
      </c>
      <c r="AC1049" s="57">
        <f t="shared" si="90"/>
        <v>0</v>
      </c>
    </row>
    <row r="1050" spans="6:29" ht="24" customHeight="1">
      <c r="H1050" s="64" t="s">
        <v>555</v>
      </c>
      <c r="I1050" s="1" t="s">
        <v>995</v>
      </c>
      <c r="K1050" s="40">
        <f>K1048/F1041</f>
        <v>2719.86</v>
      </c>
      <c r="M1050" s="16">
        <v>4.2999999999999997E-2</v>
      </c>
      <c r="N1050" s="7" t="s">
        <v>884</v>
      </c>
      <c r="O1050" s="1" t="s">
        <v>314</v>
      </c>
      <c r="P1050" s="8">
        <f>I1007</f>
        <v>91300</v>
      </c>
      <c r="Q1050" s="1" t="s">
        <v>884</v>
      </c>
      <c r="R1050" s="8">
        <f t="shared" ref="R1050:R1060" si="92">P1050*M1050</f>
        <v>3925.9</v>
      </c>
      <c r="AC1050" s="57">
        <f t="shared" si="90"/>
        <v>0</v>
      </c>
    </row>
    <row r="1051" spans="6:29" ht="24" customHeight="1">
      <c r="K1051" s="5" t="s">
        <v>2130</v>
      </c>
      <c r="M1051" s="16">
        <v>4.0800000000000003E-2</v>
      </c>
      <c r="N1051" s="7" t="s">
        <v>884</v>
      </c>
      <c r="O1051" s="1" t="s">
        <v>315</v>
      </c>
      <c r="P1051" s="8">
        <f>I970</f>
        <v>87300</v>
      </c>
      <c r="Q1051" s="1" t="s">
        <v>884</v>
      </c>
      <c r="R1051" s="8">
        <f t="shared" si="92"/>
        <v>3561.84</v>
      </c>
      <c r="AC1051" s="57">
        <f t="shared" si="90"/>
        <v>0</v>
      </c>
    </row>
    <row r="1052" spans="6:29" ht="24" customHeight="1">
      <c r="F1052" s="2" t="s">
        <v>1699</v>
      </c>
      <c r="G1052" s="7" t="s">
        <v>2338</v>
      </c>
      <c r="H1052" s="1" t="s">
        <v>906</v>
      </c>
      <c r="M1052" s="16"/>
      <c r="N1052" s="3"/>
      <c r="O1052" s="1" t="s">
        <v>963</v>
      </c>
      <c r="P1052" s="8"/>
      <c r="Q1052" s="11"/>
      <c r="R1052" s="8">
        <f t="shared" si="92"/>
        <v>0</v>
      </c>
      <c r="AC1052" s="57">
        <f t="shared" si="90"/>
        <v>0</v>
      </c>
    </row>
    <row r="1053" spans="6:29" ht="24" customHeight="1">
      <c r="H1053" s="1" t="s">
        <v>2067</v>
      </c>
      <c r="M1053" s="16">
        <v>3.4424999999999999</v>
      </c>
      <c r="N1053" s="7" t="s">
        <v>611</v>
      </c>
      <c r="O1053" s="1" t="s">
        <v>446</v>
      </c>
      <c r="P1053" s="8">
        <f>I972</f>
        <v>666.75</v>
      </c>
      <c r="Q1053" s="1" t="s">
        <v>611</v>
      </c>
      <c r="R1053" s="8">
        <f t="shared" si="92"/>
        <v>2295.29</v>
      </c>
      <c r="AC1053" s="57">
        <f t="shared" si="90"/>
        <v>0</v>
      </c>
    </row>
    <row r="1054" spans="6:29" ht="24" customHeight="1">
      <c r="H1054" s="5" t="s">
        <v>1667</v>
      </c>
      <c r="M1054" s="8">
        <v>2</v>
      </c>
      <c r="N1054" s="7" t="s">
        <v>781</v>
      </c>
      <c r="O1054" s="1" t="s">
        <v>1180</v>
      </c>
      <c r="P1054" s="8">
        <f t="shared" ref="P1054:P1059" si="93">I973</f>
        <v>50.6</v>
      </c>
      <c r="Q1054" s="1" t="s">
        <v>883</v>
      </c>
      <c r="R1054" s="8">
        <f t="shared" si="92"/>
        <v>101.2</v>
      </c>
      <c r="AC1054" s="57">
        <f t="shared" si="90"/>
        <v>0</v>
      </c>
    </row>
    <row r="1055" spans="6:29" ht="24" customHeight="1">
      <c r="F1055" s="20">
        <v>5.3E-3</v>
      </c>
      <c r="G1055" s="7" t="s">
        <v>1402</v>
      </c>
      <c r="H1055" s="1" t="s">
        <v>1403</v>
      </c>
      <c r="I1055" s="8">
        <f>C89</f>
        <v>91300</v>
      </c>
      <c r="J1055" s="1" t="s">
        <v>884</v>
      </c>
      <c r="K1055" s="8">
        <f t="shared" ref="K1055:K1061" si="94">(F1055*I1055)</f>
        <v>483.89</v>
      </c>
      <c r="M1055" s="8">
        <v>6</v>
      </c>
      <c r="N1055" s="7" t="s">
        <v>883</v>
      </c>
      <c r="O1055" s="1" t="s">
        <v>1527</v>
      </c>
      <c r="P1055" s="8">
        <f t="shared" si="93"/>
        <v>69.849999999999994</v>
      </c>
      <c r="Q1055" s="1" t="s">
        <v>883</v>
      </c>
      <c r="R1055" s="8">
        <f t="shared" si="92"/>
        <v>419.1</v>
      </c>
      <c r="AC1055" s="57">
        <f t="shared" si="90"/>
        <v>0</v>
      </c>
    </row>
    <row r="1056" spans="6:29" ht="24" customHeight="1">
      <c r="F1056" s="20">
        <v>0.27450000000000002</v>
      </c>
      <c r="G1056" s="7" t="s">
        <v>611</v>
      </c>
      <c r="H1056" s="1" t="str">
        <f>H1040</f>
        <v>frosted glass 4mmthick</v>
      </c>
      <c r="I1056" s="8">
        <f>I1040</f>
        <v>209.9</v>
      </c>
      <c r="J1056" s="1" t="s">
        <v>884</v>
      </c>
      <c r="K1056" s="8">
        <f t="shared" si="94"/>
        <v>57.62</v>
      </c>
      <c r="M1056" s="8">
        <v>4</v>
      </c>
      <c r="N1056" s="7" t="s">
        <v>883</v>
      </c>
      <c r="O1056" s="1" t="s">
        <v>1528</v>
      </c>
      <c r="P1056" s="8">
        <f t="shared" si="93"/>
        <v>50.6</v>
      </c>
      <c r="Q1056" s="1" t="s">
        <v>883</v>
      </c>
      <c r="R1056" s="8">
        <f t="shared" si="92"/>
        <v>202.4</v>
      </c>
      <c r="AC1056" s="57">
        <f t="shared" si="90"/>
        <v>0</v>
      </c>
    </row>
    <row r="1057" spans="6:29" ht="24" customHeight="1">
      <c r="F1057" s="20">
        <v>0.4</v>
      </c>
      <c r="G1057" s="7" t="s">
        <v>611</v>
      </c>
      <c r="H1057" s="1" t="s">
        <v>2164</v>
      </c>
      <c r="I1057" s="8">
        <f>D32</f>
        <v>517.65</v>
      </c>
      <c r="J1057" s="1" t="s">
        <v>611</v>
      </c>
      <c r="K1057" s="8">
        <f t="shared" si="94"/>
        <v>207.06</v>
      </c>
      <c r="M1057" s="8">
        <v>1</v>
      </c>
      <c r="N1057" s="7" t="s">
        <v>883</v>
      </c>
      <c r="O1057" s="1" t="s">
        <v>1529</v>
      </c>
      <c r="P1057" s="8">
        <f t="shared" si="93"/>
        <v>158.4</v>
      </c>
      <c r="Q1057" s="1" t="s">
        <v>883</v>
      </c>
      <c r="R1057" s="8">
        <f t="shared" si="92"/>
        <v>158.4</v>
      </c>
      <c r="AC1057" s="57">
        <f t="shared" si="90"/>
        <v>0</v>
      </c>
    </row>
    <row r="1058" spans="6:29" ht="24" customHeight="1">
      <c r="F1058" s="8">
        <v>2</v>
      </c>
      <c r="G1058" s="7" t="s">
        <v>2068</v>
      </c>
      <c r="H1058" s="1" t="s">
        <v>2069</v>
      </c>
      <c r="I1058" s="8">
        <f>C304</f>
        <v>8.5</v>
      </c>
      <c r="J1058" s="1" t="s">
        <v>2068</v>
      </c>
      <c r="K1058" s="8">
        <f t="shared" si="94"/>
        <v>17</v>
      </c>
      <c r="M1058" s="8">
        <v>2</v>
      </c>
      <c r="N1058" s="7" t="s">
        <v>883</v>
      </c>
      <c r="O1058" s="1" t="s">
        <v>1530</v>
      </c>
      <c r="P1058" s="8">
        <f t="shared" si="93"/>
        <v>7.5</v>
      </c>
      <c r="Q1058" s="1" t="s">
        <v>883</v>
      </c>
      <c r="R1058" s="8">
        <f t="shared" si="92"/>
        <v>15</v>
      </c>
      <c r="AC1058" s="57">
        <f t="shared" si="90"/>
        <v>0</v>
      </c>
    </row>
    <row r="1059" spans="6:29" ht="24" customHeight="1">
      <c r="F1059" s="8">
        <v>1</v>
      </c>
      <c r="G1059" s="7" t="s">
        <v>883</v>
      </c>
      <c r="H1059" s="1" t="s">
        <v>2070</v>
      </c>
      <c r="I1059" s="8">
        <f>C292</f>
        <v>6</v>
      </c>
      <c r="J1059" s="1" t="s">
        <v>883</v>
      </c>
      <c r="K1059" s="8">
        <f t="shared" si="94"/>
        <v>6</v>
      </c>
      <c r="M1059" s="8">
        <v>2</v>
      </c>
      <c r="N1059" s="7" t="s">
        <v>883</v>
      </c>
      <c r="O1059" s="1" t="s">
        <v>2058</v>
      </c>
      <c r="P1059" s="8">
        <f t="shared" si="93"/>
        <v>44.4</v>
      </c>
      <c r="Q1059" s="1" t="s">
        <v>883</v>
      </c>
      <c r="R1059" s="8">
        <f t="shared" si="92"/>
        <v>88.8</v>
      </c>
      <c r="AC1059" s="57">
        <f t="shared" si="90"/>
        <v>0</v>
      </c>
    </row>
    <row r="1060" spans="6:29" ht="24" customHeight="1">
      <c r="F1060" s="8">
        <v>1</v>
      </c>
      <c r="G1060" s="7" t="s">
        <v>883</v>
      </c>
      <c r="H1060" s="1" t="s">
        <v>2071</v>
      </c>
      <c r="I1060" s="8">
        <f>C290</f>
        <v>12</v>
      </c>
      <c r="J1060" s="1" t="s">
        <v>883</v>
      </c>
      <c r="K1060" s="8">
        <f t="shared" si="94"/>
        <v>12</v>
      </c>
      <c r="M1060" s="8">
        <v>10</v>
      </c>
      <c r="N1060" s="3"/>
      <c r="O1060" s="1" t="s">
        <v>1825</v>
      </c>
      <c r="P1060" s="8">
        <v>2.2999999999999998</v>
      </c>
      <c r="Q1060" s="11"/>
      <c r="R1060" s="8">
        <f t="shared" si="92"/>
        <v>23</v>
      </c>
      <c r="AC1060" s="57"/>
    </row>
    <row r="1061" spans="6:29" ht="24" customHeight="1">
      <c r="F1061" s="8">
        <v>10</v>
      </c>
      <c r="H1061" s="1" t="s">
        <v>1188</v>
      </c>
      <c r="I1061" s="8">
        <f>I1046</f>
        <v>2.2999999999999998</v>
      </c>
      <c r="J1061" s="1" t="s">
        <v>883</v>
      </c>
      <c r="K1061" s="8">
        <f t="shared" si="94"/>
        <v>23</v>
      </c>
      <c r="N1061" s="3"/>
      <c r="O1061" s="1" t="s">
        <v>2228</v>
      </c>
      <c r="Q1061" s="11"/>
      <c r="R1061" s="8">
        <f>SUM(R1049:R1060)+0.31</f>
        <v>13130.52</v>
      </c>
      <c r="AC1061" s="57">
        <f t="shared" si="90"/>
        <v>0</v>
      </c>
    </row>
    <row r="1062" spans="6:29" ht="24" customHeight="1">
      <c r="K1062" s="5" t="s">
        <v>1667</v>
      </c>
      <c r="N1062" s="3"/>
      <c r="Q1062" s="11"/>
      <c r="R1062" s="5" t="s">
        <v>1667</v>
      </c>
      <c r="AC1062" s="57">
        <f t="shared" si="90"/>
        <v>0</v>
      </c>
    </row>
    <row r="1063" spans="6:29" ht="24" customHeight="1">
      <c r="H1063" s="2" t="s">
        <v>40</v>
      </c>
      <c r="K1063" s="8">
        <f>SUM(K1051:K1061)</f>
        <v>806.57</v>
      </c>
      <c r="N1063" s="3"/>
      <c r="O1063" s="64" t="s">
        <v>555</v>
      </c>
      <c r="Q1063" s="11"/>
      <c r="R1063" s="40">
        <f>R1061/M1053</f>
        <v>3814.24</v>
      </c>
      <c r="AC1063" s="57">
        <f t="shared" si="90"/>
        <v>0</v>
      </c>
    </row>
    <row r="1064" spans="6:29" ht="24" customHeight="1">
      <c r="K1064" s="5" t="s">
        <v>1667</v>
      </c>
      <c r="N1064" s="3"/>
      <c r="Q1064" s="11"/>
      <c r="R1064" s="5" t="s">
        <v>2130</v>
      </c>
      <c r="AC1064" s="57">
        <f t="shared" si="90"/>
        <v>0</v>
      </c>
    </row>
    <row r="1065" spans="6:29" ht="24" customHeight="1">
      <c r="H1065" s="64" t="s">
        <v>555</v>
      </c>
      <c r="I1065" s="1" t="s">
        <v>995</v>
      </c>
      <c r="K1065" s="40">
        <f>K1063/F1057</f>
        <v>2016.43</v>
      </c>
      <c r="AC1065" s="57">
        <f t="shared" si="90"/>
        <v>0</v>
      </c>
    </row>
    <row r="1066" spans="6:29" ht="24" customHeight="1">
      <c r="F1066" s="1" t="s">
        <v>995</v>
      </c>
      <c r="AC1066" s="57">
        <f t="shared" si="90"/>
        <v>0</v>
      </c>
    </row>
    <row r="1067" spans="6:29" ht="24" customHeight="1">
      <c r="K1067" s="5" t="s">
        <v>2130</v>
      </c>
      <c r="O1067" s="1" t="s">
        <v>1824</v>
      </c>
      <c r="AC1067" s="57">
        <f t="shared" si="90"/>
        <v>0</v>
      </c>
    </row>
    <row r="1068" spans="6:29" ht="24" customHeight="1">
      <c r="F1068" s="26">
        <v>22.3</v>
      </c>
      <c r="H1068" s="1" t="s">
        <v>2072</v>
      </c>
      <c r="AC1068" s="57">
        <f t="shared" si="90"/>
        <v>0</v>
      </c>
    </row>
    <row r="1069" spans="6:29" ht="24" customHeight="1">
      <c r="H1069" s="5" t="s">
        <v>1667</v>
      </c>
      <c r="I1069" s="5" t="s">
        <v>1667</v>
      </c>
      <c r="J1069" s="1" t="s">
        <v>1667</v>
      </c>
      <c r="AC1069" s="57">
        <f t="shared" si="90"/>
        <v>0</v>
      </c>
    </row>
    <row r="1070" spans="6:29" ht="24" customHeight="1">
      <c r="AC1070" s="57">
        <f t="shared" si="90"/>
        <v>0</v>
      </c>
    </row>
    <row r="1071" spans="6:29" ht="24" customHeight="1">
      <c r="H1071" s="1" t="s">
        <v>2073</v>
      </c>
      <c r="M1071" s="81">
        <v>2.2800000000000001E-2</v>
      </c>
      <c r="N1071" s="59" t="s">
        <v>884</v>
      </c>
      <c r="O1071" s="60" t="s">
        <v>3311</v>
      </c>
      <c r="P1071" s="60">
        <f>P1049</f>
        <v>102600</v>
      </c>
      <c r="Q1071" s="77" t="s">
        <v>884</v>
      </c>
      <c r="R1071" s="60">
        <f>P1071*M1071</f>
        <v>2339.2800000000002</v>
      </c>
      <c r="AC1071" s="57">
        <f t="shared" si="90"/>
        <v>0</v>
      </c>
    </row>
    <row r="1072" spans="6:29" ht="24" customHeight="1">
      <c r="H1072" s="1" t="s">
        <v>2074</v>
      </c>
      <c r="M1072" s="81">
        <v>3.5400000000000001E-2</v>
      </c>
      <c r="N1072" s="59" t="s">
        <v>884</v>
      </c>
      <c r="O1072" s="60" t="s">
        <v>2610</v>
      </c>
      <c r="P1072" s="60">
        <f>P1050</f>
        <v>91300</v>
      </c>
      <c r="Q1072" s="77" t="s">
        <v>884</v>
      </c>
      <c r="R1072" s="60">
        <f t="shared" ref="R1072:R1080" si="95">P1072*M1072</f>
        <v>3232.02</v>
      </c>
      <c r="AC1072" s="57">
        <f t="shared" si="90"/>
        <v>0</v>
      </c>
    </row>
    <row r="1073" spans="6:60" ht="24" customHeight="1">
      <c r="H1073" s="1" t="s">
        <v>454</v>
      </c>
      <c r="M1073" s="82">
        <v>3.2300000000000002E-2</v>
      </c>
      <c r="N1073" s="59" t="s">
        <v>884</v>
      </c>
      <c r="O1073" s="60" t="s">
        <v>952</v>
      </c>
      <c r="P1073" s="60">
        <f>P1051</f>
        <v>87300</v>
      </c>
      <c r="Q1073" s="77" t="s">
        <v>884</v>
      </c>
      <c r="R1073" s="60">
        <f t="shared" si="95"/>
        <v>2819.79</v>
      </c>
      <c r="AC1073" s="57">
        <f t="shared" si="90"/>
        <v>0</v>
      </c>
    </row>
    <row r="1074" spans="6:60" ht="24" customHeight="1">
      <c r="H1074" s="1" t="s">
        <v>455</v>
      </c>
      <c r="M1074" s="79">
        <v>2.835</v>
      </c>
      <c r="N1074" s="59" t="s">
        <v>611</v>
      </c>
      <c r="O1074" s="60" t="s">
        <v>898</v>
      </c>
      <c r="P1074" s="60">
        <f t="shared" ref="P1074:P1080" si="96">P1053</f>
        <v>666.75</v>
      </c>
      <c r="Q1074" s="77" t="s">
        <v>611</v>
      </c>
      <c r="R1074" s="60">
        <f t="shared" si="95"/>
        <v>1890.24</v>
      </c>
      <c r="AC1074" s="57">
        <f t="shared" si="90"/>
        <v>0</v>
      </c>
    </row>
    <row r="1075" spans="6:60" ht="24" customHeight="1">
      <c r="H1075" s="1" t="s">
        <v>456</v>
      </c>
      <c r="L1075" s="1" t="s">
        <v>995</v>
      </c>
      <c r="M1075" s="60">
        <v>2</v>
      </c>
      <c r="N1075" s="59" t="s">
        <v>1950</v>
      </c>
      <c r="O1075" s="60" t="s">
        <v>2197</v>
      </c>
      <c r="P1075" s="60">
        <f t="shared" si="96"/>
        <v>50.6</v>
      </c>
      <c r="Q1075" s="77" t="s">
        <v>1458</v>
      </c>
      <c r="R1075" s="60">
        <f t="shared" si="95"/>
        <v>101.2</v>
      </c>
      <c r="AC1075" s="57">
        <f t="shared" si="90"/>
        <v>0</v>
      </c>
    </row>
    <row r="1076" spans="6:60" ht="24" customHeight="1">
      <c r="J1076" s="1" t="s">
        <v>995</v>
      </c>
      <c r="K1076" s="16">
        <v>3.32E-2</v>
      </c>
      <c r="M1076" s="60">
        <v>6</v>
      </c>
      <c r="N1076" s="59" t="s">
        <v>1950</v>
      </c>
      <c r="O1076" s="60" t="s">
        <v>1135</v>
      </c>
      <c r="P1076" s="60">
        <f t="shared" si="96"/>
        <v>69.849999999999994</v>
      </c>
      <c r="Q1076" s="77" t="s">
        <v>1458</v>
      </c>
      <c r="R1076" s="60">
        <f t="shared" si="95"/>
        <v>419.1</v>
      </c>
      <c r="AC1076" s="57">
        <f t="shared" si="90"/>
        <v>0</v>
      </c>
    </row>
    <row r="1077" spans="6:60" ht="24" customHeight="1">
      <c r="H1077" s="1" t="s">
        <v>2231</v>
      </c>
      <c r="J1077" s="19" t="s">
        <v>995</v>
      </c>
      <c r="K1077" s="19" t="s">
        <v>995</v>
      </c>
      <c r="M1077" s="60">
        <v>4</v>
      </c>
      <c r="N1077" s="59" t="s">
        <v>1950</v>
      </c>
      <c r="O1077" s="60" t="s">
        <v>1409</v>
      </c>
      <c r="P1077" s="60">
        <f t="shared" si="96"/>
        <v>50.6</v>
      </c>
      <c r="Q1077" s="77" t="s">
        <v>1458</v>
      </c>
      <c r="R1077" s="60">
        <f t="shared" si="95"/>
        <v>202.4</v>
      </c>
      <c r="AC1077" s="57">
        <f t="shared" si="90"/>
        <v>0</v>
      </c>
    </row>
    <row r="1078" spans="6:60" ht="24" customHeight="1">
      <c r="H1078" s="1" t="s">
        <v>1907</v>
      </c>
      <c r="K1078" s="19" t="s">
        <v>995</v>
      </c>
      <c r="M1078" s="60">
        <v>1</v>
      </c>
      <c r="N1078" s="59" t="s">
        <v>1950</v>
      </c>
      <c r="O1078" s="60" t="s">
        <v>1410</v>
      </c>
      <c r="P1078" s="60">
        <f t="shared" si="96"/>
        <v>158.4</v>
      </c>
      <c r="Q1078" s="77" t="s">
        <v>1458</v>
      </c>
      <c r="R1078" s="60">
        <f t="shared" si="95"/>
        <v>158.4</v>
      </c>
      <c r="AC1078" s="57">
        <f t="shared" si="90"/>
        <v>0</v>
      </c>
    </row>
    <row r="1079" spans="6:60" ht="24" customHeight="1">
      <c r="M1079" s="60">
        <v>2</v>
      </c>
      <c r="N1079" s="59" t="s">
        <v>1950</v>
      </c>
      <c r="O1079" s="60" t="s">
        <v>2056</v>
      </c>
      <c r="P1079" s="60">
        <f t="shared" si="96"/>
        <v>7.5</v>
      </c>
      <c r="Q1079" s="77" t="s">
        <v>1458</v>
      </c>
      <c r="R1079" s="60">
        <f t="shared" si="95"/>
        <v>15</v>
      </c>
      <c r="AC1079" s="57">
        <f t="shared" si="90"/>
        <v>0</v>
      </c>
    </row>
    <row r="1080" spans="6:60" ht="24" customHeight="1">
      <c r="F1080" s="20">
        <v>1.18E-2</v>
      </c>
      <c r="G1080" s="7" t="s">
        <v>884</v>
      </c>
      <c r="H1080" s="1" t="s">
        <v>702</v>
      </c>
      <c r="I1080" s="8">
        <f>C88</f>
        <v>102600</v>
      </c>
      <c r="J1080" s="1" t="s">
        <v>884</v>
      </c>
      <c r="K1080" s="8">
        <f t="shared" ref="K1080:K1089" si="97">(F1080*I1080)</f>
        <v>1210.68</v>
      </c>
      <c r="M1080" s="60">
        <v>2</v>
      </c>
      <c r="N1080" s="59" t="s">
        <v>1950</v>
      </c>
      <c r="O1080" s="60" t="s">
        <v>2058</v>
      </c>
      <c r="P1080" s="60">
        <f t="shared" si="96"/>
        <v>44.4</v>
      </c>
      <c r="Q1080" s="77" t="s">
        <v>1458</v>
      </c>
      <c r="R1080" s="60">
        <f t="shared" si="95"/>
        <v>88.8</v>
      </c>
      <c r="AC1080" s="57">
        <f t="shared" si="90"/>
        <v>0</v>
      </c>
    </row>
    <row r="1081" spans="6:60" ht="24" customHeight="1">
      <c r="F1081" s="20">
        <v>3.32E-2</v>
      </c>
      <c r="G1081" s="7" t="s">
        <v>884</v>
      </c>
      <c r="H1081" s="1" t="s">
        <v>703</v>
      </c>
      <c r="I1081" s="8">
        <f>C89</f>
        <v>91300</v>
      </c>
      <c r="J1081" s="1" t="s">
        <v>884</v>
      </c>
      <c r="K1081" s="8">
        <f t="shared" si="97"/>
        <v>3031.16</v>
      </c>
      <c r="M1081" s="60"/>
      <c r="N1081" s="59"/>
      <c r="O1081" s="60"/>
      <c r="P1081" s="60"/>
      <c r="Q1081" s="77"/>
      <c r="R1081" s="62">
        <v>23</v>
      </c>
      <c r="AC1081" s="57">
        <f t="shared" si="90"/>
        <v>0</v>
      </c>
    </row>
    <row r="1082" spans="6:60" ht="24" customHeight="1">
      <c r="F1082" s="20">
        <v>1.8550000000000001E-2</v>
      </c>
      <c r="G1082" s="7" t="s">
        <v>884</v>
      </c>
      <c r="H1082" s="1" t="s">
        <v>902</v>
      </c>
      <c r="I1082" s="8">
        <f>C30</f>
        <v>5906.25</v>
      </c>
      <c r="J1082" s="1" t="s">
        <v>884</v>
      </c>
      <c r="K1082" s="8">
        <f t="shared" si="97"/>
        <v>109.56</v>
      </c>
      <c r="M1082" s="60"/>
      <c r="N1082" s="78"/>
      <c r="O1082" s="38" t="s">
        <v>555</v>
      </c>
      <c r="P1082" s="60"/>
      <c r="Q1082" s="77"/>
      <c r="R1082" s="38">
        <f>SUM(R1071:R1081)</f>
        <v>11289.23</v>
      </c>
      <c r="AC1082" s="57">
        <f t="shared" si="90"/>
        <v>0</v>
      </c>
    </row>
    <row r="1083" spans="6:60" ht="24" customHeight="1">
      <c r="F1083" s="20">
        <v>1.46</v>
      </c>
      <c r="G1083" s="7" t="s">
        <v>611</v>
      </c>
      <c r="H1083" s="1" t="s">
        <v>903</v>
      </c>
      <c r="I1083" s="297">
        <v>269.10000000000002</v>
      </c>
      <c r="J1083" s="1" t="s">
        <v>611</v>
      </c>
      <c r="K1083" s="8">
        <f t="shared" si="97"/>
        <v>392.89</v>
      </c>
      <c r="M1083" s="60"/>
      <c r="N1083" s="78"/>
      <c r="O1083" s="38"/>
      <c r="P1083" s="60"/>
      <c r="Q1083" s="77"/>
      <c r="R1083" s="62" t="s">
        <v>152</v>
      </c>
      <c r="AC1083" s="57">
        <f t="shared" si="90"/>
        <v>0</v>
      </c>
      <c r="BH1083" t="s">
        <v>2105</v>
      </c>
    </row>
    <row r="1084" spans="6:60" ht="24" customHeight="1">
      <c r="F1084" s="20">
        <v>2.0499999999999998</v>
      </c>
      <c r="G1084" s="7" t="s">
        <v>611</v>
      </c>
      <c r="H1084" s="1" t="s">
        <v>1568</v>
      </c>
      <c r="I1084" s="8">
        <f>D30</f>
        <v>554.4</v>
      </c>
      <c r="J1084" s="1" t="s">
        <v>611</v>
      </c>
      <c r="K1084" s="8">
        <f t="shared" si="97"/>
        <v>1136.52</v>
      </c>
      <c r="M1084" s="60"/>
      <c r="N1084" s="78"/>
      <c r="O1084" s="38" t="s">
        <v>2155</v>
      </c>
      <c r="P1084" s="60"/>
      <c r="Q1084" s="77"/>
      <c r="R1084" s="38">
        <f>R1082/2.835</f>
        <v>3982.09</v>
      </c>
      <c r="AC1084" s="57">
        <f t="shared" si="90"/>
        <v>0</v>
      </c>
    </row>
    <row r="1085" spans="6:60" ht="24" customHeight="1">
      <c r="F1085" s="8">
        <v>2</v>
      </c>
      <c r="G1085" s="7" t="s">
        <v>883</v>
      </c>
      <c r="H1085" s="1" t="s">
        <v>1569</v>
      </c>
      <c r="I1085" s="69">
        <f>C284</f>
        <v>31.1</v>
      </c>
      <c r="J1085" s="1" t="s">
        <v>883</v>
      </c>
      <c r="K1085" s="8">
        <f t="shared" si="97"/>
        <v>62.2</v>
      </c>
      <c r="M1085" s="60"/>
      <c r="N1085" s="78"/>
      <c r="Q1085" s="11"/>
      <c r="R1085" s="61" t="s">
        <v>152</v>
      </c>
      <c r="AC1085" s="57">
        <f t="shared" si="90"/>
        <v>0</v>
      </c>
    </row>
    <row r="1086" spans="6:60" ht="24" customHeight="1">
      <c r="F1086" s="8">
        <v>6</v>
      </c>
      <c r="G1086" s="7" t="s">
        <v>883</v>
      </c>
      <c r="H1086" s="1" t="s">
        <v>1404</v>
      </c>
      <c r="I1086" s="8">
        <f>C281</f>
        <v>38.5</v>
      </c>
      <c r="J1086" s="1" t="s">
        <v>883</v>
      </c>
      <c r="K1086" s="8">
        <f t="shared" si="97"/>
        <v>231</v>
      </c>
      <c r="AC1086" s="57">
        <f t="shared" si="90"/>
        <v>0</v>
      </c>
    </row>
    <row r="1087" spans="6:60" ht="24" customHeight="1">
      <c r="F1087" s="8">
        <v>2</v>
      </c>
      <c r="G1087" s="7" t="s">
        <v>883</v>
      </c>
      <c r="H1087" s="1" t="s">
        <v>1705</v>
      </c>
      <c r="I1087" s="615">
        <v>56.1</v>
      </c>
      <c r="J1087" s="1" t="s">
        <v>883</v>
      </c>
      <c r="K1087" s="8">
        <f t="shared" si="97"/>
        <v>112.2</v>
      </c>
      <c r="AC1087" s="57">
        <f t="shared" si="90"/>
        <v>0</v>
      </c>
    </row>
    <row r="1088" spans="6:60" ht="24" customHeight="1">
      <c r="F1088" s="8">
        <v>1</v>
      </c>
      <c r="G1088" s="7" t="s">
        <v>883</v>
      </c>
      <c r="H1088" s="1" t="s">
        <v>1477</v>
      </c>
      <c r="I1088" s="297">
        <v>63</v>
      </c>
      <c r="J1088" s="1" t="s">
        <v>883</v>
      </c>
      <c r="K1088" s="8">
        <f t="shared" si="97"/>
        <v>63</v>
      </c>
      <c r="AC1088" s="57">
        <f t="shared" si="90"/>
        <v>0</v>
      </c>
    </row>
    <row r="1089" spans="6:29" ht="24" customHeight="1">
      <c r="F1089" s="8">
        <v>2.52</v>
      </c>
      <c r="G1089" s="7" t="s">
        <v>611</v>
      </c>
      <c r="H1089" s="1" t="s">
        <v>1792</v>
      </c>
      <c r="I1089" s="8">
        <f>K1119</f>
        <v>105.12</v>
      </c>
      <c r="J1089" s="1" t="s">
        <v>611</v>
      </c>
      <c r="K1089" s="8">
        <f t="shared" si="97"/>
        <v>264.89999999999998</v>
      </c>
      <c r="AC1089" s="57">
        <f t="shared" si="90"/>
        <v>0</v>
      </c>
    </row>
    <row r="1090" spans="6:29" ht="24" customHeight="1">
      <c r="H1090" s="1" t="s">
        <v>1474</v>
      </c>
      <c r="I1090" s="2" t="s">
        <v>448</v>
      </c>
      <c r="K1090" s="8">
        <v>0.21</v>
      </c>
      <c r="AC1090" s="57">
        <f t="shared" si="90"/>
        <v>0</v>
      </c>
    </row>
    <row r="1091" spans="6:29" ht="24" customHeight="1">
      <c r="K1091" s="5" t="s">
        <v>1667</v>
      </c>
      <c r="AC1091" s="57">
        <f t="shared" si="90"/>
        <v>0</v>
      </c>
    </row>
    <row r="1092" spans="6:29" ht="24" customHeight="1">
      <c r="H1092" s="2" t="s">
        <v>1475</v>
      </c>
      <c r="K1092" s="8">
        <f>SUM(K1080:K1090)</f>
        <v>6614.32</v>
      </c>
      <c r="AC1092" s="57">
        <f t="shared" si="90"/>
        <v>0</v>
      </c>
    </row>
    <row r="1093" spans="6:29" ht="24" customHeight="1">
      <c r="G1093" s="7" t="s">
        <v>995</v>
      </c>
      <c r="K1093" s="5" t="s">
        <v>1667</v>
      </c>
      <c r="AC1093" s="57">
        <f t="shared" si="90"/>
        <v>0</v>
      </c>
    </row>
    <row r="1094" spans="6:29" ht="24" customHeight="1">
      <c r="H1094" s="64" t="s">
        <v>555</v>
      </c>
      <c r="K1094" s="40">
        <f>K1092/2.52</f>
        <v>2624.73</v>
      </c>
      <c r="AC1094" s="57">
        <f t="shared" si="90"/>
        <v>0</v>
      </c>
    </row>
    <row r="1095" spans="6:29" ht="24" customHeight="1">
      <c r="K1095" s="5" t="s">
        <v>2130</v>
      </c>
      <c r="AC1095" s="57">
        <f t="shared" si="90"/>
        <v>0</v>
      </c>
    </row>
    <row r="1096" spans="6:29" ht="24" customHeight="1">
      <c r="G1096" s="7" t="s">
        <v>2338</v>
      </c>
      <c r="H1096" s="1" t="s">
        <v>183</v>
      </c>
      <c r="AC1096" s="57">
        <f t="shared" si="90"/>
        <v>0</v>
      </c>
    </row>
    <row r="1097" spans="6:29" ht="24" customHeight="1">
      <c r="H1097" s="5" t="s">
        <v>1667</v>
      </c>
      <c r="I1097" s="5" t="s">
        <v>1667</v>
      </c>
      <c r="AC1097" s="57">
        <f t="shared" si="90"/>
        <v>0</v>
      </c>
    </row>
    <row r="1098" spans="6:29" ht="24" customHeight="1">
      <c r="F1098" s="8">
        <v>0.77</v>
      </c>
      <c r="G1098" s="7" t="s">
        <v>184</v>
      </c>
      <c r="H1098" s="1" t="s">
        <v>185</v>
      </c>
      <c r="I1098" s="8">
        <f>C193</f>
        <v>290</v>
      </c>
      <c r="J1098" s="1" t="s">
        <v>184</v>
      </c>
      <c r="K1098" s="8">
        <f>(F1098*I1098)</f>
        <v>223.3</v>
      </c>
      <c r="AC1098" s="57">
        <f t="shared" si="90"/>
        <v>0</v>
      </c>
    </row>
    <row r="1099" spans="6:29" ht="24" customHeight="1">
      <c r="F1099" s="8">
        <v>0.61</v>
      </c>
      <c r="G1099" s="7" t="s">
        <v>184</v>
      </c>
      <c r="H1099" s="1" t="s">
        <v>186</v>
      </c>
      <c r="I1099" s="8">
        <f>C192</f>
        <v>25</v>
      </c>
      <c r="J1099" s="1" t="s">
        <v>184</v>
      </c>
      <c r="K1099" s="8">
        <f>(F1099*I1099)</f>
        <v>15.25</v>
      </c>
      <c r="AC1099" s="57">
        <f t="shared" ref="AC1099:AC1162" si="98">AE1100</f>
        <v>0</v>
      </c>
    </row>
    <row r="1100" spans="6:29" ht="24" customHeight="1">
      <c r="F1100" s="8">
        <v>0.7</v>
      </c>
      <c r="G1100" s="7" t="s">
        <v>563</v>
      </c>
      <c r="H1100" s="1" t="s">
        <v>1576</v>
      </c>
      <c r="I1100" s="8">
        <f>C14</f>
        <v>347.55</v>
      </c>
      <c r="J1100" s="1" t="s">
        <v>1796</v>
      </c>
      <c r="K1100" s="8">
        <f>(F1100*I1100)</f>
        <v>243.29</v>
      </c>
      <c r="AC1100" s="57">
        <f t="shared" si="98"/>
        <v>0</v>
      </c>
    </row>
    <row r="1101" spans="6:29" ht="24" customHeight="1">
      <c r="F1101" s="8">
        <v>0.7</v>
      </c>
      <c r="G1101" s="7" t="s">
        <v>563</v>
      </c>
      <c r="H1101" s="1" t="s">
        <v>893</v>
      </c>
      <c r="I1101" s="8">
        <f>C12</f>
        <v>269.85000000000002</v>
      </c>
      <c r="J1101" s="1" t="s">
        <v>1796</v>
      </c>
      <c r="K1101" s="8">
        <f>(F1101*I1101)</f>
        <v>188.9</v>
      </c>
      <c r="AC1101" s="57">
        <f t="shared" si="98"/>
        <v>0</v>
      </c>
    </row>
    <row r="1102" spans="6:29" ht="24" customHeight="1">
      <c r="G1102" s="7" t="s">
        <v>448</v>
      </c>
      <c r="H1102" s="1" t="s">
        <v>1231</v>
      </c>
      <c r="J1102" s="1" t="s">
        <v>448</v>
      </c>
      <c r="K1102" s="8">
        <v>1.5</v>
      </c>
      <c r="AC1102" s="57">
        <f t="shared" si="98"/>
        <v>0</v>
      </c>
    </row>
    <row r="1103" spans="6:29" ht="24" customHeight="1">
      <c r="K1103" s="5" t="s">
        <v>1667</v>
      </c>
      <c r="AC1103" s="57">
        <f t="shared" si="98"/>
        <v>0</v>
      </c>
    </row>
    <row r="1104" spans="6:29" ht="24" customHeight="1">
      <c r="H1104" s="2" t="s">
        <v>1502</v>
      </c>
      <c r="K1104" s="8">
        <f>SUM(K1098:K1102)</f>
        <v>672.24</v>
      </c>
      <c r="AC1104" s="57">
        <f t="shared" si="98"/>
        <v>0</v>
      </c>
    </row>
    <row r="1105" spans="6:29" ht="24" customHeight="1">
      <c r="K1105" s="5" t="s">
        <v>1667</v>
      </c>
      <c r="AC1105" s="57">
        <f t="shared" si="98"/>
        <v>0</v>
      </c>
    </row>
    <row r="1106" spans="6:29" ht="24" customHeight="1">
      <c r="H1106" s="64" t="s">
        <v>555</v>
      </c>
      <c r="K1106" s="40">
        <f>(K1104/10)</f>
        <v>67.22</v>
      </c>
      <c r="AC1106" s="57">
        <f t="shared" si="98"/>
        <v>0</v>
      </c>
    </row>
    <row r="1107" spans="6:29" ht="24" customHeight="1">
      <c r="K1107" s="5" t="s">
        <v>2130</v>
      </c>
      <c r="AC1107" s="57">
        <f t="shared" si="98"/>
        <v>0</v>
      </c>
    </row>
    <row r="1108" spans="6:29" ht="24" customHeight="1">
      <c r="AC1108" s="57">
        <f t="shared" si="98"/>
        <v>0</v>
      </c>
    </row>
    <row r="1109" spans="6:29" ht="24" customHeight="1">
      <c r="F1109" s="1" t="s">
        <v>995</v>
      </c>
      <c r="G1109" s="7" t="s">
        <v>2338</v>
      </c>
      <c r="H1109" s="1" t="s">
        <v>1503</v>
      </c>
      <c r="AC1109" s="57">
        <f t="shared" si="98"/>
        <v>0</v>
      </c>
    </row>
    <row r="1110" spans="6:29" ht="24" customHeight="1">
      <c r="H1110" s="5" t="s">
        <v>1667</v>
      </c>
      <c r="I1110" s="5" t="s">
        <v>1667</v>
      </c>
      <c r="AC1110" s="57">
        <f t="shared" si="98"/>
        <v>0</v>
      </c>
    </row>
    <row r="1111" spans="6:29" ht="24" customHeight="1">
      <c r="F1111" s="8">
        <v>1.2</v>
      </c>
      <c r="G1111" s="7" t="s">
        <v>184</v>
      </c>
      <c r="H1111" s="1" t="s">
        <v>185</v>
      </c>
      <c r="I1111" s="8">
        <f>C193</f>
        <v>290</v>
      </c>
      <c r="J1111" s="1" t="s">
        <v>184</v>
      </c>
      <c r="K1111" s="8">
        <f>(F1111*I1111)</f>
        <v>348</v>
      </c>
      <c r="AC1111" s="57">
        <f t="shared" si="98"/>
        <v>0</v>
      </c>
    </row>
    <row r="1112" spans="6:29" ht="24" customHeight="1">
      <c r="F1112" s="8">
        <v>0.9</v>
      </c>
      <c r="G1112" s="7" t="s">
        <v>184</v>
      </c>
      <c r="H1112" s="1" t="s">
        <v>186</v>
      </c>
      <c r="I1112" s="8">
        <f>C192</f>
        <v>25</v>
      </c>
      <c r="J1112" s="1" t="s">
        <v>184</v>
      </c>
      <c r="K1112" s="8">
        <f>(F1112*I1112)</f>
        <v>22.5</v>
      </c>
      <c r="AC1112" s="57">
        <f t="shared" si="98"/>
        <v>0</v>
      </c>
    </row>
    <row r="1113" spans="6:29" ht="24" customHeight="1">
      <c r="F1113" s="8">
        <v>1.1000000000000001</v>
      </c>
      <c r="G1113" s="7" t="s">
        <v>563</v>
      </c>
      <c r="H1113" s="1" t="s">
        <v>1576</v>
      </c>
      <c r="I1113" s="8">
        <f>C14</f>
        <v>347.55</v>
      </c>
      <c r="J1113" s="1" t="s">
        <v>1796</v>
      </c>
      <c r="K1113" s="8">
        <f>(F1113*I1113)</f>
        <v>382.31</v>
      </c>
      <c r="AC1113" s="57">
        <f t="shared" si="98"/>
        <v>0</v>
      </c>
    </row>
    <row r="1114" spans="6:29" ht="24" customHeight="1">
      <c r="F1114" s="8">
        <v>1.1000000000000001</v>
      </c>
      <c r="G1114" s="7" t="s">
        <v>563</v>
      </c>
      <c r="H1114" s="1" t="s">
        <v>893</v>
      </c>
      <c r="I1114" s="8">
        <f>C12</f>
        <v>269.85000000000002</v>
      </c>
      <c r="J1114" s="1" t="s">
        <v>1796</v>
      </c>
      <c r="K1114" s="8">
        <f>(F1114*I1114)</f>
        <v>296.83999999999997</v>
      </c>
      <c r="AC1114" s="57">
        <f t="shared" si="98"/>
        <v>0</v>
      </c>
    </row>
    <row r="1115" spans="6:29" ht="24" customHeight="1">
      <c r="G1115" s="7" t="s">
        <v>448</v>
      </c>
      <c r="H1115" s="1" t="s">
        <v>1231</v>
      </c>
      <c r="J1115" s="1" t="s">
        <v>448</v>
      </c>
      <c r="K1115" s="8">
        <v>1.5</v>
      </c>
      <c r="AC1115" s="57">
        <f t="shared" si="98"/>
        <v>0</v>
      </c>
    </row>
    <row r="1116" spans="6:29" ht="24" customHeight="1">
      <c r="K1116" s="5" t="s">
        <v>1667</v>
      </c>
      <c r="AC1116" s="57">
        <f t="shared" si="98"/>
        <v>0</v>
      </c>
    </row>
    <row r="1117" spans="6:29" ht="24" customHeight="1">
      <c r="H1117" s="2" t="s">
        <v>1502</v>
      </c>
      <c r="K1117" s="8">
        <f>SUM(K1111:K1115)</f>
        <v>1051.1500000000001</v>
      </c>
      <c r="AC1117" s="57">
        <f t="shared" si="98"/>
        <v>0</v>
      </c>
    </row>
    <row r="1118" spans="6:29" ht="24" customHeight="1">
      <c r="K1118" s="5" t="s">
        <v>1667</v>
      </c>
      <c r="AC1118" s="57">
        <f t="shared" si="98"/>
        <v>0</v>
      </c>
    </row>
    <row r="1119" spans="6:29" ht="24" customHeight="1">
      <c r="H1119" s="64" t="s">
        <v>555</v>
      </c>
      <c r="K1119" s="40">
        <f>(K1117/10)</f>
        <v>105.12</v>
      </c>
      <c r="AC1119" s="57">
        <f t="shared" si="98"/>
        <v>0</v>
      </c>
    </row>
    <row r="1120" spans="6:29" ht="24" customHeight="1">
      <c r="K1120" s="5" t="s">
        <v>2130</v>
      </c>
      <c r="AC1120" s="57">
        <f t="shared" si="98"/>
        <v>0</v>
      </c>
    </row>
    <row r="1121" spans="6:31" ht="24" customHeight="1">
      <c r="AC1121" s="57">
        <f t="shared" si="98"/>
        <v>0</v>
      </c>
    </row>
    <row r="1122" spans="6:31" ht="24" customHeight="1">
      <c r="F1122" s="32">
        <v>23.3</v>
      </c>
      <c r="H1122" t="s">
        <v>2375</v>
      </c>
      <c r="K1122" s="38">
        <v>35</v>
      </c>
      <c r="AC1122" s="57">
        <f t="shared" si="98"/>
        <v>0</v>
      </c>
    </row>
    <row r="1123" spans="6:31" ht="24" customHeight="1">
      <c r="AC1123" s="57">
        <f t="shared" si="98"/>
        <v>0</v>
      </c>
    </row>
    <row r="1124" spans="6:31" ht="24" customHeight="1">
      <c r="AC1124" s="57" t="str">
        <f t="shared" si="98"/>
        <v>|</v>
      </c>
    </row>
    <row r="1125" spans="6:31" ht="24" customHeight="1">
      <c r="F1125" s="2" t="s">
        <v>1504</v>
      </c>
      <c r="G1125" s="7" t="s">
        <v>2338</v>
      </c>
      <c r="H1125" s="1" t="s">
        <v>867</v>
      </c>
      <c r="AC1125" s="57" t="str">
        <f t="shared" si="98"/>
        <v>|</v>
      </c>
      <c r="AE1125" s="1" t="s">
        <v>2346</v>
      </c>
    </row>
    <row r="1126" spans="6:31" ht="24" customHeight="1">
      <c r="H1126" s="1" t="s">
        <v>1505</v>
      </c>
      <c r="AC1126" s="57" t="str">
        <f t="shared" si="98"/>
        <v>|</v>
      </c>
      <c r="AE1126" s="1" t="s">
        <v>2346</v>
      </c>
    </row>
    <row r="1127" spans="6:31" ht="24" customHeight="1">
      <c r="H1127" s="5" t="s">
        <v>1667</v>
      </c>
      <c r="I1127" s="5" t="s">
        <v>1667</v>
      </c>
      <c r="AC1127" s="57" t="str">
        <f t="shared" si="98"/>
        <v>|</v>
      </c>
      <c r="AE1127" s="1" t="s">
        <v>2346</v>
      </c>
    </row>
    <row r="1128" spans="6:31" ht="24" customHeight="1">
      <c r="F1128" s="17">
        <v>0.53339999999999999</v>
      </c>
      <c r="G1128" s="7" t="s">
        <v>2371</v>
      </c>
      <c r="H1128" s="1" t="s">
        <v>2167</v>
      </c>
      <c r="I1128" s="347">
        <v>209.9</v>
      </c>
      <c r="J1128" s="1" t="s">
        <v>2371</v>
      </c>
      <c r="K1128" s="8">
        <f>(F1128*I1128)</f>
        <v>111.96</v>
      </c>
      <c r="AC1128" s="57" t="str">
        <f t="shared" si="98"/>
        <v>|</v>
      </c>
      <c r="AE1128" s="1" t="s">
        <v>2346</v>
      </c>
    </row>
    <row r="1129" spans="6:31" ht="24" customHeight="1">
      <c r="F1129" s="8">
        <v>4.24</v>
      </c>
      <c r="G1129" s="7" t="s">
        <v>840</v>
      </c>
      <c r="H1129" s="1" t="s">
        <v>713</v>
      </c>
      <c r="I1129" s="347">
        <v>13.66</v>
      </c>
      <c r="J1129" s="1" t="s">
        <v>840</v>
      </c>
      <c r="K1129" s="8">
        <f>(F1129*I1129)</f>
        <v>57.92</v>
      </c>
      <c r="AC1129" s="57" t="str">
        <f t="shared" si="98"/>
        <v>|::</v>
      </c>
      <c r="AE1129" s="1" t="s">
        <v>2346</v>
      </c>
    </row>
    <row r="1130" spans="6:31" ht="24" customHeight="1">
      <c r="F1130" s="8">
        <v>16</v>
      </c>
      <c r="G1130" s="7" t="s">
        <v>563</v>
      </c>
      <c r="H1130" s="1" t="s">
        <v>714</v>
      </c>
      <c r="I1130" s="347">
        <v>0.5</v>
      </c>
      <c r="J1130" s="1" t="s">
        <v>1458</v>
      </c>
      <c r="K1130" s="8">
        <f>(F1130*I1130)</f>
        <v>8</v>
      </c>
      <c r="AC1130" s="57">
        <f t="shared" si="98"/>
        <v>0</v>
      </c>
      <c r="AE1130" s="1" t="s">
        <v>325</v>
      </c>
    </row>
    <row r="1131" spans="6:31" ht="24" customHeight="1">
      <c r="F1131" s="17">
        <v>0.53339999999999999</v>
      </c>
      <c r="G1131" s="7" t="s">
        <v>2371</v>
      </c>
      <c r="H1131" s="1" t="s">
        <v>715</v>
      </c>
      <c r="I1131" s="8">
        <f>0.25/1.08*D16</f>
        <v>89.44</v>
      </c>
      <c r="J1131" s="1" t="s">
        <v>2371</v>
      </c>
      <c r="K1131" s="8">
        <f>(F1131*I1131)</f>
        <v>47.71</v>
      </c>
      <c r="AC1131" s="57">
        <f t="shared" si="98"/>
        <v>0</v>
      </c>
    </row>
    <row r="1132" spans="6:31" ht="24" customHeight="1">
      <c r="G1132" s="7" t="s">
        <v>448</v>
      </c>
      <c r="H1132" s="1" t="s">
        <v>2359</v>
      </c>
      <c r="J1132" s="1" t="s">
        <v>448</v>
      </c>
      <c r="K1132" s="8"/>
      <c r="AC1132" s="57" t="str">
        <f t="shared" si="98"/>
        <v>|</v>
      </c>
    </row>
    <row r="1133" spans="6:31" ht="24" customHeight="1">
      <c r="H1133" s="1" t="s">
        <v>2360</v>
      </c>
      <c r="AC1133" s="57" t="str">
        <f t="shared" si="98"/>
        <v>|</v>
      </c>
      <c r="AE1133" s="1" t="s">
        <v>2346</v>
      </c>
    </row>
    <row r="1134" spans="6:31" ht="24" customHeight="1">
      <c r="K1134" s="5" t="s">
        <v>1667</v>
      </c>
      <c r="AC1134" s="57" t="str">
        <f t="shared" si="98"/>
        <v>|</v>
      </c>
      <c r="AE1134" s="1" t="s">
        <v>2346</v>
      </c>
    </row>
    <row r="1135" spans="6:31" ht="24" customHeight="1">
      <c r="H1135" s="2" t="s">
        <v>1778</v>
      </c>
      <c r="K1135" s="8">
        <f>SUM(K1128:K1132)</f>
        <v>225.59</v>
      </c>
      <c r="AC1135" s="57" t="str">
        <f t="shared" si="98"/>
        <v>|</v>
      </c>
      <c r="AE1135" s="1" t="s">
        <v>2346</v>
      </c>
    </row>
    <row r="1136" spans="6:31" ht="24" customHeight="1">
      <c r="K1136" s="5" t="s">
        <v>1667</v>
      </c>
      <c r="AC1136" s="57" t="str">
        <f t="shared" si="98"/>
        <v>|</v>
      </c>
      <c r="AE1136" s="1" t="s">
        <v>2346</v>
      </c>
    </row>
    <row r="1137" spans="6:31" ht="24" customHeight="1">
      <c r="H1137" s="2" t="s">
        <v>1779</v>
      </c>
      <c r="K1137" s="40">
        <f>ROUND(K1135/0.5334,1)+0.1</f>
        <v>423</v>
      </c>
      <c r="AC1137" s="57">
        <f t="shared" si="98"/>
        <v>0</v>
      </c>
      <c r="AE1137" s="1" t="s">
        <v>2346</v>
      </c>
    </row>
    <row r="1138" spans="6:31" ht="24" customHeight="1">
      <c r="F1138" s="1" t="s">
        <v>995</v>
      </c>
      <c r="H1138" t="s">
        <v>995</v>
      </c>
      <c r="K1138" s="5" t="s">
        <v>2130</v>
      </c>
      <c r="AC1138" s="57">
        <f t="shared" si="98"/>
        <v>0</v>
      </c>
    </row>
    <row r="1139" spans="6:31" ht="24" customHeight="1">
      <c r="F1139" s="1" t="s">
        <v>995</v>
      </c>
      <c r="G1139" s="7" t="s">
        <v>995</v>
      </c>
      <c r="H1139" s="1" t="s">
        <v>995</v>
      </c>
      <c r="AC1139" s="57" t="str">
        <f t="shared" si="98"/>
        <v>|</v>
      </c>
    </row>
    <row r="1140" spans="6:31" ht="24" customHeight="1">
      <c r="F1140" s="2" t="s">
        <v>1878</v>
      </c>
      <c r="G1140" s="7" t="s">
        <v>2338</v>
      </c>
      <c r="H1140" s="1" t="s">
        <v>1555</v>
      </c>
      <c r="AC1140" s="57" t="str">
        <f t="shared" si="98"/>
        <v>|</v>
      </c>
      <c r="AE1140" s="1" t="s">
        <v>2346</v>
      </c>
    </row>
    <row r="1141" spans="6:31" ht="24" customHeight="1">
      <c r="H1141" s="1" t="s">
        <v>165</v>
      </c>
      <c r="AC1141" s="57" t="str">
        <f t="shared" si="98"/>
        <v>|</v>
      </c>
      <c r="AE1141" s="1" t="s">
        <v>2346</v>
      </c>
    </row>
    <row r="1142" spans="6:31" ht="24" customHeight="1">
      <c r="H1142" s="5" t="s">
        <v>1667</v>
      </c>
      <c r="AC1142" s="57" t="str">
        <f t="shared" si="98"/>
        <v>|</v>
      </c>
      <c r="AE1142" s="1" t="s">
        <v>2346</v>
      </c>
    </row>
    <row r="1143" spans="6:31" ht="24" customHeight="1">
      <c r="F1143" s="8">
        <v>1</v>
      </c>
      <c r="G1143" s="7" t="s">
        <v>1730</v>
      </c>
      <c r="H1143" s="1" t="s">
        <v>1183</v>
      </c>
      <c r="I1143" s="207">
        <v>65</v>
      </c>
      <c r="J1143" s="1" t="s">
        <v>1730</v>
      </c>
      <c r="K1143" s="40">
        <f>(F1143*I1143)</f>
        <v>65</v>
      </c>
      <c r="AC1143" s="57" t="str">
        <f t="shared" si="98"/>
        <v>|</v>
      </c>
      <c r="AE1143" s="1" t="s">
        <v>2346</v>
      </c>
    </row>
    <row r="1144" spans="6:31" ht="24" customHeight="1">
      <c r="K1144" s="5" t="s">
        <v>2130</v>
      </c>
      <c r="AC1144" s="57" t="str">
        <f t="shared" si="98"/>
        <v>|</v>
      </c>
      <c r="AE1144" s="1" t="s">
        <v>2346</v>
      </c>
    </row>
    <row r="1145" spans="6:31" ht="24" customHeight="1">
      <c r="F1145" s="2">
        <v>39</v>
      </c>
      <c r="H1145" s="67" t="s">
        <v>1182</v>
      </c>
      <c r="I1145" s="615">
        <v>63.3</v>
      </c>
      <c r="J1145" s="1" t="s">
        <v>1730</v>
      </c>
      <c r="K1145" s="212">
        <f>I1145</f>
        <v>63.3</v>
      </c>
      <c r="AC1145" s="57" t="str">
        <f t="shared" si="98"/>
        <v>|</v>
      </c>
      <c r="AE1145" s="1" t="s">
        <v>2346</v>
      </c>
    </row>
    <row r="1146" spans="6:31" ht="24" customHeight="1">
      <c r="F1146" s="2" t="s">
        <v>444</v>
      </c>
      <c r="G1146" s="7" t="s">
        <v>2338</v>
      </c>
      <c r="H1146" s="1" t="s">
        <v>260</v>
      </c>
      <c r="I1146" s="1" t="s">
        <v>995</v>
      </c>
      <c r="J1146" s="1" t="s">
        <v>1796</v>
      </c>
      <c r="K1146" s="40">
        <v>8.5</v>
      </c>
      <c r="AC1146" s="57" t="str">
        <f t="shared" si="98"/>
        <v>|</v>
      </c>
      <c r="AE1146" s="1" t="s">
        <v>2346</v>
      </c>
    </row>
    <row r="1147" spans="6:31" ht="24" customHeight="1">
      <c r="H1147" s="1" t="s">
        <v>261</v>
      </c>
      <c r="K1147" s="5" t="s">
        <v>2130</v>
      </c>
      <c r="AC1147" s="57" t="str">
        <f t="shared" si="98"/>
        <v>|</v>
      </c>
      <c r="AE1147" s="1" t="s">
        <v>2346</v>
      </c>
    </row>
    <row r="1148" spans="6:31" ht="24" customHeight="1">
      <c r="AC1148" s="57" t="str">
        <f t="shared" si="98"/>
        <v>|</v>
      </c>
      <c r="AE1148" s="1" t="s">
        <v>2346</v>
      </c>
    </row>
    <row r="1149" spans="6:31" ht="24" customHeight="1">
      <c r="F1149" s="2" t="s">
        <v>230</v>
      </c>
      <c r="G1149" s="7" t="s">
        <v>2338</v>
      </c>
      <c r="H1149" s="1" t="s">
        <v>1998</v>
      </c>
      <c r="AC1149" s="57" t="str">
        <f t="shared" si="98"/>
        <v>|</v>
      </c>
      <c r="AE1149" s="1" t="s">
        <v>2346</v>
      </c>
    </row>
    <row r="1150" spans="6:31" ht="24" customHeight="1">
      <c r="H1150" s="1" t="s">
        <v>948</v>
      </c>
      <c r="AC1150" s="57" t="str">
        <f t="shared" si="98"/>
        <v>|</v>
      </c>
      <c r="AE1150" s="1" t="s">
        <v>2346</v>
      </c>
    </row>
    <row r="1151" spans="6:31" ht="24" customHeight="1">
      <c r="H1151" s="5" t="s">
        <v>1667</v>
      </c>
      <c r="AC1151" s="57" t="str">
        <f t="shared" si="98"/>
        <v>|</v>
      </c>
      <c r="AE1151" s="1" t="s">
        <v>2346</v>
      </c>
    </row>
    <row r="1152" spans="6:31" ht="24" customHeight="1">
      <c r="F1152" s="8">
        <v>0.22</v>
      </c>
      <c r="G1152" s="7" t="s">
        <v>884</v>
      </c>
      <c r="H1152" s="1" t="s">
        <v>1364</v>
      </c>
      <c r="I1152" s="8">
        <f>K40</f>
        <v>2807.01</v>
      </c>
      <c r="J1152" s="1" t="s">
        <v>884</v>
      </c>
      <c r="K1152" s="8">
        <f>(F1152*I1152)</f>
        <v>617.54</v>
      </c>
      <c r="AC1152" s="57" t="str">
        <f t="shared" si="98"/>
        <v>|</v>
      </c>
      <c r="AE1152" s="1" t="s">
        <v>2346</v>
      </c>
    </row>
    <row r="1153" spans="6:31" ht="24" customHeight="1">
      <c r="F1153" s="8">
        <v>2.2000000000000002</v>
      </c>
      <c r="G1153" s="7" t="s">
        <v>781</v>
      </c>
      <c r="H1153" s="1" t="s">
        <v>2082</v>
      </c>
      <c r="I1153" s="8">
        <f>(C10)</f>
        <v>430.5</v>
      </c>
      <c r="J1153" s="1" t="s">
        <v>781</v>
      </c>
      <c r="K1153" s="8">
        <f>(F1153*I1153)</f>
        <v>947.1</v>
      </c>
      <c r="AC1153" s="57" t="str">
        <f t="shared" si="98"/>
        <v>|</v>
      </c>
      <c r="AE1153" s="1" t="s">
        <v>2346</v>
      </c>
    </row>
    <row r="1154" spans="6:31" ht="24" customHeight="1">
      <c r="F1154" s="8">
        <v>0.5</v>
      </c>
      <c r="G1154" s="7" t="s">
        <v>781</v>
      </c>
      <c r="H1154" s="1" t="s">
        <v>949</v>
      </c>
      <c r="I1154" s="8">
        <f>(C12)</f>
        <v>269.85000000000002</v>
      </c>
      <c r="J1154" s="1" t="s">
        <v>781</v>
      </c>
      <c r="K1154" s="8">
        <f>(F1154*I1154)</f>
        <v>134.93</v>
      </c>
      <c r="AC1154" s="57" t="str">
        <f t="shared" si="98"/>
        <v>|</v>
      </c>
      <c r="AE1154" s="1" t="s">
        <v>2346</v>
      </c>
    </row>
    <row r="1155" spans="6:31" ht="24" customHeight="1">
      <c r="F1155" s="8">
        <v>3.2</v>
      </c>
      <c r="G1155" s="7" t="s">
        <v>781</v>
      </c>
      <c r="H1155" s="1" t="s">
        <v>324</v>
      </c>
      <c r="I1155" s="8">
        <f>(C13)</f>
        <v>243.6</v>
      </c>
      <c r="J1155" s="1" t="s">
        <v>781</v>
      </c>
      <c r="K1155" s="8">
        <f>(F1155*I1155)</f>
        <v>779.52</v>
      </c>
      <c r="AC1155" s="57" t="str">
        <f t="shared" si="98"/>
        <v>|</v>
      </c>
      <c r="AE1155" s="1" t="s">
        <v>2346</v>
      </c>
    </row>
    <row r="1156" spans="6:31" ht="24" customHeight="1">
      <c r="G1156" s="7" t="s">
        <v>448</v>
      </c>
      <c r="H1156" s="1" t="s">
        <v>449</v>
      </c>
      <c r="I1156" s="1" t="s">
        <v>995</v>
      </c>
      <c r="J1156" s="1" t="s">
        <v>448</v>
      </c>
      <c r="K1156" s="8">
        <v>0</v>
      </c>
      <c r="AC1156" s="57" t="str">
        <f t="shared" si="98"/>
        <v>|</v>
      </c>
      <c r="AE1156" s="1" t="s">
        <v>2346</v>
      </c>
    </row>
    <row r="1157" spans="6:31" ht="24" customHeight="1">
      <c r="K1157" s="5" t="s">
        <v>1667</v>
      </c>
      <c r="AC1157" s="57" t="str">
        <f t="shared" si="98"/>
        <v>|</v>
      </c>
      <c r="AE1157" s="1" t="s">
        <v>2346</v>
      </c>
    </row>
    <row r="1158" spans="6:31" ht="24" customHeight="1">
      <c r="H1158" s="1" t="s">
        <v>440</v>
      </c>
      <c r="K1158" s="8">
        <f>SUM(K1152:K1156)</f>
        <v>2479.09</v>
      </c>
      <c r="AC1158" s="57" t="str">
        <f t="shared" si="98"/>
        <v>|</v>
      </c>
      <c r="AE1158" s="1" t="s">
        <v>2346</v>
      </c>
    </row>
    <row r="1159" spans="6:31" ht="24" customHeight="1">
      <c r="F1159" t="s">
        <v>995</v>
      </c>
      <c r="K1159" s="5" t="s">
        <v>1667</v>
      </c>
      <c r="AC1159" s="57" t="str">
        <f t="shared" si="98"/>
        <v>|</v>
      </c>
      <c r="AE1159" s="1" t="s">
        <v>2346</v>
      </c>
    </row>
    <row r="1160" spans="6:31" ht="24" customHeight="1">
      <c r="H1160" s="64" t="s">
        <v>555</v>
      </c>
      <c r="K1160" s="40">
        <f>(K1158/10)</f>
        <v>247.91</v>
      </c>
      <c r="AC1160" s="57" t="str">
        <f t="shared" si="98"/>
        <v>|</v>
      </c>
      <c r="AE1160" s="1" t="s">
        <v>2346</v>
      </c>
    </row>
    <row r="1161" spans="6:31" ht="24" customHeight="1">
      <c r="K1161" s="5" t="s">
        <v>2130</v>
      </c>
      <c r="AC1161" s="57" t="str">
        <f t="shared" si="98"/>
        <v>|</v>
      </c>
      <c r="AE1161" s="1" t="s">
        <v>2346</v>
      </c>
    </row>
    <row r="1162" spans="6:31" ht="24" customHeight="1">
      <c r="F1162" s="2" t="s">
        <v>950</v>
      </c>
      <c r="G1162" s="7" t="s">
        <v>2338</v>
      </c>
      <c r="H1162" s="1" t="s">
        <v>1921</v>
      </c>
      <c r="AC1162" s="57" t="str">
        <f t="shared" si="98"/>
        <v>|</v>
      </c>
      <c r="AE1162" s="1" t="s">
        <v>2346</v>
      </c>
    </row>
    <row r="1163" spans="6:31" ht="24" customHeight="1">
      <c r="H1163" s="1" t="s">
        <v>1949</v>
      </c>
      <c r="N1163" s="3"/>
      <c r="Q1163" s="4"/>
      <c r="AC1163" s="57" t="str">
        <f t="shared" ref="AC1163:AC1226" si="99">AE1164</f>
        <v>|</v>
      </c>
      <c r="AE1163" s="1" t="s">
        <v>2346</v>
      </c>
    </row>
    <row r="1164" spans="6:31" ht="24" customHeight="1">
      <c r="H1164" s="5" t="s">
        <v>1667</v>
      </c>
      <c r="N1164" s="3"/>
      <c r="Q1164" s="4"/>
      <c r="AC1164" s="57" t="str">
        <f t="shared" si="99"/>
        <v>|::</v>
      </c>
      <c r="AE1164" s="1" t="s">
        <v>2346</v>
      </c>
    </row>
    <row r="1165" spans="6:31" ht="24" customHeight="1">
      <c r="F1165" s="8">
        <v>160</v>
      </c>
      <c r="G1165" s="7" t="s">
        <v>1950</v>
      </c>
      <c r="H1165" s="1" t="s">
        <v>1951</v>
      </c>
      <c r="I1165" s="8">
        <f>(C136)</f>
        <v>11600</v>
      </c>
      <c r="J1165" s="1" t="s">
        <v>1544</v>
      </c>
      <c r="K1165" s="8">
        <f>(F1165*I1165)/1000</f>
        <v>1856</v>
      </c>
      <c r="N1165" s="3"/>
      <c r="Q1165" s="4"/>
      <c r="AC1165" s="57">
        <f t="shared" si="99"/>
        <v>0</v>
      </c>
      <c r="AE1165" s="1" t="s">
        <v>325</v>
      </c>
    </row>
    <row r="1166" spans="6:31" ht="24" customHeight="1">
      <c r="H1166" s="1" t="s">
        <v>1952</v>
      </c>
      <c r="I1166" s="1" t="s">
        <v>995</v>
      </c>
      <c r="K1166" s="1" t="s">
        <v>995</v>
      </c>
      <c r="N1166" s="3"/>
      <c r="O1166" s="282" t="s">
        <v>1590</v>
      </c>
      <c r="Q1166" s="4"/>
      <c r="AC1166" s="57">
        <f t="shared" si="99"/>
        <v>0</v>
      </c>
    </row>
    <row r="1167" spans="6:31" ht="30" customHeight="1">
      <c r="F1167" s="8">
        <v>0.21</v>
      </c>
      <c r="G1167" s="7" t="s">
        <v>884</v>
      </c>
      <c r="H1167" s="1" t="s">
        <v>1953</v>
      </c>
      <c r="I1167" s="8">
        <f>(K32)</f>
        <v>3479.01</v>
      </c>
      <c r="J1167" s="1" t="s">
        <v>884</v>
      </c>
      <c r="K1167" s="8">
        <f>(F1167*I1167)</f>
        <v>730.59</v>
      </c>
      <c r="N1167" s="3"/>
      <c r="Q1167" s="4"/>
      <c r="AC1167" s="57" t="str">
        <f t="shared" si="99"/>
        <v>|</v>
      </c>
    </row>
    <row r="1168" spans="6:31" ht="24" customHeight="1">
      <c r="H1168" s="1" t="s">
        <v>1954</v>
      </c>
      <c r="I1168" s="1" t="s">
        <v>995</v>
      </c>
      <c r="K1168" s="1" t="s">
        <v>995</v>
      </c>
      <c r="N1168" s="3"/>
      <c r="Q1168" s="4"/>
      <c r="S1168" s="613" t="s">
        <v>3689</v>
      </c>
      <c r="T1168">
        <f>S1169*M1169</f>
        <v>6940.2</v>
      </c>
      <c r="AC1168" s="57" t="str">
        <f t="shared" si="99"/>
        <v>|</v>
      </c>
      <c r="AE1168" s="1" t="s">
        <v>2346</v>
      </c>
    </row>
    <row r="1169" spans="6:31" ht="24" customHeight="1">
      <c r="F1169" s="8">
        <v>1.1000000000000001</v>
      </c>
      <c r="G1169" s="7" t="s">
        <v>781</v>
      </c>
      <c r="H1169" s="1" t="s">
        <v>2082</v>
      </c>
      <c r="I1169" s="8">
        <f>(C10)</f>
        <v>430.5</v>
      </c>
      <c r="J1169" s="1" t="s">
        <v>781</v>
      </c>
      <c r="K1169" s="8">
        <f>(F1169*I1169)</f>
        <v>473.55</v>
      </c>
      <c r="M1169" s="8">
        <v>10</v>
      </c>
      <c r="N1169" s="7" t="s">
        <v>611</v>
      </c>
      <c r="O1169" s="1" t="s">
        <v>1399</v>
      </c>
      <c r="P1169" s="345">
        <v>531</v>
      </c>
      <c r="Q1169" s="2" t="s">
        <v>611</v>
      </c>
      <c r="R1169" s="8">
        <f>M1169*P1169</f>
        <v>5310</v>
      </c>
      <c r="S1169" s="56">
        <v>694.02</v>
      </c>
      <c r="T1169">
        <f>R1170</f>
        <v>730.59</v>
      </c>
      <c r="AC1169" s="57" t="str">
        <f t="shared" si="99"/>
        <v>|</v>
      </c>
      <c r="AE1169" s="1" t="s">
        <v>2346</v>
      </c>
    </row>
    <row r="1170" spans="6:31" ht="24" customHeight="1">
      <c r="F1170" s="8">
        <v>1.1000000000000001</v>
      </c>
      <c r="G1170" s="7" t="s">
        <v>781</v>
      </c>
      <c r="H1170" s="1" t="s">
        <v>1791</v>
      </c>
      <c r="I1170" s="8">
        <f>(C11)</f>
        <v>386.4</v>
      </c>
      <c r="J1170" s="1" t="s">
        <v>781</v>
      </c>
      <c r="K1170" s="8">
        <f>(F1170*I1170)</f>
        <v>425.04</v>
      </c>
      <c r="M1170" s="8">
        <v>0.21</v>
      </c>
      <c r="N1170" s="7" t="s">
        <v>884</v>
      </c>
      <c r="O1170" s="1" t="s">
        <v>1953</v>
      </c>
      <c r="P1170" s="8">
        <f>I1167</f>
        <v>3479.01</v>
      </c>
      <c r="Q1170" s="2" t="s">
        <v>884</v>
      </c>
      <c r="R1170" s="8">
        <f t="shared" ref="R1170:R1179" si="100">(M1170*P1170)</f>
        <v>730.59</v>
      </c>
      <c r="T1170">
        <f t="shared" ref="T1170:T1178" si="101">R1171</f>
        <v>473.55</v>
      </c>
      <c r="AC1170" s="57" t="str">
        <f t="shared" si="99"/>
        <v>|</v>
      </c>
      <c r="AE1170" s="1" t="s">
        <v>2346</v>
      </c>
    </row>
    <row r="1171" spans="6:31" ht="24" customHeight="1">
      <c r="F1171" s="8">
        <v>2.2000000000000002</v>
      </c>
      <c r="G1171" s="7" t="s">
        <v>781</v>
      </c>
      <c r="H1171" s="1" t="s">
        <v>1979</v>
      </c>
      <c r="I1171" s="8">
        <f>(C12)</f>
        <v>269.85000000000002</v>
      </c>
      <c r="J1171" s="1" t="s">
        <v>781</v>
      </c>
      <c r="K1171" s="8">
        <f>(F1171*I1171)</f>
        <v>593.66999999999996</v>
      </c>
      <c r="M1171" s="8">
        <v>1.1000000000000001</v>
      </c>
      <c r="N1171" s="7" t="s">
        <v>781</v>
      </c>
      <c r="O1171" s="1" t="s">
        <v>2082</v>
      </c>
      <c r="P1171" s="8">
        <f>I1169</f>
        <v>430.5</v>
      </c>
      <c r="Q1171" s="2" t="s">
        <v>781</v>
      </c>
      <c r="R1171" s="8">
        <f t="shared" si="100"/>
        <v>473.55</v>
      </c>
      <c r="T1171">
        <f t="shared" si="101"/>
        <v>425.04</v>
      </c>
      <c r="AC1171" s="57" t="str">
        <f t="shared" si="99"/>
        <v>|</v>
      </c>
      <c r="AE1171" s="1" t="s">
        <v>2346</v>
      </c>
    </row>
    <row r="1172" spans="6:31" ht="24" customHeight="1">
      <c r="F1172" s="8">
        <v>2.2000000000000002</v>
      </c>
      <c r="G1172" s="7" t="s">
        <v>781</v>
      </c>
      <c r="H1172" s="1" t="s">
        <v>324</v>
      </c>
      <c r="I1172" s="8">
        <f>(C13)</f>
        <v>243.6</v>
      </c>
      <c r="J1172" s="1" t="s">
        <v>781</v>
      </c>
      <c r="K1172" s="8">
        <f>(F1172*I1172)</f>
        <v>535.91999999999996</v>
      </c>
      <c r="M1172" s="8">
        <v>1.1000000000000001</v>
      </c>
      <c r="N1172" s="7" t="s">
        <v>781</v>
      </c>
      <c r="O1172" s="1" t="s">
        <v>1791</v>
      </c>
      <c r="P1172" s="8">
        <f>I1170</f>
        <v>386.4</v>
      </c>
      <c r="Q1172" s="2" t="s">
        <v>781</v>
      </c>
      <c r="R1172" s="8">
        <f t="shared" si="100"/>
        <v>425.04</v>
      </c>
      <c r="T1172">
        <f t="shared" si="101"/>
        <v>593.66999999999996</v>
      </c>
      <c r="AC1172" s="57" t="str">
        <f t="shared" si="99"/>
        <v>|</v>
      </c>
      <c r="AE1172" s="1" t="s">
        <v>2346</v>
      </c>
    </row>
    <row r="1173" spans="6:31" ht="24" customHeight="1">
      <c r="F1173" s="14">
        <v>22</v>
      </c>
      <c r="G1173" s="7" t="s">
        <v>1730</v>
      </c>
      <c r="H1173" s="1" t="s">
        <v>877</v>
      </c>
      <c r="I1173" s="8">
        <f>(C67)</f>
        <v>5600</v>
      </c>
      <c r="J1173" s="1" t="s">
        <v>876</v>
      </c>
      <c r="K1173" s="8">
        <f>(F1173*I1173)/1000</f>
        <v>123.2</v>
      </c>
      <c r="M1173" s="8">
        <v>2.2000000000000002</v>
      </c>
      <c r="N1173" s="7" t="s">
        <v>781</v>
      </c>
      <c r="O1173" s="1" t="s">
        <v>1979</v>
      </c>
      <c r="P1173" s="8">
        <f>I1171</f>
        <v>269.85000000000002</v>
      </c>
      <c r="Q1173" s="2" t="s">
        <v>781</v>
      </c>
      <c r="R1173" s="8">
        <f t="shared" si="100"/>
        <v>593.66999999999996</v>
      </c>
      <c r="T1173">
        <f t="shared" si="101"/>
        <v>535.91999999999996</v>
      </c>
      <c r="AC1173" s="57" t="str">
        <f t="shared" si="99"/>
        <v>|</v>
      </c>
      <c r="AE1173" s="1" t="s">
        <v>2346</v>
      </c>
    </row>
    <row r="1174" spans="6:31" ht="24" customHeight="1">
      <c r="F1174" s="8">
        <v>1.6</v>
      </c>
      <c r="G1174" s="7" t="s">
        <v>781</v>
      </c>
      <c r="H1174" s="1" t="s">
        <v>1791</v>
      </c>
      <c r="I1174" s="8">
        <f>(C11)</f>
        <v>386.4</v>
      </c>
      <c r="J1174" s="1" t="s">
        <v>781</v>
      </c>
      <c r="K1174" s="8">
        <f>(F1174*I1174)</f>
        <v>618.24</v>
      </c>
      <c r="M1174" s="8">
        <v>2.2000000000000002</v>
      </c>
      <c r="N1174" s="7" t="s">
        <v>781</v>
      </c>
      <c r="O1174" s="1" t="s">
        <v>324</v>
      </c>
      <c r="P1174" s="8">
        <f>I1172</f>
        <v>243.6</v>
      </c>
      <c r="Q1174" s="2" t="s">
        <v>781</v>
      </c>
      <c r="R1174" s="8">
        <f t="shared" si="100"/>
        <v>535.91999999999996</v>
      </c>
      <c r="T1174">
        <f t="shared" si="101"/>
        <v>112</v>
      </c>
      <c r="AC1174" s="57" t="str">
        <f t="shared" si="99"/>
        <v>|</v>
      </c>
      <c r="AE1174" s="1" t="s">
        <v>2346</v>
      </c>
    </row>
    <row r="1175" spans="6:31" ht="24" customHeight="1">
      <c r="F1175" s="8">
        <v>0.5</v>
      </c>
      <c r="G1175" s="7" t="s">
        <v>781</v>
      </c>
      <c r="H1175" s="1" t="s">
        <v>1979</v>
      </c>
      <c r="I1175" s="8">
        <f>(C12)</f>
        <v>269.85000000000002</v>
      </c>
      <c r="J1175" s="1" t="s">
        <v>781</v>
      </c>
      <c r="K1175" s="8">
        <f>(F1175*I1175)</f>
        <v>134.93</v>
      </c>
      <c r="M1175" s="14">
        <v>20</v>
      </c>
      <c r="N1175" s="7" t="s">
        <v>1730</v>
      </c>
      <c r="O1175" s="1" t="s">
        <v>877</v>
      </c>
      <c r="P1175" s="8">
        <f>I1173</f>
        <v>5600</v>
      </c>
      <c r="Q1175" s="2" t="s">
        <v>876</v>
      </c>
      <c r="R1175" s="8">
        <f>(M1175*P1175)/1000</f>
        <v>112</v>
      </c>
      <c r="T1175">
        <f t="shared" si="101"/>
        <v>49.66</v>
      </c>
      <c r="AC1175" s="57" t="str">
        <f t="shared" si="99"/>
        <v>|</v>
      </c>
      <c r="AE1175" s="1" t="s">
        <v>2346</v>
      </c>
    </row>
    <row r="1176" spans="6:31" ht="24" customHeight="1">
      <c r="F1176" s="8">
        <v>1.1000000000000001</v>
      </c>
      <c r="G1176" s="7" t="s">
        <v>781</v>
      </c>
      <c r="H1176" s="1" t="s">
        <v>324</v>
      </c>
      <c r="I1176" s="8">
        <f>(C13)</f>
        <v>243.6</v>
      </c>
      <c r="J1176" s="1" t="s">
        <v>781</v>
      </c>
      <c r="K1176" s="8">
        <f>(F1176*I1176)</f>
        <v>267.95999999999998</v>
      </c>
      <c r="M1176" s="14">
        <v>2</v>
      </c>
      <c r="N1176" s="7" t="s">
        <v>1730</v>
      </c>
      <c r="O1176" s="1" t="s">
        <v>1133</v>
      </c>
      <c r="P1176" s="207">
        <f>(23+26.65)/2</f>
        <v>24.83</v>
      </c>
      <c r="Q1176" s="2" t="s">
        <v>1730</v>
      </c>
      <c r="R1176" s="8">
        <f t="shared" si="100"/>
        <v>49.66</v>
      </c>
      <c r="T1176">
        <f t="shared" si="101"/>
        <v>618.24</v>
      </c>
      <c r="AC1176" s="57" t="str">
        <f t="shared" si="99"/>
        <v>|</v>
      </c>
      <c r="AE1176" s="1" t="s">
        <v>2346</v>
      </c>
    </row>
    <row r="1177" spans="6:31" ht="24" customHeight="1">
      <c r="F1177" s="1" t="s">
        <v>246</v>
      </c>
      <c r="H1177" s="1" t="s">
        <v>1955</v>
      </c>
      <c r="I1177" s="1" t="s">
        <v>995</v>
      </c>
      <c r="K1177" s="1" t="s">
        <v>995</v>
      </c>
      <c r="M1177" s="8">
        <v>1.6</v>
      </c>
      <c r="N1177" s="7" t="s">
        <v>781</v>
      </c>
      <c r="O1177" s="1" t="s">
        <v>1791</v>
      </c>
      <c r="P1177" s="8">
        <f>P1172</f>
        <v>386.4</v>
      </c>
      <c r="Q1177" s="2" t="s">
        <v>781</v>
      </c>
      <c r="R1177" s="8">
        <f t="shared" si="100"/>
        <v>618.24</v>
      </c>
      <c r="T1177">
        <f t="shared" si="101"/>
        <v>134.93</v>
      </c>
      <c r="AC1177" s="57" t="str">
        <f t="shared" si="99"/>
        <v>|</v>
      </c>
      <c r="AE1177" s="1" t="s">
        <v>2346</v>
      </c>
    </row>
    <row r="1178" spans="6:31" ht="24" customHeight="1">
      <c r="F1178" s="8">
        <v>1</v>
      </c>
      <c r="G1178" s="7" t="s">
        <v>448</v>
      </c>
      <c r="H1178" s="1" t="s">
        <v>1956</v>
      </c>
      <c r="I1178" s="8">
        <f>(C57)</f>
        <v>35</v>
      </c>
      <c r="J1178" s="1" t="s">
        <v>448</v>
      </c>
      <c r="K1178" s="8">
        <f>(F1178*I1178)</f>
        <v>35</v>
      </c>
      <c r="M1178" s="8">
        <v>0.5</v>
      </c>
      <c r="N1178" s="7" t="s">
        <v>781</v>
      </c>
      <c r="O1178" s="1" t="s">
        <v>1979</v>
      </c>
      <c r="P1178" s="8">
        <f>P1173</f>
        <v>269.85000000000002</v>
      </c>
      <c r="Q1178" s="2" t="s">
        <v>781</v>
      </c>
      <c r="R1178" s="8">
        <f t="shared" si="100"/>
        <v>134.93</v>
      </c>
      <c r="T1178">
        <f t="shared" si="101"/>
        <v>267.95999999999998</v>
      </c>
      <c r="AC1178" s="57" t="str">
        <f t="shared" si="99"/>
        <v>|</v>
      </c>
      <c r="AE1178" s="1" t="s">
        <v>2346</v>
      </c>
    </row>
    <row r="1179" spans="6:31" ht="24" customHeight="1">
      <c r="F1179" s="8">
        <v>1</v>
      </c>
      <c r="G1179" s="7" t="s">
        <v>448</v>
      </c>
      <c r="H1179" s="1" t="s">
        <v>1957</v>
      </c>
      <c r="I1179" s="8">
        <f>(C58)</f>
        <v>15</v>
      </c>
      <c r="J1179" s="1" t="s">
        <v>448</v>
      </c>
      <c r="K1179" s="8">
        <f>(F1179*I1179)</f>
        <v>15</v>
      </c>
      <c r="M1179" s="8">
        <v>1.1000000000000001</v>
      </c>
      <c r="N1179" s="7" t="s">
        <v>781</v>
      </c>
      <c r="O1179" s="1" t="s">
        <v>324</v>
      </c>
      <c r="P1179" s="8">
        <f>P1174</f>
        <v>243.6</v>
      </c>
      <c r="Q1179" s="2" t="s">
        <v>781</v>
      </c>
      <c r="R1179" s="8">
        <f t="shared" si="100"/>
        <v>267.95999999999998</v>
      </c>
      <c r="T1179">
        <v>2.74</v>
      </c>
      <c r="AC1179" s="57" t="str">
        <f t="shared" si="99"/>
        <v>|</v>
      </c>
      <c r="AE1179" s="1" t="s">
        <v>2346</v>
      </c>
    </row>
    <row r="1180" spans="6:31" ht="24" customHeight="1">
      <c r="F1180" s="8">
        <v>1</v>
      </c>
      <c r="G1180" s="7" t="s">
        <v>448</v>
      </c>
      <c r="H1180" s="1" t="s">
        <v>180</v>
      </c>
      <c r="I1180" s="8">
        <f>(C28)</f>
        <v>80.67</v>
      </c>
      <c r="J1180" s="1" t="s">
        <v>448</v>
      </c>
      <c r="K1180" s="8">
        <f>(F1180*I1180)</f>
        <v>80.67</v>
      </c>
      <c r="N1180" s="7" t="s">
        <v>448</v>
      </c>
      <c r="O1180" s="1" t="s">
        <v>449</v>
      </c>
      <c r="Q1180" s="2" t="s">
        <v>448</v>
      </c>
      <c r="R1180" s="8">
        <v>2.74</v>
      </c>
      <c r="S1180" s="56">
        <f>3.27-0.52</f>
        <v>2.75</v>
      </c>
      <c r="AC1180" s="57" t="str">
        <f t="shared" si="99"/>
        <v>|</v>
      </c>
      <c r="AE1180" s="1" t="s">
        <v>2346</v>
      </c>
    </row>
    <row r="1181" spans="6:31" ht="24" customHeight="1">
      <c r="F1181" s="8">
        <v>1.1000000000000001</v>
      </c>
      <c r="G1181" s="7" t="s">
        <v>781</v>
      </c>
      <c r="H1181" s="1" t="s">
        <v>871</v>
      </c>
      <c r="I1181" s="8">
        <f>(C29)</f>
        <v>332.85</v>
      </c>
      <c r="J1181" s="1" t="s">
        <v>781</v>
      </c>
      <c r="K1181" s="8">
        <f>(F1181*I1181)</f>
        <v>366.14</v>
      </c>
      <c r="N1181" s="3"/>
      <c r="Q1181" s="4"/>
      <c r="R1181" s="5" t="s">
        <v>1667</v>
      </c>
      <c r="T1181" s="8">
        <f>SUM(T1168:T1180)</f>
        <v>10884.5</v>
      </c>
      <c r="AC1181" s="57" t="str">
        <f t="shared" si="99"/>
        <v>|</v>
      </c>
      <c r="AE1181" s="1" t="s">
        <v>2346</v>
      </c>
    </row>
    <row r="1182" spans="6:31" ht="24" customHeight="1">
      <c r="F1182" s="8">
        <v>2.2000000000000002</v>
      </c>
      <c r="G1182" s="7" t="s">
        <v>781</v>
      </c>
      <c r="H1182" s="1" t="s">
        <v>872</v>
      </c>
      <c r="I1182" s="8">
        <f>(C13)</f>
        <v>243.6</v>
      </c>
      <c r="J1182" s="1" t="s">
        <v>781</v>
      </c>
      <c r="K1182" s="8">
        <f>(F1182*I1182)</f>
        <v>535.91999999999996</v>
      </c>
      <c r="N1182" s="3"/>
      <c r="O1182" s="1" t="s">
        <v>440</v>
      </c>
      <c r="Q1182" s="4"/>
      <c r="R1182" s="8">
        <f>SUM(R1169:R1180)</f>
        <v>9254.2999999999993</v>
      </c>
      <c r="AC1182" s="57" t="str">
        <f t="shared" si="99"/>
        <v>|</v>
      </c>
      <c r="AE1182" s="1" t="s">
        <v>2346</v>
      </c>
    </row>
    <row r="1183" spans="6:31" ht="24" customHeight="1">
      <c r="G1183" s="7" t="s">
        <v>448</v>
      </c>
      <c r="H1183" s="1" t="s">
        <v>449</v>
      </c>
      <c r="J1183" s="1" t="s">
        <v>448</v>
      </c>
      <c r="K1183" s="8">
        <v>0</v>
      </c>
      <c r="N1183" s="3"/>
      <c r="Q1183" s="4"/>
      <c r="R1183" s="5" t="s">
        <v>1667</v>
      </c>
      <c r="T1183" s="40">
        <f>(T1181/10)</f>
        <v>1088.45</v>
      </c>
      <c r="AC1183" s="57" t="str">
        <f t="shared" si="99"/>
        <v>|</v>
      </c>
      <c r="AE1183" s="1" t="s">
        <v>2346</v>
      </c>
    </row>
    <row r="1184" spans="6:31" ht="24" customHeight="1">
      <c r="K1184" s="5" t="s">
        <v>1667</v>
      </c>
      <c r="N1184" s="3"/>
      <c r="O1184" s="35" t="s">
        <v>555</v>
      </c>
      <c r="Q1184" s="4"/>
      <c r="R1184" s="40">
        <f>(R1182/10)</f>
        <v>925.43</v>
      </c>
      <c r="S1184" s="56">
        <f>R1184-975.62</f>
        <v>-50.19</v>
      </c>
      <c r="AC1184" s="57" t="str">
        <f t="shared" si="99"/>
        <v>|</v>
      </c>
      <c r="AE1184" s="1" t="s">
        <v>2346</v>
      </c>
    </row>
    <row r="1185" spans="6:31" ht="24" customHeight="1">
      <c r="H1185" s="1" t="s">
        <v>440</v>
      </c>
      <c r="K1185" s="8">
        <f>SUM(K1165:K1183)</f>
        <v>6791.83</v>
      </c>
      <c r="N1185" s="3"/>
      <c r="Q1185" s="4"/>
      <c r="R1185" s="5" t="s">
        <v>2130</v>
      </c>
      <c r="AC1185" s="57" t="str">
        <f t="shared" si="99"/>
        <v>|</v>
      </c>
      <c r="AE1185" s="1" t="s">
        <v>2346</v>
      </c>
    </row>
    <row r="1186" spans="6:31" ht="24" customHeight="1">
      <c r="K1186" s="5" t="s">
        <v>1667</v>
      </c>
      <c r="N1186" s="3"/>
      <c r="Q1186" s="4"/>
      <c r="AC1186" s="57">
        <f t="shared" si="99"/>
        <v>0</v>
      </c>
      <c r="AE1186" s="1" t="s">
        <v>2346</v>
      </c>
    </row>
    <row r="1187" spans="6:31" ht="24" customHeight="1">
      <c r="F1187" s="1" t="s">
        <v>995</v>
      </c>
      <c r="N1187" s="3"/>
      <c r="Q1187" s="4"/>
      <c r="T1187" s="3"/>
      <c r="U1187" s="282" t="s">
        <v>616</v>
      </c>
      <c r="W1187" s="4"/>
      <c r="AC1187" s="57" t="str">
        <f t="shared" si="99"/>
        <v>|</v>
      </c>
    </row>
    <row r="1188" spans="6:31" ht="24" customHeight="1">
      <c r="H1188" s="64" t="s">
        <v>555</v>
      </c>
      <c r="K1188" s="40">
        <f>(K1185/10)</f>
        <v>679.18</v>
      </c>
      <c r="N1188" s="3"/>
      <c r="O1188" s="282" t="s">
        <v>664</v>
      </c>
      <c r="Q1188" s="4"/>
      <c r="T1188" s="3"/>
      <c r="W1188" s="4"/>
      <c r="AC1188" s="57">
        <f t="shared" si="99"/>
        <v>0</v>
      </c>
      <c r="AE1188" s="1" t="s">
        <v>2346</v>
      </c>
    </row>
    <row r="1189" spans="6:31" ht="24" customHeight="1">
      <c r="F1189" s="1" t="s">
        <v>995</v>
      </c>
      <c r="N1189" s="3"/>
      <c r="Q1189" s="4"/>
      <c r="T1189" s="3"/>
      <c r="W1189" s="4"/>
      <c r="AC1189" s="57" t="str">
        <f t="shared" si="99"/>
        <v>|</v>
      </c>
    </row>
    <row r="1190" spans="6:31" ht="24" customHeight="1">
      <c r="K1190" s="5" t="s">
        <v>2130</v>
      </c>
      <c r="M1190" s="537"/>
      <c r="N1190" s="538"/>
      <c r="O1190" s="537"/>
      <c r="P1190" s="537"/>
      <c r="Q1190" s="4"/>
      <c r="T1190" s="7" t="s">
        <v>611</v>
      </c>
      <c r="U1190" s="1" t="s">
        <v>665</v>
      </c>
      <c r="V1190" s="6">
        <v>412</v>
      </c>
      <c r="W1190" s="2" t="s">
        <v>611</v>
      </c>
      <c r="X1190" s="8">
        <f>S1191*V1190</f>
        <v>4120</v>
      </c>
      <c r="Y1190" s="26">
        <v>29.5</v>
      </c>
      <c r="Z1190" s="7" t="s">
        <v>2338</v>
      </c>
      <c r="AA1190" s="11"/>
      <c r="AC1190" s="57" t="str">
        <f t="shared" si="99"/>
        <v>|</v>
      </c>
      <c r="AE1190" s="1" t="s">
        <v>2346</v>
      </c>
    </row>
    <row r="1191" spans="6:31" ht="24" customHeight="1">
      <c r="F1191" s="26">
        <v>29.5</v>
      </c>
      <c r="G1191" s="7" t="s">
        <v>2338</v>
      </c>
      <c r="H1191" s="1" t="s">
        <v>1891</v>
      </c>
      <c r="M1191" s="539">
        <v>10</v>
      </c>
      <c r="N1191" s="540" t="s">
        <v>611</v>
      </c>
      <c r="O1191" s="541" t="s">
        <v>1614</v>
      </c>
      <c r="P1191" s="542">
        <v>990</v>
      </c>
      <c r="Q1191" s="2" t="s">
        <v>611</v>
      </c>
      <c r="R1191" s="8">
        <f>M1191*P1191</f>
        <v>9900</v>
      </c>
      <c r="S1191" s="14">
        <v>10</v>
      </c>
      <c r="T1191" s="7" t="s">
        <v>884</v>
      </c>
      <c r="U1191" s="1" t="s">
        <v>1953</v>
      </c>
      <c r="V1191" s="8">
        <f>P1192</f>
        <v>3479.01</v>
      </c>
      <c r="W1191" s="2" t="s">
        <v>884</v>
      </c>
      <c r="X1191" s="8">
        <f>(S1192*V1191)</f>
        <v>730.59</v>
      </c>
      <c r="Z1191" s="3"/>
      <c r="AA1191" s="11"/>
      <c r="AC1191" s="57" t="str">
        <f t="shared" si="99"/>
        <v>|</v>
      </c>
      <c r="AE1191" s="1" t="s">
        <v>2346</v>
      </c>
    </row>
    <row r="1192" spans="6:31" ht="24" customHeight="1">
      <c r="H1192" s="1" t="s">
        <v>873</v>
      </c>
      <c r="M1192" s="8">
        <v>0.21</v>
      </c>
      <c r="N1192" s="7" t="s">
        <v>884</v>
      </c>
      <c r="O1192" s="1" t="s">
        <v>1953</v>
      </c>
      <c r="P1192" s="8">
        <f>P1170</f>
        <v>3479.01</v>
      </c>
      <c r="Q1192" s="2" t="s">
        <v>884</v>
      </c>
      <c r="R1192" s="8">
        <f t="shared" ref="R1192:R1201" si="102">(M1192*P1192)</f>
        <v>730.59</v>
      </c>
      <c r="S1192" s="14">
        <v>0.21</v>
      </c>
      <c r="T1192" s="7" t="s">
        <v>781</v>
      </c>
      <c r="U1192" s="1" t="s">
        <v>2082</v>
      </c>
      <c r="V1192" s="8">
        <f t="shared" ref="V1192:V1200" si="103">P1193</f>
        <v>430.5</v>
      </c>
      <c r="W1192" s="2" t="s">
        <v>781</v>
      </c>
      <c r="X1192" s="8">
        <f>(S1193*V1192)</f>
        <v>473.55</v>
      </c>
      <c r="Z1192" s="3"/>
      <c r="AA1192" s="11"/>
      <c r="AC1192" s="57" t="str">
        <f t="shared" si="99"/>
        <v>|</v>
      </c>
      <c r="AE1192" s="1" t="s">
        <v>2346</v>
      </c>
    </row>
    <row r="1193" spans="6:31" ht="24" customHeight="1">
      <c r="H1193" s="1" t="s">
        <v>2012</v>
      </c>
      <c r="M1193" s="8">
        <v>1.1000000000000001</v>
      </c>
      <c r="N1193" s="7" t="s">
        <v>781</v>
      </c>
      <c r="O1193" s="1" t="s">
        <v>2082</v>
      </c>
      <c r="P1193" s="8">
        <f t="shared" ref="P1193:P1201" si="104">P1171</f>
        <v>430.5</v>
      </c>
      <c r="Q1193" s="2" t="s">
        <v>781</v>
      </c>
      <c r="R1193" s="8">
        <f t="shared" si="102"/>
        <v>473.55</v>
      </c>
      <c r="S1193" s="14">
        <v>1.1000000000000001</v>
      </c>
      <c r="T1193" s="7" t="s">
        <v>781</v>
      </c>
      <c r="U1193" s="1" t="s">
        <v>1791</v>
      </c>
      <c r="V1193" s="8">
        <f t="shared" si="103"/>
        <v>386.4</v>
      </c>
      <c r="W1193" s="2" t="s">
        <v>781</v>
      </c>
      <c r="X1193" s="8">
        <f>(S1194*V1193)</f>
        <v>425.04</v>
      </c>
      <c r="Z1193" s="3"/>
      <c r="AA1193" s="11"/>
      <c r="AC1193" s="57" t="str">
        <f t="shared" si="99"/>
        <v>|</v>
      </c>
      <c r="AE1193" s="1" t="s">
        <v>2346</v>
      </c>
    </row>
    <row r="1194" spans="6:31" ht="24" customHeight="1">
      <c r="H1194" s="5" t="s">
        <v>1667</v>
      </c>
      <c r="I1194" s="5" t="s">
        <v>1667</v>
      </c>
      <c r="M1194" s="8">
        <v>1.1000000000000001</v>
      </c>
      <c r="N1194" s="7" t="s">
        <v>781</v>
      </c>
      <c r="O1194" s="1" t="s">
        <v>1791</v>
      </c>
      <c r="P1194" s="8">
        <f t="shared" si="104"/>
        <v>386.4</v>
      </c>
      <c r="Q1194" s="2" t="s">
        <v>781</v>
      </c>
      <c r="R1194" s="8">
        <f t="shared" si="102"/>
        <v>425.04</v>
      </c>
      <c r="S1194" s="14">
        <v>1.1000000000000001</v>
      </c>
      <c r="T1194" s="7" t="s">
        <v>781</v>
      </c>
      <c r="U1194" s="1" t="s">
        <v>1979</v>
      </c>
      <c r="V1194" s="8">
        <f t="shared" si="103"/>
        <v>269.85000000000002</v>
      </c>
      <c r="W1194" s="2" t="s">
        <v>781</v>
      </c>
      <c r="X1194" s="8">
        <f>(S1195*V1194)</f>
        <v>593.66999999999996</v>
      </c>
      <c r="Y1194" s="8">
        <v>10</v>
      </c>
      <c r="Z1194" s="7" t="s">
        <v>611</v>
      </c>
      <c r="AA1194" s="1" t="s">
        <v>611</v>
      </c>
      <c r="AB1194" s="8" t="e">
        <f>(Y1194*#REF!)</f>
        <v>#REF!</v>
      </c>
      <c r="AC1194" s="614" t="s">
        <v>3718</v>
      </c>
      <c r="AE1194" s="1" t="s">
        <v>2346</v>
      </c>
    </row>
    <row r="1195" spans="6:31" ht="24" customHeight="1">
      <c r="F1195" s="8">
        <v>10</v>
      </c>
      <c r="G1195" s="7" t="s">
        <v>611</v>
      </c>
      <c r="H1195" s="1" t="s">
        <v>2013</v>
      </c>
      <c r="I1195" s="69">
        <f>C578</f>
        <v>390.5</v>
      </c>
      <c r="J1195" s="1" t="s">
        <v>611</v>
      </c>
      <c r="K1195" s="8">
        <f>(F1195*I1195)</f>
        <v>3905</v>
      </c>
      <c r="M1195" s="8">
        <v>2.2000000000000002</v>
      </c>
      <c r="N1195" s="7" t="s">
        <v>781</v>
      </c>
      <c r="O1195" s="1" t="s">
        <v>1979</v>
      </c>
      <c r="P1195" s="8">
        <f t="shared" si="104"/>
        <v>269.85000000000002</v>
      </c>
      <c r="Q1195" s="2" t="s">
        <v>781</v>
      </c>
      <c r="R1195" s="8">
        <f t="shared" si="102"/>
        <v>593.66999999999996</v>
      </c>
      <c r="S1195" s="14">
        <v>2.2000000000000002</v>
      </c>
      <c r="T1195" s="7" t="s">
        <v>781</v>
      </c>
      <c r="U1195" s="1" t="s">
        <v>324</v>
      </c>
      <c r="V1195" s="8">
        <f t="shared" si="103"/>
        <v>243.6</v>
      </c>
      <c r="W1195" s="2" t="s">
        <v>781</v>
      </c>
      <c r="X1195" s="8">
        <f>(S1196*V1195)</f>
        <v>535.91999999999996</v>
      </c>
      <c r="Y1195" s="8">
        <v>0.21</v>
      </c>
      <c r="Z1195" s="7" t="s">
        <v>884</v>
      </c>
      <c r="AA1195" s="1" t="s">
        <v>884</v>
      </c>
      <c r="AB1195" s="8" t="e">
        <f>(Y1195*#REF!)</f>
        <v>#REF!</v>
      </c>
      <c r="AC1195" s="57" t="str">
        <f t="shared" si="99"/>
        <v>|</v>
      </c>
      <c r="AE1195" s="1" t="s">
        <v>2346</v>
      </c>
    </row>
    <row r="1196" spans="6:31" ht="24" customHeight="1">
      <c r="F1196" s="8">
        <v>0.21</v>
      </c>
      <c r="G1196" s="7" t="s">
        <v>884</v>
      </c>
      <c r="H1196" s="1" t="s">
        <v>1953</v>
      </c>
      <c r="I1196" s="8">
        <f>(K32)</f>
        <v>3479.01</v>
      </c>
      <c r="J1196" s="1" t="s">
        <v>884</v>
      </c>
      <c r="K1196" s="8">
        <f>(F1196*I1196)</f>
        <v>730.59</v>
      </c>
      <c r="M1196" s="8">
        <v>2.2000000000000002</v>
      </c>
      <c r="N1196" s="7" t="s">
        <v>781</v>
      </c>
      <c r="O1196" s="1" t="s">
        <v>324</v>
      </c>
      <c r="P1196" s="8">
        <f t="shared" si="104"/>
        <v>243.6</v>
      </c>
      <c r="Q1196" s="2" t="s">
        <v>781</v>
      </c>
      <c r="R1196" s="8">
        <f t="shared" si="102"/>
        <v>535.91999999999996</v>
      </c>
      <c r="S1196" s="14">
        <v>2.2000000000000002</v>
      </c>
      <c r="T1196" s="7" t="s">
        <v>1730</v>
      </c>
      <c r="U1196" s="1" t="s">
        <v>877</v>
      </c>
      <c r="V1196" s="8">
        <f t="shared" si="103"/>
        <v>5600</v>
      </c>
      <c r="W1196" s="2" t="s">
        <v>876</v>
      </c>
      <c r="X1196" s="8">
        <f>(S1197*V1196)/1000</f>
        <v>112</v>
      </c>
      <c r="Z1196" s="3"/>
      <c r="AA1196" s="11"/>
      <c r="AB1196" s="1" t="s">
        <v>995</v>
      </c>
      <c r="AC1196" s="57" t="str">
        <f t="shared" si="99"/>
        <v>|</v>
      </c>
      <c r="AE1196" s="1" t="s">
        <v>2346</v>
      </c>
    </row>
    <row r="1197" spans="6:31" ht="24" customHeight="1">
      <c r="H1197" s="1" t="s">
        <v>1954</v>
      </c>
      <c r="I1197" s="1" t="s">
        <v>995</v>
      </c>
      <c r="K1197" s="1" t="s">
        <v>995</v>
      </c>
      <c r="M1197" s="14">
        <v>20</v>
      </c>
      <c r="N1197" s="7" t="s">
        <v>1730</v>
      </c>
      <c r="O1197" s="1" t="s">
        <v>877</v>
      </c>
      <c r="P1197" s="8">
        <f t="shared" si="104"/>
        <v>5600</v>
      </c>
      <c r="Q1197" s="2" t="s">
        <v>876</v>
      </c>
      <c r="R1197" s="8">
        <f>(M1197*P1197)/1000</f>
        <v>112</v>
      </c>
      <c r="S1197" s="14">
        <v>20</v>
      </c>
      <c r="T1197" s="7" t="s">
        <v>1730</v>
      </c>
      <c r="U1197" s="1" t="s">
        <v>1591</v>
      </c>
      <c r="V1197" s="8">
        <f t="shared" si="103"/>
        <v>35</v>
      </c>
      <c r="W1197" s="2" t="s">
        <v>1730</v>
      </c>
      <c r="X1197" s="8">
        <f>(S1198*V1197)</f>
        <v>70</v>
      </c>
      <c r="Y1197" s="8">
        <v>1.1000000000000001</v>
      </c>
      <c r="Z1197" s="7" t="s">
        <v>781</v>
      </c>
      <c r="AA1197" s="1" t="s">
        <v>781</v>
      </c>
      <c r="AB1197" s="8" t="e">
        <f>(Y1197*#REF!)</f>
        <v>#REF!</v>
      </c>
      <c r="AC1197" s="57" t="str">
        <f t="shared" si="99"/>
        <v>|</v>
      </c>
      <c r="AE1197" s="1" t="s">
        <v>2346</v>
      </c>
    </row>
    <row r="1198" spans="6:31" ht="24" customHeight="1">
      <c r="F1198" s="8">
        <v>1.1000000000000001</v>
      </c>
      <c r="G1198" s="7" t="s">
        <v>781</v>
      </c>
      <c r="H1198" s="1" t="s">
        <v>2082</v>
      </c>
      <c r="I1198" s="8">
        <f>(C10)</f>
        <v>430.5</v>
      </c>
      <c r="J1198" s="1" t="s">
        <v>781</v>
      </c>
      <c r="K1198" s="8">
        <f>(F1198*I1198)</f>
        <v>473.55</v>
      </c>
      <c r="M1198" s="14">
        <v>2</v>
      </c>
      <c r="N1198" s="7" t="s">
        <v>1730</v>
      </c>
      <c r="O1198" s="1" t="s">
        <v>1591</v>
      </c>
      <c r="P1198" s="8">
        <f>I1203</f>
        <v>35</v>
      </c>
      <c r="Q1198" s="2" t="s">
        <v>1730</v>
      </c>
      <c r="R1198" s="8">
        <f t="shared" si="102"/>
        <v>70</v>
      </c>
      <c r="S1198" s="14">
        <v>2</v>
      </c>
      <c r="T1198" s="7" t="s">
        <v>781</v>
      </c>
      <c r="U1198" s="1" t="s">
        <v>1791</v>
      </c>
      <c r="V1198" s="8">
        <f t="shared" si="103"/>
        <v>386.4</v>
      </c>
      <c r="W1198" s="2" t="s">
        <v>781</v>
      </c>
      <c r="X1198" s="8">
        <f>(S1199*V1198)</f>
        <v>618.24</v>
      </c>
      <c r="Y1198" s="8">
        <v>1.1000000000000001</v>
      </c>
      <c r="Z1198" s="7" t="s">
        <v>781</v>
      </c>
      <c r="AA1198" s="1" t="s">
        <v>781</v>
      </c>
      <c r="AB1198" s="8" t="e">
        <f>(Y1198*#REF!)</f>
        <v>#REF!</v>
      </c>
      <c r="AC1198" s="57" t="str">
        <f t="shared" si="99"/>
        <v>|</v>
      </c>
      <c r="AE1198" s="1" t="s">
        <v>2346</v>
      </c>
    </row>
    <row r="1199" spans="6:31" ht="24" customHeight="1">
      <c r="F1199" s="8">
        <v>1.1000000000000001</v>
      </c>
      <c r="G1199" s="7" t="s">
        <v>781</v>
      </c>
      <c r="H1199" s="1" t="s">
        <v>1791</v>
      </c>
      <c r="I1199" s="8">
        <f>(C11)</f>
        <v>386.4</v>
      </c>
      <c r="J1199" s="1" t="s">
        <v>781</v>
      </c>
      <c r="K1199" s="8">
        <f>(F1199*I1199)</f>
        <v>425.04</v>
      </c>
      <c r="M1199" s="8">
        <v>1.6</v>
      </c>
      <c r="N1199" s="7" t="s">
        <v>781</v>
      </c>
      <c r="O1199" s="1" t="s">
        <v>1791</v>
      </c>
      <c r="P1199" s="8">
        <f t="shared" si="104"/>
        <v>386.4</v>
      </c>
      <c r="Q1199" s="2" t="s">
        <v>781</v>
      </c>
      <c r="R1199" s="8">
        <f t="shared" si="102"/>
        <v>618.24</v>
      </c>
      <c r="S1199" s="14">
        <v>1.6</v>
      </c>
      <c r="T1199" s="7" t="s">
        <v>781</v>
      </c>
      <c r="U1199" s="1" t="s">
        <v>1979</v>
      </c>
      <c r="V1199" s="8">
        <f t="shared" si="103"/>
        <v>269.85000000000002</v>
      </c>
      <c r="W1199" s="2" t="s">
        <v>781</v>
      </c>
      <c r="X1199" s="8">
        <f>(S1200*V1199)</f>
        <v>134.93</v>
      </c>
      <c r="Y1199" s="8">
        <v>2.2000000000000002</v>
      </c>
      <c r="Z1199" s="7" t="s">
        <v>781</v>
      </c>
      <c r="AA1199" s="1" t="s">
        <v>781</v>
      </c>
      <c r="AB1199" s="8" t="e">
        <f>(Y1199*#REF!)</f>
        <v>#REF!</v>
      </c>
      <c r="AC1199" s="57" t="str">
        <f t="shared" si="99"/>
        <v>|</v>
      </c>
      <c r="AE1199" s="1" t="s">
        <v>2346</v>
      </c>
    </row>
    <row r="1200" spans="6:31" ht="24" customHeight="1">
      <c r="F1200" s="8">
        <v>2.2000000000000002</v>
      </c>
      <c r="G1200" s="7" t="s">
        <v>781</v>
      </c>
      <c r="H1200" s="1" t="s">
        <v>1979</v>
      </c>
      <c r="I1200" s="8">
        <f>(C12)</f>
        <v>269.85000000000002</v>
      </c>
      <c r="J1200" s="1" t="s">
        <v>781</v>
      </c>
      <c r="K1200" s="8">
        <f>(F1200*I1200)</f>
        <v>593.66999999999996</v>
      </c>
      <c r="M1200" s="8">
        <v>0.5</v>
      </c>
      <c r="N1200" s="7" t="s">
        <v>781</v>
      </c>
      <c r="O1200" s="1" t="s">
        <v>1979</v>
      </c>
      <c r="P1200" s="8">
        <f t="shared" si="104"/>
        <v>269.85000000000002</v>
      </c>
      <c r="Q1200" s="2" t="s">
        <v>781</v>
      </c>
      <c r="R1200" s="8">
        <f t="shared" si="102"/>
        <v>134.93</v>
      </c>
      <c r="S1200" s="14">
        <v>0.5</v>
      </c>
      <c r="T1200" s="7" t="s">
        <v>781</v>
      </c>
      <c r="U1200" s="1" t="s">
        <v>324</v>
      </c>
      <c r="V1200" s="8">
        <f t="shared" si="103"/>
        <v>243.6</v>
      </c>
      <c r="W1200" s="2" t="s">
        <v>781</v>
      </c>
      <c r="X1200" s="8">
        <f>(S1201*V1200)</f>
        <v>267.95999999999998</v>
      </c>
      <c r="Y1200" s="8">
        <v>2.2000000000000002</v>
      </c>
      <c r="Z1200" s="7" t="s">
        <v>781</v>
      </c>
      <c r="AA1200" s="1" t="s">
        <v>781</v>
      </c>
      <c r="AB1200" s="8" t="e">
        <f>(Y1200*#REF!)</f>
        <v>#REF!</v>
      </c>
      <c r="AC1200" s="57">
        <f t="shared" si="99"/>
        <v>0</v>
      </c>
      <c r="AE1200" s="1" t="s">
        <v>2346</v>
      </c>
    </row>
    <row r="1201" spans="6:31" ht="24" customHeight="1">
      <c r="F1201" s="8">
        <v>2.2000000000000002</v>
      </c>
      <c r="G1201" s="7" t="s">
        <v>781</v>
      </c>
      <c r="H1201" s="1" t="s">
        <v>324</v>
      </c>
      <c r="I1201" s="8">
        <f>(C13)</f>
        <v>243.6</v>
      </c>
      <c r="J1201" s="1" t="s">
        <v>781</v>
      </c>
      <c r="K1201" s="8">
        <f>(F1201*I1201)</f>
        <v>535.91999999999996</v>
      </c>
      <c r="M1201" s="8">
        <v>1.1000000000000001</v>
      </c>
      <c r="N1201" s="7" t="s">
        <v>781</v>
      </c>
      <c r="O1201" s="1" t="s">
        <v>324</v>
      </c>
      <c r="P1201" s="8">
        <f t="shared" si="104"/>
        <v>243.6</v>
      </c>
      <c r="Q1201" s="2" t="s">
        <v>781</v>
      </c>
      <c r="R1201" s="8">
        <f t="shared" si="102"/>
        <v>267.95999999999998</v>
      </c>
      <c r="S1201" s="14">
        <v>1.1000000000000001</v>
      </c>
      <c r="T1201" s="7" t="s">
        <v>448</v>
      </c>
      <c r="U1201" s="1" t="s">
        <v>449</v>
      </c>
      <c r="W1201" s="2" t="s">
        <v>448</v>
      </c>
      <c r="X1201" s="8">
        <v>7.0000000000000007E-2</v>
      </c>
      <c r="Y1201" s="14">
        <v>20</v>
      </c>
      <c r="Z1201" s="7" t="s">
        <v>1730</v>
      </c>
      <c r="AA1201" s="1" t="s">
        <v>876</v>
      </c>
      <c r="AB1201" s="8" t="e">
        <f>(Y1201*#REF!)/1000</f>
        <v>#REF!</v>
      </c>
      <c r="AC1201" s="57">
        <f t="shared" si="99"/>
        <v>0</v>
      </c>
    </row>
    <row r="1202" spans="6:31" ht="24" customHeight="1">
      <c r="F1202" s="14">
        <v>20</v>
      </c>
      <c r="G1202" s="7" t="s">
        <v>1730</v>
      </c>
      <c r="H1202" s="1" t="s">
        <v>877</v>
      </c>
      <c r="I1202" s="8">
        <f>(C67)</f>
        <v>5600</v>
      </c>
      <c r="J1202" s="1" t="s">
        <v>876</v>
      </c>
      <c r="K1202" s="8">
        <f>(F1202*I1202)/1000</f>
        <v>112</v>
      </c>
      <c r="N1202" s="7" t="s">
        <v>448</v>
      </c>
      <c r="O1202" s="1" t="s">
        <v>449</v>
      </c>
      <c r="Q1202" s="2" t="s">
        <v>448</v>
      </c>
      <c r="R1202" s="8">
        <v>0</v>
      </c>
      <c r="T1202" s="3"/>
      <c r="W1202" s="4"/>
      <c r="X1202" s="5" t="s">
        <v>1667</v>
      </c>
      <c r="Y1202" s="14">
        <v>2</v>
      </c>
      <c r="Z1202" s="7" t="s">
        <v>1730</v>
      </c>
      <c r="AA1202" s="1" t="s">
        <v>1730</v>
      </c>
      <c r="AB1202" s="8" t="e">
        <f>(Y1202*#REF!)</f>
        <v>#REF!</v>
      </c>
      <c r="AC1202" s="57" t="str">
        <f t="shared" si="99"/>
        <v/>
      </c>
    </row>
    <row r="1203" spans="6:31" ht="24" customHeight="1">
      <c r="F1203" s="14">
        <v>2</v>
      </c>
      <c r="G1203" s="7" t="s">
        <v>1730</v>
      </c>
      <c r="H1203" s="1" t="s">
        <v>2154</v>
      </c>
      <c r="I1203" s="501">
        <v>35</v>
      </c>
      <c r="J1203" s="1" t="s">
        <v>1730</v>
      </c>
      <c r="K1203" s="8">
        <f>(F1203*I1203)</f>
        <v>70</v>
      </c>
      <c r="N1203" s="3"/>
      <c r="Q1203" s="4"/>
      <c r="R1203" s="5"/>
      <c r="T1203" s="3"/>
      <c r="U1203" s="1" t="s">
        <v>440</v>
      </c>
      <c r="W1203" s="4"/>
      <c r="X1203" s="8">
        <f>SUM(X1190:X1201)</f>
        <v>8081.97</v>
      </c>
      <c r="Y1203" s="8">
        <v>1.6</v>
      </c>
      <c r="Z1203" s="7" t="s">
        <v>781</v>
      </c>
      <c r="AA1203" s="1" t="s">
        <v>781</v>
      </c>
      <c r="AB1203" s="8" t="e">
        <f>(Y1203*#REF!)</f>
        <v>#REF!</v>
      </c>
      <c r="AC1203" s="57">
        <f t="shared" si="99"/>
        <v>0</v>
      </c>
      <c r="AE1203" s="1" t="s">
        <v>995</v>
      </c>
    </row>
    <row r="1204" spans="6:31" ht="24" customHeight="1">
      <c r="F1204" s="8">
        <v>1.6</v>
      </c>
      <c r="G1204" s="7" t="s">
        <v>781</v>
      </c>
      <c r="H1204" s="1" t="s">
        <v>1791</v>
      </c>
      <c r="I1204" s="8">
        <f>(C11)</f>
        <v>386.4</v>
      </c>
      <c r="J1204" s="1" t="s">
        <v>781</v>
      </c>
      <c r="K1204" s="8">
        <f>(F1204*I1204)</f>
        <v>618.24</v>
      </c>
      <c r="N1204" s="3"/>
      <c r="O1204" s="1" t="s">
        <v>440</v>
      </c>
      <c r="Q1204" s="4"/>
      <c r="R1204" s="8">
        <f>SUM(R1191:R1202)</f>
        <v>13861.9</v>
      </c>
      <c r="T1204" s="3"/>
      <c r="W1204" s="4"/>
      <c r="X1204" s="5" t="s">
        <v>1667</v>
      </c>
      <c r="Y1204" s="8">
        <v>0.5</v>
      </c>
      <c r="Z1204" s="7" t="s">
        <v>781</v>
      </c>
      <c r="AA1204" s="1" t="s">
        <v>781</v>
      </c>
      <c r="AB1204" s="8" t="e">
        <f>(Y1204*#REF!)</f>
        <v>#REF!</v>
      </c>
      <c r="AC1204" s="57">
        <f t="shared" si="99"/>
        <v>0</v>
      </c>
    </row>
    <row r="1205" spans="6:31" ht="24" customHeight="1">
      <c r="F1205" s="8">
        <v>0.5</v>
      </c>
      <c r="G1205" s="7" t="s">
        <v>781</v>
      </c>
      <c r="H1205" s="1" t="s">
        <v>1979</v>
      </c>
      <c r="I1205" s="8">
        <f>(C12)</f>
        <v>269.85000000000002</v>
      </c>
      <c r="J1205" s="1" t="s">
        <v>781</v>
      </c>
      <c r="K1205" s="8">
        <f>(F1205*I1205)</f>
        <v>134.93</v>
      </c>
      <c r="N1205" s="3"/>
      <c r="Q1205" s="4"/>
      <c r="R1205" s="5" t="s">
        <v>1667</v>
      </c>
      <c r="T1205" s="3"/>
      <c r="U1205" s="35" t="s">
        <v>555</v>
      </c>
      <c r="W1205" s="4"/>
      <c r="X1205" s="40">
        <f>(X1203/10)</f>
        <v>808.2</v>
      </c>
      <c r="Y1205" s="8">
        <v>1.1000000000000001</v>
      </c>
      <c r="Z1205" s="7" t="s">
        <v>781</v>
      </c>
      <c r="AA1205" s="1" t="s">
        <v>781</v>
      </c>
      <c r="AB1205" s="8" t="e">
        <f>(Y1205*#REF!)</f>
        <v>#REF!</v>
      </c>
      <c r="AC1205" s="57">
        <f t="shared" si="99"/>
        <v>0</v>
      </c>
    </row>
    <row r="1206" spans="6:31" ht="24" customHeight="1">
      <c r="F1206" s="8">
        <v>1.1000000000000001</v>
      </c>
      <c r="G1206" s="7" t="s">
        <v>781</v>
      </c>
      <c r="H1206" s="1" t="s">
        <v>324</v>
      </c>
      <c r="I1206" s="8">
        <f>(C13)</f>
        <v>243.6</v>
      </c>
      <c r="J1206" s="1" t="s">
        <v>781</v>
      </c>
      <c r="K1206" s="8">
        <f>(F1206*I1206)</f>
        <v>267.95999999999998</v>
      </c>
      <c r="N1206" s="3"/>
      <c r="O1206" s="35" t="s">
        <v>555</v>
      </c>
      <c r="Q1206" s="4"/>
      <c r="R1206" s="40">
        <f>(R1204/10)</f>
        <v>1386.19</v>
      </c>
      <c r="Z1206" s="7" t="s">
        <v>448</v>
      </c>
      <c r="AA1206" s="1" t="s">
        <v>448</v>
      </c>
      <c r="AB1206" s="8">
        <v>0</v>
      </c>
      <c r="AC1206" s="57">
        <f t="shared" si="99"/>
        <v>0</v>
      </c>
    </row>
    <row r="1207" spans="6:31" ht="24" customHeight="1">
      <c r="G1207" s="7" t="s">
        <v>448</v>
      </c>
      <c r="H1207" s="1" t="s">
        <v>449</v>
      </c>
      <c r="J1207" s="1" t="s">
        <v>448</v>
      </c>
      <c r="K1207" s="8">
        <v>0</v>
      </c>
      <c r="Z1207" s="3"/>
      <c r="AA1207" s="11"/>
      <c r="AB1207" s="5" t="s">
        <v>1667</v>
      </c>
      <c r="AC1207" s="57">
        <f t="shared" si="99"/>
        <v>0</v>
      </c>
    </row>
    <row r="1208" spans="6:31" ht="24" customHeight="1">
      <c r="K1208" s="5" t="s">
        <v>1667</v>
      </c>
      <c r="Z1208" s="3"/>
      <c r="AA1208" s="11"/>
      <c r="AB1208" s="8" t="e">
        <f>SUM(AB1194:AB1206)</f>
        <v>#REF!</v>
      </c>
      <c r="AC1208" s="57">
        <f t="shared" si="99"/>
        <v>0</v>
      </c>
    </row>
    <row r="1209" spans="6:31" ht="24" customHeight="1">
      <c r="H1209" s="1" t="s">
        <v>440</v>
      </c>
      <c r="K1209" s="8">
        <f>SUM(K1195:K1207)</f>
        <v>7866.9</v>
      </c>
      <c r="M1209" s="2"/>
      <c r="N1209" s="7" t="s">
        <v>2338</v>
      </c>
      <c r="O1209" s="1" t="s">
        <v>1585</v>
      </c>
      <c r="Q1209" s="4"/>
      <c r="Z1209" s="3"/>
      <c r="AA1209" s="11"/>
      <c r="AB1209" s="5" t="s">
        <v>1667</v>
      </c>
      <c r="AC1209" s="57">
        <f t="shared" si="99"/>
        <v>0</v>
      </c>
    </row>
    <row r="1210" spans="6:31" ht="24" customHeight="1">
      <c r="K1210" s="5" t="s">
        <v>1667</v>
      </c>
      <c r="N1210" s="3"/>
      <c r="O1210" s="1" t="s">
        <v>1586</v>
      </c>
      <c r="Q1210" s="4"/>
      <c r="Z1210" s="3"/>
      <c r="AA1210" s="11"/>
      <c r="AB1210" s="40" t="e">
        <f>(AB1208/10)</f>
        <v>#REF!</v>
      </c>
      <c r="AC1210" s="57">
        <f t="shared" si="99"/>
        <v>0</v>
      </c>
    </row>
    <row r="1211" spans="6:31" ht="24" customHeight="1">
      <c r="H1211" s="64" t="s">
        <v>555</v>
      </c>
      <c r="K1211" s="40">
        <f>(K1209/10)</f>
        <v>786.69</v>
      </c>
      <c r="N1211" s="3"/>
      <c r="O1211" s="35" t="s">
        <v>1587</v>
      </c>
      <c r="Q1211" s="4"/>
      <c r="Z1211" s="3"/>
      <c r="AA1211" s="11"/>
      <c r="AB1211" s="5" t="s">
        <v>2130</v>
      </c>
      <c r="AC1211" s="57">
        <f t="shared" si="99"/>
        <v>0</v>
      </c>
    </row>
    <row r="1212" spans="6:31" ht="24" customHeight="1">
      <c r="K1212" s="5" t="s">
        <v>2130</v>
      </c>
      <c r="N1212" s="3"/>
      <c r="O1212" s="5" t="s">
        <v>1667</v>
      </c>
      <c r="Q1212" s="4"/>
      <c r="Y1212" s="26">
        <v>29.4</v>
      </c>
      <c r="Z1212" s="7" t="s">
        <v>2338</v>
      </c>
      <c r="AA1212" s="11"/>
      <c r="AC1212" s="57">
        <f t="shared" si="99"/>
        <v>0</v>
      </c>
    </row>
    <row r="1213" spans="6:31" ht="24" customHeight="1">
      <c r="F1213" s="26">
        <v>29.4</v>
      </c>
      <c r="G1213" s="7" t="s">
        <v>2338</v>
      </c>
      <c r="H1213" s="1" t="s">
        <v>1128</v>
      </c>
      <c r="M1213" s="8">
        <v>3.2</v>
      </c>
      <c r="N1213" s="7" t="s">
        <v>1730</v>
      </c>
      <c r="O1213" s="1" t="s">
        <v>1248</v>
      </c>
      <c r="P1213" s="57">
        <v>225</v>
      </c>
      <c r="Q1213" s="2" t="s">
        <v>1730</v>
      </c>
      <c r="R1213" s="8">
        <f>(M1213*P1213)</f>
        <v>720</v>
      </c>
      <c r="Z1213" s="3"/>
      <c r="AA1213" s="11"/>
      <c r="AC1213" s="57">
        <f t="shared" si="99"/>
        <v>0</v>
      </c>
    </row>
    <row r="1214" spans="6:31" ht="24" customHeight="1">
      <c r="H1214" s="1" t="s">
        <v>1129</v>
      </c>
      <c r="M1214" s="8">
        <v>0.98</v>
      </c>
      <c r="N1214" s="7" t="s">
        <v>1297</v>
      </c>
      <c r="O1214" s="1" t="s">
        <v>1249</v>
      </c>
      <c r="P1214" s="8">
        <v>120</v>
      </c>
      <c r="Q1214" s="2" t="s">
        <v>1297</v>
      </c>
      <c r="R1214" s="8">
        <f t="shared" ref="R1214:R1219" si="105">(M1214*P1214)</f>
        <v>117.6</v>
      </c>
      <c r="Z1214" s="3"/>
      <c r="AA1214" s="11"/>
      <c r="AC1214" s="57">
        <f t="shared" si="99"/>
        <v>0</v>
      </c>
    </row>
    <row r="1215" spans="6:31" ht="24" customHeight="1">
      <c r="H1215" s="5" t="s">
        <v>1667</v>
      </c>
      <c r="M1215" s="8">
        <v>0.5</v>
      </c>
      <c r="N1215" s="7" t="s">
        <v>781</v>
      </c>
      <c r="O1215" s="1" t="s">
        <v>1229</v>
      </c>
      <c r="P1215" s="8">
        <f>AC13</f>
        <v>347.55</v>
      </c>
      <c r="Q1215" s="7" t="s">
        <v>781</v>
      </c>
      <c r="R1215" s="8">
        <f t="shared" si="105"/>
        <v>173.78</v>
      </c>
      <c r="Y1215" s="8">
        <v>1.86</v>
      </c>
      <c r="Z1215" s="7" t="s">
        <v>611</v>
      </c>
      <c r="AA1215" s="1" t="str">
        <f>J1216</f>
        <v>SQM</v>
      </c>
      <c r="AB1215" s="8" t="e">
        <f>(Y1215*#REF!)</f>
        <v>#REF!</v>
      </c>
      <c r="AC1215" s="57">
        <f t="shared" si="99"/>
        <v>0</v>
      </c>
    </row>
    <row r="1216" spans="6:31" ht="24" customHeight="1">
      <c r="F1216" s="8">
        <v>1.86</v>
      </c>
      <c r="G1216" s="7" t="s">
        <v>611</v>
      </c>
      <c r="H1216" s="1" t="s">
        <v>1130</v>
      </c>
      <c r="I1216" s="69">
        <f>C579</f>
        <v>422.5</v>
      </c>
      <c r="J1216" s="1" t="s">
        <v>611</v>
      </c>
      <c r="K1216" s="8">
        <f>(F1216*I1216)</f>
        <v>785.85</v>
      </c>
      <c r="M1216" s="8">
        <v>0.7</v>
      </c>
      <c r="N1216" s="7" t="s">
        <v>781</v>
      </c>
      <c r="O1216" s="1" t="s">
        <v>1250</v>
      </c>
      <c r="P1216" s="8">
        <f>AC14</f>
        <v>321.3</v>
      </c>
      <c r="Q1216" s="7" t="s">
        <v>781</v>
      </c>
      <c r="R1216" s="8">
        <f t="shared" si="105"/>
        <v>224.91</v>
      </c>
      <c r="Y1216" s="8">
        <v>0.4</v>
      </c>
      <c r="Z1216" s="7" t="s">
        <v>1730</v>
      </c>
      <c r="AA1216" s="1" t="str">
        <f>J1217</f>
        <v>Kg</v>
      </c>
      <c r="AB1216" s="8" t="e">
        <f>(Y1216*#REF!)</f>
        <v>#REF!</v>
      </c>
      <c r="AC1216" s="57">
        <f t="shared" si="99"/>
        <v>0</v>
      </c>
    </row>
    <row r="1217" spans="6:29" ht="24" customHeight="1">
      <c r="F1217" s="8">
        <v>0.4</v>
      </c>
      <c r="G1217" s="7" t="s">
        <v>1730</v>
      </c>
      <c r="H1217" s="1" t="s">
        <v>2154</v>
      </c>
      <c r="I1217" s="219">
        <f>I1203</f>
        <v>35</v>
      </c>
      <c r="J1217" s="1" t="s">
        <v>1730</v>
      </c>
      <c r="K1217" s="8">
        <f>(F1217*I1217)</f>
        <v>14</v>
      </c>
      <c r="M1217" s="8">
        <v>0.5</v>
      </c>
      <c r="N1217" s="7" t="s">
        <v>781</v>
      </c>
      <c r="O1217" s="1" t="s">
        <v>1979</v>
      </c>
      <c r="P1217" s="8">
        <f>I1235</f>
        <v>269.85000000000002</v>
      </c>
      <c r="Q1217" s="7" t="s">
        <v>781</v>
      </c>
      <c r="R1217" s="8">
        <f t="shared" si="105"/>
        <v>134.93</v>
      </c>
      <c r="Y1217" s="8">
        <v>0.02</v>
      </c>
      <c r="Z1217" s="7" t="s">
        <v>884</v>
      </c>
      <c r="AA1217" s="1" t="str">
        <f>J1218</f>
        <v>CUM</v>
      </c>
      <c r="AB1217" s="8" t="e">
        <f>(Y1217*#REF!)</f>
        <v>#REF!</v>
      </c>
      <c r="AC1217" s="57">
        <f t="shared" si="99"/>
        <v>0</v>
      </c>
    </row>
    <row r="1218" spans="6:29" ht="24" customHeight="1">
      <c r="F1218" s="8">
        <v>0.02</v>
      </c>
      <c r="G1218" s="7" t="s">
        <v>884</v>
      </c>
      <c r="H1218" s="1" t="s">
        <v>416</v>
      </c>
      <c r="I1218" s="8">
        <f>K23</f>
        <v>4823.01</v>
      </c>
      <c r="J1218" s="1" t="s">
        <v>884</v>
      </c>
      <c r="K1218" s="8">
        <f>(F1218*I1218)</f>
        <v>96.46</v>
      </c>
      <c r="M1218" s="8">
        <v>0.8</v>
      </c>
      <c r="N1218" s="7" t="s">
        <v>781</v>
      </c>
      <c r="O1218" s="1" t="s">
        <v>324</v>
      </c>
      <c r="P1218" s="8">
        <f>I1236</f>
        <v>243.6</v>
      </c>
      <c r="Q1218" s="7" t="s">
        <v>781</v>
      </c>
      <c r="R1218" s="8">
        <f t="shared" si="105"/>
        <v>194.88</v>
      </c>
      <c r="Y1218" s="8">
        <v>1</v>
      </c>
      <c r="Z1218" s="7" t="s">
        <v>781</v>
      </c>
      <c r="AA1218" s="1" t="str">
        <f>J1219</f>
        <v>NO</v>
      </c>
      <c r="AB1218" s="8" t="e">
        <f>(Y1218*#REF!)</f>
        <v>#REF!</v>
      </c>
      <c r="AC1218" s="57">
        <f t="shared" si="99"/>
        <v>0</v>
      </c>
    </row>
    <row r="1219" spans="6:29" ht="24" customHeight="1">
      <c r="F1219" s="8">
        <v>1</v>
      </c>
      <c r="G1219" s="7" t="s">
        <v>781</v>
      </c>
      <c r="H1219" s="1" t="s">
        <v>2082</v>
      </c>
      <c r="I1219" s="8">
        <f>C10</f>
        <v>430.5</v>
      </c>
      <c r="J1219" s="1" t="s">
        <v>781</v>
      </c>
      <c r="K1219" s="8">
        <f>(F1219*I1219)</f>
        <v>430.5</v>
      </c>
      <c r="M1219" s="8">
        <v>10</v>
      </c>
      <c r="N1219" s="7" t="s">
        <v>2371</v>
      </c>
      <c r="O1219" s="1" t="s">
        <v>3594</v>
      </c>
      <c r="P1219" s="8">
        <v>1.9</v>
      </c>
      <c r="Q1219" s="7" t="s">
        <v>2371</v>
      </c>
      <c r="R1219" s="8">
        <f t="shared" si="105"/>
        <v>19</v>
      </c>
      <c r="Y1219" s="8">
        <v>1</v>
      </c>
      <c r="Z1219" s="7" t="s">
        <v>781</v>
      </c>
      <c r="AA1219" s="1" t="str">
        <f>J1220</f>
        <v>NO</v>
      </c>
      <c r="AB1219" s="8" t="e">
        <f>(Y1219*#REF!)</f>
        <v>#REF!</v>
      </c>
      <c r="AC1219" s="57">
        <f t="shared" si="99"/>
        <v>0</v>
      </c>
    </row>
    <row r="1220" spans="6:29" ht="24" customHeight="1">
      <c r="F1220" s="8">
        <v>1</v>
      </c>
      <c r="G1220" s="7" t="s">
        <v>781</v>
      </c>
      <c r="H1220" s="1" t="s">
        <v>1774</v>
      </c>
      <c r="I1220" s="8">
        <f>C12</f>
        <v>269.85000000000002</v>
      </c>
      <c r="J1220" s="1" t="s">
        <v>781</v>
      </c>
      <c r="K1220" s="8">
        <f>(F1220*I1220)</f>
        <v>269.85000000000002</v>
      </c>
      <c r="N1220" s="7" t="s">
        <v>448</v>
      </c>
      <c r="O1220" s="1" t="s">
        <v>1231</v>
      </c>
      <c r="P1220" s="1" t="s">
        <v>995</v>
      </c>
      <c r="Q1220" s="2" t="s">
        <v>448</v>
      </c>
      <c r="R1220" s="8">
        <v>0</v>
      </c>
      <c r="Z1220" s="7" t="s">
        <v>448</v>
      </c>
      <c r="AA1220" s="1" t="s">
        <v>448</v>
      </c>
      <c r="AB1220" s="8" t="e">
        <f>(Y1220*#REF!)</f>
        <v>#REF!</v>
      </c>
      <c r="AC1220" s="57">
        <f t="shared" si="99"/>
        <v>0</v>
      </c>
    </row>
    <row r="1221" spans="6:29" ht="24" customHeight="1">
      <c r="G1221" s="7" t="s">
        <v>448</v>
      </c>
      <c r="H1221" s="1" t="s">
        <v>449</v>
      </c>
      <c r="J1221" s="1" t="s">
        <v>448</v>
      </c>
      <c r="K1221" s="8"/>
      <c r="N1221" s="3"/>
      <c r="Q1221" s="4"/>
      <c r="R1221" s="5" t="s">
        <v>1667</v>
      </c>
      <c r="Z1221" s="3"/>
      <c r="AA1221" s="11"/>
      <c r="AB1221" s="5" t="s">
        <v>1667</v>
      </c>
      <c r="AC1221" s="57">
        <f t="shared" si="99"/>
        <v>0</v>
      </c>
    </row>
    <row r="1222" spans="6:29" ht="24" customHeight="1">
      <c r="K1222" s="5" t="s">
        <v>1667</v>
      </c>
      <c r="N1222" s="3"/>
      <c r="O1222" s="1" t="s">
        <v>440</v>
      </c>
      <c r="Q1222" s="4"/>
      <c r="R1222" s="8">
        <f>SUM(R1213:R1220)</f>
        <v>1585.1</v>
      </c>
      <c r="Z1222" s="3"/>
      <c r="AA1222" s="11"/>
      <c r="AB1222" s="8" t="e">
        <f>SUM(AB1215:AB1220)</f>
        <v>#REF!</v>
      </c>
      <c r="AC1222" s="57">
        <f t="shared" si="99"/>
        <v>0</v>
      </c>
    </row>
    <row r="1223" spans="6:29" ht="24" customHeight="1">
      <c r="H1223" s="1" t="s">
        <v>1775</v>
      </c>
      <c r="K1223" s="8">
        <f>SUM(K1216:K1221)</f>
        <v>1596.66</v>
      </c>
      <c r="N1223" s="3"/>
      <c r="Q1223" s="4"/>
      <c r="R1223" s="5" t="s">
        <v>1667</v>
      </c>
      <c r="Z1223" s="3"/>
      <c r="AA1223" s="11"/>
      <c r="AB1223" s="5" t="s">
        <v>1667</v>
      </c>
      <c r="AC1223" s="57">
        <f t="shared" si="99"/>
        <v>0</v>
      </c>
    </row>
    <row r="1224" spans="6:29" ht="24" customHeight="1">
      <c r="K1224" s="5" t="s">
        <v>1667</v>
      </c>
      <c r="N1224" s="3"/>
      <c r="O1224" s="35" t="s">
        <v>555</v>
      </c>
      <c r="Q1224" s="4"/>
      <c r="R1224" s="40">
        <f>(R1222/10)</f>
        <v>158.51</v>
      </c>
      <c r="Z1224" s="3"/>
      <c r="AA1224" s="11"/>
      <c r="AB1224" s="40" t="e">
        <f>(AB1222/1.86)</f>
        <v>#REF!</v>
      </c>
      <c r="AC1224" s="57">
        <f t="shared" si="99"/>
        <v>0</v>
      </c>
    </row>
    <row r="1225" spans="6:29" ht="24" customHeight="1">
      <c r="H1225" s="64" t="s">
        <v>555</v>
      </c>
      <c r="K1225" s="40">
        <f>(K1223/1.86)</f>
        <v>858.42</v>
      </c>
      <c r="M1225" s="1" t="s">
        <v>995</v>
      </c>
      <c r="N1225" s="3"/>
      <c r="Q1225" s="4"/>
      <c r="Z1225" s="3"/>
      <c r="AA1225" s="11"/>
      <c r="AB1225" s="5" t="s">
        <v>2130</v>
      </c>
      <c r="AC1225" s="57">
        <f t="shared" si="99"/>
        <v>0</v>
      </c>
    </row>
    <row r="1226" spans="6:29" ht="24" customHeight="1">
      <c r="K1226" s="5" t="s">
        <v>2130</v>
      </c>
      <c r="N1226" s="3"/>
      <c r="Q1226" s="4"/>
      <c r="R1226" s="5" t="s">
        <v>2130</v>
      </c>
      <c r="AC1226" s="57">
        <f t="shared" si="99"/>
        <v>0</v>
      </c>
    </row>
    <row r="1227" spans="6:29" ht="24" customHeight="1">
      <c r="F1227" s="2" t="s">
        <v>210</v>
      </c>
      <c r="G1227" s="7" t="s">
        <v>2338</v>
      </c>
      <c r="H1227" s="1" t="s">
        <v>1998</v>
      </c>
      <c r="N1227" s="3"/>
      <c r="Q1227" s="4"/>
      <c r="AC1227" s="57">
        <f t="shared" ref="AC1227:AC1290" si="106">AE1228</f>
        <v>0</v>
      </c>
    </row>
    <row r="1228" spans="6:29" ht="24" customHeight="1">
      <c r="H1228" s="1" t="s">
        <v>2321</v>
      </c>
      <c r="M1228" s="2" t="s">
        <v>1434</v>
      </c>
      <c r="N1228" s="7" t="s">
        <v>2338</v>
      </c>
      <c r="O1228" s="1" t="s">
        <v>1251</v>
      </c>
      <c r="Q1228" s="4"/>
      <c r="AC1228" s="57">
        <f t="shared" si="106"/>
        <v>0</v>
      </c>
    </row>
    <row r="1229" spans="6:29" ht="24" customHeight="1">
      <c r="H1229" s="1" t="s">
        <v>1776</v>
      </c>
      <c r="N1229" s="3"/>
      <c r="O1229" s="1" t="s">
        <v>1586</v>
      </c>
      <c r="Q1229" s="4"/>
      <c r="AC1229" s="57">
        <f t="shared" si="106"/>
        <v>0</v>
      </c>
    </row>
    <row r="1230" spans="6:29" ht="24" customHeight="1">
      <c r="H1230" s="1" t="s">
        <v>729</v>
      </c>
      <c r="N1230" s="3"/>
      <c r="O1230" s="35" t="s">
        <v>1252</v>
      </c>
      <c r="Q1230" s="4"/>
      <c r="AC1230" s="57">
        <f t="shared" si="106"/>
        <v>0</v>
      </c>
    </row>
    <row r="1231" spans="6:29" ht="24" customHeight="1">
      <c r="H1231" s="5" t="s">
        <v>1667</v>
      </c>
      <c r="N1231" s="3"/>
      <c r="O1231" s="5" t="s">
        <v>1667</v>
      </c>
      <c r="Q1231" s="4"/>
      <c r="AC1231" s="57">
        <f t="shared" si="106"/>
        <v>0</v>
      </c>
    </row>
    <row r="1232" spans="6:29" ht="24" customHeight="1">
      <c r="F1232" s="8">
        <v>0.24</v>
      </c>
      <c r="G1232" s="7" t="s">
        <v>884</v>
      </c>
      <c r="H1232" s="1" t="s">
        <v>1777</v>
      </c>
      <c r="I1232" s="8">
        <f>(C70)</f>
        <v>726.28</v>
      </c>
      <c r="J1232" s="1" t="s">
        <v>884</v>
      </c>
      <c r="K1232" s="8">
        <f>(F1232*I1232)</f>
        <v>174.31</v>
      </c>
      <c r="M1232" s="8">
        <v>1.4</v>
      </c>
      <c r="N1232" s="7" t="s">
        <v>1297</v>
      </c>
      <c r="O1232" s="35" t="s">
        <v>1265</v>
      </c>
      <c r="P1232" s="57">
        <v>315.14999999999998</v>
      </c>
      <c r="Q1232" s="2" t="s">
        <v>1297</v>
      </c>
      <c r="R1232" s="8">
        <f>(M1232*P1232)</f>
        <v>441.21</v>
      </c>
      <c r="AC1232" s="57">
        <f t="shared" si="106"/>
        <v>0</v>
      </c>
    </row>
    <row r="1233" spans="6:29" ht="24" customHeight="1">
      <c r="F1233" s="14">
        <v>0.11700000000000001</v>
      </c>
      <c r="G1233" s="7" t="s">
        <v>876</v>
      </c>
      <c r="H1233" s="1" t="s">
        <v>877</v>
      </c>
      <c r="I1233" s="8">
        <f>(C67)</f>
        <v>5600</v>
      </c>
      <c r="J1233" s="1" t="s">
        <v>876</v>
      </c>
      <c r="K1233" s="8">
        <f>(F1233*I1233)</f>
        <v>655.20000000000005</v>
      </c>
      <c r="M1233" s="8">
        <v>0.98</v>
      </c>
      <c r="N1233" s="7" t="s">
        <v>1297</v>
      </c>
      <c r="O1233" s="1" t="s">
        <v>1266</v>
      </c>
      <c r="P1233" s="57">
        <v>156.75</v>
      </c>
      <c r="Q1233" s="2" t="s">
        <v>1297</v>
      </c>
      <c r="R1233" s="8">
        <f>(M1233*P1233)</f>
        <v>153.62</v>
      </c>
      <c r="AC1233" s="57">
        <f t="shared" si="106"/>
        <v>0</v>
      </c>
    </row>
    <row r="1234" spans="6:29" ht="24" customHeight="1">
      <c r="F1234" s="8">
        <v>0.5</v>
      </c>
      <c r="G1234" s="7" t="s">
        <v>781</v>
      </c>
      <c r="H1234" s="1" t="s">
        <v>2082</v>
      </c>
      <c r="I1234" s="8">
        <f>(C10)</f>
        <v>430.5</v>
      </c>
      <c r="J1234" s="1" t="s">
        <v>781</v>
      </c>
      <c r="K1234" s="8">
        <f>(F1234*I1234)</f>
        <v>215.25</v>
      </c>
      <c r="M1234" s="8">
        <v>2.2000000000000002</v>
      </c>
      <c r="N1234" s="7" t="s">
        <v>781</v>
      </c>
      <c r="O1234" s="1" t="s">
        <v>1229</v>
      </c>
      <c r="P1234" s="8">
        <f>P1215</f>
        <v>347.55</v>
      </c>
      <c r="Q1234" s="2" t="s">
        <v>781</v>
      </c>
      <c r="R1234" s="8">
        <f>(M1234*P1234)</f>
        <v>764.61</v>
      </c>
      <c r="AC1234" s="57">
        <f t="shared" si="106"/>
        <v>0</v>
      </c>
    </row>
    <row r="1235" spans="6:29" ht="24" customHeight="1">
      <c r="F1235" s="8">
        <v>1.1000000000000001</v>
      </c>
      <c r="G1235" s="7" t="s">
        <v>781</v>
      </c>
      <c r="H1235" s="1" t="s">
        <v>949</v>
      </c>
      <c r="I1235" s="8">
        <f>(C12)</f>
        <v>269.85000000000002</v>
      </c>
      <c r="J1235" s="1" t="s">
        <v>781</v>
      </c>
      <c r="K1235" s="8">
        <f>(F1235*I1235)</f>
        <v>296.83999999999997</v>
      </c>
      <c r="N1235" s="7" t="s">
        <v>448</v>
      </c>
      <c r="O1235" s="1" t="s">
        <v>1231</v>
      </c>
      <c r="P1235" s="1" t="s">
        <v>995</v>
      </c>
      <c r="Q1235" s="2" t="s">
        <v>448</v>
      </c>
      <c r="R1235" s="8">
        <v>2.5499999999999998</v>
      </c>
      <c r="AC1235" s="57">
        <f t="shared" si="106"/>
        <v>0</v>
      </c>
    </row>
    <row r="1236" spans="6:29" ht="24" customHeight="1">
      <c r="F1236" s="8">
        <v>4.3</v>
      </c>
      <c r="G1236" s="7" t="s">
        <v>781</v>
      </c>
      <c r="H1236" s="1" t="s">
        <v>324</v>
      </c>
      <c r="I1236" s="8">
        <f>(C13)</f>
        <v>243.6</v>
      </c>
      <c r="J1236" s="1" t="s">
        <v>781</v>
      </c>
      <c r="K1236" s="8">
        <f>(F1236*I1236)</f>
        <v>1047.48</v>
      </c>
      <c r="N1236" s="3"/>
      <c r="Q1236" s="4"/>
      <c r="R1236" s="5"/>
      <c r="AC1236" s="57">
        <f t="shared" si="106"/>
        <v>0</v>
      </c>
    </row>
    <row r="1237" spans="6:29" ht="24" customHeight="1">
      <c r="G1237" s="7" t="s">
        <v>448</v>
      </c>
      <c r="H1237" s="1" t="s">
        <v>449</v>
      </c>
      <c r="J1237" s="1" t="s">
        <v>448</v>
      </c>
      <c r="K1237" s="8">
        <v>0</v>
      </c>
      <c r="N1237" s="3"/>
      <c r="O1237" s="1" t="s">
        <v>440</v>
      </c>
      <c r="Q1237" s="4"/>
      <c r="R1237" s="8">
        <f>SUM(R1232:R1235)</f>
        <v>1361.99</v>
      </c>
      <c r="AC1237" s="57">
        <f t="shared" si="106"/>
        <v>0</v>
      </c>
    </row>
    <row r="1238" spans="6:29" ht="24" customHeight="1">
      <c r="K1238" s="5" t="s">
        <v>1667</v>
      </c>
      <c r="N1238" s="3"/>
      <c r="Q1238" s="4"/>
      <c r="R1238" s="5" t="s">
        <v>1667</v>
      </c>
      <c r="AC1238" s="57">
        <f t="shared" si="106"/>
        <v>0</v>
      </c>
    </row>
    <row r="1239" spans="6:29" ht="24" customHeight="1">
      <c r="H1239" s="1" t="s">
        <v>440</v>
      </c>
      <c r="K1239" s="8">
        <f>SUM(K1232:K1237)</f>
        <v>2389.08</v>
      </c>
      <c r="N1239" s="3"/>
      <c r="O1239" s="1" t="s">
        <v>555</v>
      </c>
      <c r="Q1239" s="4"/>
      <c r="R1239" s="40">
        <f>(R1237/10)</f>
        <v>136.19999999999999</v>
      </c>
      <c r="AC1239" s="57">
        <f t="shared" si="106"/>
        <v>0</v>
      </c>
    </row>
    <row r="1240" spans="6:29" ht="24" customHeight="1">
      <c r="K1240" s="5" t="s">
        <v>1667</v>
      </c>
      <c r="M1240" s="1" t="s">
        <v>995</v>
      </c>
      <c r="N1240" s="3"/>
      <c r="Q1240" s="4"/>
      <c r="AC1240" s="57">
        <f t="shared" si="106"/>
        <v>0</v>
      </c>
    </row>
    <row r="1241" spans="6:29" ht="24" customHeight="1">
      <c r="H1241" s="64" t="s">
        <v>555</v>
      </c>
      <c r="K1241" s="639">
        <f>(K1239/10)</f>
        <v>238.91</v>
      </c>
      <c r="N1241" s="3"/>
      <c r="Q1241" s="4"/>
      <c r="R1241" s="5" t="s">
        <v>2130</v>
      </c>
      <c r="AC1241" s="57">
        <f t="shared" si="106"/>
        <v>0</v>
      </c>
    </row>
    <row r="1242" spans="6:29" ht="24" customHeight="1">
      <c r="F1242" s="662"/>
      <c r="G1242" s="7"/>
      <c r="N1242" s="3"/>
      <c r="Q1242" s="4"/>
      <c r="AC1242" s="57">
        <f t="shared" si="106"/>
        <v>0</v>
      </c>
    </row>
    <row r="1243" spans="6:29" ht="24" customHeight="1">
      <c r="K1243" s="5" t="s">
        <v>2130</v>
      </c>
      <c r="M1243" s="32">
        <v>15.1</v>
      </c>
      <c r="N1243" s="7" t="s">
        <v>1840</v>
      </c>
      <c r="O1243" s="1" t="s">
        <v>1253</v>
      </c>
      <c r="Q1243" s="4"/>
      <c r="AC1243" s="57">
        <f t="shared" si="106"/>
        <v>0</v>
      </c>
    </row>
    <row r="1244" spans="6:29" ht="24" customHeight="1">
      <c r="F1244" s="2" t="s">
        <v>2014</v>
      </c>
      <c r="G1244" s="7" t="s">
        <v>2338</v>
      </c>
      <c r="H1244" s="35" t="s">
        <v>730</v>
      </c>
      <c r="N1244" s="3"/>
      <c r="O1244" s="1" t="s">
        <v>2369</v>
      </c>
      <c r="Q1244" s="4"/>
      <c r="AC1244" s="57">
        <f t="shared" si="106"/>
        <v>0</v>
      </c>
    </row>
    <row r="1245" spans="6:29" ht="24" customHeight="1">
      <c r="H1245" s="1" t="s">
        <v>2015</v>
      </c>
      <c r="M1245" s="8">
        <v>10</v>
      </c>
      <c r="N1245" s="7" t="s">
        <v>2371</v>
      </c>
      <c r="O1245" s="1" t="s">
        <v>1254</v>
      </c>
      <c r="P1245" s="8">
        <v>1694</v>
      </c>
      <c r="Q1245" s="2" t="s">
        <v>2371</v>
      </c>
      <c r="R1245" s="8">
        <f>(M1245*P1245)</f>
        <v>16940</v>
      </c>
      <c r="AC1245" s="57">
        <f t="shared" si="106"/>
        <v>0</v>
      </c>
    </row>
    <row r="1246" spans="6:29" ht="24" customHeight="1">
      <c r="H1246" s="1" t="s">
        <v>2016</v>
      </c>
      <c r="M1246" s="8">
        <v>0.12</v>
      </c>
      <c r="N1246" s="7" t="s">
        <v>884</v>
      </c>
      <c r="O1246" s="1" t="s">
        <v>800</v>
      </c>
      <c r="P1246" s="8">
        <f>K32</f>
        <v>3479.01</v>
      </c>
      <c r="Q1246" s="2" t="s">
        <v>884</v>
      </c>
      <c r="R1246" s="8">
        <f>(M1246*P1246)</f>
        <v>417.48</v>
      </c>
      <c r="AC1246" s="57">
        <f t="shared" si="106"/>
        <v>0</v>
      </c>
    </row>
    <row r="1247" spans="6:29" ht="24" customHeight="1">
      <c r="H1247" s="1" t="s">
        <v>769</v>
      </c>
      <c r="M1247" s="8">
        <v>1</v>
      </c>
      <c r="N1247" s="7" t="s">
        <v>563</v>
      </c>
      <c r="O1247" s="1" t="s">
        <v>564</v>
      </c>
      <c r="P1247" s="8">
        <f>I1234</f>
        <v>430.5</v>
      </c>
      <c r="Q1247" s="2" t="s">
        <v>1458</v>
      </c>
      <c r="R1247" s="8">
        <f>(M1247*P1247)</f>
        <v>430.5</v>
      </c>
      <c r="AC1247" s="57">
        <f t="shared" si="106"/>
        <v>0</v>
      </c>
    </row>
    <row r="1248" spans="6:29" ht="24" customHeight="1">
      <c r="H1248" s="1" t="s">
        <v>761</v>
      </c>
      <c r="M1248" s="8">
        <v>1</v>
      </c>
      <c r="N1248" s="7" t="s">
        <v>563</v>
      </c>
      <c r="O1248" s="1" t="s">
        <v>838</v>
      </c>
      <c r="P1248" s="8">
        <f>I1235</f>
        <v>269.85000000000002</v>
      </c>
      <c r="Q1248" s="2" t="s">
        <v>1458</v>
      </c>
      <c r="R1248" s="8">
        <f>(M1248*P1248)</f>
        <v>269.85000000000002</v>
      </c>
      <c r="AC1248" s="57">
        <f t="shared" si="106"/>
        <v>0</v>
      </c>
    </row>
    <row r="1249" spans="6:29" ht="24" customHeight="1">
      <c r="H1249" s="5" t="s">
        <v>1667</v>
      </c>
      <c r="N1249" s="7" t="s">
        <v>448</v>
      </c>
      <c r="O1249" s="1" t="s">
        <v>64</v>
      </c>
      <c r="Q1249" s="2" t="s">
        <v>448</v>
      </c>
      <c r="R1249" s="8">
        <v>0.33</v>
      </c>
      <c r="AC1249" s="57">
        <f t="shared" si="106"/>
        <v>0</v>
      </c>
    </row>
    <row r="1250" spans="6:29" ht="24" customHeight="1">
      <c r="F1250" s="8">
        <v>12.8</v>
      </c>
      <c r="G1250" s="7" t="s">
        <v>884</v>
      </c>
      <c r="H1250" s="1" t="s">
        <v>762</v>
      </c>
      <c r="I1250" s="8">
        <f>(C82)</f>
        <v>673.42</v>
      </c>
      <c r="J1250" s="1" t="s">
        <v>884</v>
      </c>
      <c r="K1250" s="8">
        <f>(F1250*I1250)</f>
        <v>8619.7800000000007</v>
      </c>
      <c r="N1250" s="3"/>
      <c r="O1250" s="1" t="s">
        <v>946</v>
      </c>
      <c r="Q1250" s="4"/>
      <c r="R1250" s="5" t="s">
        <v>1667</v>
      </c>
      <c r="AC1250" s="57">
        <f t="shared" si="106"/>
        <v>0</v>
      </c>
    </row>
    <row r="1251" spans="6:29" ht="24" customHeight="1">
      <c r="F1251" s="8">
        <v>5</v>
      </c>
      <c r="G1251" s="7" t="s">
        <v>884</v>
      </c>
      <c r="H1251" s="1" t="s">
        <v>763</v>
      </c>
      <c r="I1251" s="8">
        <f>(C85)</f>
        <v>1026.7</v>
      </c>
      <c r="J1251" s="1" t="s">
        <v>884</v>
      </c>
      <c r="K1251" s="8">
        <f>(F1251*I1251)</f>
        <v>5133.5</v>
      </c>
      <c r="N1251" s="3"/>
      <c r="O1251" s="2" t="s">
        <v>406</v>
      </c>
      <c r="Q1251" s="4"/>
      <c r="R1251" s="8">
        <f>SUM(R1245:R1249)</f>
        <v>18058.16</v>
      </c>
      <c r="AC1251" s="57">
        <f t="shared" si="106"/>
        <v>0</v>
      </c>
    </row>
    <row r="1252" spans="6:29" ht="24" customHeight="1">
      <c r="F1252" s="8">
        <v>1.8</v>
      </c>
      <c r="G1252" s="7" t="s">
        <v>781</v>
      </c>
      <c r="H1252" s="1" t="s">
        <v>2082</v>
      </c>
      <c r="I1252" s="8">
        <f>(C10)</f>
        <v>430.5</v>
      </c>
      <c r="J1252" s="1" t="s">
        <v>781</v>
      </c>
      <c r="K1252" s="8">
        <f>(F1252*I1252)</f>
        <v>774.9</v>
      </c>
      <c r="N1252" s="3"/>
      <c r="Q1252" s="4"/>
      <c r="R1252" s="5" t="s">
        <v>1667</v>
      </c>
      <c r="AC1252" s="57">
        <f t="shared" si="106"/>
        <v>0</v>
      </c>
    </row>
    <row r="1253" spans="6:29" ht="24" customHeight="1">
      <c r="F1253" s="8">
        <v>17.7</v>
      </c>
      <c r="G1253" s="7" t="s">
        <v>781</v>
      </c>
      <c r="H1253" s="1" t="s">
        <v>949</v>
      </c>
      <c r="I1253" s="8">
        <f>(C12)</f>
        <v>269.85000000000002</v>
      </c>
      <c r="J1253" s="1" t="s">
        <v>781</v>
      </c>
      <c r="K1253" s="8">
        <f>(F1253*I1253)</f>
        <v>4776.3500000000004</v>
      </c>
      <c r="N1253" s="3"/>
      <c r="O1253" s="2" t="s">
        <v>410</v>
      </c>
      <c r="Q1253" s="4"/>
      <c r="R1253" s="40">
        <f>R1251/10</f>
        <v>1805.82</v>
      </c>
      <c r="S1253" s="56">
        <v>0.78</v>
      </c>
      <c r="AC1253" s="57">
        <f t="shared" si="106"/>
        <v>0</v>
      </c>
    </row>
    <row r="1254" spans="6:29" ht="24" customHeight="1">
      <c r="F1254" s="8">
        <v>14.1</v>
      </c>
      <c r="G1254" s="7" t="s">
        <v>781</v>
      </c>
      <c r="H1254" s="1" t="s">
        <v>324</v>
      </c>
      <c r="I1254" s="8">
        <f>(C13)</f>
        <v>243.6</v>
      </c>
      <c r="J1254" s="1" t="s">
        <v>781</v>
      </c>
      <c r="K1254" s="8">
        <f>(F1254*I1254)</f>
        <v>3434.76</v>
      </c>
      <c r="N1254" s="3"/>
      <c r="O1254" s="1" t="s">
        <v>388</v>
      </c>
      <c r="Q1254" s="4">
        <f>R1258+S1255</f>
        <v>1808.82</v>
      </c>
      <c r="R1254" s="8">
        <f>R1253+S1253</f>
        <v>1806.6</v>
      </c>
      <c r="AC1254" s="57">
        <f t="shared" si="106"/>
        <v>0</v>
      </c>
    </row>
    <row r="1255" spans="6:29" ht="24" customHeight="1">
      <c r="G1255" s="7" t="s">
        <v>448</v>
      </c>
      <c r="H1255" s="1" t="s">
        <v>449</v>
      </c>
      <c r="J1255" s="1" t="s">
        <v>448</v>
      </c>
      <c r="K1255" s="8">
        <v>0</v>
      </c>
      <c r="N1255" s="3"/>
      <c r="O1255" s="1" t="s">
        <v>390</v>
      </c>
      <c r="Q1255" s="4">
        <f>Q1254+S1255</f>
        <v>1808.82</v>
      </c>
      <c r="R1255" s="8">
        <f>R1254+1.11</f>
        <v>1807.71</v>
      </c>
      <c r="AC1255" s="57">
        <f t="shared" si="106"/>
        <v>0</v>
      </c>
    </row>
    <row r="1256" spans="6:29" ht="24" customHeight="1">
      <c r="K1256" s="5" t="s">
        <v>1667</v>
      </c>
      <c r="N1256" s="3"/>
      <c r="O1256" s="1" t="s">
        <v>2319</v>
      </c>
      <c r="Q1256" s="4"/>
      <c r="R1256" s="8">
        <f>R1255+1.11</f>
        <v>1808.82</v>
      </c>
      <c r="AC1256" s="57">
        <f t="shared" si="106"/>
        <v>0</v>
      </c>
    </row>
    <row r="1257" spans="6:29" ht="24" customHeight="1">
      <c r="H1257" s="1" t="s">
        <v>618</v>
      </c>
      <c r="K1257" s="8">
        <f>SUM(K1250:K1255)</f>
        <v>22739.29</v>
      </c>
      <c r="N1257" s="3"/>
      <c r="O1257" s="1" t="s">
        <v>382</v>
      </c>
      <c r="Q1257" s="4"/>
      <c r="R1257" s="8">
        <f>R1256+S1255</f>
        <v>1808.82</v>
      </c>
      <c r="AC1257" s="57">
        <f t="shared" si="106"/>
        <v>0</v>
      </c>
    </row>
    <row r="1258" spans="6:29" ht="24" customHeight="1">
      <c r="K1258" s="5" t="s">
        <v>1667</v>
      </c>
      <c r="N1258" s="3"/>
      <c r="O1258" s="1" t="s">
        <v>1427</v>
      </c>
      <c r="Q1258" s="4"/>
      <c r="R1258" s="8">
        <f>R1257+S1255</f>
        <v>1808.82</v>
      </c>
      <c r="AC1258" s="57">
        <f t="shared" si="106"/>
        <v>0</v>
      </c>
    </row>
    <row r="1259" spans="6:29" ht="24" customHeight="1">
      <c r="H1259" s="64" t="s">
        <v>785</v>
      </c>
      <c r="K1259" s="40">
        <f>(K1257/10)</f>
        <v>2273.9299999999998</v>
      </c>
      <c r="N1259" s="3"/>
      <c r="Q1259" s="4"/>
      <c r="AC1259" s="57">
        <f t="shared" si="106"/>
        <v>0</v>
      </c>
    </row>
    <row r="1260" spans="6:29" ht="24" customHeight="1">
      <c r="K1260" s="5" t="s">
        <v>2130</v>
      </c>
      <c r="N1260" s="3"/>
      <c r="Q1260" s="11"/>
      <c r="AC1260" s="57">
        <f t="shared" si="106"/>
        <v>0</v>
      </c>
    </row>
    <row r="1261" spans="6:29" ht="24" customHeight="1">
      <c r="N1261" s="3"/>
      <c r="Q1261" s="11"/>
      <c r="AC1261" s="57">
        <f t="shared" si="106"/>
        <v>0</v>
      </c>
    </row>
    <row r="1262" spans="6:29" ht="24" customHeight="1">
      <c r="G1262" s="7" t="s">
        <v>685</v>
      </c>
      <c r="H1262" s="1" t="s">
        <v>764</v>
      </c>
      <c r="N1262" s="3"/>
      <c r="Q1262" s="11"/>
      <c r="AC1262" s="57">
        <f t="shared" si="106"/>
        <v>0</v>
      </c>
    </row>
    <row r="1263" spans="6:29" ht="24" customHeight="1">
      <c r="H1263" s="1" t="s">
        <v>765</v>
      </c>
      <c r="N1263" s="3"/>
      <c r="Q1263" s="11"/>
      <c r="AC1263" s="57">
        <f t="shared" si="106"/>
        <v>0</v>
      </c>
    </row>
    <row r="1264" spans="6:29" ht="24" customHeight="1">
      <c r="H1264" s="5" t="s">
        <v>1667</v>
      </c>
      <c r="N1264" s="3"/>
      <c r="O1264" t="s">
        <v>1255</v>
      </c>
      <c r="Q1264" s="4"/>
      <c r="AC1264" s="57">
        <f t="shared" si="106"/>
        <v>0</v>
      </c>
    </row>
    <row r="1265" spans="6:29" ht="24" customHeight="1">
      <c r="F1265" s="8">
        <v>0.04</v>
      </c>
      <c r="G1265" s="7" t="s">
        <v>884</v>
      </c>
      <c r="H1265" s="1" t="s">
        <v>766</v>
      </c>
      <c r="I1265" s="8">
        <f>(K32)</f>
        <v>3479.01</v>
      </c>
      <c r="J1265" s="1" t="s">
        <v>884</v>
      </c>
      <c r="K1265" s="8">
        <f>(F1265*I1265)</f>
        <v>139.16</v>
      </c>
      <c r="N1265" s="3"/>
      <c r="Q1265" s="4"/>
      <c r="AC1265" s="57">
        <f t="shared" si="106"/>
        <v>0</v>
      </c>
    </row>
    <row r="1266" spans="6:29" ht="24" customHeight="1">
      <c r="F1266" s="8">
        <v>2.2000000000000002</v>
      </c>
      <c r="G1266" s="7" t="s">
        <v>781</v>
      </c>
      <c r="H1266" s="1" t="s">
        <v>1791</v>
      </c>
      <c r="I1266" s="8">
        <f>(C11)</f>
        <v>386.4</v>
      </c>
      <c r="J1266" s="1" t="s">
        <v>781</v>
      </c>
      <c r="K1266" s="8">
        <f>(F1266*I1266)</f>
        <v>850.08</v>
      </c>
      <c r="M1266">
        <v>70</v>
      </c>
      <c r="N1266" s="3" t="s">
        <v>840</v>
      </c>
      <c r="O1266" t="s">
        <v>1256</v>
      </c>
      <c r="P1266">
        <v>23</v>
      </c>
      <c r="Q1266" s="4" t="s">
        <v>840</v>
      </c>
      <c r="R1266">
        <f>P1266*M1266</f>
        <v>1610</v>
      </c>
      <c r="AC1266" s="57">
        <f t="shared" si="106"/>
        <v>0</v>
      </c>
    </row>
    <row r="1267" spans="6:29" ht="24" customHeight="1">
      <c r="F1267" s="8">
        <v>0.5</v>
      </c>
      <c r="G1267" s="7" t="s">
        <v>781</v>
      </c>
      <c r="H1267" s="1" t="s">
        <v>1979</v>
      </c>
      <c r="I1267" s="8">
        <f>(C12)</f>
        <v>269.85000000000002</v>
      </c>
      <c r="J1267" s="1" t="s">
        <v>781</v>
      </c>
      <c r="K1267" s="8">
        <f>(F1267*I1267)</f>
        <v>134.93</v>
      </c>
      <c r="N1267" s="3"/>
      <c r="Q1267" s="4"/>
      <c r="AC1267" s="57">
        <f t="shared" si="106"/>
        <v>0</v>
      </c>
    </row>
    <row r="1268" spans="6:29" ht="24" customHeight="1">
      <c r="F1268" s="8">
        <v>1.1000000000000001</v>
      </c>
      <c r="G1268" s="7" t="s">
        <v>781</v>
      </c>
      <c r="H1268" s="1" t="s">
        <v>324</v>
      </c>
      <c r="I1268" s="8">
        <f>(C13)</f>
        <v>243.6</v>
      </c>
      <c r="J1268" s="1" t="s">
        <v>781</v>
      </c>
      <c r="K1268" s="8">
        <f>(F1268*I1268)</f>
        <v>267.95999999999998</v>
      </c>
      <c r="M1268">
        <v>0.3</v>
      </c>
      <c r="N1268" s="3" t="s">
        <v>2226</v>
      </c>
      <c r="O1268" t="s">
        <v>1257</v>
      </c>
      <c r="P1268">
        <v>12300</v>
      </c>
      <c r="Q1268" s="4" t="s">
        <v>2226</v>
      </c>
      <c r="R1268">
        <f>P1268*M1268</f>
        <v>3690</v>
      </c>
      <c r="AC1268" s="57">
        <f t="shared" si="106"/>
        <v>0</v>
      </c>
    </row>
    <row r="1269" spans="6:29" ht="24" customHeight="1">
      <c r="G1269" s="7" t="s">
        <v>448</v>
      </c>
      <c r="H1269" s="1" t="s">
        <v>449</v>
      </c>
      <c r="J1269" s="1" t="s">
        <v>448</v>
      </c>
      <c r="K1269" s="8">
        <v>0</v>
      </c>
      <c r="N1269" s="3"/>
      <c r="Q1269" s="4"/>
      <c r="AC1269" s="57">
        <f t="shared" si="106"/>
        <v>0</v>
      </c>
    </row>
    <row r="1270" spans="6:29" ht="24" customHeight="1">
      <c r="K1270" s="5" t="s">
        <v>1667</v>
      </c>
      <c r="N1270" s="3"/>
      <c r="O1270" t="s">
        <v>1258</v>
      </c>
      <c r="Q1270" s="4"/>
      <c r="R1270">
        <f>SUM(R1266:R1268)</f>
        <v>5300</v>
      </c>
      <c r="AC1270" s="57">
        <f t="shared" si="106"/>
        <v>0</v>
      </c>
    </row>
    <row r="1271" spans="6:29" ht="24" customHeight="1">
      <c r="H1271" s="1" t="s">
        <v>440</v>
      </c>
      <c r="K1271" s="8">
        <f>SUM(K1265:K1269)</f>
        <v>1392.13</v>
      </c>
      <c r="N1271" s="3"/>
      <c r="O1271" s="97" t="s">
        <v>1259</v>
      </c>
      <c r="Q1271" s="4"/>
      <c r="R1271" s="38">
        <f>R1270/10</f>
        <v>530</v>
      </c>
      <c r="AC1271" s="57">
        <f t="shared" si="106"/>
        <v>0</v>
      </c>
    </row>
    <row r="1272" spans="6:29" ht="24" customHeight="1">
      <c r="K1272" s="5" t="s">
        <v>1667</v>
      </c>
      <c r="N1272" s="3"/>
      <c r="Q1272" s="4"/>
      <c r="AC1272" s="57">
        <f t="shared" si="106"/>
        <v>0</v>
      </c>
    </row>
    <row r="1273" spans="6:29" ht="24" customHeight="1">
      <c r="H1273" s="64" t="s">
        <v>555</v>
      </c>
      <c r="K1273" s="40">
        <f>(K1271/10)</f>
        <v>139.21</v>
      </c>
      <c r="M1273">
        <v>2</v>
      </c>
      <c r="N1273" s="3" t="s">
        <v>1492</v>
      </c>
      <c r="O1273" t="s">
        <v>353</v>
      </c>
      <c r="P1273">
        <f>P1174</f>
        <v>243.6</v>
      </c>
      <c r="Q1273" s="4" t="s">
        <v>1794</v>
      </c>
      <c r="R1273">
        <f>P1273*M1273</f>
        <v>487.2</v>
      </c>
      <c r="AC1273" s="57">
        <f t="shared" si="106"/>
        <v>0</v>
      </c>
    </row>
    <row r="1274" spans="6:29" ht="24" customHeight="1">
      <c r="K1274" s="5" t="s">
        <v>2130</v>
      </c>
      <c r="N1274" s="3"/>
      <c r="Q1274" s="4"/>
      <c r="AC1274" s="57">
        <f t="shared" si="106"/>
        <v>0</v>
      </c>
    </row>
    <row r="1275" spans="6:29" ht="24" customHeight="1">
      <c r="N1275" s="3"/>
      <c r="O1275" t="s">
        <v>1260</v>
      </c>
      <c r="P1275" t="s">
        <v>667</v>
      </c>
      <c r="Q1275" s="4"/>
      <c r="R1275">
        <v>11.5</v>
      </c>
      <c r="AC1275" s="57">
        <f t="shared" si="106"/>
        <v>0</v>
      </c>
    </row>
    <row r="1276" spans="6:29" ht="24" customHeight="1">
      <c r="F1276" s="26">
        <v>32.1</v>
      </c>
      <c r="G1276" s="7" t="s">
        <v>2338</v>
      </c>
      <c r="H1276" s="1" t="s">
        <v>767</v>
      </c>
      <c r="N1276" s="3"/>
      <c r="O1276" s="97" t="s">
        <v>1261</v>
      </c>
      <c r="Q1276" s="4"/>
      <c r="R1276">
        <f>SUM(R1271:R1275)</f>
        <v>1028.7</v>
      </c>
      <c r="AC1276" s="57">
        <f t="shared" si="106"/>
        <v>0</v>
      </c>
    </row>
    <row r="1277" spans="6:29" ht="24" customHeight="1">
      <c r="H1277" s="1" t="s">
        <v>1546</v>
      </c>
      <c r="N1277" s="3"/>
      <c r="Q1277" s="4"/>
      <c r="AC1277" s="57">
        <f t="shared" si="106"/>
        <v>0</v>
      </c>
    </row>
    <row r="1278" spans="6:29" ht="24" customHeight="1">
      <c r="H1278" s="1" t="s">
        <v>693</v>
      </c>
      <c r="N1278" s="3"/>
      <c r="O1278" s="97" t="s">
        <v>1262</v>
      </c>
      <c r="Q1278" s="4"/>
      <c r="R1278" s="38">
        <f>R1276/6</f>
        <v>171.45</v>
      </c>
      <c r="AC1278" s="57">
        <f t="shared" si="106"/>
        <v>0</v>
      </c>
    </row>
    <row r="1279" spans="6:29" ht="24" customHeight="1">
      <c r="H1279" s="1" t="s">
        <v>2044</v>
      </c>
      <c r="N1279" s="3"/>
      <c r="Q1279" s="4"/>
      <c r="AC1279" s="57">
        <f t="shared" si="106"/>
        <v>0</v>
      </c>
    </row>
    <row r="1280" spans="6:29" ht="24" customHeight="1">
      <c r="H1280" s="1" t="s">
        <v>1351</v>
      </c>
      <c r="N1280" s="3"/>
      <c r="Q1280" s="11"/>
      <c r="AC1280" s="57">
        <f t="shared" si="106"/>
        <v>0</v>
      </c>
    </row>
    <row r="1281" spans="6:29" ht="24" customHeight="1">
      <c r="H1281" s="5" t="s">
        <v>1667</v>
      </c>
      <c r="M1281" s="26">
        <v>29.5</v>
      </c>
      <c r="N1281" s="7" t="s">
        <v>2338</v>
      </c>
      <c r="O1281" s="1" t="s">
        <v>1263</v>
      </c>
      <c r="Q1281" s="4"/>
      <c r="AC1281" s="57">
        <f t="shared" si="106"/>
        <v>0</v>
      </c>
    </row>
    <row r="1282" spans="6:29" ht="24" customHeight="1">
      <c r="F1282" s="8">
        <v>190</v>
      </c>
      <c r="G1282" s="7" t="s">
        <v>1950</v>
      </c>
      <c r="H1282" s="1" t="s">
        <v>2085</v>
      </c>
      <c r="I1282" s="8">
        <f>(C83)</f>
        <v>13080</v>
      </c>
      <c r="J1282" s="1" t="s">
        <v>1544</v>
      </c>
      <c r="K1282" s="8">
        <f>(F1282*I1282)/1000</f>
        <v>2485.1999999999998</v>
      </c>
      <c r="N1282" s="3"/>
      <c r="O1282" s="1" t="s">
        <v>873</v>
      </c>
      <c r="Q1282" s="4"/>
      <c r="AC1282" s="57">
        <f t="shared" si="106"/>
        <v>0</v>
      </c>
    </row>
    <row r="1283" spans="6:29" ht="24" customHeight="1">
      <c r="F1283" s="8">
        <v>0.12</v>
      </c>
      <c r="G1283" s="7" t="s">
        <v>884</v>
      </c>
      <c r="H1283" s="1" t="s">
        <v>1953</v>
      </c>
      <c r="I1283" s="8">
        <f>(K32)</f>
        <v>3479.01</v>
      </c>
      <c r="J1283" s="1" t="s">
        <v>884</v>
      </c>
      <c r="K1283" s="7">
        <f t="shared" ref="K1283:K1289" si="107">(F1283*I1283)</f>
        <v>417.48</v>
      </c>
      <c r="N1283" s="3"/>
      <c r="O1283" s="1" t="s">
        <v>2012</v>
      </c>
      <c r="Q1283" s="4"/>
      <c r="AC1283" s="57">
        <f t="shared" si="106"/>
        <v>0</v>
      </c>
    </row>
    <row r="1284" spans="6:29" ht="24" customHeight="1">
      <c r="F1284" s="8">
        <v>10</v>
      </c>
      <c r="G1284" s="7" t="s">
        <v>611</v>
      </c>
      <c r="H1284" s="1" t="s">
        <v>1353</v>
      </c>
      <c r="I1284" s="8">
        <f>(K1273)</f>
        <v>139.21</v>
      </c>
      <c r="J1284" s="1" t="s">
        <v>611</v>
      </c>
      <c r="K1284" s="7">
        <f t="shared" si="107"/>
        <v>1392.1</v>
      </c>
      <c r="N1284" s="3"/>
      <c r="O1284" s="5" t="s">
        <v>1667</v>
      </c>
      <c r="P1284" s="5" t="s">
        <v>1667</v>
      </c>
      <c r="Q1284" s="4"/>
      <c r="R1284" s="8"/>
      <c r="AC1284" s="57">
        <f t="shared" si="106"/>
        <v>0</v>
      </c>
    </row>
    <row r="1285" spans="6:29" ht="24" customHeight="1">
      <c r="F1285" s="14">
        <v>1.54</v>
      </c>
      <c r="G1285" s="7" t="s">
        <v>1730</v>
      </c>
      <c r="H1285" s="1" t="s">
        <v>983</v>
      </c>
      <c r="I1285" s="69">
        <f>C630</f>
        <v>42.35</v>
      </c>
      <c r="J1285" s="1" t="s">
        <v>1730</v>
      </c>
      <c r="K1285" s="8">
        <f t="shared" si="107"/>
        <v>65.22</v>
      </c>
      <c r="M1285" s="8">
        <v>10</v>
      </c>
      <c r="N1285" s="7" t="s">
        <v>611</v>
      </c>
      <c r="O1285" s="1" t="s">
        <v>1264</v>
      </c>
      <c r="P1285" s="6">
        <f>P1245</f>
        <v>1694</v>
      </c>
      <c r="Q1285" s="2" t="s">
        <v>611</v>
      </c>
      <c r="R1285" s="8">
        <f>M1285*P1285</f>
        <v>16940</v>
      </c>
      <c r="AC1285" s="57">
        <f t="shared" si="106"/>
        <v>0</v>
      </c>
    </row>
    <row r="1286" spans="6:29" ht="24" customHeight="1">
      <c r="F1286" s="8">
        <v>1.1000000000000001</v>
      </c>
      <c r="G1286" s="7" t="s">
        <v>781</v>
      </c>
      <c r="H1286" s="1" t="s">
        <v>2082</v>
      </c>
      <c r="I1286" s="8">
        <f>(C10)</f>
        <v>430.5</v>
      </c>
      <c r="J1286" s="1" t="s">
        <v>781</v>
      </c>
      <c r="K1286" s="8">
        <f t="shared" si="107"/>
        <v>473.55</v>
      </c>
      <c r="M1286" s="8">
        <v>0.21</v>
      </c>
      <c r="N1286" s="7" t="s">
        <v>884</v>
      </c>
      <c r="O1286" s="1" t="s">
        <v>1953</v>
      </c>
      <c r="P1286" s="8">
        <f>P1246</f>
        <v>3479.01</v>
      </c>
      <c r="Q1286" s="2" t="s">
        <v>884</v>
      </c>
      <c r="R1286" s="8">
        <f>(M1286*P1286)</f>
        <v>730.59</v>
      </c>
      <c r="AC1286" s="57">
        <f t="shared" si="106"/>
        <v>0</v>
      </c>
    </row>
    <row r="1287" spans="6:29" ht="24" customHeight="1">
      <c r="F1287" s="8">
        <v>2.1</v>
      </c>
      <c r="G1287" s="7" t="s">
        <v>781</v>
      </c>
      <c r="H1287" s="1" t="s">
        <v>1791</v>
      </c>
      <c r="I1287" s="8">
        <f>(C11)</f>
        <v>386.4</v>
      </c>
      <c r="J1287" s="1" t="s">
        <v>781</v>
      </c>
      <c r="K1287" s="8">
        <f t="shared" si="107"/>
        <v>811.44</v>
      </c>
      <c r="N1287" s="3"/>
      <c r="O1287" s="1" t="s">
        <v>1954</v>
      </c>
      <c r="P1287" s="1" t="s">
        <v>995</v>
      </c>
      <c r="Q1287" s="4"/>
      <c r="R1287" s="1" t="s">
        <v>995</v>
      </c>
      <c r="AC1287" s="57">
        <f t="shared" si="106"/>
        <v>0</v>
      </c>
    </row>
    <row r="1288" spans="6:29" ht="24" customHeight="1">
      <c r="F1288" s="8">
        <v>2.2000000000000002</v>
      </c>
      <c r="G1288" s="7" t="s">
        <v>781</v>
      </c>
      <c r="H1288" s="1" t="s">
        <v>1979</v>
      </c>
      <c r="I1288" s="8">
        <f>(C12)</f>
        <v>269.85000000000002</v>
      </c>
      <c r="J1288" s="1" t="s">
        <v>781</v>
      </c>
      <c r="K1288" s="8">
        <f t="shared" si="107"/>
        <v>593.66999999999996</v>
      </c>
      <c r="M1288" s="8">
        <v>1.1000000000000001</v>
      </c>
      <c r="N1288" s="7" t="s">
        <v>781</v>
      </c>
      <c r="O1288" s="1" t="s">
        <v>2082</v>
      </c>
      <c r="P1288" s="8">
        <f>AC9</f>
        <v>430.5</v>
      </c>
      <c r="Q1288" s="2" t="s">
        <v>781</v>
      </c>
      <c r="R1288" s="8">
        <f>(M1288*P1288)</f>
        <v>473.55</v>
      </c>
      <c r="AC1288" s="57">
        <f t="shared" si="106"/>
        <v>0</v>
      </c>
    </row>
    <row r="1289" spans="6:29" ht="24" customHeight="1">
      <c r="F1289" s="8">
        <v>1.1000000000000001</v>
      </c>
      <c r="G1289" s="7" t="s">
        <v>781</v>
      </c>
      <c r="H1289" s="1" t="s">
        <v>324</v>
      </c>
      <c r="I1289" s="8">
        <f>(C13)</f>
        <v>243.6</v>
      </c>
      <c r="J1289" s="1" t="s">
        <v>781</v>
      </c>
      <c r="K1289" s="8">
        <f t="shared" si="107"/>
        <v>267.95999999999998</v>
      </c>
      <c r="L1289">
        <f>SUM(K1284:K1289)</f>
        <v>3603.94</v>
      </c>
      <c r="M1289" s="8">
        <v>1.1000000000000001</v>
      </c>
      <c r="N1289" s="7" t="s">
        <v>781</v>
      </c>
      <c r="O1289" s="1" t="s">
        <v>1791</v>
      </c>
      <c r="P1289" s="8">
        <f>AC10</f>
        <v>386.4</v>
      </c>
      <c r="Q1289" s="2" t="s">
        <v>781</v>
      </c>
      <c r="R1289" s="8">
        <f>(M1289*P1289)</f>
        <v>425.04</v>
      </c>
      <c r="AC1289" s="57">
        <f t="shared" si="106"/>
        <v>0</v>
      </c>
    </row>
    <row r="1290" spans="6:29" ht="24" customHeight="1">
      <c r="G1290" s="7" t="s">
        <v>448</v>
      </c>
      <c r="H1290" s="1" t="s">
        <v>449</v>
      </c>
      <c r="J1290" s="1" t="s">
        <v>448</v>
      </c>
      <c r="K1290" s="8">
        <v>0</v>
      </c>
      <c r="M1290" s="8">
        <v>2.2000000000000002</v>
      </c>
      <c r="N1290" s="7" t="s">
        <v>781</v>
      </c>
      <c r="O1290" s="1" t="s">
        <v>1979</v>
      </c>
      <c r="P1290" s="8">
        <f>AC11</f>
        <v>269.85000000000002</v>
      </c>
      <c r="Q1290" s="2" t="s">
        <v>781</v>
      </c>
      <c r="R1290" s="8">
        <f>(M1290*P1290)</f>
        <v>593.66999999999996</v>
      </c>
      <c r="AC1290" s="57">
        <f t="shared" si="106"/>
        <v>0</v>
      </c>
    </row>
    <row r="1291" spans="6:29" ht="24" customHeight="1">
      <c r="K1291" s="5" t="s">
        <v>1667</v>
      </c>
      <c r="L1291">
        <f>SUM(K1284:K1289)</f>
        <v>3603.94</v>
      </c>
      <c r="M1291" s="8">
        <v>2.2000000000000002</v>
      </c>
      <c r="N1291" s="7" t="s">
        <v>781</v>
      </c>
      <c r="O1291" s="1" t="s">
        <v>324</v>
      </c>
      <c r="P1291" s="8">
        <f>AC12</f>
        <v>243.6</v>
      </c>
      <c r="Q1291" s="2" t="s">
        <v>781</v>
      </c>
      <c r="R1291" s="8">
        <f>(M1291*P1291)</f>
        <v>535.91999999999996</v>
      </c>
      <c r="AC1291" s="57">
        <f t="shared" ref="AC1291:AC1354" si="108">AE1292</f>
        <v>0</v>
      </c>
    </row>
    <row r="1292" spans="6:29" ht="24" customHeight="1">
      <c r="H1292" s="1" t="s">
        <v>440</v>
      </c>
      <c r="K1292" s="8">
        <f>SUM(K1282:K1290)</f>
        <v>6506.62</v>
      </c>
      <c r="M1292" s="14">
        <v>20</v>
      </c>
      <c r="N1292" s="7" t="s">
        <v>1730</v>
      </c>
      <c r="O1292" s="1" t="s">
        <v>877</v>
      </c>
      <c r="P1292" s="8">
        <f>AA31</f>
        <v>5600</v>
      </c>
      <c r="Q1292" s="2" t="s">
        <v>876</v>
      </c>
      <c r="R1292" s="8">
        <f>(M1292*P1292)/1000</f>
        <v>112</v>
      </c>
      <c r="AC1292" s="57">
        <f t="shared" si="108"/>
        <v>0</v>
      </c>
    </row>
    <row r="1293" spans="6:29" ht="24" customHeight="1">
      <c r="K1293" s="5" t="s">
        <v>1667</v>
      </c>
      <c r="M1293" s="14">
        <v>2</v>
      </c>
      <c r="N1293" s="7" t="s">
        <v>1730</v>
      </c>
      <c r="O1293" s="1" t="s">
        <v>2154</v>
      </c>
      <c r="P1293" s="8">
        <f>P1198</f>
        <v>35</v>
      </c>
      <c r="Q1293" s="2" t="s">
        <v>1730</v>
      </c>
      <c r="R1293" s="8">
        <f>(M1293*P1293)</f>
        <v>70</v>
      </c>
      <c r="AC1293" s="57">
        <f t="shared" si="108"/>
        <v>0</v>
      </c>
    </row>
    <row r="1294" spans="6:29" ht="24" customHeight="1">
      <c r="H1294" s="64" t="s">
        <v>555</v>
      </c>
      <c r="K1294" s="40">
        <f>(K1292/10)</f>
        <v>650.66</v>
      </c>
      <c r="M1294" s="8">
        <v>1.6</v>
      </c>
      <c r="N1294" s="7" t="s">
        <v>781</v>
      </c>
      <c r="O1294" s="1" t="s">
        <v>1791</v>
      </c>
      <c r="P1294" s="8">
        <f>P1199</f>
        <v>386.4</v>
      </c>
      <c r="Q1294" s="2" t="s">
        <v>781</v>
      </c>
      <c r="R1294" s="8">
        <f>(M1294*P1294)</f>
        <v>618.24</v>
      </c>
      <c r="AC1294" s="57">
        <f t="shared" si="108"/>
        <v>0</v>
      </c>
    </row>
    <row r="1295" spans="6:29" ht="24" customHeight="1">
      <c r="K1295" s="5" t="s">
        <v>2130</v>
      </c>
      <c r="M1295" s="8">
        <v>0.5</v>
      </c>
      <c r="N1295" s="7" t="s">
        <v>781</v>
      </c>
      <c r="O1295" s="1" t="s">
        <v>1979</v>
      </c>
      <c r="P1295" s="8">
        <f>P1200</f>
        <v>269.85000000000002</v>
      </c>
      <c r="Q1295" s="2" t="s">
        <v>781</v>
      </c>
      <c r="R1295" s="8">
        <f>(M1295*P1295)</f>
        <v>134.93</v>
      </c>
      <c r="AC1295" s="57">
        <f t="shared" si="108"/>
        <v>0</v>
      </c>
    </row>
    <row r="1296" spans="6:29" ht="24" customHeight="1">
      <c r="K1296" s="5"/>
      <c r="M1296" s="8">
        <v>1.1000000000000001</v>
      </c>
      <c r="N1296" s="7" t="s">
        <v>781</v>
      </c>
      <c r="O1296" s="1" t="s">
        <v>324</v>
      </c>
      <c r="P1296" s="8">
        <f>P1201</f>
        <v>243.6</v>
      </c>
      <c r="Q1296" s="2" t="s">
        <v>781</v>
      </c>
      <c r="R1296" s="8">
        <f>(M1296*P1296)</f>
        <v>267.95999999999998</v>
      </c>
      <c r="AC1296" s="57">
        <f t="shared" si="108"/>
        <v>0</v>
      </c>
    </row>
    <row r="1297" spans="6:29" ht="24" customHeight="1">
      <c r="K1297" s="5"/>
      <c r="N1297" s="7" t="s">
        <v>448</v>
      </c>
      <c r="O1297" s="1" t="s">
        <v>449</v>
      </c>
      <c r="P1297" s="8"/>
      <c r="Q1297" s="2" t="s">
        <v>448</v>
      </c>
      <c r="R1297" s="8">
        <v>0.28000000000000003</v>
      </c>
      <c r="AC1297" s="57">
        <f t="shared" si="108"/>
        <v>0</v>
      </c>
    </row>
    <row r="1298" spans="6:29" ht="24" customHeight="1">
      <c r="F1298" s="26">
        <v>32.200000000000003</v>
      </c>
      <c r="G1298" s="7" t="s">
        <v>2338</v>
      </c>
      <c r="H1298" s="1" t="s">
        <v>767</v>
      </c>
      <c r="K1298" s="5"/>
      <c r="N1298" s="3"/>
      <c r="Q1298" s="4"/>
      <c r="R1298" s="5" t="s">
        <v>1667</v>
      </c>
      <c r="AC1298" s="57">
        <f t="shared" si="108"/>
        <v>0</v>
      </c>
    </row>
    <row r="1299" spans="6:29" ht="24" customHeight="1">
      <c r="H1299" s="1" t="s">
        <v>1546</v>
      </c>
      <c r="K1299" s="5"/>
      <c r="N1299" s="3"/>
      <c r="O1299" s="1" t="s">
        <v>440</v>
      </c>
      <c r="Q1299" s="4"/>
      <c r="R1299" s="8">
        <f>SUM(R1285:R1297)</f>
        <v>20902.18</v>
      </c>
      <c r="AC1299" s="57">
        <f t="shared" si="108"/>
        <v>0</v>
      </c>
    </row>
    <row r="1300" spans="6:29" ht="24" customHeight="1">
      <c r="H1300" s="1" t="s">
        <v>693</v>
      </c>
      <c r="K1300" s="5"/>
      <c r="N1300" s="3"/>
      <c r="Q1300" s="4"/>
      <c r="R1300" s="5" t="s">
        <v>1667</v>
      </c>
      <c r="AC1300" s="57">
        <f t="shared" si="108"/>
        <v>0</v>
      </c>
    </row>
    <row r="1301" spans="6:29" ht="24" customHeight="1">
      <c r="H1301" s="1" t="s">
        <v>2044</v>
      </c>
      <c r="K1301" s="5"/>
      <c r="N1301" s="3"/>
      <c r="O1301" s="1" t="s">
        <v>555</v>
      </c>
      <c r="Q1301" s="4"/>
      <c r="R1301" s="8">
        <f>(R1299/10)</f>
        <v>2090.2199999999998</v>
      </c>
      <c r="AC1301" s="57">
        <f t="shared" si="108"/>
        <v>0</v>
      </c>
    </row>
    <row r="1302" spans="6:29" ht="24" customHeight="1">
      <c r="H1302" s="1" t="s">
        <v>1351</v>
      </c>
      <c r="K1302" s="5"/>
      <c r="N1302" s="3"/>
      <c r="Q1302" s="4"/>
      <c r="R1302" s="5" t="s">
        <v>2130</v>
      </c>
      <c r="T1302" s="3"/>
      <c r="U1302" s="282" t="s">
        <v>3695</v>
      </c>
      <c r="W1302" s="11"/>
      <c r="Z1302" s="3"/>
      <c r="AA1302" s="11"/>
      <c r="AC1302" s="57">
        <f t="shared" si="108"/>
        <v>0</v>
      </c>
    </row>
    <row r="1303" spans="6:29" ht="24" customHeight="1">
      <c r="H1303" s="5" t="s">
        <v>1667</v>
      </c>
      <c r="K1303" s="5"/>
      <c r="N1303" s="3"/>
      <c r="O1303" s="282" t="s">
        <v>3694</v>
      </c>
      <c r="Q1303" s="11"/>
      <c r="T1303" s="7" t="s">
        <v>929</v>
      </c>
      <c r="U1303" s="1" t="s">
        <v>1931</v>
      </c>
      <c r="V1303" s="8">
        <f>P1304</f>
        <v>292</v>
      </c>
      <c r="W1303" s="7" t="s">
        <v>929</v>
      </c>
      <c r="X1303" s="8">
        <f t="shared" ref="X1303:X1314" si="109">V1303*S1304</f>
        <v>1086.24</v>
      </c>
      <c r="Y1303" s="17">
        <v>3.02</v>
      </c>
      <c r="Z1303" s="7" t="s">
        <v>929</v>
      </c>
      <c r="AA1303" s="7" t="s">
        <v>929</v>
      </c>
      <c r="AB1303" s="8" t="e">
        <f>#REF!*Y1303</f>
        <v>#REF!</v>
      </c>
      <c r="AC1303" s="57">
        <f t="shared" si="108"/>
        <v>0</v>
      </c>
    </row>
    <row r="1304" spans="6:29" ht="24" customHeight="1">
      <c r="F1304" s="8">
        <v>190</v>
      </c>
      <c r="G1304" s="7" t="s">
        <v>1950</v>
      </c>
      <c r="H1304" s="1" t="s">
        <v>1648</v>
      </c>
      <c r="I1304" s="640">
        <f>E83</f>
        <v>8710</v>
      </c>
      <c r="J1304" s="1" t="s">
        <v>1544</v>
      </c>
      <c r="K1304" s="8">
        <f>(F1304*I1304)/1000</f>
        <v>1654.9</v>
      </c>
      <c r="M1304" s="17">
        <v>4.1849999999999996</v>
      </c>
      <c r="N1304" s="7" t="s">
        <v>929</v>
      </c>
      <c r="O1304" s="1" t="s">
        <v>1931</v>
      </c>
      <c r="P1304" s="8">
        <v>292</v>
      </c>
      <c r="Q1304" s="7" t="s">
        <v>929</v>
      </c>
      <c r="R1304" s="8">
        <f>P1304*M1304</f>
        <v>1222.02</v>
      </c>
      <c r="S1304" s="14">
        <v>3.72</v>
      </c>
      <c r="T1304" s="7" t="s">
        <v>929</v>
      </c>
      <c r="U1304" s="1" t="s">
        <v>1931</v>
      </c>
      <c r="V1304" s="8">
        <f t="shared" ref="V1304:V1314" si="110">P1305</f>
        <v>292</v>
      </c>
      <c r="W1304" s="7" t="s">
        <v>929</v>
      </c>
      <c r="X1304" s="8">
        <f t="shared" si="109"/>
        <v>1130.04</v>
      </c>
      <c r="Y1304" s="17">
        <v>2.19</v>
      </c>
      <c r="Z1304" s="7" t="s">
        <v>929</v>
      </c>
      <c r="AA1304" s="7" t="s">
        <v>929</v>
      </c>
      <c r="AB1304" s="8" t="e">
        <f>#REF!*Y1304</f>
        <v>#REF!</v>
      </c>
      <c r="AC1304" s="57">
        <f t="shared" si="108"/>
        <v>0</v>
      </c>
    </row>
    <row r="1305" spans="6:29" ht="24" customHeight="1">
      <c r="F1305" s="8">
        <v>0.12</v>
      </c>
      <c r="G1305" s="7" t="s">
        <v>884</v>
      </c>
      <c r="H1305" s="1" t="s">
        <v>1953</v>
      </c>
      <c r="I1305">
        <f>K32</f>
        <v>3479.01</v>
      </c>
      <c r="J1305" s="1" t="s">
        <v>884</v>
      </c>
      <c r="K1305" s="8">
        <f t="shared" ref="K1305:K1311" si="111">(F1305*I1305)</f>
        <v>417.48</v>
      </c>
      <c r="M1305" s="17">
        <v>4.55</v>
      </c>
      <c r="N1305" s="7" t="s">
        <v>929</v>
      </c>
      <c r="O1305" s="1" t="s">
        <v>1931</v>
      </c>
      <c r="P1305" s="8">
        <f>P1304</f>
        <v>292</v>
      </c>
      <c r="Q1305" s="7" t="s">
        <v>929</v>
      </c>
      <c r="R1305" s="8">
        <f t="shared" ref="R1305:R1315" si="112">P1305*M1305</f>
        <v>1328.6</v>
      </c>
      <c r="S1305" s="14">
        <v>3.87</v>
      </c>
      <c r="T1305" s="7" t="s">
        <v>929</v>
      </c>
      <c r="U1305" s="1" t="s">
        <v>1931</v>
      </c>
      <c r="V1305" s="8">
        <f t="shared" si="110"/>
        <v>292</v>
      </c>
      <c r="W1305" s="7" t="s">
        <v>929</v>
      </c>
      <c r="X1305" s="8">
        <f t="shared" si="109"/>
        <v>2178.3200000000002</v>
      </c>
      <c r="Y1305" s="17">
        <v>4.96</v>
      </c>
      <c r="Z1305" s="7" t="s">
        <v>929</v>
      </c>
      <c r="AA1305" s="7" t="s">
        <v>929</v>
      </c>
      <c r="AB1305" s="8" t="e">
        <f>#REF!*Y1305</f>
        <v>#REF!</v>
      </c>
      <c r="AC1305" s="57">
        <f t="shared" si="108"/>
        <v>0</v>
      </c>
    </row>
    <row r="1306" spans="6:29" ht="24" customHeight="1">
      <c r="F1306" s="8">
        <v>10</v>
      </c>
      <c r="G1306" s="7" t="s">
        <v>611</v>
      </c>
      <c r="H1306" s="1" t="s">
        <v>1353</v>
      </c>
      <c r="I1306">
        <f>K1273</f>
        <v>139.21</v>
      </c>
      <c r="J1306" s="1" t="s">
        <v>611</v>
      </c>
      <c r="K1306" s="8">
        <f t="shared" si="111"/>
        <v>1392.1</v>
      </c>
      <c r="M1306" s="17">
        <v>8.66</v>
      </c>
      <c r="N1306" s="7" t="s">
        <v>929</v>
      </c>
      <c r="O1306" s="1" t="s">
        <v>1931</v>
      </c>
      <c r="P1306" s="8">
        <f>P1304</f>
        <v>292</v>
      </c>
      <c r="Q1306" s="7" t="s">
        <v>929</v>
      </c>
      <c r="R1306" s="8">
        <f t="shared" si="112"/>
        <v>2528.7199999999998</v>
      </c>
      <c r="S1306" s="14">
        <v>7.46</v>
      </c>
      <c r="T1306" s="7" t="s">
        <v>929</v>
      </c>
      <c r="U1306" s="1" t="s">
        <v>1931</v>
      </c>
      <c r="V1306" s="8">
        <f t="shared" si="110"/>
        <v>292</v>
      </c>
      <c r="W1306" s="7" t="s">
        <v>929</v>
      </c>
      <c r="X1306" s="8">
        <f t="shared" si="109"/>
        <v>373.76</v>
      </c>
      <c r="Y1306" s="17">
        <v>0.85</v>
      </c>
      <c r="Z1306" s="7" t="s">
        <v>929</v>
      </c>
      <c r="AA1306" s="7" t="s">
        <v>929</v>
      </c>
      <c r="AB1306" s="8" t="e">
        <f>#REF!*Y1306</f>
        <v>#REF!</v>
      </c>
      <c r="AC1306" s="57">
        <f t="shared" si="108"/>
        <v>0</v>
      </c>
    </row>
    <row r="1307" spans="6:29" ht="24" customHeight="1">
      <c r="F1307" s="8">
        <v>5.8</v>
      </c>
      <c r="G1307" s="7" t="s">
        <v>1730</v>
      </c>
      <c r="H1307" s="1" t="s">
        <v>983</v>
      </c>
      <c r="I1307">
        <f>C630</f>
        <v>42.35</v>
      </c>
      <c r="J1307" s="1" t="s">
        <v>1730</v>
      </c>
      <c r="K1307" s="8">
        <f t="shared" si="111"/>
        <v>245.63</v>
      </c>
      <c r="M1307" s="17">
        <v>1.51</v>
      </c>
      <c r="N1307" s="7" t="s">
        <v>929</v>
      </c>
      <c r="O1307" s="1" t="s">
        <v>1931</v>
      </c>
      <c r="P1307" s="8">
        <f>P1304</f>
        <v>292</v>
      </c>
      <c r="Q1307" s="7" t="s">
        <v>929</v>
      </c>
      <c r="R1307" s="8">
        <f t="shared" si="112"/>
        <v>440.92</v>
      </c>
      <c r="S1307" s="14">
        <v>1.28</v>
      </c>
      <c r="T1307" s="7" t="s">
        <v>234</v>
      </c>
      <c r="U1307" s="1" t="s">
        <v>1932</v>
      </c>
      <c r="V1307" s="8">
        <f t="shared" si="110"/>
        <v>209.9</v>
      </c>
      <c r="W1307" s="7" t="s">
        <v>234</v>
      </c>
      <c r="X1307" s="8">
        <f t="shared" si="109"/>
        <v>232.36</v>
      </c>
      <c r="Y1307" s="17">
        <v>0.73199999999999998</v>
      </c>
      <c r="Z1307" s="7" t="s">
        <v>234</v>
      </c>
      <c r="AA1307" s="7" t="s">
        <v>234</v>
      </c>
      <c r="AB1307" s="8" t="e">
        <f>#REF!*Y1307</f>
        <v>#REF!</v>
      </c>
      <c r="AC1307" s="57">
        <f t="shared" si="108"/>
        <v>0</v>
      </c>
    </row>
    <row r="1308" spans="6:29" ht="24" customHeight="1">
      <c r="F1308" s="8">
        <v>1.1000000000000001</v>
      </c>
      <c r="G1308" s="7" t="s">
        <v>781</v>
      </c>
      <c r="H1308" s="1" t="s">
        <v>2082</v>
      </c>
      <c r="I1308">
        <f>C10</f>
        <v>430.5</v>
      </c>
      <c r="J1308" s="1" t="s">
        <v>781</v>
      </c>
      <c r="K1308" s="8">
        <f t="shared" si="111"/>
        <v>473.55</v>
      </c>
      <c r="M1308" s="17">
        <v>1.462</v>
      </c>
      <c r="N1308" s="7" t="s">
        <v>234</v>
      </c>
      <c r="O1308" s="1" t="s">
        <v>1932</v>
      </c>
      <c r="P1308" s="8">
        <v>209.9</v>
      </c>
      <c r="Q1308" s="7" t="s">
        <v>234</v>
      </c>
      <c r="R1308" s="8">
        <f t="shared" si="112"/>
        <v>306.87</v>
      </c>
      <c r="S1308" s="14">
        <v>1.107</v>
      </c>
      <c r="T1308" s="7" t="s">
        <v>840</v>
      </c>
      <c r="U1308" s="1" t="s">
        <v>1933</v>
      </c>
      <c r="V1308" s="8">
        <f t="shared" si="110"/>
        <v>27.8</v>
      </c>
      <c r="W1308" s="7" t="s">
        <v>840</v>
      </c>
      <c r="X1308" s="8">
        <f t="shared" si="109"/>
        <v>287.56</v>
      </c>
      <c r="Y1308" s="17">
        <v>6.8719999999999999</v>
      </c>
      <c r="Z1308" s="7" t="s">
        <v>840</v>
      </c>
      <c r="AA1308" s="7" t="s">
        <v>840</v>
      </c>
      <c r="AB1308" s="8" t="e">
        <f>#REF!*Y1308</f>
        <v>#REF!</v>
      </c>
      <c r="AC1308" s="57">
        <f t="shared" si="108"/>
        <v>0</v>
      </c>
    </row>
    <row r="1309" spans="6:29" ht="24" customHeight="1">
      <c r="F1309" s="8">
        <v>2.1</v>
      </c>
      <c r="G1309" s="7" t="s">
        <v>781</v>
      </c>
      <c r="H1309" s="1" t="s">
        <v>1791</v>
      </c>
      <c r="I1309">
        <f>C11</f>
        <v>386.4</v>
      </c>
      <c r="J1309" s="1" t="s">
        <v>781</v>
      </c>
      <c r="K1309" s="8">
        <f t="shared" si="111"/>
        <v>811.44</v>
      </c>
      <c r="M1309" s="17">
        <v>12.144</v>
      </c>
      <c r="N1309" s="7" t="s">
        <v>840</v>
      </c>
      <c r="O1309" s="1" t="s">
        <v>1933</v>
      </c>
      <c r="P1309" s="8">
        <v>27.8</v>
      </c>
      <c r="Q1309" s="7" t="s">
        <v>840</v>
      </c>
      <c r="R1309" s="8">
        <f t="shared" si="112"/>
        <v>337.6</v>
      </c>
      <c r="S1309" s="14">
        <v>10.343999999999999</v>
      </c>
      <c r="T1309" s="7" t="s">
        <v>781</v>
      </c>
      <c r="U1309" s="1" t="s">
        <v>1934</v>
      </c>
      <c r="V1309" s="8">
        <f t="shared" si="110"/>
        <v>35</v>
      </c>
      <c r="W1309" s="7" t="s">
        <v>781</v>
      </c>
      <c r="X1309" s="8">
        <f t="shared" si="109"/>
        <v>420</v>
      </c>
      <c r="Y1309" s="17">
        <v>8</v>
      </c>
      <c r="Z1309" s="7" t="s">
        <v>781</v>
      </c>
      <c r="AA1309" s="7" t="s">
        <v>781</v>
      </c>
      <c r="AB1309" s="8" t="e">
        <f>#REF!*Y1309</f>
        <v>#REF!</v>
      </c>
      <c r="AC1309" s="57">
        <f t="shared" si="108"/>
        <v>0</v>
      </c>
    </row>
    <row r="1310" spans="6:29" ht="24" customHeight="1">
      <c r="F1310" s="8">
        <v>2.2000000000000002</v>
      </c>
      <c r="G1310" s="7" t="s">
        <v>781</v>
      </c>
      <c r="H1310" s="1" t="s">
        <v>1979</v>
      </c>
      <c r="I1310">
        <f>C12</f>
        <v>269.85000000000002</v>
      </c>
      <c r="J1310" s="1" t="s">
        <v>781</v>
      </c>
      <c r="K1310" s="8">
        <f t="shared" si="111"/>
        <v>593.66999999999996</v>
      </c>
      <c r="M1310" s="17">
        <v>12</v>
      </c>
      <c r="N1310" s="7" t="s">
        <v>781</v>
      </c>
      <c r="O1310" s="1" t="s">
        <v>1934</v>
      </c>
      <c r="P1310" s="8">
        <v>35</v>
      </c>
      <c r="Q1310" s="7" t="s">
        <v>781</v>
      </c>
      <c r="R1310" s="8">
        <f t="shared" si="112"/>
        <v>420</v>
      </c>
      <c r="S1310" s="14">
        <v>12</v>
      </c>
      <c r="T1310" s="7" t="s">
        <v>781</v>
      </c>
      <c r="U1310" s="1" t="s">
        <v>1935</v>
      </c>
      <c r="V1310" s="8">
        <f t="shared" si="110"/>
        <v>46</v>
      </c>
      <c r="W1310" s="7" t="s">
        <v>781</v>
      </c>
      <c r="X1310" s="8">
        <f t="shared" si="109"/>
        <v>276</v>
      </c>
      <c r="Y1310" s="17">
        <v>4</v>
      </c>
      <c r="Z1310" s="7" t="s">
        <v>781</v>
      </c>
      <c r="AA1310" s="7" t="s">
        <v>781</v>
      </c>
      <c r="AB1310" s="8" t="e">
        <f>#REF!*Y1310</f>
        <v>#REF!</v>
      </c>
      <c r="AC1310" s="57">
        <f t="shared" si="108"/>
        <v>0</v>
      </c>
    </row>
    <row r="1311" spans="6:29" ht="24" customHeight="1">
      <c r="F1311" s="8">
        <v>1.1000000000000001</v>
      </c>
      <c r="G1311" s="7" t="s">
        <v>781</v>
      </c>
      <c r="H1311" s="1" t="s">
        <v>324</v>
      </c>
      <c r="I1311">
        <f>C13</f>
        <v>243.6</v>
      </c>
      <c r="J1311" s="1" t="s">
        <v>781</v>
      </c>
      <c r="K1311" s="8">
        <f t="shared" si="111"/>
        <v>267.95999999999998</v>
      </c>
      <c r="M1311" s="17">
        <v>6</v>
      </c>
      <c r="N1311" s="7" t="s">
        <v>781</v>
      </c>
      <c r="O1311" s="1" t="s">
        <v>1935</v>
      </c>
      <c r="P1311" s="8">
        <v>46</v>
      </c>
      <c r="Q1311" s="7" t="s">
        <v>781</v>
      </c>
      <c r="R1311" s="8">
        <f t="shared" si="112"/>
        <v>276</v>
      </c>
      <c r="S1311" s="14">
        <v>6</v>
      </c>
      <c r="T1311" s="7" t="s">
        <v>781</v>
      </c>
      <c r="U1311" s="1" t="s">
        <v>1936</v>
      </c>
      <c r="V1311" s="8">
        <f t="shared" si="110"/>
        <v>30</v>
      </c>
      <c r="W1311" s="7" t="s">
        <v>781</v>
      </c>
      <c r="X1311" s="8">
        <f t="shared" si="109"/>
        <v>180</v>
      </c>
      <c r="Y1311" s="17">
        <v>4</v>
      </c>
      <c r="Z1311" s="7" t="s">
        <v>781</v>
      </c>
      <c r="AA1311" s="7" t="s">
        <v>781</v>
      </c>
      <c r="AB1311" s="8" t="e">
        <f>#REF!*Y1311</f>
        <v>#REF!</v>
      </c>
      <c r="AC1311" s="57">
        <f t="shared" si="108"/>
        <v>0</v>
      </c>
    </row>
    <row r="1312" spans="6:29" ht="24" customHeight="1">
      <c r="G1312" s="7" t="s">
        <v>448</v>
      </c>
      <c r="H1312" s="1" t="s">
        <v>449</v>
      </c>
      <c r="J1312" s="1" t="s">
        <v>448</v>
      </c>
      <c r="K1312" s="8">
        <v>0</v>
      </c>
      <c r="M1312" s="17">
        <v>6</v>
      </c>
      <c r="N1312" s="7" t="s">
        <v>781</v>
      </c>
      <c r="O1312" s="1" t="s">
        <v>1936</v>
      </c>
      <c r="P1312" s="8">
        <v>30</v>
      </c>
      <c r="Q1312" s="7" t="s">
        <v>781</v>
      </c>
      <c r="R1312" s="8">
        <f t="shared" si="112"/>
        <v>180</v>
      </c>
      <c r="S1312" s="14">
        <v>6</v>
      </c>
      <c r="T1312" s="7" t="s">
        <v>781</v>
      </c>
      <c r="U1312" s="1" t="s">
        <v>1937</v>
      </c>
      <c r="V1312" s="8">
        <f t="shared" si="110"/>
        <v>20</v>
      </c>
      <c r="W1312" s="7" t="s">
        <v>781</v>
      </c>
      <c r="X1312" s="8">
        <f t="shared" si="109"/>
        <v>120</v>
      </c>
      <c r="Y1312" s="17">
        <v>4</v>
      </c>
      <c r="Z1312" s="7" t="s">
        <v>781</v>
      </c>
      <c r="AA1312" s="7" t="s">
        <v>781</v>
      </c>
      <c r="AB1312" s="8" t="e">
        <f>#REF!*Y1312</f>
        <v>#REF!</v>
      </c>
      <c r="AC1312" s="57">
        <f t="shared" si="108"/>
        <v>0</v>
      </c>
    </row>
    <row r="1313" spans="6:29" ht="24" customHeight="1">
      <c r="K1313" s="5" t="s">
        <v>1667</v>
      </c>
      <c r="M1313" s="17">
        <v>6</v>
      </c>
      <c r="N1313" s="7" t="s">
        <v>781</v>
      </c>
      <c r="O1313" s="1" t="s">
        <v>1937</v>
      </c>
      <c r="P1313" s="8">
        <v>20</v>
      </c>
      <c r="Q1313" s="7" t="s">
        <v>781</v>
      </c>
      <c r="R1313" s="8">
        <f t="shared" si="112"/>
        <v>120</v>
      </c>
      <c r="S1313" s="14">
        <v>6</v>
      </c>
      <c r="T1313" s="7" t="s">
        <v>781</v>
      </c>
      <c r="U1313" s="1" t="s">
        <v>1938</v>
      </c>
      <c r="V1313" s="8">
        <f t="shared" si="110"/>
        <v>15</v>
      </c>
      <c r="W1313" s="7" t="s">
        <v>781</v>
      </c>
      <c r="X1313" s="8">
        <f t="shared" si="109"/>
        <v>60</v>
      </c>
      <c r="Y1313" s="17">
        <v>4</v>
      </c>
      <c r="Z1313" s="7" t="s">
        <v>781</v>
      </c>
      <c r="AA1313" s="7" t="s">
        <v>781</v>
      </c>
      <c r="AB1313" s="8" t="e">
        <f>#REF!*Y1313</f>
        <v>#REF!</v>
      </c>
      <c r="AC1313" s="57">
        <f t="shared" si="108"/>
        <v>0</v>
      </c>
    </row>
    <row r="1314" spans="6:29" ht="24" customHeight="1">
      <c r="H1314" s="1" t="s">
        <v>440</v>
      </c>
      <c r="K1314" s="8">
        <f>SUM(K1304:K1312)</f>
        <v>5856.73</v>
      </c>
      <c r="M1314" s="17">
        <v>4</v>
      </c>
      <c r="N1314" s="7" t="s">
        <v>781</v>
      </c>
      <c r="O1314" s="1" t="s">
        <v>1938</v>
      </c>
      <c r="P1314" s="8">
        <v>15</v>
      </c>
      <c r="Q1314" s="7" t="s">
        <v>781</v>
      </c>
      <c r="R1314" s="8">
        <f t="shared" si="112"/>
        <v>60</v>
      </c>
      <c r="S1314" s="14">
        <v>4</v>
      </c>
      <c r="T1314" s="7" t="s">
        <v>2371</v>
      </c>
      <c r="U1314" s="1" t="s">
        <v>1939</v>
      </c>
      <c r="V1314" s="8">
        <f t="shared" si="110"/>
        <v>844.2</v>
      </c>
      <c r="W1314" s="7" t="s">
        <v>2371</v>
      </c>
      <c r="X1314" s="8">
        <f t="shared" si="109"/>
        <v>1197.08</v>
      </c>
      <c r="Y1314" s="17">
        <v>0.94499999999999995</v>
      </c>
      <c r="Z1314" s="7" t="s">
        <v>2371</v>
      </c>
      <c r="AA1314" s="7" t="s">
        <v>2371</v>
      </c>
      <c r="AB1314" s="8" t="e">
        <f>#REF!*Y1314</f>
        <v>#REF!</v>
      </c>
      <c r="AC1314" s="57">
        <f t="shared" si="108"/>
        <v>0</v>
      </c>
    </row>
    <row r="1315" spans="6:29" ht="24" customHeight="1">
      <c r="K1315" s="5" t="s">
        <v>1667</v>
      </c>
      <c r="M1315" s="17">
        <v>1.823</v>
      </c>
      <c r="N1315" s="7" t="s">
        <v>2371</v>
      </c>
      <c r="O1315" s="1" t="s">
        <v>1939</v>
      </c>
      <c r="P1315">
        <f>ROUND(AC17+AC11+(AC20*0.5),2)</f>
        <v>844.2</v>
      </c>
      <c r="Q1315" s="7" t="s">
        <v>2371</v>
      </c>
      <c r="R1315" s="8">
        <f t="shared" si="112"/>
        <v>1538.98</v>
      </c>
      <c r="S1315" s="14">
        <v>1.4179999999999999</v>
      </c>
      <c r="T1315" s="3"/>
      <c r="U1315" s="1" t="s">
        <v>1940</v>
      </c>
      <c r="W1315" s="4"/>
      <c r="X1315" s="8">
        <v>0.17</v>
      </c>
      <c r="Z1315" s="3"/>
      <c r="AA1315" s="4"/>
      <c r="AB1315" s="8">
        <v>0.08</v>
      </c>
      <c r="AC1315" s="57">
        <f t="shared" si="108"/>
        <v>0</v>
      </c>
    </row>
    <row r="1316" spans="6:29" ht="24" customHeight="1">
      <c r="H1316" s="64" t="s">
        <v>555</v>
      </c>
      <c r="K1316" s="40">
        <f>(K1314/10)</f>
        <v>585.66999999999996</v>
      </c>
      <c r="N1316" s="3"/>
      <c r="O1316" s="1" t="s">
        <v>1940</v>
      </c>
      <c r="Q1316" s="4"/>
      <c r="R1316" s="8">
        <v>3.32</v>
      </c>
      <c r="X1316" s="40">
        <f>SUM(X1303:X1315)</f>
        <v>7541.53</v>
      </c>
      <c r="AB1316" s="40" t="e">
        <f>SUM(AB1303:AB1315)</f>
        <v>#REF!</v>
      </c>
      <c r="AC1316" s="57">
        <f t="shared" si="108"/>
        <v>0</v>
      </c>
    </row>
    <row r="1317" spans="6:29" ht="24" customHeight="1">
      <c r="K1317" s="5" t="s">
        <v>2130</v>
      </c>
      <c r="R1317" s="40">
        <f>SUM(R1304:R1316)</f>
        <v>8763.0300000000007</v>
      </c>
      <c r="AC1317" s="57">
        <f t="shared" si="108"/>
        <v>0</v>
      </c>
    </row>
    <row r="1318" spans="6:29" ht="24" customHeight="1">
      <c r="K1318" s="5"/>
      <c r="AC1318" s="57">
        <f t="shared" si="108"/>
        <v>0</v>
      </c>
    </row>
    <row r="1319" spans="6:29" ht="24" customHeight="1">
      <c r="F1319" s="2" t="s">
        <v>1354</v>
      </c>
      <c r="G1319" s="7" t="s">
        <v>2338</v>
      </c>
      <c r="H1319" s="1" t="s">
        <v>5</v>
      </c>
      <c r="T1319" s="3"/>
      <c r="U1319" s="282" t="s">
        <v>3692</v>
      </c>
      <c r="W1319" s="11"/>
      <c r="Z1319" s="3"/>
      <c r="AA1319" s="11"/>
      <c r="AC1319" s="57">
        <f t="shared" si="108"/>
        <v>0</v>
      </c>
    </row>
    <row r="1320" spans="6:29" ht="24" customHeight="1">
      <c r="H1320" s="5" t="s">
        <v>1667</v>
      </c>
      <c r="N1320" s="3"/>
      <c r="O1320" s="282" t="s">
        <v>3691</v>
      </c>
      <c r="Q1320" s="11"/>
      <c r="T1320" s="7" t="s">
        <v>929</v>
      </c>
      <c r="U1320" s="1" t="s">
        <v>1931</v>
      </c>
      <c r="V1320" s="8">
        <f>P1321</f>
        <v>292</v>
      </c>
      <c r="W1320" s="7" t="s">
        <v>929</v>
      </c>
      <c r="X1320" s="8">
        <f t="shared" ref="X1320:X1331" si="113">V1320*S1321</f>
        <v>1019.08</v>
      </c>
      <c r="Y1320" s="17">
        <v>3.72</v>
      </c>
      <c r="Z1320" s="7" t="s">
        <v>929</v>
      </c>
      <c r="AA1320" s="7" t="s">
        <v>929</v>
      </c>
      <c r="AB1320" s="8" t="e">
        <f>#REF!*Y1320</f>
        <v>#REF!</v>
      </c>
      <c r="AC1320" s="57">
        <f t="shared" si="108"/>
        <v>0</v>
      </c>
    </row>
    <row r="1321" spans="6:29" ht="24" customHeight="1">
      <c r="F1321" s="8">
        <v>0.14000000000000001</v>
      </c>
      <c r="G1321" s="7" t="s">
        <v>884</v>
      </c>
      <c r="H1321" s="1" t="s">
        <v>1710</v>
      </c>
      <c r="I1321" s="8">
        <f>(K49)</f>
        <v>2403.81</v>
      </c>
      <c r="J1321" s="1" t="s">
        <v>884</v>
      </c>
      <c r="K1321" s="8">
        <f>(F1321*I1321)</f>
        <v>336.53</v>
      </c>
      <c r="M1321" s="17">
        <v>3.95</v>
      </c>
      <c r="N1321" s="7" t="s">
        <v>929</v>
      </c>
      <c r="O1321" s="1" t="s">
        <v>1931</v>
      </c>
      <c r="P1321" s="8">
        <f>P1304</f>
        <v>292</v>
      </c>
      <c r="Q1321" s="7" t="s">
        <v>929</v>
      </c>
      <c r="R1321" s="8">
        <f>P1321*M1321</f>
        <v>1153.4000000000001</v>
      </c>
      <c r="S1321" s="14">
        <v>3.49</v>
      </c>
      <c r="T1321" s="7" t="s">
        <v>929</v>
      </c>
      <c r="U1321" s="1" t="s">
        <v>1931</v>
      </c>
      <c r="V1321" s="8">
        <f t="shared" ref="V1321:V1331" si="114">P1322</f>
        <v>292</v>
      </c>
      <c r="W1321" s="7" t="s">
        <v>929</v>
      </c>
      <c r="X1321" s="8">
        <f t="shared" si="113"/>
        <v>738.76</v>
      </c>
      <c r="Y1321" s="17">
        <v>2.69</v>
      </c>
      <c r="Z1321" s="7" t="s">
        <v>929</v>
      </c>
      <c r="AA1321" s="7" t="s">
        <v>929</v>
      </c>
      <c r="AB1321" s="8" t="e">
        <f>#REF!*Y1321</f>
        <v>#REF!</v>
      </c>
      <c r="AC1321" s="57">
        <f t="shared" si="108"/>
        <v>0</v>
      </c>
    </row>
    <row r="1322" spans="6:29" ht="24" customHeight="1">
      <c r="F1322" s="8">
        <v>1.1000000000000001</v>
      </c>
      <c r="G1322" s="7" t="s">
        <v>883</v>
      </c>
      <c r="H1322" s="1" t="s">
        <v>2082</v>
      </c>
      <c r="I1322" s="8">
        <f>(C10)</f>
        <v>430.5</v>
      </c>
      <c r="J1322" s="1" t="s">
        <v>883</v>
      </c>
      <c r="K1322" s="8">
        <f>(F1322*I1322)</f>
        <v>473.55</v>
      </c>
      <c r="M1322" s="17">
        <v>2.86</v>
      </c>
      <c r="N1322" s="7" t="s">
        <v>929</v>
      </c>
      <c r="O1322" s="1" t="s">
        <v>1931</v>
      </c>
      <c r="P1322" s="8">
        <f t="shared" ref="P1322:P1332" si="115">P1305</f>
        <v>292</v>
      </c>
      <c r="Q1322" s="7" t="s">
        <v>929</v>
      </c>
      <c r="R1322" s="8">
        <f t="shared" ref="R1322:R1332" si="116">P1322*M1322</f>
        <v>835.12</v>
      </c>
      <c r="S1322" s="14">
        <v>2.5299999999999998</v>
      </c>
      <c r="T1322" s="7" t="s">
        <v>929</v>
      </c>
      <c r="U1322" s="1" t="s">
        <v>1931</v>
      </c>
      <c r="V1322" s="8">
        <f t="shared" si="114"/>
        <v>292</v>
      </c>
      <c r="W1322" s="7" t="s">
        <v>929</v>
      </c>
      <c r="X1322" s="8">
        <f t="shared" si="113"/>
        <v>1679</v>
      </c>
      <c r="Y1322" s="17">
        <v>6.15</v>
      </c>
      <c r="Z1322" s="7" t="s">
        <v>929</v>
      </c>
      <c r="AA1322" s="7" t="s">
        <v>929</v>
      </c>
      <c r="AB1322" s="8" t="e">
        <f>#REF!*Y1322</f>
        <v>#REF!</v>
      </c>
      <c r="AC1322" s="57">
        <f t="shared" si="108"/>
        <v>0</v>
      </c>
    </row>
    <row r="1323" spans="6:29" ht="24" customHeight="1">
      <c r="F1323" s="8">
        <v>0.5</v>
      </c>
      <c r="G1323" s="7" t="s">
        <v>883</v>
      </c>
      <c r="H1323" s="1" t="s">
        <v>1979</v>
      </c>
      <c r="I1323" s="8">
        <f>(C12)</f>
        <v>269.85000000000002</v>
      </c>
      <c r="J1323" s="1" t="s">
        <v>883</v>
      </c>
      <c r="K1323" s="8">
        <f>(F1323*I1323)</f>
        <v>134.93</v>
      </c>
      <c r="M1323" s="17">
        <v>6.55</v>
      </c>
      <c r="N1323" s="7" t="s">
        <v>929</v>
      </c>
      <c r="O1323" s="1" t="s">
        <v>1931</v>
      </c>
      <c r="P1323" s="8">
        <f t="shared" si="115"/>
        <v>292</v>
      </c>
      <c r="Q1323" s="7" t="s">
        <v>929</v>
      </c>
      <c r="R1323" s="8">
        <f t="shared" si="116"/>
        <v>1912.6</v>
      </c>
      <c r="S1323" s="14">
        <v>5.75</v>
      </c>
      <c r="T1323" s="7" t="s">
        <v>929</v>
      </c>
      <c r="U1323" s="1" t="s">
        <v>1931</v>
      </c>
      <c r="V1323" s="8">
        <f t="shared" si="114"/>
        <v>292</v>
      </c>
      <c r="W1323" s="7" t="s">
        <v>929</v>
      </c>
      <c r="X1323" s="8">
        <f t="shared" si="113"/>
        <v>292</v>
      </c>
      <c r="Y1323" s="17">
        <v>1.07</v>
      </c>
      <c r="Z1323" s="7" t="s">
        <v>929</v>
      </c>
      <c r="AA1323" s="7" t="s">
        <v>929</v>
      </c>
      <c r="AB1323" s="8" t="e">
        <f>#REF!*Y1323</f>
        <v>#REF!</v>
      </c>
      <c r="AC1323" s="57">
        <f t="shared" si="108"/>
        <v>0</v>
      </c>
    </row>
    <row r="1324" spans="6:29" ht="24" customHeight="1">
      <c r="F1324" s="8">
        <v>1.1000000000000001</v>
      </c>
      <c r="G1324" s="7" t="s">
        <v>883</v>
      </c>
      <c r="H1324" s="1" t="s">
        <v>324</v>
      </c>
      <c r="I1324" s="8">
        <f>(C13)</f>
        <v>243.6</v>
      </c>
      <c r="J1324" s="1" t="s">
        <v>883</v>
      </c>
      <c r="K1324" s="8">
        <f>(F1324*I1324)</f>
        <v>267.95999999999998</v>
      </c>
      <c r="M1324" s="17">
        <v>1.1499999999999999</v>
      </c>
      <c r="N1324" s="7" t="s">
        <v>929</v>
      </c>
      <c r="O1324" s="1" t="s">
        <v>1931</v>
      </c>
      <c r="P1324" s="8">
        <f t="shared" si="115"/>
        <v>292</v>
      </c>
      <c r="Q1324" s="7" t="s">
        <v>929</v>
      </c>
      <c r="R1324" s="8">
        <f t="shared" si="116"/>
        <v>335.8</v>
      </c>
      <c r="S1324" s="14">
        <v>1</v>
      </c>
      <c r="T1324" s="7" t="s">
        <v>234</v>
      </c>
      <c r="U1324" s="1" t="s">
        <v>1932</v>
      </c>
      <c r="V1324" s="8">
        <f t="shared" si="114"/>
        <v>209.9</v>
      </c>
      <c r="W1324" s="7" t="s">
        <v>234</v>
      </c>
      <c r="X1324" s="8">
        <f t="shared" si="113"/>
        <v>202.97</v>
      </c>
      <c r="Y1324" s="17">
        <v>1.153</v>
      </c>
      <c r="Z1324" s="7" t="s">
        <v>234</v>
      </c>
      <c r="AA1324" s="7" t="s">
        <v>234</v>
      </c>
      <c r="AB1324" s="8" t="e">
        <f>#REF!*Y1324</f>
        <v>#REF!</v>
      </c>
      <c r="AC1324" s="57">
        <f t="shared" si="108"/>
        <v>0</v>
      </c>
    </row>
    <row r="1325" spans="6:29" ht="24" customHeight="1">
      <c r="G1325" s="7" t="s">
        <v>448</v>
      </c>
      <c r="H1325" s="1" t="s">
        <v>449</v>
      </c>
      <c r="I1325" s="1" t="s">
        <v>995</v>
      </c>
      <c r="J1325" s="1" t="s">
        <v>448</v>
      </c>
      <c r="K1325" s="8">
        <v>0</v>
      </c>
      <c r="M1325" s="17">
        <v>1.3380000000000001</v>
      </c>
      <c r="N1325" s="7" t="s">
        <v>234</v>
      </c>
      <c r="O1325" s="1" t="s">
        <v>1932</v>
      </c>
      <c r="P1325" s="8">
        <f t="shared" si="115"/>
        <v>209.9</v>
      </c>
      <c r="Q1325" s="7" t="s">
        <v>234</v>
      </c>
      <c r="R1325" s="8">
        <f t="shared" si="116"/>
        <v>280.85000000000002</v>
      </c>
      <c r="S1325" s="14">
        <v>0.96699999999999997</v>
      </c>
      <c r="T1325" s="7" t="s">
        <v>840</v>
      </c>
      <c r="U1325" s="1" t="s">
        <v>1933</v>
      </c>
      <c r="V1325" s="8">
        <f t="shared" si="114"/>
        <v>27.8</v>
      </c>
      <c r="W1325" s="7" t="s">
        <v>840</v>
      </c>
      <c r="X1325" s="8">
        <f t="shared" si="113"/>
        <v>224.4</v>
      </c>
      <c r="Y1325" s="17">
        <v>8.6720000000000006</v>
      </c>
      <c r="Z1325" s="7" t="s">
        <v>840</v>
      </c>
      <c r="AA1325" s="7" t="s">
        <v>840</v>
      </c>
      <c r="AB1325" s="8" t="e">
        <f>#REF!*Y1325</f>
        <v>#REF!</v>
      </c>
      <c r="AC1325" s="57">
        <f t="shared" si="108"/>
        <v>0</v>
      </c>
    </row>
    <row r="1326" spans="6:29" ht="24" customHeight="1">
      <c r="K1326" s="5" t="s">
        <v>1667</v>
      </c>
      <c r="M1326" s="17">
        <v>9.2720000000000002</v>
      </c>
      <c r="N1326" s="7" t="s">
        <v>840</v>
      </c>
      <c r="O1326" s="1" t="s">
        <v>1933</v>
      </c>
      <c r="P1326" s="8">
        <f t="shared" si="115"/>
        <v>27.8</v>
      </c>
      <c r="Q1326" s="7" t="s">
        <v>840</v>
      </c>
      <c r="R1326" s="8">
        <f t="shared" si="116"/>
        <v>257.76</v>
      </c>
      <c r="S1326" s="14">
        <v>8.0719999999999992</v>
      </c>
      <c r="T1326" s="7" t="s">
        <v>781</v>
      </c>
      <c r="U1326" s="1" t="s">
        <v>1934</v>
      </c>
      <c r="V1326" s="8">
        <f t="shared" si="114"/>
        <v>35</v>
      </c>
      <c r="W1326" s="7" t="s">
        <v>781</v>
      </c>
      <c r="X1326" s="8">
        <f t="shared" si="113"/>
        <v>280</v>
      </c>
      <c r="Y1326" s="17">
        <v>8</v>
      </c>
      <c r="Z1326" s="7" t="s">
        <v>781</v>
      </c>
      <c r="AA1326" s="7" t="s">
        <v>781</v>
      </c>
      <c r="AB1326" s="8" t="e">
        <f>#REF!*Y1326</f>
        <v>#REF!</v>
      </c>
      <c r="AC1326" s="57">
        <f t="shared" si="108"/>
        <v>0</v>
      </c>
    </row>
    <row r="1327" spans="6:29" ht="24" customHeight="1">
      <c r="H1327" s="1" t="s">
        <v>440</v>
      </c>
      <c r="K1327" s="8">
        <f>SUM(K1321:K1325)</f>
        <v>1212.97</v>
      </c>
      <c r="M1327" s="17">
        <v>8</v>
      </c>
      <c r="N1327" s="7" t="s">
        <v>781</v>
      </c>
      <c r="O1327" s="1" t="s">
        <v>1934</v>
      </c>
      <c r="P1327" s="8">
        <f t="shared" si="115"/>
        <v>35</v>
      </c>
      <c r="Q1327" s="7" t="s">
        <v>781</v>
      </c>
      <c r="R1327" s="8">
        <f t="shared" si="116"/>
        <v>280</v>
      </c>
      <c r="S1327" s="14">
        <v>8</v>
      </c>
      <c r="T1327" s="7" t="s">
        <v>781</v>
      </c>
      <c r="U1327" s="1" t="s">
        <v>1935</v>
      </c>
      <c r="V1327" s="8">
        <f t="shared" si="114"/>
        <v>46</v>
      </c>
      <c r="W1327" s="7" t="s">
        <v>781</v>
      </c>
      <c r="X1327" s="8">
        <f t="shared" si="113"/>
        <v>184</v>
      </c>
      <c r="Y1327" s="17">
        <v>4</v>
      </c>
      <c r="Z1327" s="7" t="s">
        <v>781</v>
      </c>
      <c r="AA1327" s="7" t="s">
        <v>781</v>
      </c>
      <c r="AB1327" s="8" t="e">
        <f>#REF!*Y1327</f>
        <v>#REF!</v>
      </c>
      <c r="AC1327" s="57">
        <f t="shared" si="108"/>
        <v>0</v>
      </c>
    </row>
    <row r="1328" spans="6:29" ht="24" customHeight="1">
      <c r="K1328" s="5" t="s">
        <v>1667</v>
      </c>
      <c r="M1328" s="17">
        <v>4</v>
      </c>
      <c r="N1328" s="7" t="s">
        <v>781</v>
      </c>
      <c r="O1328" s="1" t="s">
        <v>1935</v>
      </c>
      <c r="P1328" s="8">
        <f t="shared" si="115"/>
        <v>46</v>
      </c>
      <c r="Q1328" s="7" t="s">
        <v>781</v>
      </c>
      <c r="R1328" s="8">
        <f t="shared" si="116"/>
        <v>184</v>
      </c>
      <c r="S1328" s="14">
        <v>4</v>
      </c>
      <c r="T1328" s="7" t="s">
        <v>781</v>
      </c>
      <c r="U1328" s="1" t="s">
        <v>1936</v>
      </c>
      <c r="V1328" s="8">
        <f t="shared" si="114"/>
        <v>30</v>
      </c>
      <c r="W1328" s="7" t="s">
        <v>781</v>
      </c>
      <c r="X1328" s="8">
        <f t="shared" si="113"/>
        <v>120</v>
      </c>
      <c r="Y1328" s="17">
        <v>4</v>
      </c>
      <c r="Z1328" s="7" t="s">
        <v>781</v>
      </c>
      <c r="AA1328" s="7" t="s">
        <v>781</v>
      </c>
      <c r="AB1328" s="8" t="e">
        <f>#REF!*Y1328</f>
        <v>#REF!</v>
      </c>
      <c r="AC1328" s="57">
        <f t="shared" si="108"/>
        <v>0</v>
      </c>
    </row>
    <row r="1329" spans="6:29" ht="24" customHeight="1">
      <c r="H1329" s="64" t="s">
        <v>555</v>
      </c>
      <c r="K1329" s="639">
        <f>(K1327/10)</f>
        <v>121.3</v>
      </c>
      <c r="M1329" s="17">
        <v>4</v>
      </c>
      <c r="N1329" s="7" t="s">
        <v>781</v>
      </c>
      <c r="O1329" s="1" t="s">
        <v>1936</v>
      </c>
      <c r="P1329" s="8">
        <f t="shared" si="115"/>
        <v>30</v>
      </c>
      <c r="Q1329" s="7" t="s">
        <v>781</v>
      </c>
      <c r="R1329" s="8">
        <f t="shared" si="116"/>
        <v>120</v>
      </c>
      <c r="S1329" s="14">
        <v>4</v>
      </c>
      <c r="T1329" s="7" t="s">
        <v>781</v>
      </c>
      <c r="U1329" s="1" t="s">
        <v>1937</v>
      </c>
      <c r="V1329" s="8">
        <f t="shared" si="114"/>
        <v>20</v>
      </c>
      <c r="W1329" s="7" t="s">
        <v>781</v>
      </c>
      <c r="X1329" s="8">
        <f t="shared" si="113"/>
        <v>80</v>
      </c>
      <c r="Y1329" s="17">
        <v>4</v>
      </c>
      <c r="Z1329" s="7" t="s">
        <v>781</v>
      </c>
      <c r="AA1329" s="7" t="s">
        <v>781</v>
      </c>
      <c r="AB1329" s="8" t="e">
        <f>#REF!*Y1329</f>
        <v>#REF!</v>
      </c>
      <c r="AC1329" s="57">
        <f t="shared" si="108"/>
        <v>0</v>
      </c>
    </row>
    <row r="1330" spans="6:29" ht="24" customHeight="1">
      <c r="F1330" s="1" t="s">
        <v>995</v>
      </c>
      <c r="M1330" s="17">
        <v>4</v>
      </c>
      <c r="N1330" s="7" t="s">
        <v>781</v>
      </c>
      <c r="O1330" s="1" t="s">
        <v>1937</v>
      </c>
      <c r="P1330" s="8">
        <f t="shared" si="115"/>
        <v>20</v>
      </c>
      <c r="Q1330" s="7" t="s">
        <v>781</v>
      </c>
      <c r="R1330" s="8">
        <f t="shared" si="116"/>
        <v>80</v>
      </c>
      <c r="S1330" s="14">
        <v>4</v>
      </c>
      <c r="T1330" s="7" t="s">
        <v>781</v>
      </c>
      <c r="U1330" s="1" t="s">
        <v>1938</v>
      </c>
      <c r="V1330" s="8">
        <f t="shared" si="114"/>
        <v>15</v>
      </c>
      <c r="W1330" s="7" t="s">
        <v>781</v>
      </c>
      <c r="X1330" s="8">
        <f t="shared" si="113"/>
        <v>60</v>
      </c>
      <c r="Y1330" s="17">
        <v>4</v>
      </c>
      <c r="Z1330" s="7" t="s">
        <v>781</v>
      </c>
      <c r="AA1330" s="7" t="s">
        <v>781</v>
      </c>
      <c r="AB1330" s="8" t="e">
        <f>#REF!*Y1330</f>
        <v>#REF!</v>
      </c>
      <c r="AC1330" s="57">
        <f t="shared" si="108"/>
        <v>0</v>
      </c>
    </row>
    <row r="1331" spans="6:29" ht="24" customHeight="1">
      <c r="K1331" s="5" t="s">
        <v>2130</v>
      </c>
      <c r="M1331" s="17">
        <v>4</v>
      </c>
      <c r="N1331" s="7" t="s">
        <v>781</v>
      </c>
      <c r="O1331" s="1" t="s">
        <v>1938</v>
      </c>
      <c r="P1331" s="8">
        <f t="shared" si="115"/>
        <v>15</v>
      </c>
      <c r="Q1331" s="7" t="s">
        <v>781</v>
      </c>
      <c r="R1331" s="8">
        <f t="shared" si="116"/>
        <v>60</v>
      </c>
      <c r="S1331" s="14">
        <v>4</v>
      </c>
      <c r="T1331" s="7" t="s">
        <v>2371</v>
      </c>
      <c r="U1331" s="1" t="s">
        <v>1939</v>
      </c>
      <c r="V1331" s="8">
        <f t="shared" si="114"/>
        <v>844.2</v>
      </c>
      <c r="W1331" s="7" t="s">
        <v>2371</v>
      </c>
      <c r="X1331" s="8">
        <f t="shared" si="113"/>
        <v>1025.7</v>
      </c>
      <c r="Y1331" s="17">
        <v>1.42</v>
      </c>
      <c r="Z1331" s="7" t="s">
        <v>2371</v>
      </c>
      <c r="AA1331" s="7" t="s">
        <v>2371</v>
      </c>
      <c r="AB1331" s="8" t="e">
        <f>#REF!*Y1331</f>
        <v>#REF!</v>
      </c>
      <c r="AC1331" s="57">
        <f t="shared" si="108"/>
        <v>0</v>
      </c>
    </row>
    <row r="1332" spans="6:29" ht="24" customHeight="1">
      <c r="F1332" s="2" t="s">
        <v>6</v>
      </c>
      <c r="G1332" s="7" t="s">
        <v>2338</v>
      </c>
      <c r="H1332" s="1" t="s">
        <v>7</v>
      </c>
      <c r="M1332" s="17">
        <v>1.62</v>
      </c>
      <c r="N1332" s="7" t="s">
        <v>2371</v>
      </c>
      <c r="O1332" s="1" t="s">
        <v>1939</v>
      </c>
      <c r="P1332" s="8">
        <f t="shared" si="115"/>
        <v>844.2</v>
      </c>
      <c r="Q1332" s="7" t="s">
        <v>2371</v>
      </c>
      <c r="R1332" s="8">
        <f t="shared" si="116"/>
        <v>1367.6</v>
      </c>
      <c r="S1332" s="14">
        <v>1.2150000000000001</v>
      </c>
      <c r="T1332" s="3"/>
      <c r="U1332" s="1" t="s">
        <v>1940</v>
      </c>
      <c r="W1332" s="4"/>
      <c r="X1332" s="8">
        <v>0.02</v>
      </c>
      <c r="Z1332" s="3"/>
      <c r="AA1332" s="4"/>
      <c r="AB1332" s="8">
        <v>0.59</v>
      </c>
      <c r="AC1332" s="57">
        <f t="shared" si="108"/>
        <v>0</v>
      </c>
    </row>
    <row r="1333" spans="6:29" ht="24" customHeight="1">
      <c r="H1333" s="5" t="s">
        <v>1667</v>
      </c>
      <c r="N1333" s="3"/>
      <c r="O1333" s="1" t="s">
        <v>1940</v>
      </c>
      <c r="Q1333" s="4"/>
      <c r="R1333" s="8">
        <v>0.61</v>
      </c>
      <c r="X1333" s="40">
        <f>SUM(X1320:X1332)</f>
        <v>5905.93</v>
      </c>
      <c r="AB1333" s="40" t="e">
        <f>SUM(AB1320:AB1332)</f>
        <v>#REF!</v>
      </c>
      <c r="AC1333" s="57">
        <f t="shared" si="108"/>
        <v>0</v>
      </c>
    </row>
    <row r="1334" spans="6:29" ht="24" customHeight="1">
      <c r="F1334" s="8">
        <v>0.14000000000000001</v>
      </c>
      <c r="G1334" s="7" t="s">
        <v>884</v>
      </c>
      <c r="H1334" s="1" t="s">
        <v>1364</v>
      </c>
      <c r="I1334" s="8">
        <f>(K40)</f>
        <v>2807.01</v>
      </c>
      <c r="J1334" s="1" t="s">
        <v>884</v>
      </c>
      <c r="K1334" s="8">
        <f>(F1334*I1334)</f>
        <v>392.98</v>
      </c>
      <c r="R1334" s="40">
        <f>SUM(R1321:R1333)</f>
        <v>6867.74</v>
      </c>
      <c r="AC1334" s="57">
        <f t="shared" si="108"/>
        <v>0</v>
      </c>
    </row>
    <row r="1335" spans="6:29" ht="24" customHeight="1">
      <c r="F1335" s="8">
        <v>1.1000000000000001</v>
      </c>
      <c r="G1335" s="7" t="s">
        <v>883</v>
      </c>
      <c r="H1335" s="1" t="s">
        <v>2082</v>
      </c>
      <c r="I1335" s="8">
        <f>(C10)</f>
        <v>430.5</v>
      </c>
      <c r="J1335" s="1" t="s">
        <v>883</v>
      </c>
      <c r="K1335" s="8">
        <f>(F1335*I1335)</f>
        <v>473.55</v>
      </c>
      <c r="M1335" s="8"/>
      <c r="N1335" s="7"/>
      <c r="O1335" s="1"/>
      <c r="P1335" s="8"/>
      <c r="Q1335" s="2"/>
      <c r="R1335" s="8"/>
      <c r="AC1335" s="57">
        <f t="shared" si="108"/>
        <v>0</v>
      </c>
    </row>
    <row r="1336" spans="6:29" ht="24" customHeight="1">
      <c r="F1336" s="8">
        <v>0.5</v>
      </c>
      <c r="G1336" s="7" t="s">
        <v>883</v>
      </c>
      <c r="H1336" s="1" t="s">
        <v>1979</v>
      </c>
      <c r="I1336" s="8">
        <f>(C12)</f>
        <v>269.85000000000002</v>
      </c>
      <c r="J1336" s="1" t="s">
        <v>883</v>
      </c>
      <c r="K1336" s="8">
        <f>(F1336*I1336)</f>
        <v>134.93</v>
      </c>
      <c r="M1336" s="8"/>
      <c r="N1336" s="7"/>
      <c r="O1336" s="1"/>
      <c r="P1336" s="8"/>
      <c r="Q1336" s="2"/>
      <c r="R1336" s="8"/>
      <c r="T1336" s="3"/>
      <c r="U1336" s="282" t="s">
        <v>3698</v>
      </c>
      <c r="W1336" s="11"/>
      <c r="Z1336" s="3"/>
      <c r="AA1336" s="11"/>
      <c r="AC1336" s="57">
        <f t="shared" si="108"/>
        <v>0</v>
      </c>
    </row>
    <row r="1337" spans="6:29" ht="24" customHeight="1">
      <c r="F1337" s="8">
        <v>1.1000000000000001</v>
      </c>
      <c r="G1337" s="7" t="s">
        <v>883</v>
      </c>
      <c r="H1337" s="1" t="s">
        <v>324</v>
      </c>
      <c r="I1337" s="8">
        <f>(C13)</f>
        <v>243.6</v>
      </c>
      <c r="J1337" s="1" t="s">
        <v>883</v>
      </c>
      <c r="K1337" s="8">
        <f>(F1337*I1337)</f>
        <v>267.95999999999998</v>
      </c>
      <c r="N1337" s="3"/>
      <c r="O1337" s="282" t="s">
        <v>3693</v>
      </c>
      <c r="Q1337" s="11"/>
      <c r="T1337" s="7" t="s">
        <v>929</v>
      </c>
      <c r="U1337" s="1" t="s">
        <v>1931</v>
      </c>
      <c r="V1337" s="8">
        <f>V1320</f>
        <v>292</v>
      </c>
      <c r="W1337" s="7" t="s">
        <v>929</v>
      </c>
      <c r="X1337" s="8">
        <f t="shared" ref="X1337:X1348" si="117">V1337*S1338</f>
        <v>1424.96</v>
      </c>
      <c r="Y1337" s="17">
        <v>2.87</v>
      </c>
      <c r="Z1337" s="7" t="s">
        <v>929</v>
      </c>
      <c r="AA1337" s="7" t="s">
        <v>929</v>
      </c>
      <c r="AB1337" s="8" t="e">
        <f>#REF!*Y1337</f>
        <v>#REF!</v>
      </c>
      <c r="AC1337" s="57">
        <f t="shared" si="108"/>
        <v>0</v>
      </c>
    </row>
    <row r="1338" spans="6:29" ht="24" customHeight="1">
      <c r="G1338" s="7" t="s">
        <v>448</v>
      </c>
      <c r="H1338" s="1" t="s">
        <v>449</v>
      </c>
      <c r="I1338" s="1" t="s">
        <v>995</v>
      </c>
      <c r="J1338" s="1" t="s">
        <v>448</v>
      </c>
      <c r="K1338" s="8">
        <v>0</v>
      </c>
      <c r="M1338" s="17">
        <v>2.79</v>
      </c>
      <c r="N1338" s="7" t="s">
        <v>929</v>
      </c>
      <c r="O1338" s="1" t="s">
        <v>1931</v>
      </c>
      <c r="P1338" s="8">
        <f>P1321</f>
        <v>292</v>
      </c>
      <c r="Q1338" s="7" t="s">
        <v>929</v>
      </c>
      <c r="R1338" s="8">
        <f>P1338*M1338</f>
        <v>814.68</v>
      </c>
      <c r="S1338" s="14">
        <v>4.88</v>
      </c>
      <c r="T1338" s="7" t="s">
        <v>929</v>
      </c>
      <c r="U1338" s="1" t="s">
        <v>1931</v>
      </c>
      <c r="V1338" s="8">
        <f t="shared" ref="V1338:V1348" si="118">V1321</f>
        <v>292</v>
      </c>
      <c r="W1338" s="7" t="s">
        <v>929</v>
      </c>
      <c r="X1338" s="8">
        <f t="shared" si="117"/>
        <v>1918.44</v>
      </c>
      <c r="Y1338" s="17">
        <v>0.56000000000000005</v>
      </c>
      <c r="Z1338" s="7" t="s">
        <v>929</v>
      </c>
      <c r="AA1338" s="7" t="s">
        <v>929</v>
      </c>
      <c r="AB1338" s="8" t="e">
        <f>#REF!*Y1338</f>
        <v>#REF!</v>
      </c>
      <c r="AC1338" s="57">
        <f t="shared" si="108"/>
        <v>0</v>
      </c>
    </row>
    <row r="1339" spans="6:29" ht="24" customHeight="1">
      <c r="G1339" s="7"/>
      <c r="H1339" s="1"/>
      <c r="I1339" s="1"/>
      <c r="J1339" s="1"/>
      <c r="K1339" s="8"/>
      <c r="M1339" s="17">
        <v>0.5</v>
      </c>
      <c r="N1339" s="7" t="s">
        <v>929</v>
      </c>
      <c r="O1339" s="1" t="s">
        <v>1931</v>
      </c>
      <c r="P1339" s="8">
        <f t="shared" ref="P1339:P1349" si="119">P1322</f>
        <v>292</v>
      </c>
      <c r="Q1339" s="7" t="s">
        <v>929</v>
      </c>
      <c r="R1339" s="8">
        <f t="shared" ref="R1339:R1349" si="120">P1339*M1339</f>
        <v>146</v>
      </c>
      <c r="S1339" s="14">
        <v>6.57</v>
      </c>
      <c r="T1339" s="7" t="s">
        <v>929</v>
      </c>
      <c r="U1339" s="1" t="s">
        <v>1931</v>
      </c>
      <c r="V1339" s="8">
        <f t="shared" si="118"/>
        <v>292</v>
      </c>
      <c r="W1339" s="7" t="s">
        <v>929</v>
      </c>
      <c r="X1339" s="8">
        <f t="shared" si="117"/>
        <v>3375.52</v>
      </c>
      <c r="Y1339" s="17">
        <v>2.98</v>
      </c>
      <c r="Z1339" s="7" t="s">
        <v>929</v>
      </c>
      <c r="AA1339" s="7" t="s">
        <v>929</v>
      </c>
      <c r="AB1339" s="8" t="e">
        <f>#REF!*Y1339</f>
        <v>#REF!</v>
      </c>
      <c r="AC1339" s="57">
        <f t="shared" si="108"/>
        <v>0</v>
      </c>
    </row>
    <row r="1340" spans="6:29" ht="24" customHeight="1">
      <c r="K1340" s="5" t="s">
        <v>1667</v>
      </c>
      <c r="M1340" s="17">
        <v>2.85</v>
      </c>
      <c r="N1340" s="7" t="s">
        <v>929</v>
      </c>
      <c r="O1340" s="1" t="s">
        <v>1931</v>
      </c>
      <c r="P1340" s="8">
        <f t="shared" si="119"/>
        <v>292</v>
      </c>
      <c r="Q1340" s="7" t="s">
        <v>929</v>
      </c>
      <c r="R1340" s="8">
        <f t="shared" si="120"/>
        <v>832.2</v>
      </c>
      <c r="S1340" s="14">
        <v>11.56</v>
      </c>
      <c r="T1340" s="7" t="s">
        <v>929</v>
      </c>
      <c r="U1340" s="1" t="s">
        <v>1931</v>
      </c>
      <c r="V1340" s="8">
        <f t="shared" si="118"/>
        <v>292</v>
      </c>
      <c r="W1340" s="7" t="s">
        <v>929</v>
      </c>
      <c r="X1340" s="8">
        <f t="shared" si="117"/>
        <v>586.91999999999996</v>
      </c>
      <c r="Y1340" s="17">
        <v>0.52</v>
      </c>
      <c r="Z1340" s="7" t="s">
        <v>929</v>
      </c>
      <c r="AA1340" s="7" t="s">
        <v>929</v>
      </c>
      <c r="AB1340" s="8" t="e">
        <f>#REF!*Y1340</f>
        <v>#REF!</v>
      </c>
      <c r="AC1340" s="57">
        <f t="shared" si="108"/>
        <v>0</v>
      </c>
    </row>
    <row r="1341" spans="6:29" ht="24" customHeight="1">
      <c r="H1341" s="1" t="s">
        <v>440</v>
      </c>
      <c r="K1341" s="8">
        <f>SUM(K1334:K1338)</f>
        <v>1269.42</v>
      </c>
      <c r="M1341" s="17">
        <v>0.5</v>
      </c>
      <c r="N1341" s="7" t="s">
        <v>929</v>
      </c>
      <c r="O1341" s="1" t="s">
        <v>1931</v>
      </c>
      <c r="P1341" s="8">
        <f t="shared" si="119"/>
        <v>292</v>
      </c>
      <c r="Q1341" s="7" t="s">
        <v>929</v>
      </c>
      <c r="R1341" s="8">
        <f t="shared" si="120"/>
        <v>146</v>
      </c>
      <c r="S1341" s="14">
        <v>2.0099999999999998</v>
      </c>
      <c r="T1341" s="7" t="s">
        <v>234</v>
      </c>
      <c r="U1341" s="1" t="s">
        <v>1932</v>
      </c>
      <c r="V1341" s="8">
        <f t="shared" si="118"/>
        <v>209.9</v>
      </c>
      <c r="W1341" s="7" t="s">
        <v>234</v>
      </c>
      <c r="X1341" s="8">
        <f t="shared" si="117"/>
        <v>411.4</v>
      </c>
      <c r="Y1341" s="17">
        <v>0.53300000000000003</v>
      </c>
      <c r="Z1341" s="7" t="s">
        <v>234</v>
      </c>
      <c r="AA1341" s="7" t="s">
        <v>234</v>
      </c>
      <c r="AB1341" s="8" t="e">
        <f>#REF!*Y1341</f>
        <v>#REF!</v>
      </c>
      <c r="AC1341" s="57">
        <f t="shared" si="108"/>
        <v>0</v>
      </c>
    </row>
    <row r="1342" spans="6:29" ht="24" customHeight="1">
      <c r="K1342" s="5" t="s">
        <v>1667</v>
      </c>
      <c r="M1342" s="17">
        <v>0.47099999999999997</v>
      </c>
      <c r="N1342" s="7" t="s">
        <v>234</v>
      </c>
      <c r="O1342" s="1" t="s">
        <v>1932</v>
      </c>
      <c r="P1342" s="8">
        <f t="shared" si="119"/>
        <v>209.9</v>
      </c>
      <c r="Q1342" s="7" t="s">
        <v>234</v>
      </c>
      <c r="R1342" s="8">
        <f t="shared" si="120"/>
        <v>98.86</v>
      </c>
      <c r="S1342" s="14">
        <v>1.96</v>
      </c>
      <c r="T1342" s="7" t="s">
        <v>840</v>
      </c>
      <c r="U1342" s="1" t="s">
        <v>1933</v>
      </c>
      <c r="V1342" s="8">
        <f t="shared" si="118"/>
        <v>27.8</v>
      </c>
      <c r="W1342" s="7" t="s">
        <v>840</v>
      </c>
      <c r="X1342" s="8">
        <f t="shared" si="117"/>
        <v>451.03</v>
      </c>
      <c r="Y1342" s="17">
        <v>4.1959999999999997</v>
      </c>
      <c r="Z1342" s="7" t="s">
        <v>840</v>
      </c>
      <c r="AA1342" s="7" t="s">
        <v>840</v>
      </c>
      <c r="AB1342" s="8" t="e">
        <f>#REF!*Y1342</f>
        <v>#REF!</v>
      </c>
      <c r="AC1342" s="57">
        <f t="shared" si="108"/>
        <v>0</v>
      </c>
    </row>
    <row r="1343" spans="6:29" ht="24" customHeight="1">
      <c r="H1343" s="64" t="s">
        <v>555</v>
      </c>
      <c r="K1343" s="40">
        <f>(K1341/10)</f>
        <v>126.94</v>
      </c>
      <c r="M1343" s="17">
        <v>3.996</v>
      </c>
      <c r="N1343" s="7" t="s">
        <v>840</v>
      </c>
      <c r="O1343" s="1" t="s">
        <v>1933</v>
      </c>
      <c r="P1343" s="8">
        <f t="shared" si="119"/>
        <v>27.8</v>
      </c>
      <c r="Q1343" s="7" t="s">
        <v>840</v>
      </c>
      <c r="R1343" s="8">
        <f t="shared" si="120"/>
        <v>111.09</v>
      </c>
      <c r="S1343" s="14">
        <v>16.224</v>
      </c>
      <c r="T1343" s="7" t="s">
        <v>781</v>
      </c>
      <c r="U1343" s="1" t="s">
        <v>1934</v>
      </c>
      <c r="V1343" s="8">
        <v>35</v>
      </c>
      <c r="W1343" s="7" t="s">
        <v>781</v>
      </c>
      <c r="X1343" s="8">
        <f t="shared" si="117"/>
        <v>560</v>
      </c>
      <c r="Y1343" s="17">
        <v>4</v>
      </c>
      <c r="Z1343" s="7" t="s">
        <v>781</v>
      </c>
      <c r="AA1343" s="7" t="s">
        <v>781</v>
      </c>
      <c r="AB1343" s="8" t="e">
        <f>#REF!*Y1343</f>
        <v>#REF!</v>
      </c>
      <c r="AC1343" s="57">
        <f t="shared" si="108"/>
        <v>0</v>
      </c>
    </row>
    <row r="1344" spans="6:29" ht="24" customHeight="1">
      <c r="K1344" s="5" t="s">
        <v>2130</v>
      </c>
      <c r="M1344" s="17">
        <v>4</v>
      </c>
      <c r="N1344" s="7" t="s">
        <v>781</v>
      </c>
      <c r="O1344" s="1" t="s">
        <v>1934</v>
      </c>
      <c r="P1344" s="8">
        <f t="shared" si="119"/>
        <v>35</v>
      </c>
      <c r="Q1344" s="7" t="s">
        <v>781</v>
      </c>
      <c r="R1344" s="8">
        <f t="shared" si="120"/>
        <v>140</v>
      </c>
      <c r="S1344" s="14">
        <v>16</v>
      </c>
      <c r="T1344" s="7" t="s">
        <v>781</v>
      </c>
      <c r="U1344" s="1" t="s">
        <v>1935</v>
      </c>
      <c r="V1344" s="8">
        <f t="shared" si="118"/>
        <v>46</v>
      </c>
      <c r="W1344" s="7" t="s">
        <v>781</v>
      </c>
      <c r="X1344" s="8">
        <f t="shared" si="117"/>
        <v>368</v>
      </c>
      <c r="Y1344" s="17">
        <v>2</v>
      </c>
      <c r="Z1344" s="7" t="s">
        <v>781</v>
      </c>
      <c r="AA1344" s="7" t="s">
        <v>781</v>
      </c>
      <c r="AB1344" s="8" t="e">
        <f>#REF!*Y1344</f>
        <v>#REF!</v>
      </c>
      <c r="AC1344" s="57">
        <f t="shared" si="108"/>
        <v>0</v>
      </c>
    </row>
    <row r="1345" spans="6:29" ht="24" customHeight="1">
      <c r="F1345" s="2" t="s">
        <v>8</v>
      </c>
      <c r="G1345" s="7" t="s">
        <v>2338</v>
      </c>
      <c r="H1345" s="1" t="s">
        <v>9</v>
      </c>
      <c r="M1345" s="17">
        <v>2</v>
      </c>
      <c r="N1345" s="7" t="s">
        <v>781</v>
      </c>
      <c r="O1345" s="1" t="s">
        <v>1935</v>
      </c>
      <c r="P1345" s="8">
        <f t="shared" si="119"/>
        <v>46</v>
      </c>
      <c r="Q1345" s="7" t="s">
        <v>781</v>
      </c>
      <c r="R1345" s="8">
        <f t="shared" si="120"/>
        <v>92</v>
      </c>
      <c r="S1345" s="14">
        <v>8</v>
      </c>
      <c r="T1345" s="7" t="s">
        <v>781</v>
      </c>
      <c r="U1345" s="1" t="s">
        <v>1936</v>
      </c>
      <c r="V1345" s="8">
        <f t="shared" si="118"/>
        <v>30</v>
      </c>
      <c r="W1345" s="7" t="s">
        <v>781</v>
      </c>
      <c r="X1345" s="8">
        <f t="shared" si="117"/>
        <v>240</v>
      </c>
      <c r="Y1345" s="17">
        <v>2</v>
      </c>
      <c r="Z1345" s="7" t="s">
        <v>781</v>
      </c>
      <c r="AA1345" s="7" t="s">
        <v>781</v>
      </c>
      <c r="AB1345" s="8" t="e">
        <f>#REF!*Y1345</f>
        <v>#REF!</v>
      </c>
      <c r="AC1345" s="57">
        <f t="shared" si="108"/>
        <v>0</v>
      </c>
    </row>
    <row r="1346" spans="6:29" ht="24" customHeight="1">
      <c r="H1346" s="5" t="s">
        <v>1667</v>
      </c>
      <c r="M1346" s="17">
        <v>2</v>
      </c>
      <c r="N1346" s="7" t="s">
        <v>781</v>
      </c>
      <c r="O1346" s="1" t="s">
        <v>1936</v>
      </c>
      <c r="P1346" s="8">
        <f t="shared" si="119"/>
        <v>30</v>
      </c>
      <c r="Q1346" s="7" t="s">
        <v>781</v>
      </c>
      <c r="R1346" s="8">
        <f t="shared" si="120"/>
        <v>60</v>
      </c>
      <c r="S1346" s="14">
        <v>8</v>
      </c>
      <c r="T1346" s="7" t="s">
        <v>781</v>
      </c>
      <c r="U1346" s="1" t="s">
        <v>1937</v>
      </c>
      <c r="V1346" s="8">
        <f t="shared" si="118"/>
        <v>20</v>
      </c>
      <c r="W1346" s="7" t="s">
        <v>781</v>
      </c>
      <c r="X1346" s="8">
        <f t="shared" si="117"/>
        <v>160</v>
      </c>
      <c r="Y1346" s="17">
        <v>2</v>
      </c>
      <c r="Z1346" s="7" t="s">
        <v>781</v>
      </c>
      <c r="AA1346" s="7" t="s">
        <v>781</v>
      </c>
      <c r="AB1346" s="8" t="e">
        <f>#REF!*Y1346</f>
        <v>#REF!</v>
      </c>
      <c r="AC1346" s="57">
        <f t="shared" si="108"/>
        <v>0</v>
      </c>
    </row>
    <row r="1347" spans="6:29" ht="24" customHeight="1">
      <c r="F1347" s="8">
        <v>0.1</v>
      </c>
      <c r="G1347" s="7" t="s">
        <v>884</v>
      </c>
      <c r="H1347" s="1" t="s">
        <v>1414</v>
      </c>
      <c r="I1347" s="8">
        <f>(K32)</f>
        <v>3479.01</v>
      </c>
      <c r="J1347" s="1" t="s">
        <v>884</v>
      </c>
      <c r="K1347" s="8">
        <f>(F1347*I1347)</f>
        <v>347.9</v>
      </c>
      <c r="M1347" s="17">
        <v>2</v>
      </c>
      <c r="N1347" s="7" t="s">
        <v>781</v>
      </c>
      <c r="O1347" s="1" t="s">
        <v>1937</v>
      </c>
      <c r="P1347" s="8">
        <f t="shared" si="119"/>
        <v>20</v>
      </c>
      <c r="Q1347" s="7" t="s">
        <v>781</v>
      </c>
      <c r="R1347" s="8">
        <f t="shared" si="120"/>
        <v>40</v>
      </c>
      <c r="S1347" s="14">
        <v>8</v>
      </c>
      <c r="T1347" s="7" t="s">
        <v>781</v>
      </c>
      <c r="U1347" s="1" t="s">
        <v>1938</v>
      </c>
      <c r="V1347" s="8">
        <f t="shared" si="118"/>
        <v>15</v>
      </c>
      <c r="W1347" s="7" t="s">
        <v>781</v>
      </c>
      <c r="X1347" s="8">
        <f t="shared" si="117"/>
        <v>60</v>
      </c>
      <c r="Y1347" s="17">
        <v>4</v>
      </c>
      <c r="Z1347" s="7" t="s">
        <v>781</v>
      </c>
      <c r="AA1347" s="7" t="s">
        <v>781</v>
      </c>
      <c r="AB1347" s="8" t="e">
        <f>#REF!*Y1347</f>
        <v>#REF!</v>
      </c>
      <c r="AC1347" s="57">
        <f t="shared" si="108"/>
        <v>0</v>
      </c>
    </row>
    <row r="1348" spans="6:29" ht="24" customHeight="1">
      <c r="F1348" s="8">
        <v>1.1000000000000001</v>
      </c>
      <c r="G1348" s="7" t="s">
        <v>883</v>
      </c>
      <c r="H1348" s="1" t="s">
        <v>2082</v>
      </c>
      <c r="I1348" s="8">
        <f>(C10)</f>
        <v>430.5</v>
      </c>
      <c r="J1348" s="1" t="s">
        <v>883</v>
      </c>
      <c r="K1348" s="8">
        <f>(F1348*I1348)</f>
        <v>473.55</v>
      </c>
      <c r="M1348" s="17">
        <v>4</v>
      </c>
      <c r="N1348" s="7" t="s">
        <v>781</v>
      </c>
      <c r="O1348" s="1" t="s">
        <v>1938</v>
      </c>
      <c r="P1348" s="8">
        <f t="shared" si="119"/>
        <v>15</v>
      </c>
      <c r="Q1348" s="7" t="s">
        <v>781</v>
      </c>
      <c r="R1348" s="8">
        <f t="shared" si="120"/>
        <v>60</v>
      </c>
      <c r="S1348" s="14">
        <v>4</v>
      </c>
      <c r="T1348" s="7" t="s">
        <v>2371</v>
      </c>
      <c r="U1348" s="1" t="s">
        <v>1939</v>
      </c>
      <c r="V1348" s="8">
        <f t="shared" si="118"/>
        <v>844.2</v>
      </c>
      <c r="W1348" s="7" t="s">
        <v>2371</v>
      </c>
      <c r="X1348" s="8">
        <f t="shared" si="117"/>
        <v>2051.41</v>
      </c>
      <c r="Y1348" s="17">
        <v>0.67500000000000004</v>
      </c>
      <c r="Z1348" s="7" t="s">
        <v>2371</v>
      </c>
      <c r="AA1348" s="7" t="s">
        <v>2371</v>
      </c>
      <c r="AB1348" s="8" t="e">
        <f>#REF!*Y1348</f>
        <v>#REF!</v>
      </c>
      <c r="AC1348" s="57">
        <f t="shared" si="108"/>
        <v>0</v>
      </c>
    </row>
    <row r="1349" spans="6:29" ht="24" customHeight="1">
      <c r="F1349" s="8">
        <v>1.1000000000000001</v>
      </c>
      <c r="G1349" s="7" t="s">
        <v>883</v>
      </c>
      <c r="H1349" s="1" t="s">
        <v>1979</v>
      </c>
      <c r="I1349" s="8">
        <f>(C12)</f>
        <v>269.85000000000002</v>
      </c>
      <c r="J1349" s="1" t="s">
        <v>883</v>
      </c>
      <c r="K1349" s="8">
        <f>(F1349*I1349)</f>
        <v>296.83999999999997</v>
      </c>
      <c r="M1349" s="17">
        <v>0.60799999999999998</v>
      </c>
      <c r="N1349" s="7" t="s">
        <v>2371</v>
      </c>
      <c r="O1349" s="1" t="s">
        <v>1939</v>
      </c>
      <c r="P1349" s="8">
        <f t="shared" si="119"/>
        <v>844.2</v>
      </c>
      <c r="Q1349" s="7" t="s">
        <v>2371</v>
      </c>
      <c r="R1349" s="8">
        <f t="shared" si="120"/>
        <v>513.27</v>
      </c>
      <c r="S1349" s="14">
        <v>2.4300000000000002</v>
      </c>
      <c r="T1349" s="3"/>
      <c r="U1349" s="1" t="s">
        <v>1940</v>
      </c>
      <c r="W1349" s="4"/>
      <c r="X1349" s="8">
        <v>0.87</v>
      </c>
      <c r="Z1349" s="3"/>
      <c r="AA1349" s="4"/>
      <c r="AB1349" s="8">
        <v>0.37</v>
      </c>
      <c r="AC1349" s="57">
        <f t="shared" si="108"/>
        <v>0</v>
      </c>
    </row>
    <row r="1350" spans="6:29" ht="24" customHeight="1">
      <c r="F1350" s="8">
        <v>1.1000000000000001</v>
      </c>
      <c r="G1350" s="7" t="s">
        <v>883</v>
      </c>
      <c r="H1350" s="1" t="s">
        <v>324</v>
      </c>
      <c r="I1350" s="8">
        <f>(C13)</f>
        <v>243.6</v>
      </c>
      <c r="J1350" s="1" t="s">
        <v>883</v>
      </c>
      <c r="K1350" s="8">
        <f>(F1350*I1350)</f>
        <v>267.95999999999998</v>
      </c>
      <c r="N1350" s="3"/>
      <c r="O1350" s="1" t="s">
        <v>1940</v>
      </c>
      <c r="Q1350" s="4"/>
      <c r="R1350" s="8">
        <v>0.46</v>
      </c>
      <c r="X1350" s="40">
        <f>SUM(X1337:X1349)</f>
        <v>11608.55</v>
      </c>
      <c r="AB1350" s="40" t="e">
        <f>SUM(AB1337:AB1349)</f>
        <v>#REF!</v>
      </c>
      <c r="AC1350" s="57">
        <f t="shared" si="108"/>
        <v>0</v>
      </c>
    </row>
    <row r="1351" spans="6:29" ht="24" customHeight="1">
      <c r="G1351" s="7" t="s">
        <v>448</v>
      </c>
      <c r="H1351" s="1" t="s">
        <v>449</v>
      </c>
      <c r="I1351" s="1" t="s">
        <v>995</v>
      </c>
      <c r="J1351" s="1" t="s">
        <v>448</v>
      </c>
      <c r="K1351" s="8">
        <v>0</v>
      </c>
      <c r="R1351" s="40">
        <f>SUM(R1338:R1350)</f>
        <v>3054.56</v>
      </c>
      <c r="AC1351" s="57">
        <f t="shared" si="108"/>
        <v>0</v>
      </c>
    </row>
    <row r="1352" spans="6:29" ht="24" customHeight="1">
      <c r="K1352" s="5" t="s">
        <v>1667</v>
      </c>
      <c r="M1352" s="8"/>
      <c r="N1352" s="7"/>
      <c r="O1352" s="1"/>
      <c r="P1352" s="8"/>
      <c r="Q1352" s="2"/>
      <c r="R1352" s="8"/>
      <c r="T1352" s="3"/>
      <c r="U1352" s="282" t="s">
        <v>3697</v>
      </c>
      <c r="W1352" s="11"/>
      <c r="Z1352" s="3"/>
      <c r="AA1352" s="11"/>
      <c r="AC1352" s="57">
        <f t="shared" si="108"/>
        <v>0</v>
      </c>
    </row>
    <row r="1353" spans="6:29" ht="24" customHeight="1">
      <c r="H1353" s="1" t="s">
        <v>440</v>
      </c>
      <c r="K1353" s="8">
        <f>SUM(K1347:K1351)</f>
        <v>1386.25</v>
      </c>
      <c r="N1353" s="3"/>
      <c r="O1353" s="282" t="s">
        <v>3699</v>
      </c>
      <c r="Q1353" s="11"/>
      <c r="T1353" s="7" t="s">
        <v>929</v>
      </c>
      <c r="U1353" s="1" t="s">
        <v>1931</v>
      </c>
      <c r="V1353" s="8">
        <f>V1337</f>
        <v>292</v>
      </c>
      <c r="W1353" s="7" t="s">
        <v>929</v>
      </c>
      <c r="X1353" s="8">
        <f t="shared" ref="X1353:X1364" si="121">V1353*S1354</f>
        <v>1810.4</v>
      </c>
      <c r="Y1353" s="17">
        <v>2.33</v>
      </c>
      <c r="Z1353" s="7" t="s">
        <v>929</v>
      </c>
      <c r="AA1353" s="7" t="s">
        <v>929</v>
      </c>
      <c r="AB1353" s="8" t="e">
        <f>#REF!*Y1353</f>
        <v>#REF!</v>
      </c>
      <c r="AC1353" s="57">
        <f t="shared" si="108"/>
        <v>0</v>
      </c>
    </row>
    <row r="1354" spans="6:29" ht="24" customHeight="1">
      <c r="H1354" s="4"/>
      <c r="K1354" s="5" t="s">
        <v>1667</v>
      </c>
      <c r="M1354" s="17">
        <v>5.35</v>
      </c>
      <c r="N1354" s="7" t="s">
        <v>929</v>
      </c>
      <c r="O1354" s="1" t="s">
        <v>1931</v>
      </c>
      <c r="P1354" s="8">
        <f>P1338</f>
        <v>292</v>
      </c>
      <c r="Q1354" s="7" t="s">
        <v>929</v>
      </c>
      <c r="R1354" s="8">
        <f>P1354*M1354</f>
        <v>1562.2</v>
      </c>
      <c r="S1354" s="14">
        <f>8*0.775</f>
        <v>6.2</v>
      </c>
      <c r="T1354" s="7" t="s">
        <v>929</v>
      </c>
      <c r="U1354" s="1" t="s">
        <v>1931</v>
      </c>
      <c r="V1354" s="8">
        <f t="shared" ref="V1354:V1364" si="122">V1338</f>
        <v>292</v>
      </c>
      <c r="W1354" s="7" t="s">
        <v>929</v>
      </c>
      <c r="X1354" s="8">
        <f t="shared" si="121"/>
        <v>2754.44</v>
      </c>
      <c r="Y1354" s="17">
        <v>0.67</v>
      </c>
      <c r="Z1354" s="7" t="s">
        <v>929</v>
      </c>
      <c r="AA1354" s="7" t="s">
        <v>929</v>
      </c>
      <c r="AB1354" s="8" t="e">
        <f>#REF!*Y1354</f>
        <v>#REF!</v>
      </c>
      <c r="AC1354" s="57">
        <f t="shared" si="108"/>
        <v>0</v>
      </c>
    </row>
    <row r="1355" spans="6:29" ht="24" customHeight="1">
      <c r="H1355" s="64" t="s">
        <v>555</v>
      </c>
      <c r="I1355" s="38"/>
      <c r="J1355" s="104"/>
      <c r="K1355" s="40">
        <f>(K1353/10)</f>
        <v>138.63</v>
      </c>
      <c r="M1355" s="17">
        <v>7.58</v>
      </c>
      <c r="N1355" s="7" t="s">
        <v>929</v>
      </c>
      <c r="O1355" s="1" t="s">
        <v>1931</v>
      </c>
      <c r="P1355" s="8">
        <f t="shared" ref="P1355:P1365" si="123">P1339</f>
        <v>292</v>
      </c>
      <c r="Q1355" s="7" t="s">
        <v>929</v>
      </c>
      <c r="R1355" s="8">
        <f t="shared" ref="R1355:R1365" si="124">P1355*M1355</f>
        <v>2213.36</v>
      </c>
      <c r="S1355" s="14">
        <f>8.4*1.123</f>
        <v>9.4329999999999998</v>
      </c>
      <c r="T1355" s="7" t="s">
        <v>929</v>
      </c>
      <c r="U1355" s="1" t="s">
        <v>1931</v>
      </c>
      <c r="V1355" s="8">
        <f t="shared" si="122"/>
        <v>292</v>
      </c>
      <c r="W1355" s="7" t="s">
        <v>929</v>
      </c>
      <c r="X1355" s="8">
        <f t="shared" si="121"/>
        <v>4692.7299999999996</v>
      </c>
      <c r="Y1355" s="17">
        <v>2.65</v>
      </c>
      <c r="Z1355" s="7" t="s">
        <v>929</v>
      </c>
      <c r="AA1355" s="7" t="s">
        <v>929</v>
      </c>
      <c r="AB1355" s="8" t="e">
        <f>#REF!*Y1355</f>
        <v>#REF!</v>
      </c>
      <c r="AC1355" s="57">
        <f t="shared" ref="AC1355:AC1418" si="125">AE1356</f>
        <v>0</v>
      </c>
    </row>
    <row r="1356" spans="6:29" ht="24" customHeight="1">
      <c r="K1356" s="5" t="s">
        <v>2130</v>
      </c>
      <c r="M1356" s="17">
        <v>13.15</v>
      </c>
      <c r="N1356" s="7" t="s">
        <v>929</v>
      </c>
      <c r="O1356" s="1" t="s">
        <v>1931</v>
      </c>
      <c r="P1356" s="8">
        <f t="shared" si="123"/>
        <v>292</v>
      </c>
      <c r="Q1356" s="7" t="s">
        <v>929</v>
      </c>
      <c r="R1356" s="8">
        <f t="shared" si="124"/>
        <v>3839.8</v>
      </c>
      <c r="S1356" s="14">
        <f>24.24*0.663</f>
        <v>16.071000000000002</v>
      </c>
      <c r="T1356" s="7" t="s">
        <v>929</v>
      </c>
      <c r="U1356" s="1" t="s">
        <v>1931</v>
      </c>
      <c r="V1356" s="8">
        <f t="shared" si="122"/>
        <v>292</v>
      </c>
      <c r="W1356" s="7" t="s">
        <v>929</v>
      </c>
      <c r="X1356" s="8">
        <f t="shared" si="121"/>
        <v>833.37</v>
      </c>
      <c r="Y1356" s="17">
        <v>0.46</v>
      </c>
      <c r="Z1356" s="7" t="s">
        <v>929</v>
      </c>
      <c r="AA1356" s="7" t="s">
        <v>929</v>
      </c>
      <c r="AB1356" s="8" t="e">
        <f>#REF!*Y1356</f>
        <v>#REF!</v>
      </c>
      <c r="AC1356" s="57">
        <f t="shared" si="125"/>
        <v>0</v>
      </c>
    </row>
    <row r="1357" spans="6:29" ht="24" customHeight="1">
      <c r="M1357" s="17">
        <v>2.31</v>
      </c>
      <c r="N1357" s="7" t="s">
        <v>929</v>
      </c>
      <c r="O1357" s="1" t="s">
        <v>1931</v>
      </c>
      <c r="P1357" s="8">
        <f t="shared" si="123"/>
        <v>292</v>
      </c>
      <c r="Q1357" s="7" t="s">
        <v>929</v>
      </c>
      <c r="R1357" s="8">
        <f t="shared" si="124"/>
        <v>674.52</v>
      </c>
      <c r="S1357" s="14">
        <f>23.02*0.124</f>
        <v>2.8540000000000001</v>
      </c>
      <c r="T1357" s="7" t="s">
        <v>234</v>
      </c>
      <c r="U1357" s="1" t="s">
        <v>1932</v>
      </c>
      <c r="V1357" s="8">
        <f t="shared" si="122"/>
        <v>209.9</v>
      </c>
      <c r="W1357" s="7" t="s">
        <v>234</v>
      </c>
      <c r="X1357" s="8">
        <f t="shared" si="121"/>
        <v>694.77</v>
      </c>
      <c r="Y1357" s="17">
        <v>0.41699999999999998</v>
      </c>
      <c r="Z1357" s="7" t="s">
        <v>234</v>
      </c>
      <c r="AA1357" s="7" t="s">
        <v>234</v>
      </c>
      <c r="AB1357" s="8" t="e">
        <f>#REF!*Y1357</f>
        <v>#REF!</v>
      </c>
      <c r="AC1357" s="57">
        <f t="shared" si="125"/>
        <v>0</v>
      </c>
    </row>
    <row r="1358" spans="6:29" ht="24" customHeight="1">
      <c r="G1358" s="7" t="s">
        <v>2338</v>
      </c>
      <c r="H1358" s="1" t="s">
        <v>857</v>
      </c>
      <c r="L1358">
        <f>5.85*1.123</f>
        <v>6.57</v>
      </c>
      <c r="M1358" s="17">
        <v>2.44</v>
      </c>
      <c r="N1358" s="7" t="s">
        <v>234</v>
      </c>
      <c r="O1358" s="1" t="s">
        <v>1932</v>
      </c>
      <c r="P1358" s="8">
        <f t="shared" si="123"/>
        <v>209.9</v>
      </c>
      <c r="Q1358" s="7" t="s">
        <v>234</v>
      </c>
      <c r="R1358" s="8">
        <f t="shared" si="124"/>
        <v>512.16</v>
      </c>
      <c r="S1358" s="14">
        <f>3.31</f>
        <v>3.31</v>
      </c>
      <c r="T1358" s="7" t="s">
        <v>840</v>
      </c>
      <c r="U1358" s="1" t="s">
        <v>1933</v>
      </c>
      <c r="V1358" s="8">
        <f t="shared" si="122"/>
        <v>27.8</v>
      </c>
      <c r="W1358" s="7" t="s">
        <v>840</v>
      </c>
      <c r="X1358" s="8">
        <f t="shared" si="121"/>
        <v>639.96</v>
      </c>
      <c r="Y1358" s="17">
        <v>3.6960000000000002</v>
      </c>
      <c r="Z1358" s="7" t="s">
        <v>840</v>
      </c>
      <c r="AA1358" s="7" t="s">
        <v>840</v>
      </c>
      <c r="AB1358" s="8" t="e">
        <f>#REF!*Y1358</f>
        <v>#REF!</v>
      </c>
      <c r="AC1358" s="57">
        <f t="shared" si="125"/>
        <v>0</v>
      </c>
    </row>
    <row r="1359" spans="6:29" ht="24" customHeight="1">
      <c r="H1359" s="1" t="s">
        <v>858</v>
      </c>
      <c r="M1359" s="17">
        <v>18.62</v>
      </c>
      <c r="N1359" s="7" t="s">
        <v>840</v>
      </c>
      <c r="O1359" s="1" t="s">
        <v>1933</v>
      </c>
      <c r="P1359" s="8">
        <f t="shared" si="123"/>
        <v>27.8</v>
      </c>
      <c r="Q1359" s="7" t="s">
        <v>840</v>
      </c>
      <c r="R1359" s="8">
        <f t="shared" si="124"/>
        <v>517.64</v>
      </c>
      <c r="S1359" s="14">
        <v>23.02</v>
      </c>
      <c r="T1359" s="7" t="s">
        <v>781</v>
      </c>
      <c r="U1359" s="1" t="s">
        <v>1934</v>
      </c>
      <c r="V1359" s="8">
        <f t="shared" si="122"/>
        <v>35</v>
      </c>
      <c r="W1359" s="7" t="s">
        <v>781</v>
      </c>
      <c r="X1359" s="8">
        <f t="shared" si="121"/>
        <v>560</v>
      </c>
      <c r="Y1359" s="17">
        <v>4</v>
      </c>
      <c r="Z1359" s="7" t="s">
        <v>781</v>
      </c>
      <c r="AA1359" s="7" t="s">
        <v>781</v>
      </c>
      <c r="AB1359" s="8" t="e">
        <f>#REF!*Y1359</f>
        <v>#REF!</v>
      </c>
      <c r="AC1359" s="57">
        <f t="shared" si="125"/>
        <v>0</v>
      </c>
    </row>
    <row r="1360" spans="6:29" ht="24" customHeight="1">
      <c r="H1360" s="1" t="s">
        <v>859</v>
      </c>
      <c r="M1360" s="17">
        <v>16</v>
      </c>
      <c r="N1360" s="7" t="s">
        <v>781</v>
      </c>
      <c r="O1360" s="1" t="s">
        <v>1934</v>
      </c>
      <c r="P1360" s="8">
        <f t="shared" si="123"/>
        <v>35</v>
      </c>
      <c r="Q1360" s="7" t="s">
        <v>781</v>
      </c>
      <c r="R1360" s="8">
        <f t="shared" si="124"/>
        <v>560</v>
      </c>
      <c r="S1360" s="14">
        <v>16</v>
      </c>
      <c r="T1360" s="7" t="s">
        <v>781</v>
      </c>
      <c r="U1360" s="1" t="s">
        <v>1935</v>
      </c>
      <c r="V1360" s="8">
        <f t="shared" si="122"/>
        <v>46</v>
      </c>
      <c r="W1360" s="7" t="s">
        <v>781</v>
      </c>
      <c r="X1360" s="8">
        <f t="shared" si="121"/>
        <v>368</v>
      </c>
      <c r="Y1360" s="17">
        <v>2</v>
      </c>
      <c r="Z1360" s="7" t="s">
        <v>781</v>
      </c>
      <c r="AA1360" s="7" t="s">
        <v>781</v>
      </c>
      <c r="AB1360" s="8" t="e">
        <f>#REF!*Y1360</f>
        <v>#REF!</v>
      </c>
      <c r="AC1360" s="57">
        <f t="shared" si="125"/>
        <v>0</v>
      </c>
    </row>
    <row r="1361" spans="6:29" ht="24" customHeight="1">
      <c r="H1361" s="5" t="s">
        <v>1667</v>
      </c>
      <c r="M1361" s="17">
        <v>8</v>
      </c>
      <c r="N1361" s="7" t="s">
        <v>781</v>
      </c>
      <c r="O1361" s="1" t="s">
        <v>1935</v>
      </c>
      <c r="P1361" s="8">
        <f t="shared" si="123"/>
        <v>46</v>
      </c>
      <c r="Q1361" s="7" t="s">
        <v>781</v>
      </c>
      <c r="R1361" s="8">
        <f t="shared" si="124"/>
        <v>368</v>
      </c>
      <c r="S1361" s="14">
        <v>8</v>
      </c>
      <c r="T1361" s="7" t="s">
        <v>781</v>
      </c>
      <c r="U1361" s="1" t="s">
        <v>1936</v>
      </c>
      <c r="V1361" s="8">
        <f t="shared" si="122"/>
        <v>30</v>
      </c>
      <c r="W1361" s="7" t="s">
        <v>781</v>
      </c>
      <c r="X1361" s="8">
        <f t="shared" si="121"/>
        <v>240</v>
      </c>
      <c r="Y1361" s="17">
        <v>2</v>
      </c>
      <c r="Z1361" s="7" t="s">
        <v>781</v>
      </c>
      <c r="AA1361" s="7" t="s">
        <v>781</v>
      </c>
      <c r="AB1361" s="8" t="e">
        <f>#REF!*Y1361</f>
        <v>#REF!</v>
      </c>
      <c r="AC1361" s="57">
        <f t="shared" si="125"/>
        <v>0</v>
      </c>
    </row>
    <row r="1362" spans="6:29" ht="24" customHeight="1">
      <c r="F1362" s="8">
        <v>0.14000000000000001</v>
      </c>
      <c r="G1362" s="7" t="s">
        <v>884</v>
      </c>
      <c r="H1362" s="1" t="s">
        <v>1414</v>
      </c>
      <c r="I1362" s="8">
        <f>(K32)</f>
        <v>3479.01</v>
      </c>
      <c r="J1362" s="1" t="s">
        <v>884</v>
      </c>
      <c r="K1362" s="8">
        <f>(F1362*I1362)</f>
        <v>487.06</v>
      </c>
      <c r="M1362" s="17">
        <v>8</v>
      </c>
      <c r="N1362" s="7" t="s">
        <v>781</v>
      </c>
      <c r="O1362" s="1" t="s">
        <v>1936</v>
      </c>
      <c r="P1362" s="8">
        <f t="shared" si="123"/>
        <v>30</v>
      </c>
      <c r="Q1362" s="7" t="s">
        <v>781</v>
      </c>
      <c r="R1362" s="8">
        <f t="shared" si="124"/>
        <v>240</v>
      </c>
      <c r="S1362" s="14">
        <v>8</v>
      </c>
      <c r="T1362" s="7" t="s">
        <v>781</v>
      </c>
      <c r="U1362" s="1" t="s">
        <v>1937</v>
      </c>
      <c r="V1362" s="8">
        <f t="shared" si="122"/>
        <v>20</v>
      </c>
      <c r="W1362" s="7" t="s">
        <v>781</v>
      </c>
      <c r="X1362" s="8">
        <f t="shared" si="121"/>
        <v>160</v>
      </c>
      <c r="Y1362" s="17">
        <v>2</v>
      </c>
      <c r="Z1362" s="7" t="s">
        <v>781</v>
      </c>
      <c r="AA1362" s="7" t="s">
        <v>781</v>
      </c>
      <c r="AB1362" s="8" t="e">
        <f>#REF!*Y1362</f>
        <v>#REF!</v>
      </c>
      <c r="AC1362" s="57">
        <f t="shared" si="125"/>
        <v>0</v>
      </c>
    </row>
    <row r="1363" spans="6:29" ht="24" customHeight="1">
      <c r="F1363" s="8">
        <v>1.1000000000000001</v>
      </c>
      <c r="G1363" s="7" t="s">
        <v>883</v>
      </c>
      <c r="H1363" s="1" t="s">
        <v>2082</v>
      </c>
      <c r="I1363" s="8">
        <f>(C10)</f>
        <v>430.5</v>
      </c>
      <c r="J1363" s="1" t="s">
        <v>883</v>
      </c>
      <c r="K1363" s="8">
        <f>(F1363*I1363)</f>
        <v>473.55</v>
      </c>
      <c r="M1363" s="17">
        <v>8</v>
      </c>
      <c r="N1363" s="7" t="s">
        <v>781</v>
      </c>
      <c r="O1363" s="1" t="s">
        <v>1937</v>
      </c>
      <c r="P1363" s="8">
        <f t="shared" si="123"/>
        <v>20</v>
      </c>
      <c r="Q1363" s="7" t="s">
        <v>781</v>
      </c>
      <c r="R1363" s="8">
        <f t="shared" si="124"/>
        <v>160</v>
      </c>
      <c r="S1363" s="14">
        <v>8</v>
      </c>
      <c r="T1363" s="7" t="s">
        <v>781</v>
      </c>
      <c r="U1363" s="1" t="s">
        <v>1938</v>
      </c>
      <c r="V1363" s="8">
        <f t="shared" si="122"/>
        <v>15</v>
      </c>
      <c r="W1363" s="7" t="s">
        <v>781</v>
      </c>
      <c r="X1363" s="8">
        <f t="shared" si="121"/>
        <v>60</v>
      </c>
      <c r="Y1363" s="17">
        <v>2</v>
      </c>
      <c r="Z1363" s="7" t="s">
        <v>781</v>
      </c>
      <c r="AA1363" s="7" t="s">
        <v>781</v>
      </c>
      <c r="AB1363" s="8" t="e">
        <f>#REF!*Y1363</f>
        <v>#REF!</v>
      </c>
      <c r="AC1363" s="57">
        <f t="shared" si="125"/>
        <v>0</v>
      </c>
    </row>
    <row r="1364" spans="6:29" ht="24" customHeight="1">
      <c r="F1364" s="8">
        <v>0.5</v>
      </c>
      <c r="G1364" s="7" t="s">
        <v>883</v>
      </c>
      <c r="H1364" s="1" t="s">
        <v>1979</v>
      </c>
      <c r="I1364" s="8">
        <f>(C12)</f>
        <v>269.85000000000002</v>
      </c>
      <c r="J1364" s="1" t="s">
        <v>883</v>
      </c>
      <c r="K1364" s="8">
        <f>(F1364*I1364)</f>
        <v>134.93</v>
      </c>
      <c r="M1364" s="17">
        <v>4</v>
      </c>
      <c r="N1364" s="7" t="s">
        <v>781</v>
      </c>
      <c r="O1364" s="1" t="s">
        <v>1938</v>
      </c>
      <c r="P1364" s="8">
        <f t="shared" si="123"/>
        <v>15</v>
      </c>
      <c r="Q1364" s="7" t="s">
        <v>781</v>
      </c>
      <c r="R1364" s="8">
        <f t="shared" si="124"/>
        <v>60</v>
      </c>
      <c r="S1364" s="14">
        <v>4</v>
      </c>
      <c r="T1364" s="7" t="s">
        <v>2371</v>
      </c>
      <c r="U1364" s="1" t="s">
        <v>1939</v>
      </c>
      <c r="V1364" s="8">
        <f t="shared" si="122"/>
        <v>844.2</v>
      </c>
      <c r="W1364" s="7" t="s">
        <v>2371</v>
      </c>
      <c r="X1364" s="8">
        <f t="shared" si="121"/>
        <v>3343.03</v>
      </c>
      <c r="Y1364" s="17">
        <v>0.54</v>
      </c>
      <c r="Z1364" s="7" t="s">
        <v>2371</v>
      </c>
      <c r="AA1364" s="7" t="s">
        <v>2371</v>
      </c>
      <c r="AB1364" s="8" t="e">
        <f>#REF!*Y1364</f>
        <v>#REF!</v>
      </c>
      <c r="AC1364" s="57">
        <f t="shared" si="125"/>
        <v>0</v>
      </c>
    </row>
    <row r="1365" spans="6:29" ht="24" customHeight="1">
      <c r="F1365" s="8">
        <v>1.1000000000000001</v>
      </c>
      <c r="G1365" s="7" t="s">
        <v>883</v>
      </c>
      <c r="H1365" s="1" t="s">
        <v>324</v>
      </c>
      <c r="I1365" s="8">
        <f>(C13)</f>
        <v>243.6</v>
      </c>
      <c r="J1365" s="1" t="s">
        <v>883</v>
      </c>
      <c r="K1365" s="8">
        <f>(F1365*I1365)</f>
        <v>267.95999999999998</v>
      </c>
      <c r="M1365" s="17">
        <f>1.8*1.65</f>
        <v>2.97</v>
      </c>
      <c r="N1365" s="7" t="s">
        <v>2371</v>
      </c>
      <c r="O1365" s="1" t="s">
        <v>1939</v>
      </c>
      <c r="P1365" s="8">
        <f t="shared" si="123"/>
        <v>844.2</v>
      </c>
      <c r="Q1365" s="7" t="s">
        <v>2371</v>
      </c>
      <c r="R1365" s="8">
        <f t="shared" si="124"/>
        <v>2507.27</v>
      </c>
      <c r="S1365" s="14">
        <v>3.96</v>
      </c>
      <c r="T1365" s="3"/>
      <c r="U1365" s="1" t="s">
        <v>1940</v>
      </c>
      <c r="W1365" s="4"/>
      <c r="X1365" s="8">
        <v>1.04</v>
      </c>
      <c r="Z1365" s="3"/>
      <c r="AA1365" s="4"/>
      <c r="AB1365" s="8">
        <v>1.0900000000000001</v>
      </c>
      <c r="AC1365" s="57">
        <f t="shared" si="125"/>
        <v>0</v>
      </c>
    </row>
    <row r="1366" spans="6:29" ht="24" customHeight="1">
      <c r="F1366" s="8"/>
      <c r="G1366" s="7" t="s">
        <v>1730</v>
      </c>
      <c r="H1366" s="1" t="s">
        <v>860</v>
      </c>
      <c r="I1366" s="8">
        <f>(C630)</f>
        <v>42.35</v>
      </c>
      <c r="J1366" s="1" t="s">
        <v>1730</v>
      </c>
      <c r="K1366" s="8">
        <f>(F1366*I1366)</f>
        <v>0</v>
      </c>
      <c r="N1366" s="3"/>
      <c r="O1366" s="1" t="s">
        <v>1940</v>
      </c>
      <c r="Q1366" s="4"/>
      <c r="R1366" s="8">
        <v>0.92</v>
      </c>
      <c r="X1366" s="40">
        <f>SUM(X1353:X1365)</f>
        <v>16157.74</v>
      </c>
      <c r="AB1366" s="40" t="e">
        <f>SUM(AB1353:AB1365)</f>
        <v>#REF!</v>
      </c>
      <c r="AC1366" s="57">
        <f t="shared" si="125"/>
        <v>0</v>
      </c>
    </row>
    <row r="1367" spans="6:29" ht="24" customHeight="1">
      <c r="G1367" s="7" t="s">
        <v>448</v>
      </c>
      <c r="H1367" s="1" t="s">
        <v>449</v>
      </c>
      <c r="I1367" s="1" t="s">
        <v>995</v>
      </c>
      <c r="J1367" s="1" t="s">
        <v>448</v>
      </c>
      <c r="K1367" s="8">
        <v>0</v>
      </c>
      <c r="R1367" s="40">
        <f>SUM(R1354:R1366)</f>
        <v>13215.87</v>
      </c>
      <c r="AC1367" s="57">
        <f t="shared" si="125"/>
        <v>0</v>
      </c>
    </row>
    <row r="1368" spans="6:29" ht="24" customHeight="1">
      <c r="K1368" s="5" t="s">
        <v>1667</v>
      </c>
      <c r="AC1368" s="57">
        <f t="shared" si="125"/>
        <v>0</v>
      </c>
    </row>
    <row r="1369" spans="6:29" ht="24" customHeight="1">
      <c r="F1369" s="1" t="s">
        <v>995</v>
      </c>
      <c r="H1369" s="1" t="s">
        <v>440</v>
      </c>
      <c r="K1369" s="8">
        <f>SUM(K1362:K1367)</f>
        <v>1363.5</v>
      </c>
      <c r="U1369" s="38" t="s">
        <v>2795</v>
      </c>
      <c r="Z1369" s="3"/>
      <c r="AA1369" s="11"/>
      <c r="AC1369" s="57">
        <f t="shared" si="125"/>
        <v>0</v>
      </c>
    </row>
    <row r="1370" spans="6:29" ht="24" customHeight="1">
      <c r="H1370" s="38"/>
      <c r="I1370" s="38"/>
      <c r="J1370" s="104"/>
      <c r="K1370" s="42" t="s">
        <v>1667</v>
      </c>
      <c r="N1370" s="3"/>
      <c r="O1370" s="282" t="s">
        <v>2994</v>
      </c>
      <c r="Q1370" s="11"/>
      <c r="T1370" s="7" t="s">
        <v>929</v>
      </c>
      <c r="U1370" s="1" t="s">
        <v>1931</v>
      </c>
      <c r="V1370" s="8">
        <v>254</v>
      </c>
      <c r="W1370" s="7" t="s">
        <v>929</v>
      </c>
      <c r="X1370" s="57">
        <f t="shared" ref="X1370:X1381" si="126">V1370*S1371</f>
        <v>1122.68</v>
      </c>
      <c r="Y1370" s="17">
        <f>4.2*0.775</f>
        <v>3.2549999999999999</v>
      </c>
      <c r="Z1370" s="7" t="s">
        <v>929</v>
      </c>
      <c r="AA1370" s="7" t="s">
        <v>929</v>
      </c>
      <c r="AB1370" s="8" t="e">
        <f>#REF!*Y1370</f>
        <v>#REF!</v>
      </c>
      <c r="AC1370" s="57">
        <f t="shared" si="125"/>
        <v>0</v>
      </c>
    </row>
    <row r="1371" spans="6:29" ht="24" customHeight="1">
      <c r="H1371" s="64" t="s">
        <v>555</v>
      </c>
      <c r="I1371" s="38"/>
      <c r="J1371" s="104"/>
      <c r="K1371" s="40">
        <f>(K1369/10)</f>
        <v>136.35</v>
      </c>
      <c r="M1371" s="17">
        <v>10.75</v>
      </c>
      <c r="N1371" s="7" t="s">
        <v>929</v>
      </c>
      <c r="O1371" s="1" t="s">
        <v>1931</v>
      </c>
      <c r="P1371" s="8">
        <f>P1354</f>
        <v>292</v>
      </c>
      <c r="Q1371" s="7" t="s">
        <v>929</v>
      </c>
      <c r="R1371" s="8">
        <f>P1371*M1371</f>
        <v>3139</v>
      </c>
      <c r="S1371" s="14">
        <v>4.42</v>
      </c>
      <c r="T1371" s="7" t="s">
        <v>929</v>
      </c>
      <c r="U1371" s="1" t="s">
        <v>1931</v>
      </c>
      <c r="V1371" s="8">
        <v>254</v>
      </c>
      <c r="W1371" s="7" t="s">
        <v>929</v>
      </c>
      <c r="X1371" s="57">
        <f t="shared" si="126"/>
        <v>1198.8800000000001</v>
      </c>
      <c r="Y1371" s="17">
        <v>2.3580000000000001</v>
      </c>
      <c r="Z1371" s="7" t="s">
        <v>929</v>
      </c>
      <c r="AA1371" s="7" t="s">
        <v>929</v>
      </c>
      <c r="AB1371" s="8" t="e">
        <f>#REF!*Y1371</f>
        <v>#REF!</v>
      </c>
      <c r="AC1371" s="57">
        <f t="shared" si="125"/>
        <v>0</v>
      </c>
    </row>
    <row r="1372" spans="6:29" ht="24" customHeight="1">
      <c r="K1372" s="5" t="s">
        <v>2130</v>
      </c>
      <c r="M1372" s="17">
        <v>0.99199999999999999</v>
      </c>
      <c r="N1372" s="7" t="s">
        <v>929</v>
      </c>
      <c r="O1372" s="1" t="s">
        <v>1931</v>
      </c>
      <c r="P1372" s="8">
        <f t="shared" ref="P1372:P1382" si="127">P1355</f>
        <v>292</v>
      </c>
      <c r="Q1372" s="7" t="s">
        <v>929</v>
      </c>
      <c r="R1372" s="8">
        <f t="shared" ref="R1372:R1382" si="128">P1372*M1372</f>
        <v>289.66000000000003</v>
      </c>
      <c r="S1372" s="14">
        <v>4.72</v>
      </c>
      <c r="T1372" s="7" t="s">
        <v>929</v>
      </c>
      <c r="U1372" s="1" t="s">
        <v>1931</v>
      </c>
      <c r="V1372" s="8">
        <v>254</v>
      </c>
      <c r="W1372" s="7" t="s">
        <v>929</v>
      </c>
      <c r="X1372" s="57">
        <f t="shared" si="126"/>
        <v>2301.2399999999998</v>
      </c>
      <c r="Y1372" s="17">
        <f>8.08*0.663</f>
        <v>5.3570000000000002</v>
      </c>
      <c r="Z1372" s="7" t="s">
        <v>929</v>
      </c>
      <c r="AA1372" s="7" t="s">
        <v>929</v>
      </c>
      <c r="AB1372" s="8" t="e">
        <f>#REF!*Y1372</f>
        <v>#REF!</v>
      </c>
      <c r="AC1372" s="57">
        <f t="shared" si="125"/>
        <v>0</v>
      </c>
    </row>
    <row r="1373" spans="6:29" ht="24" customHeight="1">
      <c r="H1373" s="1" t="s">
        <v>995</v>
      </c>
      <c r="L1373">
        <f>M1371+M1372+M1373</f>
        <v>11.74</v>
      </c>
      <c r="M1373" s="17">
        <v>0</v>
      </c>
      <c r="N1373" s="7" t="s">
        <v>929</v>
      </c>
      <c r="O1373" s="1" t="s">
        <v>1931</v>
      </c>
      <c r="P1373" s="8">
        <f t="shared" si="127"/>
        <v>292</v>
      </c>
      <c r="Q1373" s="7" t="s">
        <v>929</v>
      </c>
      <c r="R1373" s="8">
        <f t="shared" si="128"/>
        <v>0</v>
      </c>
      <c r="S1373" s="14">
        <v>9.06</v>
      </c>
      <c r="T1373" s="7" t="s">
        <v>929</v>
      </c>
      <c r="U1373" s="1" t="s">
        <v>1931</v>
      </c>
      <c r="V1373" s="8">
        <v>254</v>
      </c>
      <c r="W1373" s="7" t="s">
        <v>929</v>
      </c>
      <c r="X1373" s="57">
        <f t="shared" si="126"/>
        <v>401.32</v>
      </c>
      <c r="Y1373" s="17">
        <v>0.92600000000000005</v>
      </c>
      <c r="Z1373" s="7" t="s">
        <v>929</v>
      </c>
      <c r="AA1373" s="7" t="s">
        <v>929</v>
      </c>
      <c r="AB1373" s="8" t="e">
        <f>#REF!*Y1373</f>
        <v>#REF!</v>
      </c>
      <c r="AC1373" s="57">
        <f t="shared" si="125"/>
        <v>0</v>
      </c>
    </row>
    <row r="1374" spans="6:29" ht="24" customHeight="1">
      <c r="M1374" s="17">
        <v>0</v>
      </c>
      <c r="N1374" s="7" t="s">
        <v>929</v>
      </c>
      <c r="O1374" s="1" t="s">
        <v>1931</v>
      </c>
      <c r="P1374" s="8">
        <f t="shared" si="127"/>
        <v>292</v>
      </c>
      <c r="Q1374" s="7" t="s">
        <v>929</v>
      </c>
      <c r="R1374" s="8">
        <f t="shared" si="128"/>
        <v>0</v>
      </c>
      <c r="S1374" s="14">
        <v>1.58</v>
      </c>
      <c r="T1374" s="7" t="s">
        <v>234</v>
      </c>
      <c r="U1374" s="1" t="s">
        <v>1932</v>
      </c>
      <c r="V1374" s="8">
        <v>209.9</v>
      </c>
      <c r="W1374" s="7" t="s">
        <v>234</v>
      </c>
      <c r="X1374" s="57">
        <f t="shared" si="126"/>
        <v>346.34</v>
      </c>
      <c r="Y1374" s="17">
        <v>0.85</v>
      </c>
      <c r="Z1374" s="7" t="s">
        <v>234</v>
      </c>
      <c r="AA1374" s="7" t="s">
        <v>234</v>
      </c>
      <c r="AB1374" s="8" t="e">
        <f>#REF!*Y1374</f>
        <v>#REF!</v>
      </c>
      <c r="AC1374" s="57">
        <f t="shared" si="125"/>
        <v>0</v>
      </c>
    </row>
    <row r="1375" spans="6:29" ht="24" customHeight="1">
      <c r="F1375" s="2" t="s">
        <v>861</v>
      </c>
      <c r="G1375" s="7" t="s">
        <v>2338</v>
      </c>
      <c r="H1375" s="1" t="s">
        <v>862</v>
      </c>
      <c r="M1375" s="17">
        <v>1.89</v>
      </c>
      <c r="N1375" s="7" t="s">
        <v>234</v>
      </c>
      <c r="O1375" s="1" t="s">
        <v>1932</v>
      </c>
      <c r="P1375" s="8">
        <f t="shared" si="127"/>
        <v>209.9</v>
      </c>
      <c r="Q1375" s="7" t="s">
        <v>234</v>
      </c>
      <c r="R1375" s="8">
        <f t="shared" si="128"/>
        <v>396.71</v>
      </c>
      <c r="S1375" s="14">
        <v>1.65</v>
      </c>
      <c r="T1375" s="7" t="s">
        <v>840</v>
      </c>
      <c r="U1375" s="1" t="s">
        <v>1933</v>
      </c>
      <c r="V1375" s="8">
        <v>24.15</v>
      </c>
      <c r="W1375" s="7" t="s">
        <v>840</v>
      </c>
      <c r="X1375" s="57">
        <f t="shared" si="126"/>
        <v>307.67</v>
      </c>
      <c r="Y1375" s="17">
        <v>7.4720000000000004</v>
      </c>
      <c r="Z1375" s="7" t="s">
        <v>840</v>
      </c>
      <c r="AA1375" s="7" t="s">
        <v>840</v>
      </c>
      <c r="AB1375" s="8" t="e">
        <f>#REF!*Y1375</f>
        <v>#REF!</v>
      </c>
      <c r="AC1375" s="57">
        <f t="shared" si="125"/>
        <v>0</v>
      </c>
    </row>
    <row r="1376" spans="6:29" ht="24" customHeight="1">
      <c r="H1376" s="1" t="s">
        <v>1421</v>
      </c>
      <c r="M1376" s="17">
        <v>8</v>
      </c>
      <c r="N1376" s="7" t="s">
        <v>840</v>
      </c>
      <c r="O1376" s="1" t="s">
        <v>1933</v>
      </c>
      <c r="P1376" s="8">
        <f t="shared" si="127"/>
        <v>27.8</v>
      </c>
      <c r="Q1376" s="7" t="s">
        <v>840</v>
      </c>
      <c r="R1376" s="8">
        <f t="shared" si="128"/>
        <v>222.4</v>
      </c>
      <c r="S1376" s="14">
        <v>12.74</v>
      </c>
      <c r="T1376" s="7" t="s">
        <v>781</v>
      </c>
      <c r="U1376" s="1" t="s">
        <v>1934</v>
      </c>
      <c r="V1376" s="8">
        <v>8</v>
      </c>
      <c r="W1376" s="7" t="s">
        <v>781</v>
      </c>
      <c r="X1376" s="57">
        <f t="shared" si="126"/>
        <v>96</v>
      </c>
      <c r="Y1376" s="17">
        <v>8</v>
      </c>
      <c r="Z1376" s="7" t="s">
        <v>781</v>
      </c>
      <c r="AA1376" s="7" t="s">
        <v>781</v>
      </c>
      <c r="AB1376" s="8" t="e">
        <f>#REF!*Y1376</f>
        <v>#REF!</v>
      </c>
      <c r="AC1376" s="57">
        <f t="shared" si="125"/>
        <v>0</v>
      </c>
    </row>
    <row r="1377" spans="6:29" ht="24" customHeight="1">
      <c r="H1377" s="1" t="s">
        <v>1422</v>
      </c>
      <c r="M1377" s="17">
        <v>0</v>
      </c>
      <c r="N1377" s="7" t="s">
        <v>781</v>
      </c>
      <c r="O1377" s="1" t="s">
        <v>1934</v>
      </c>
      <c r="P1377" s="8">
        <f t="shared" si="127"/>
        <v>35</v>
      </c>
      <c r="Q1377" s="7" t="s">
        <v>781</v>
      </c>
      <c r="R1377" s="8">
        <f t="shared" si="128"/>
        <v>0</v>
      </c>
      <c r="S1377" s="14">
        <v>12</v>
      </c>
      <c r="T1377" s="7" t="s">
        <v>781</v>
      </c>
      <c r="U1377" s="1" t="s">
        <v>1935</v>
      </c>
      <c r="V1377" s="8">
        <v>44</v>
      </c>
      <c r="W1377" s="7" t="s">
        <v>781</v>
      </c>
      <c r="X1377" s="57">
        <f t="shared" si="126"/>
        <v>264</v>
      </c>
      <c r="Y1377" s="17">
        <v>4</v>
      </c>
      <c r="Z1377" s="7" t="s">
        <v>781</v>
      </c>
      <c r="AA1377" s="7" t="s">
        <v>781</v>
      </c>
      <c r="AB1377" s="8" t="e">
        <f>#REF!*Y1377</f>
        <v>#REF!</v>
      </c>
      <c r="AC1377" s="57">
        <f t="shared" si="125"/>
        <v>0</v>
      </c>
    </row>
    <row r="1378" spans="6:29" ht="24" customHeight="1">
      <c r="H1378" s="1" t="s">
        <v>706</v>
      </c>
      <c r="M1378" s="17">
        <v>0</v>
      </c>
      <c r="N1378" s="7" t="s">
        <v>781</v>
      </c>
      <c r="O1378" s="1" t="s">
        <v>1935</v>
      </c>
      <c r="P1378" s="8">
        <f t="shared" si="127"/>
        <v>46</v>
      </c>
      <c r="Q1378" s="7" t="s">
        <v>781</v>
      </c>
      <c r="R1378" s="8">
        <f t="shared" si="128"/>
        <v>0</v>
      </c>
      <c r="S1378" s="14">
        <v>6</v>
      </c>
      <c r="T1378" s="7" t="s">
        <v>781</v>
      </c>
      <c r="U1378" s="1" t="s">
        <v>1936</v>
      </c>
      <c r="V1378" s="8">
        <v>30</v>
      </c>
      <c r="W1378" s="7" t="s">
        <v>781</v>
      </c>
      <c r="X1378" s="57">
        <f t="shared" si="126"/>
        <v>180</v>
      </c>
      <c r="Y1378" s="17">
        <v>4</v>
      </c>
      <c r="Z1378" s="7" t="s">
        <v>781</v>
      </c>
      <c r="AA1378" s="7" t="s">
        <v>781</v>
      </c>
      <c r="AB1378" s="8" t="e">
        <f>#REF!*Y1378</f>
        <v>#REF!</v>
      </c>
      <c r="AC1378" s="57">
        <f t="shared" si="125"/>
        <v>0</v>
      </c>
    </row>
    <row r="1379" spans="6:29" ht="24" customHeight="1">
      <c r="H1379" s="5" t="s">
        <v>1667</v>
      </c>
      <c r="I1379" s="5" t="s">
        <v>1667</v>
      </c>
      <c r="M1379" s="17">
        <v>0</v>
      </c>
      <c r="N1379" s="7" t="s">
        <v>781</v>
      </c>
      <c r="O1379" s="1" t="s">
        <v>1936</v>
      </c>
      <c r="P1379" s="8">
        <f t="shared" si="127"/>
        <v>30</v>
      </c>
      <c r="Q1379" s="7" t="s">
        <v>781</v>
      </c>
      <c r="R1379" s="8">
        <f t="shared" si="128"/>
        <v>0</v>
      </c>
      <c r="S1379" s="14">
        <v>6</v>
      </c>
      <c r="T1379" s="7" t="s">
        <v>781</v>
      </c>
      <c r="U1379" s="1" t="s">
        <v>1937</v>
      </c>
      <c r="V1379" s="8">
        <v>20</v>
      </c>
      <c r="W1379" s="7" t="s">
        <v>781</v>
      </c>
      <c r="X1379" s="57">
        <f t="shared" si="126"/>
        <v>120</v>
      </c>
      <c r="Y1379" s="17">
        <v>4</v>
      </c>
      <c r="Z1379" s="7" t="s">
        <v>781</v>
      </c>
      <c r="AA1379" s="7" t="s">
        <v>781</v>
      </c>
      <c r="AB1379" s="8" t="e">
        <f>#REF!*Y1379</f>
        <v>#REF!</v>
      </c>
      <c r="AC1379" s="57">
        <f t="shared" si="125"/>
        <v>0</v>
      </c>
    </row>
    <row r="1380" spans="6:29" ht="24" customHeight="1">
      <c r="G1380" s="7" t="s">
        <v>1981</v>
      </c>
      <c r="H1380" s="1" t="s">
        <v>707</v>
      </c>
      <c r="M1380" s="17">
        <v>0</v>
      </c>
      <c r="N1380" s="7" t="s">
        <v>781</v>
      </c>
      <c r="O1380" s="1" t="s">
        <v>1937</v>
      </c>
      <c r="P1380" s="8">
        <f t="shared" si="127"/>
        <v>20</v>
      </c>
      <c r="Q1380" s="7" t="s">
        <v>781</v>
      </c>
      <c r="R1380" s="8">
        <f t="shared" si="128"/>
        <v>0</v>
      </c>
      <c r="S1380" s="14">
        <v>6</v>
      </c>
      <c r="T1380" s="7" t="s">
        <v>781</v>
      </c>
      <c r="U1380" s="1" t="s">
        <v>1938</v>
      </c>
      <c r="V1380" s="8">
        <v>15</v>
      </c>
      <c r="W1380" s="7" t="s">
        <v>781</v>
      </c>
      <c r="X1380" s="57">
        <f t="shared" si="126"/>
        <v>60</v>
      </c>
      <c r="Y1380" s="17">
        <v>4</v>
      </c>
      <c r="Z1380" s="7" t="s">
        <v>781</v>
      </c>
      <c r="AA1380" s="7" t="s">
        <v>781</v>
      </c>
      <c r="AB1380" s="8" t="e">
        <f>#REF!*Y1380</f>
        <v>#REF!</v>
      </c>
      <c r="AC1380" s="57">
        <f t="shared" si="125"/>
        <v>0</v>
      </c>
    </row>
    <row r="1381" spans="6:29" ht="24" customHeight="1">
      <c r="G1381" s="7" t="s">
        <v>1667</v>
      </c>
      <c r="H1381" s="5" t="s">
        <v>1667</v>
      </c>
      <c r="M1381" s="17">
        <v>0</v>
      </c>
      <c r="N1381" s="7" t="s">
        <v>781</v>
      </c>
      <c r="O1381" s="1" t="s">
        <v>1938</v>
      </c>
      <c r="P1381" s="8">
        <f t="shared" si="127"/>
        <v>15</v>
      </c>
      <c r="Q1381" s="7" t="s">
        <v>781</v>
      </c>
      <c r="R1381" s="8">
        <f t="shared" si="128"/>
        <v>0</v>
      </c>
      <c r="S1381" s="14">
        <v>4</v>
      </c>
      <c r="T1381" s="7" t="s">
        <v>2371</v>
      </c>
      <c r="U1381" s="1" t="s">
        <v>1939</v>
      </c>
      <c r="V1381" s="8">
        <v>596.25</v>
      </c>
      <c r="W1381" s="7" t="s">
        <v>2371</v>
      </c>
      <c r="X1381" s="8">
        <f t="shared" si="126"/>
        <v>1207.4100000000001</v>
      </c>
      <c r="Y1381" s="17">
        <v>1.08</v>
      </c>
      <c r="Z1381" s="7" t="s">
        <v>2371</v>
      </c>
      <c r="AA1381" s="7" t="s">
        <v>2371</v>
      </c>
      <c r="AB1381" s="8" t="e">
        <f>#REF!*Y1381</f>
        <v>#REF!</v>
      </c>
      <c r="AC1381" s="57">
        <f t="shared" si="125"/>
        <v>0</v>
      </c>
    </row>
    <row r="1382" spans="6:29" ht="24" customHeight="1">
      <c r="F1382" s="17">
        <v>1.4E-2</v>
      </c>
      <c r="G1382" s="7" t="s">
        <v>2226</v>
      </c>
      <c r="H1382" s="1" t="s">
        <v>708</v>
      </c>
      <c r="I1382" s="8">
        <f>K49</f>
        <v>2403.81</v>
      </c>
      <c r="J1382" s="1" t="s">
        <v>2226</v>
      </c>
      <c r="K1382" s="8">
        <f>(F1382*I1382)</f>
        <v>33.65</v>
      </c>
      <c r="M1382" s="17">
        <v>1.89</v>
      </c>
      <c r="N1382" s="7" t="s">
        <v>2371</v>
      </c>
      <c r="O1382" s="1" t="s">
        <v>1939</v>
      </c>
      <c r="P1382" s="8">
        <f t="shared" si="127"/>
        <v>844.2</v>
      </c>
      <c r="Q1382" s="7" t="s">
        <v>2371</v>
      </c>
      <c r="R1382" s="8">
        <f t="shared" si="128"/>
        <v>1595.54</v>
      </c>
      <c r="S1382" s="14">
        <f>1.5*1.35</f>
        <v>2.0249999999999999</v>
      </c>
      <c r="T1382" s="3"/>
      <c r="U1382" s="1" t="s">
        <v>1940</v>
      </c>
      <c r="W1382" s="4"/>
      <c r="X1382" s="8">
        <v>0.22</v>
      </c>
      <c r="Z1382" s="3"/>
      <c r="AA1382" s="4"/>
      <c r="AB1382" s="8">
        <v>1.0900000000000001</v>
      </c>
      <c r="AC1382" s="57">
        <f t="shared" si="125"/>
        <v>0</v>
      </c>
    </row>
    <row r="1383" spans="6:29" ht="24" customHeight="1">
      <c r="F1383" s="8">
        <v>0.3</v>
      </c>
      <c r="G1383" s="7" t="s">
        <v>563</v>
      </c>
      <c r="H1383" s="1" t="s">
        <v>709</v>
      </c>
      <c r="I1383" s="8">
        <f>C10</f>
        <v>430.5</v>
      </c>
      <c r="J1383" s="1" t="s">
        <v>563</v>
      </c>
      <c r="K1383" s="8">
        <f>(F1383*I1383)</f>
        <v>129.15</v>
      </c>
      <c r="N1383" s="3"/>
      <c r="O1383" s="1" t="s">
        <v>1940</v>
      </c>
      <c r="Q1383" s="4"/>
      <c r="R1383" s="8">
        <v>1.34</v>
      </c>
      <c r="X1383" s="40">
        <f>SUM(X1370:X1382)</f>
        <v>7605.76</v>
      </c>
      <c r="AB1383" s="40" t="e">
        <f>SUM(AB1370:AB1382)</f>
        <v>#REF!</v>
      </c>
      <c r="AC1383" s="57">
        <f t="shared" si="125"/>
        <v>0</v>
      </c>
    </row>
    <row r="1384" spans="6:29" ht="24" customHeight="1">
      <c r="F1384" s="8">
        <v>0.3</v>
      </c>
      <c r="G1384" s="7" t="s">
        <v>563</v>
      </c>
      <c r="H1384" s="1" t="s">
        <v>838</v>
      </c>
      <c r="I1384" s="8">
        <f>C12</f>
        <v>269.85000000000002</v>
      </c>
      <c r="J1384" s="1" t="s">
        <v>563</v>
      </c>
      <c r="K1384" s="8">
        <f>(F1384*I1384)</f>
        <v>80.959999999999994</v>
      </c>
      <c r="R1384" s="40">
        <f>SUM(R1371:R1383)</f>
        <v>5644.65</v>
      </c>
      <c r="U1384">
        <f>2.025</f>
        <v>2.0299999999999998</v>
      </c>
      <c r="AC1384" s="57">
        <f t="shared" si="125"/>
        <v>0</v>
      </c>
    </row>
    <row r="1385" spans="6:29" ht="24" customHeight="1">
      <c r="G1385" s="7" t="s">
        <v>448</v>
      </c>
      <c r="H1385" s="1" t="s">
        <v>2359</v>
      </c>
      <c r="J1385" s="1" t="s">
        <v>448</v>
      </c>
      <c r="K1385">
        <v>0</v>
      </c>
      <c r="AC1385" s="57">
        <f t="shared" si="125"/>
        <v>0</v>
      </c>
    </row>
    <row r="1386" spans="6:29" ht="24" customHeight="1">
      <c r="K1386" s="5" t="s">
        <v>1667</v>
      </c>
      <c r="T1386" s="3"/>
      <c r="U1386" s="282" t="s">
        <v>2458</v>
      </c>
      <c r="V1386" s="78" t="s">
        <v>2461</v>
      </c>
      <c r="W1386" s="78"/>
      <c r="X1386" s="78"/>
      <c r="Y1386" s="56"/>
      <c r="Z1386" s="3"/>
      <c r="AA1386" s="78"/>
      <c r="AB1386" s="78"/>
      <c r="AC1386" s="57">
        <f t="shared" si="125"/>
        <v>0</v>
      </c>
    </row>
    <row r="1387" spans="6:29" ht="24" customHeight="1">
      <c r="H1387" s="2" t="s">
        <v>710</v>
      </c>
      <c r="K1387" s="8">
        <f>SUM(K1382:K1385)</f>
        <v>243.76</v>
      </c>
      <c r="N1387" s="3"/>
      <c r="O1387" s="282" t="s">
        <v>2995</v>
      </c>
      <c r="P1387" s="1195" t="s">
        <v>2461</v>
      </c>
      <c r="Q1387" s="1195"/>
      <c r="R1387" s="1195"/>
      <c r="T1387" s="7" t="s">
        <v>929</v>
      </c>
      <c r="U1387" s="1" t="s">
        <v>1931</v>
      </c>
      <c r="V1387" s="8">
        <f>P1388</f>
        <v>292</v>
      </c>
      <c r="W1387" s="7" t="s">
        <v>929</v>
      </c>
      <c r="X1387" s="8">
        <f>V1387*S1388</f>
        <v>1091.79</v>
      </c>
      <c r="Y1387" s="14">
        <v>4.21</v>
      </c>
      <c r="Z1387" s="7" t="s">
        <v>929</v>
      </c>
      <c r="AA1387" s="7" t="s">
        <v>929</v>
      </c>
      <c r="AB1387" s="8" t="e">
        <f>#REF!*Y1387</f>
        <v>#REF!</v>
      </c>
      <c r="AC1387" s="57">
        <f t="shared" si="125"/>
        <v>0</v>
      </c>
    </row>
    <row r="1388" spans="6:29" ht="24" customHeight="1">
      <c r="K1388" s="5" t="s">
        <v>1667</v>
      </c>
      <c r="M1388" s="17">
        <v>4.67</v>
      </c>
      <c r="N1388" s="7" t="s">
        <v>929</v>
      </c>
      <c r="O1388" s="1" t="s">
        <v>1931</v>
      </c>
      <c r="P1388" s="8">
        <f>P1371</f>
        <v>292</v>
      </c>
      <c r="Q1388" s="7" t="s">
        <v>929</v>
      </c>
      <c r="R1388" s="8">
        <f>P1388*M1388</f>
        <v>1363.64</v>
      </c>
      <c r="S1388" s="14">
        <v>3.7389999999999999</v>
      </c>
      <c r="T1388" s="7" t="s">
        <v>234</v>
      </c>
      <c r="U1388" s="1" t="s">
        <v>1932</v>
      </c>
      <c r="V1388" s="8">
        <f>P1389</f>
        <v>209.9</v>
      </c>
      <c r="W1388" s="7" t="s">
        <v>929</v>
      </c>
      <c r="X1388" s="8">
        <f>V1388*S1389</f>
        <v>75.56</v>
      </c>
      <c r="Y1388" s="14">
        <v>0.40500000000000003</v>
      </c>
      <c r="Z1388" s="7" t="s">
        <v>234</v>
      </c>
      <c r="AA1388" s="7" t="s">
        <v>929</v>
      </c>
      <c r="AB1388" s="8" t="e">
        <f>#REF!*Y1388</f>
        <v>#REF!</v>
      </c>
      <c r="AC1388" s="57">
        <f t="shared" si="125"/>
        <v>0</v>
      </c>
    </row>
    <row r="1389" spans="6:29" ht="24" customHeight="1">
      <c r="H1389" s="64" t="s">
        <v>711</v>
      </c>
      <c r="I1389" s="38"/>
      <c r="J1389" s="104"/>
      <c r="K1389" s="639">
        <f>K1387/6.77</f>
        <v>36.01</v>
      </c>
      <c r="M1389" s="17">
        <v>0.54</v>
      </c>
      <c r="N1389" s="7" t="s">
        <v>234</v>
      </c>
      <c r="O1389" s="1" t="s">
        <v>1932</v>
      </c>
      <c r="P1389" s="8">
        <f>P1375</f>
        <v>209.9</v>
      </c>
      <c r="Q1389" s="7" t="s">
        <v>929</v>
      </c>
      <c r="R1389" s="8">
        <f>P1389*M1389</f>
        <v>113.35</v>
      </c>
      <c r="S1389" s="14">
        <v>0.36</v>
      </c>
      <c r="T1389" s="7" t="s">
        <v>234</v>
      </c>
      <c r="U1389" s="1" t="s">
        <v>1939</v>
      </c>
      <c r="V1389" s="8">
        <f>P1390</f>
        <v>844.2</v>
      </c>
      <c r="W1389" s="7" t="s">
        <v>929</v>
      </c>
      <c r="X1389" s="8">
        <f>V1389*S1390</f>
        <v>303.91000000000003</v>
      </c>
      <c r="Y1389" s="14">
        <v>0.40500000000000003</v>
      </c>
      <c r="Z1389" s="7" t="s">
        <v>234</v>
      </c>
      <c r="AA1389" s="7" t="s">
        <v>929</v>
      </c>
      <c r="AB1389" s="8" t="e">
        <f>#REF!*Y1389</f>
        <v>#REF!</v>
      </c>
      <c r="AC1389" s="57">
        <f t="shared" si="125"/>
        <v>0</v>
      </c>
    </row>
    <row r="1390" spans="6:29" ht="24" customHeight="1">
      <c r="F1390" s="1" t="s">
        <v>995</v>
      </c>
      <c r="M1390" s="17">
        <v>0.54</v>
      </c>
      <c r="N1390" s="7" t="s">
        <v>234</v>
      </c>
      <c r="O1390" s="1" t="s">
        <v>1939</v>
      </c>
      <c r="P1390" s="8">
        <f>P1382</f>
        <v>844.2</v>
      </c>
      <c r="Q1390" s="7" t="s">
        <v>929</v>
      </c>
      <c r="R1390" s="8">
        <f>P1390*M1390</f>
        <v>455.87</v>
      </c>
      <c r="S1390" s="14">
        <v>0.36</v>
      </c>
      <c r="T1390" s="7"/>
      <c r="U1390" s="1"/>
      <c r="V1390" s="8"/>
      <c r="W1390" s="7"/>
      <c r="X1390" s="8">
        <f>SUM(X1387:X1389)</f>
        <v>1471.26</v>
      </c>
      <c r="Y1390" s="14"/>
      <c r="Z1390" s="7"/>
      <c r="AA1390" s="7"/>
      <c r="AB1390" s="8" t="e">
        <f>SUM(AB1387:AB1389)</f>
        <v>#REF!</v>
      </c>
      <c r="AC1390" s="57">
        <f t="shared" si="125"/>
        <v>0</v>
      </c>
    </row>
    <row r="1391" spans="6:29" ht="24" customHeight="1">
      <c r="K1391" s="5" t="s">
        <v>2130</v>
      </c>
      <c r="M1391" s="17"/>
      <c r="N1391" s="7"/>
      <c r="O1391" s="1"/>
      <c r="P1391" s="8"/>
      <c r="Q1391" s="7"/>
      <c r="R1391" s="8">
        <f>SUM(R1388:R1390)</f>
        <v>1932.86</v>
      </c>
      <c r="S1391" s="14"/>
      <c r="T1391" s="7"/>
      <c r="U1391" s="1"/>
      <c r="V1391" s="8"/>
      <c r="W1391" s="7"/>
      <c r="X1391" s="40">
        <f>X1390/S1390</f>
        <v>4086.83</v>
      </c>
      <c r="Y1391" s="14"/>
      <c r="Z1391" s="7"/>
      <c r="AA1391" s="7"/>
      <c r="AB1391" s="40" t="e">
        <f>AB1390/Y1389</f>
        <v>#REF!</v>
      </c>
      <c r="AC1391" s="57">
        <f t="shared" si="125"/>
        <v>0</v>
      </c>
    </row>
    <row r="1392" spans="6:29" ht="24" customHeight="1">
      <c r="G1392" s="7" t="s">
        <v>519</v>
      </c>
      <c r="H1392" s="1" t="s">
        <v>712</v>
      </c>
      <c r="M1392" s="17"/>
      <c r="N1392" s="7"/>
      <c r="O1392" s="1"/>
      <c r="P1392" s="8"/>
      <c r="Q1392" s="7"/>
      <c r="R1392" s="40">
        <f>R1391/M1390</f>
        <v>3579.37</v>
      </c>
      <c r="S1392" s="14"/>
      <c r="AC1392" s="57">
        <f t="shared" si="125"/>
        <v>0</v>
      </c>
    </row>
    <row r="1393" spans="6:29" ht="24" customHeight="1">
      <c r="G1393" s="7" t="s">
        <v>1667</v>
      </c>
      <c r="H1393" s="5" t="s">
        <v>1667</v>
      </c>
      <c r="M1393" s="17"/>
      <c r="N1393" s="7"/>
      <c r="O1393" s="1"/>
      <c r="P1393" s="8"/>
      <c r="Q1393" s="7"/>
      <c r="R1393" s="8"/>
      <c r="T1393" s="3"/>
      <c r="U1393" s="282" t="s">
        <v>2459</v>
      </c>
      <c r="V1393" s="78" t="s">
        <v>2461</v>
      </c>
      <c r="W1393" s="11"/>
      <c r="AC1393" s="57">
        <f t="shared" si="125"/>
        <v>0</v>
      </c>
    </row>
    <row r="1394" spans="6:29" ht="24" customHeight="1">
      <c r="F1394" s="17">
        <v>7.0000000000000001E-3</v>
      </c>
      <c r="G1394" s="7" t="s">
        <v>2226</v>
      </c>
      <c r="H1394" s="1" t="s">
        <v>708</v>
      </c>
      <c r="I1394" s="8">
        <f>K49</f>
        <v>2403.81</v>
      </c>
      <c r="J1394" s="1" t="s">
        <v>2226</v>
      </c>
      <c r="K1394" s="8">
        <f>(F1394*I1394)</f>
        <v>16.829999999999998</v>
      </c>
      <c r="N1394" s="3"/>
      <c r="O1394" s="282" t="s">
        <v>2996</v>
      </c>
      <c r="P1394" s="78" t="s">
        <v>2461</v>
      </c>
      <c r="Q1394" s="11"/>
      <c r="T1394" s="7" t="s">
        <v>929</v>
      </c>
      <c r="U1394" s="1" t="s">
        <v>1931</v>
      </c>
      <c r="V1394" s="8">
        <f>P1395</f>
        <v>292</v>
      </c>
      <c r="W1394" s="7" t="s">
        <v>929</v>
      </c>
      <c r="X1394" s="8">
        <f>V1394*S1395</f>
        <v>1229.32</v>
      </c>
      <c r="AC1394" s="57">
        <f t="shared" si="125"/>
        <v>0</v>
      </c>
    </row>
    <row r="1395" spans="6:29" ht="24" customHeight="1">
      <c r="F1395" s="8">
        <v>0.2</v>
      </c>
      <c r="G1395" s="7" t="s">
        <v>563</v>
      </c>
      <c r="H1395" s="1" t="s">
        <v>709</v>
      </c>
      <c r="I1395" s="8">
        <f>C10</f>
        <v>430.5</v>
      </c>
      <c r="J1395" s="1" t="s">
        <v>563</v>
      </c>
      <c r="K1395" s="8">
        <f>(F1395*I1395)</f>
        <v>86.1</v>
      </c>
      <c r="M1395" s="17">
        <v>7.01</v>
      </c>
      <c r="N1395" s="7" t="s">
        <v>929</v>
      </c>
      <c r="O1395" s="1" t="s">
        <v>1931</v>
      </c>
      <c r="P1395" s="8">
        <f>P1388</f>
        <v>292</v>
      </c>
      <c r="Q1395" s="7" t="s">
        <v>929</v>
      </c>
      <c r="R1395" s="8">
        <f>P1395*M1395</f>
        <v>2046.92</v>
      </c>
      <c r="S1395" s="14">
        <v>4.21</v>
      </c>
      <c r="T1395" s="7" t="s">
        <v>234</v>
      </c>
      <c r="U1395" s="1" t="s">
        <v>1932</v>
      </c>
      <c r="V1395" s="8">
        <f>P1396</f>
        <v>209.9</v>
      </c>
      <c r="W1395" s="7" t="s">
        <v>929</v>
      </c>
      <c r="X1395" s="8">
        <f>V1395*S1396</f>
        <v>94.46</v>
      </c>
      <c r="AC1395" s="57">
        <f t="shared" si="125"/>
        <v>0</v>
      </c>
    </row>
    <row r="1396" spans="6:29" ht="24" customHeight="1">
      <c r="F1396" s="8">
        <v>0.2</v>
      </c>
      <c r="G1396" s="7" t="s">
        <v>563</v>
      </c>
      <c r="H1396" s="1" t="s">
        <v>838</v>
      </c>
      <c r="I1396" s="8">
        <f>C12</f>
        <v>269.85000000000002</v>
      </c>
      <c r="J1396" s="1" t="s">
        <v>563</v>
      </c>
      <c r="K1396" s="8">
        <f>(F1396*I1396)</f>
        <v>53.97</v>
      </c>
      <c r="M1396" s="17">
        <v>0.81</v>
      </c>
      <c r="N1396" s="7" t="s">
        <v>234</v>
      </c>
      <c r="O1396" s="1" t="s">
        <v>1932</v>
      </c>
      <c r="P1396" s="8">
        <f>P1389</f>
        <v>209.9</v>
      </c>
      <c r="Q1396" s="7" t="s">
        <v>929</v>
      </c>
      <c r="R1396" s="8">
        <f>P1396*M1396</f>
        <v>170.02</v>
      </c>
      <c r="S1396" s="14">
        <v>0.45</v>
      </c>
      <c r="T1396" s="7" t="s">
        <v>234</v>
      </c>
      <c r="U1396" s="1" t="s">
        <v>1939</v>
      </c>
      <c r="V1396" s="8">
        <f>P1397</f>
        <v>844.2</v>
      </c>
      <c r="W1396" s="7" t="s">
        <v>929</v>
      </c>
      <c r="X1396" s="8">
        <f>V1396*S1397</f>
        <v>379.89</v>
      </c>
      <c r="AC1396" s="57">
        <f t="shared" si="125"/>
        <v>0</v>
      </c>
    </row>
    <row r="1397" spans="6:29" ht="24" customHeight="1">
      <c r="H1397" s="1" t="s">
        <v>2359</v>
      </c>
      <c r="K1397">
        <v>0</v>
      </c>
      <c r="M1397" s="17">
        <v>0.81</v>
      </c>
      <c r="N1397" s="7" t="s">
        <v>234</v>
      </c>
      <c r="O1397" s="1" t="s">
        <v>1939</v>
      </c>
      <c r="P1397" s="8">
        <f>P1390</f>
        <v>844.2</v>
      </c>
      <c r="Q1397" s="7" t="s">
        <v>929</v>
      </c>
      <c r="R1397" s="8">
        <f>P1397*M1397</f>
        <v>683.8</v>
      </c>
      <c r="S1397" s="14">
        <v>0.45</v>
      </c>
      <c r="T1397" s="7"/>
      <c r="U1397" s="1"/>
      <c r="V1397" s="8"/>
      <c r="W1397" s="7"/>
      <c r="X1397" s="8">
        <f>SUM(X1394:X1396)</f>
        <v>1703.67</v>
      </c>
      <c r="AC1397" s="57">
        <f t="shared" si="125"/>
        <v>0</v>
      </c>
    </row>
    <row r="1398" spans="6:29" ht="24" customHeight="1">
      <c r="K1398" s="5" t="s">
        <v>1667</v>
      </c>
      <c r="M1398" s="17"/>
      <c r="N1398" s="7"/>
      <c r="O1398" s="1"/>
      <c r="P1398" s="8"/>
      <c r="Q1398" s="7"/>
      <c r="R1398" s="8">
        <f>SUM(R1395:R1397)</f>
        <v>2900.74</v>
      </c>
      <c r="S1398" s="14"/>
      <c r="T1398" s="7"/>
      <c r="U1398" s="1"/>
      <c r="V1398" s="8"/>
      <c r="W1398" s="7"/>
      <c r="X1398" s="40">
        <f>X1397/S1397</f>
        <v>3785.93</v>
      </c>
      <c r="AC1398" s="57">
        <f t="shared" si="125"/>
        <v>0</v>
      </c>
    </row>
    <row r="1399" spans="6:29" ht="24" customHeight="1">
      <c r="H1399" s="2" t="s">
        <v>710</v>
      </c>
      <c r="K1399" s="8">
        <f>SUM(K1394:K1397)</f>
        <v>156.9</v>
      </c>
      <c r="M1399" s="17"/>
      <c r="N1399" s="7"/>
      <c r="O1399" s="1"/>
      <c r="P1399" s="8"/>
      <c r="Q1399" s="7"/>
      <c r="R1399" s="40">
        <f>R1398/M1397</f>
        <v>3581.16</v>
      </c>
      <c r="S1399" s="14"/>
      <c r="AC1399" s="57">
        <f t="shared" si="125"/>
        <v>0</v>
      </c>
    </row>
    <row r="1400" spans="6:29" ht="24" customHeight="1">
      <c r="K1400" s="5" t="s">
        <v>1667</v>
      </c>
      <c r="N1400" s="3"/>
      <c r="O1400" s="1"/>
      <c r="Q1400" s="4"/>
      <c r="R1400" s="8"/>
      <c r="T1400" s="3"/>
      <c r="U1400" s="282" t="s">
        <v>3690</v>
      </c>
      <c r="W1400" s="11"/>
      <c r="Y1400" s="56"/>
      <c r="Z1400" s="3"/>
      <c r="AA1400" s="11"/>
      <c r="AC1400" s="57">
        <f t="shared" si="125"/>
        <v>0</v>
      </c>
    </row>
    <row r="1401" spans="6:29" ht="24" customHeight="1">
      <c r="H1401" s="64" t="s">
        <v>711</v>
      </c>
      <c r="I1401" s="38"/>
      <c r="J1401" s="104"/>
      <c r="K1401" s="639">
        <f>K1399/6.77</f>
        <v>23.18</v>
      </c>
      <c r="N1401" s="3"/>
      <c r="O1401" s="282" t="s">
        <v>3696</v>
      </c>
      <c r="Q1401" s="11"/>
      <c r="T1401" s="7" t="s">
        <v>929</v>
      </c>
      <c r="U1401" s="1" t="s">
        <v>1931</v>
      </c>
      <c r="V1401" s="8">
        <f>P1402</f>
        <v>292</v>
      </c>
      <c r="W1401" s="7" t="s">
        <v>929</v>
      </c>
      <c r="X1401" s="8">
        <f t="shared" ref="X1401:X1412" si="129">V1401*S1402</f>
        <v>1019.08</v>
      </c>
      <c r="Y1401" s="14">
        <v>3.26</v>
      </c>
      <c r="Z1401" s="7" t="s">
        <v>929</v>
      </c>
      <c r="AA1401" s="7" t="s">
        <v>929</v>
      </c>
      <c r="AB1401" s="8" t="e">
        <f>#REF!*Y1401</f>
        <v>#REF!</v>
      </c>
      <c r="AC1401" s="57">
        <f t="shared" si="125"/>
        <v>0</v>
      </c>
    </row>
    <row r="1402" spans="6:29" ht="24" customHeight="1">
      <c r="K1402" s="5" t="s">
        <v>2130</v>
      </c>
      <c r="M1402" s="17">
        <v>4.42</v>
      </c>
      <c r="N1402" s="7" t="s">
        <v>929</v>
      </c>
      <c r="O1402" s="1" t="s">
        <v>1931</v>
      </c>
      <c r="P1402" s="8">
        <f>P1371</f>
        <v>292</v>
      </c>
      <c r="Q1402" s="7" t="s">
        <v>929</v>
      </c>
      <c r="R1402" s="8">
        <f>P1402*M1402</f>
        <v>1290.6400000000001</v>
      </c>
      <c r="S1402" s="14">
        <v>3.49</v>
      </c>
      <c r="T1402" s="7" t="s">
        <v>929</v>
      </c>
      <c r="U1402" s="1" t="s">
        <v>1931</v>
      </c>
      <c r="V1402" s="8">
        <f t="shared" ref="V1402:V1412" si="130">P1403</f>
        <v>292</v>
      </c>
      <c r="W1402" s="7" t="s">
        <v>929</v>
      </c>
      <c r="X1402" s="8">
        <f t="shared" si="129"/>
        <v>738.76</v>
      </c>
      <c r="Y1402" s="14">
        <v>0.84</v>
      </c>
      <c r="Z1402" s="7" t="s">
        <v>929</v>
      </c>
      <c r="AA1402" s="7" t="s">
        <v>929</v>
      </c>
      <c r="AB1402" s="8" t="e">
        <f>#REF!*Y1402</f>
        <v>#REF!</v>
      </c>
      <c r="AC1402" s="57">
        <f t="shared" si="125"/>
        <v>0</v>
      </c>
    </row>
    <row r="1403" spans="6:29" ht="24" customHeight="1">
      <c r="K1403" s="5"/>
      <c r="M1403" s="17">
        <v>4.72</v>
      </c>
      <c r="N1403" s="7" t="s">
        <v>929</v>
      </c>
      <c r="O1403" s="1" t="s">
        <v>1931</v>
      </c>
      <c r="P1403" s="8">
        <f t="shared" ref="P1403:P1413" si="131">P1372</f>
        <v>292</v>
      </c>
      <c r="Q1403" s="7" t="s">
        <v>929</v>
      </c>
      <c r="R1403" s="8">
        <f t="shared" ref="R1403:R1413" si="132">P1403*M1403</f>
        <v>1378.24</v>
      </c>
      <c r="S1403" s="14">
        <v>2.5299999999999998</v>
      </c>
      <c r="T1403" s="7" t="s">
        <v>929</v>
      </c>
      <c r="U1403" s="1" t="s">
        <v>1931</v>
      </c>
      <c r="V1403" s="8">
        <f t="shared" si="130"/>
        <v>292</v>
      </c>
      <c r="W1403" s="7" t="s">
        <v>929</v>
      </c>
      <c r="X1403" s="8">
        <f t="shared" si="129"/>
        <v>1680.46</v>
      </c>
      <c r="Y1403" s="14">
        <v>3.65</v>
      </c>
      <c r="Z1403" s="7" t="s">
        <v>929</v>
      </c>
      <c r="AA1403" s="7" t="s">
        <v>929</v>
      </c>
      <c r="AB1403" s="8" t="e">
        <f>#REF!*Y1403</f>
        <v>#REF!</v>
      </c>
      <c r="AC1403" s="57">
        <f t="shared" si="125"/>
        <v>0</v>
      </c>
    </row>
    <row r="1404" spans="6:29" ht="24" customHeight="1">
      <c r="K1404" s="5"/>
      <c r="M1404" s="17">
        <v>9.06</v>
      </c>
      <c r="N1404" s="7" t="s">
        <v>929</v>
      </c>
      <c r="O1404" s="1" t="s">
        <v>1931</v>
      </c>
      <c r="P1404" s="8">
        <f t="shared" si="131"/>
        <v>292</v>
      </c>
      <c r="Q1404" s="7" t="s">
        <v>929</v>
      </c>
      <c r="R1404" s="8">
        <f t="shared" si="132"/>
        <v>2645.52</v>
      </c>
      <c r="S1404" s="14">
        <v>5.7549999999999999</v>
      </c>
      <c r="T1404" s="7" t="s">
        <v>929</v>
      </c>
      <c r="U1404" s="1" t="s">
        <v>1931</v>
      </c>
      <c r="V1404" s="8">
        <f t="shared" si="130"/>
        <v>292</v>
      </c>
      <c r="W1404" s="7" t="s">
        <v>929</v>
      </c>
      <c r="X1404" s="8">
        <f t="shared" si="129"/>
        <v>292.29000000000002</v>
      </c>
      <c r="Y1404" s="14">
        <v>0.64</v>
      </c>
      <c r="Z1404" s="7" t="s">
        <v>929</v>
      </c>
      <c r="AA1404" s="7" t="s">
        <v>929</v>
      </c>
      <c r="AB1404" s="8" t="e">
        <f>#REF!*Y1404</f>
        <v>#REF!</v>
      </c>
      <c r="AC1404" s="57">
        <f t="shared" si="125"/>
        <v>0</v>
      </c>
    </row>
    <row r="1405" spans="6:29" ht="24" customHeight="1">
      <c r="G1405" s="7" t="s">
        <v>321</v>
      </c>
      <c r="H1405" s="1" t="s">
        <v>954</v>
      </c>
      <c r="K1405" s="5"/>
      <c r="M1405" s="17">
        <v>1.58</v>
      </c>
      <c r="N1405" s="7" t="s">
        <v>929</v>
      </c>
      <c r="O1405" s="1" t="s">
        <v>1931</v>
      </c>
      <c r="P1405" s="8">
        <f t="shared" si="131"/>
        <v>292</v>
      </c>
      <c r="Q1405" s="7" t="s">
        <v>929</v>
      </c>
      <c r="R1405" s="8">
        <f t="shared" si="132"/>
        <v>461.36</v>
      </c>
      <c r="S1405" s="14">
        <v>1.0009999999999999</v>
      </c>
      <c r="T1405" s="7" t="s">
        <v>234</v>
      </c>
      <c r="U1405" s="1" t="s">
        <v>1932</v>
      </c>
      <c r="V1405" s="8">
        <f t="shared" si="130"/>
        <v>209.9</v>
      </c>
      <c r="W1405" s="7" t="s">
        <v>234</v>
      </c>
      <c r="X1405" s="8">
        <f t="shared" si="129"/>
        <v>212.42</v>
      </c>
      <c r="Y1405" s="14">
        <v>0.84099999999999997</v>
      </c>
      <c r="Z1405" s="7" t="s">
        <v>234</v>
      </c>
      <c r="AA1405" s="7" t="s">
        <v>234</v>
      </c>
      <c r="AB1405" s="8" t="e">
        <f>#REF!*Y1405</f>
        <v>#REF!</v>
      </c>
      <c r="AC1405" s="57">
        <f t="shared" si="125"/>
        <v>0</v>
      </c>
    </row>
    <row r="1406" spans="6:29" ht="24" customHeight="1">
      <c r="G1406" s="7" t="s">
        <v>1667</v>
      </c>
      <c r="H1406" s="5" t="s">
        <v>1667</v>
      </c>
      <c r="K1406" s="5"/>
      <c r="M1406" s="17">
        <v>1.65</v>
      </c>
      <c r="N1406" s="7" t="s">
        <v>234</v>
      </c>
      <c r="O1406" s="1" t="s">
        <v>1932</v>
      </c>
      <c r="P1406" s="8">
        <f t="shared" si="131"/>
        <v>209.9</v>
      </c>
      <c r="Q1406" s="7" t="s">
        <v>234</v>
      </c>
      <c r="R1406" s="8">
        <f t="shared" si="132"/>
        <v>346.34</v>
      </c>
      <c r="S1406" s="14">
        <f>1.012</f>
        <v>1.012</v>
      </c>
      <c r="T1406" s="7" t="s">
        <v>840</v>
      </c>
      <c r="U1406" s="1" t="s">
        <v>1933</v>
      </c>
      <c r="V1406" s="8">
        <f t="shared" si="130"/>
        <v>27.8</v>
      </c>
      <c r="W1406" s="7" t="s">
        <v>840</v>
      </c>
      <c r="X1406" s="8">
        <f t="shared" si="129"/>
        <v>224.4</v>
      </c>
      <c r="Y1406" s="14">
        <v>5.1959999999999997</v>
      </c>
      <c r="Z1406" s="7" t="s">
        <v>840</v>
      </c>
      <c r="AA1406" s="7" t="s">
        <v>840</v>
      </c>
      <c r="AB1406" s="8" t="e">
        <f>#REF!*Y1406</f>
        <v>#REF!</v>
      </c>
      <c r="AC1406" s="57">
        <f t="shared" si="125"/>
        <v>0</v>
      </c>
    </row>
    <row r="1407" spans="6:29" ht="24" customHeight="1">
      <c r="F1407" s="17">
        <v>4.7000000000000002E-3</v>
      </c>
      <c r="G1407" s="7" t="s">
        <v>2226</v>
      </c>
      <c r="H1407" s="1" t="s">
        <v>708</v>
      </c>
      <c r="I1407">
        <f>K49</f>
        <v>2403.81</v>
      </c>
      <c r="J1407" s="1" t="s">
        <v>2226</v>
      </c>
      <c r="K1407" s="8">
        <f>(F1407*I1407)</f>
        <v>11.3</v>
      </c>
      <c r="M1407" s="17">
        <v>12.74</v>
      </c>
      <c r="N1407" s="7" t="s">
        <v>840</v>
      </c>
      <c r="O1407" s="1" t="s">
        <v>1933</v>
      </c>
      <c r="P1407" s="8">
        <f t="shared" si="131"/>
        <v>27.8</v>
      </c>
      <c r="Q1407" s="7" t="s">
        <v>840</v>
      </c>
      <c r="R1407" s="8">
        <f t="shared" si="132"/>
        <v>354.17</v>
      </c>
      <c r="S1407" s="14">
        <v>8.0719999999999992</v>
      </c>
      <c r="T1407" s="7" t="s">
        <v>781</v>
      </c>
      <c r="U1407" s="1" t="s">
        <v>1934</v>
      </c>
      <c r="V1407" s="8">
        <f t="shared" si="130"/>
        <v>35</v>
      </c>
      <c r="W1407" s="7" t="s">
        <v>781</v>
      </c>
      <c r="X1407" s="8">
        <f t="shared" si="129"/>
        <v>280</v>
      </c>
      <c r="Y1407" s="14">
        <v>4</v>
      </c>
      <c r="Z1407" s="7" t="s">
        <v>781</v>
      </c>
      <c r="AA1407" s="7" t="s">
        <v>781</v>
      </c>
      <c r="AB1407" s="8" t="e">
        <f>#REF!*Y1407</f>
        <v>#REF!</v>
      </c>
      <c r="AC1407" s="57">
        <f t="shared" si="125"/>
        <v>0</v>
      </c>
    </row>
    <row r="1408" spans="6:29" ht="24" customHeight="1">
      <c r="F1408" s="8">
        <v>0.15</v>
      </c>
      <c r="G1408" s="7" t="s">
        <v>563</v>
      </c>
      <c r="H1408" s="1" t="s">
        <v>709</v>
      </c>
      <c r="I1408">
        <f>C10</f>
        <v>430.5</v>
      </c>
      <c r="J1408" s="1" t="s">
        <v>563</v>
      </c>
      <c r="K1408" s="8">
        <f>(F1408*I1408)</f>
        <v>64.58</v>
      </c>
      <c r="M1408" s="17">
        <v>12</v>
      </c>
      <c r="N1408" s="7" t="s">
        <v>781</v>
      </c>
      <c r="O1408" s="1" t="s">
        <v>1934</v>
      </c>
      <c r="P1408" s="8">
        <f t="shared" si="131"/>
        <v>35</v>
      </c>
      <c r="Q1408" s="7" t="s">
        <v>781</v>
      </c>
      <c r="R1408" s="8">
        <f t="shared" si="132"/>
        <v>420</v>
      </c>
      <c r="S1408" s="14">
        <v>8</v>
      </c>
      <c r="T1408" s="7" t="s">
        <v>781</v>
      </c>
      <c r="U1408" s="1" t="s">
        <v>1935</v>
      </c>
      <c r="V1408" s="8">
        <f t="shared" si="130"/>
        <v>46</v>
      </c>
      <c r="W1408" s="7" t="s">
        <v>781</v>
      </c>
      <c r="X1408" s="8">
        <f t="shared" si="129"/>
        <v>184</v>
      </c>
      <c r="Y1408" s="14">
        <v>2</v>
      </c>
      <c r="Z1408" s="7" t="s">
        <v>781</v>
      </c>
      <c r="AA1408" s="7" t="s">
        <v>781</v>
      </c>
      <c r="AB1408" s="8" t="e">
        <f>#REF!*Y1408</f>
        <v>#REF!</v>
      </c>
      <c r="AC1408" s="57">
        <f t="shared" si="125"/>
        <v>0</v>
      </c>
    </row>
    <row r="1409" spans="6:29" ht="24" customHeight="1">
      <c r="F1409" s="8">
        <v>0.15</v>
      </c>
      <c r="G1409" s="7" t="s">
        <v>563</v>
      </c>
      <c r="H1409" s="1" t="s">
        <v>838</v>
      </c>
      <c r="I1409">
        <f>C12</f>
        <v>269.85000000000002</v>
      </c>
      <c r="J1409" s="1" t="s">
        <v>563</v>
      </c>
      <c r="K1409" s="8">
        <f>(F1409*I1409)</f>
        <v>40.479999999999997</v>
      </c>
      <c r="M1409" s="17">
        <v>6</v>
      </c>
      <c r="N1409" s="7" t="s">
        <v>781</v>
      </c>
      <c r="O1409" s="1" t="s">
        <v>1935</v>
      </c>
      <c r="P1409" s="8">
        <f t="shared" si="131"/>
        <v>46</v>
      </c>
      <c r="Q1409" s="7" t="s">
        <v>781</v>
      </c>
      <c r="R1409" s="8">
        <f t="shared" si="132"/>
        <v>276</v>
      </c>
      <c r="S1409" s="14">
        <v>4</v>
      </c>
      <c r="T1409" s="7" t="s">
        <v>781</v>
      </c>
      <c r="U1409" s="1" t="s">
        <v>1936</v>
      </c>
      <c r="V1409" s="8">
        <f t="shared" si="130"/>
        <v>30</v>
      </c>
      <c r="W1409" s="7" t="s">
        <v>781</v>
      </c>
      <c r="X1409" s="8">
        <f t="shared" si="129"/>
        <v>120</v>
      </c>
      <c r="Y1409" s="14">
        <v>2</v>
      </c>
      <c r="Z1409" s="7" t="s">
        <v>781</v>
      </c>
      <c r="AA1409" s="7" t="s">
        <v>781</v>
      </c>
      <c r="AB1409" s="8" t="e">
        <f>#REF!*Y1409</f>
        <v>#REF!</v>
      </c>
      <c r="AC1409" s="57">
        <f t="shared" si="125"/>
        <v>0</v>
      </c>
    </row>
    <row r="1410" spans="6:29" ht="24" customHeight="1">
      <c r="H1410" s="1" t="s">
        <v>2359</v>
      </c>
      <c r="K1410">
        <v>0</v>
      </c>
      <c r="M1410" s="17">
        <v>6</v>
      </c>
      <c r="N1410" s="7" t="s">
        <v>781</v>
      </c>
      <c r="O1410" s="1" t="s">
        <v>1936</v>
      </c>
      <c r="P1410" s="8">
        <f t="shared" si="131"/>
        <v>30</v>
      </c>
      <c r="Q1410" s="7" t="s">
        <v>781</v>
      </c>
      <c r="R1410" s="8">
        <f t="shared" si="132"/>
        <v>180</v>
      </c>
      <c r="S1410" s="14">
        <v>4</v>
      </c>
      <c r="T1410" s="7" t="s">
        <v>781</v>
      </c>
      <c r="U1410" s="1" t="s">
        <v>1937</v>
      </c>
      <c r="V1410" s="8">
        <f t="shared" si="130"/>
        <v>20</v>
      </c>
      <c r="W1410" s="7" t="s">
        <v>781</v>
      </c>
      <c r="X1410" s="8">
        <f t="shared" si="129"/>
        <v>80</v>
      </c>
      <c r="Y1410" s="14">
        <v>2</v>
      </c>
      <c r="Z1410" s="7" t="s">
        <v>781</v>
      </c>
      <c r="AA1410" s="7" t="s">
        <v>781</v>
      </c>
      <c r="AB1410" s="8" t="e">
        <f>#REF!*Y1410</f>
        <v>#REF!</v>
      </c>
      <c r="AC1410" s="57">
        <f t="shared" si="125"/>
        <v>0</v>
      </c>
    </row>
    <row r="1411" spans="6:29" ht="24" customHeight="1">
      <c r="K1411" s="5" t="s">
        <v>1667</v>
      </c>
      <c r="M1411" s="17">
        <v>6</v>
      </c>
      <c r="N1411" s="7" t="s">
        <v>781</v>
      </c>
      <c r="O1411" s="1" t="s">
        <v>1937</v>
      </c>
      <c r="P1411" s="8">
        <f t="shared" si="131"/>
        <v>20</v>
      </c>
      <c r="Q1411" s="7" t="s">
        <v>781</v>
      </c>
      <c r="R1411" s="8">
        <f t="shared" si="132"/>
        <v>120</v>
      </c>
      <c r="S1411" s="14">
        <v>4</v>
      </c>
      <c r="T1411" s="7" t="s">
        <v>781</v>
      </c>
      <c r="U1411" s="1" t="s">
        <v>1938</v>
      </c>
      <c r="V1411" s="8">
        <f t="shared" si="130"/>
        <v>15</v>
      </c>
      <c r="W1411" s="7" t="s">
        <v>781</v>
      </c>
      <c r="X1411" s="8">
        <f t="shared" si="129"/>
        <v>60</v>
      </c>
      <c r="Y1411" s="14">
        <v>4</v>
      </c>
      <c r="Z1411" s="7" t="s">
        <v>781</v>
      </c>
      <c r="AA1411" s="7" t="s">
        <v>781</v>
      </c>
      <c r="AB1411" s="8" t="e">
        <f>#REF!*Y1411</f>
        <v>#REF!</v>
      </c>
      <c r="AC1411" s="57">
        <f t="shared" si="125"/>
        <v>0</v>
      </c>
    </row>
    <row r="1412" spans="6:29" ht="24" customHeight="1">
      <c r="H1412" s="2" t="s">
        <v>710</v>
      </c>
      <c r="K1412" s="8">
        <f>SUM(K1407:K1410)</f>
        <v>116.36</v>
      </c>
      <c r="M1412" s="17">
        <v>4</v>
      </c>
      <c r="N1412" s="7" t="s">
        <v>781</v>
      </c>
      <c r="O1412" s="1" t="s">
        <v>1938</v>
      </c>
      <c r="P1412" s="8">
        <f t="shared" si="131"/>
        <v>15</v>
      </c>
      <c r="Q1412" s="7" t="s">
        <v>781</v>
      </c>
      <c r="R1412" s="8">
        <f t="shared" si="132"/>
        <v>60</v>
      </c>
      <c r="S1412" s="14">
        <v>4</v>
      </c>
      <c r="T1412" s="7" t="s">
        <v>2371</v>
      </c>
      <c r="U1412" s="1" t="s">
        <v>1939</v>
      </c>
      <c r="V1412" s="8">
        <f t="shared" si="130"/>
        <v>844.2</v>
      </c>
      <c r="W1412" s="7" t="s">
        <v>2371</v>
      </c>
      <c r="X1412" s="8">
        <f t="shared" si="129"/>
        <v>1063.69</v>
      </c>
      <c r="Y1412" s="14">
        <v>1.01</v>
      </c>
      <c r="Z1412" s="7" t="s">
        <v>2371</v>
      </c>
      <c r="AA1412" s="7" t="s">
        <v>2371</v>
      </c>
      <c r="AB1412" s="8" t="e">
        <f>#REF!*Y1412</f>
        <v>#REF!</v>
      </c>
      <c r="AC1412" s="57">
        <f t="shared" si="125"/>
        <v>0</v>
      </c>
    </row>
    <row r="1413" spans="6:29" ht="24" customHeight="1">
      <c r="K1413" s="5" t="s">
        <v>1667</v>
      </c>
      <c r="M1413" s="17">
        <f>1.5*1.35</f>
        <v>2.0249999999999999</v>
      </c>
      <c r="N1413" s="7" t="s">
        <v>2371</v>
      </c>
      <c r="O1413" s="1" t="s">
        <v>1939</v>
      </c>
      <c r="P1413" s="8">
        <f t="shared" si="131"/>
        <v>844.2</v>
      </c>
      <c r="Q1413" s="7" t="s">
        <v>2371</v>
      </c>
      <c r="R1413" s="8">
        <f t="shared" si="132"/>
        <v>1709.51</v>
      </c>
      <c r="S1413" s="14">
        <v>1.26</v>
      </c>
      <c r="T1413" s="3"/>
      <c r="U1413" s="1" t="s">
        <v>1940</v>
      </c>
      <c r="W1413" s="4"/>
      <c r="X1413" s="8">
        <v>1.24</v>
      </c>
      <c r="Y1413" s="56"/>
      <c r="Z1413" s="3"/>
      <c r="AA1413" s="4"/>
      <c r="AB1413" s="8">
        <v>3.33</v>
      </c>
      <c r="AC1413" s="57">
        <f t="shared" si="125"/>
        <v>0</v>
      </c>
    </row>
    <row r="1414" spans="6:29" ht="24" customHeight="1">
      <c r="H1414" s="64" t="s">
        <v>711</v>
      </c>
      <c r="I1414" s="38"/>
      <c r="J1414" s="104"/>
      <c r="K1414" s="639">
        <f>K1412/6.77</f>
        <v>17.190000000000001</v>
      </c>
      <c r="N1414" s="3"/>
      <c r="O1414" s="1" t="s">
        <v>1940</v>
      </c>
      <c r="Q1414" s="4"/>
      <c r="R1414" s="8">
        <v>0.84</v>
      </c>
      <c r="X1414" s="40">
        <f>SUM(X1401:X1413)</f>
        <v>5956.34</v>
      </c>
      <c r="Y1414" s="56"/>
      <c r="AB1414" s="40" t="e">
        <f>SUM(AB1401:AB1413)</f>
        <v>#REF!</v>
      </c>
      <c r="AC1414" s="57">
        <f t="shared" si="125"/>
        <v>0</v>
      </c>
    </row>
    <row r="1415" spans="6:29" ht="24" customHeight="1">
      <c r="K1415" s="5" t="s">
        <v>2130</v>
      </c>
      <c r="R1415" s="40">
        <f>SUM(R1402:R1414)</f>
        <v>9242.6200000000008</v>
      </c>
      <c r="AC1415" s="57">
        <f t="shared" si="125"/>
        <v>0</v>
      </c>
    </row>
    <row r="1416" spans="6:29" ht="24" customHeight="1">
      <c r="K1416" s="5"/>
      <c r="AC1416" s="57">
        <f t="shared" si="125"/>
        <v>0</v>
      </c>
    </row>
    <row r="1417" spans="6:29" ht="24" customHeight="1">
      <c r="F1417" s="26">
        <v>37.1</v>
      </c>
      <c r="G1417" s="7" t="s">
        <v>2338</v>
      </c>
      <c r="H1417" s="1" t="s">
        <v>394</v>
      </c>
      <c r="T1417" s="3"/>
      <c r="U1417" s="282" t="s">
        <v>2460</v>
      </c>
      <c r="V1417" s="78" t="s">
        <v>2461</v>
      </c>
      <c r="W1417" s="11"/>
      <c r="AC1417" s="57">
        <f t="shared" si="125"/>
        <v>0</v>
      </c>
    </row>
    <row r="1418" spans="6:29" ht="24" customHeight="1">
      <c r="H1418" s="5" t="s">
        <v>1667</v>
      </c>
      <c r="T1418" s="7" t="s">
        <v>929</v>
      </c>
      <c r="U1418" s="1" t="s">
        <v>1931</v>
      </c>
      <c r="V1418" s="8">
        <f>V1394</f>
        <v>292</v>
      </c>
      <c r="W1418" s="7" t="s">
        <v>929</v>
      </c>
      <c r="X1418" s="8">
        <f>V1418*S1419</f>
        <v>1988.52</v>
      </c>
      <c r="AC1418" s="57">
        <f t="shared" si="125"/>
        <v>0</v>
      </c>
    </row>
    <row r="1419" spans="6:29" ht="24" customHeight="1">
      <c r="F1419" s="8">
        <v>0.09</v>
      </c>
      <c r="G1419" s="7" t="s">
        <v>884</v>
      </c>
      <c r="H1419" s="1" t="s">
        <v>2077</v>
      </c>
      <c r="I1419" s="8">
        <f>(C84)</f>
        <v>1200</v>
      </c>
      <c r="J1419" s="1" t="s">
        <v>884</v>
      </c>
      <c r="K1419" s="8">
        <f>(F1419*I1419)</f>
        <v>108</v>
      </c>
      <c r="S1419" s="14">
        <v>6.81</v>
      </c>
      <c r="T1419" s="7" t="s">
        <v>234</v>
      </c>
      <c r="U1419" s="1" t="s">
        <v>1932</v>
      </c>
      <c r="V1419" s="8">
        <f>V1395</f>
        <v>209.9</v>
      </c>
      <c r="W1419" s="7" t="s">
        <v>929</v>
      </c>
      <c r="X1419" s="8">
        <f>V1419*S1420</f>
        <v>161.83000000000001</v>
      </c>
      <c r="AC1419" s="57">
        <f t="shared" ref="AC1419:AC1482" si="133">AE1420</f>
        <v>0</v>
      </c>
    </row>
    <row r="1420" spans="6:29" ht="24" customHeight="1">
      <c r="F1420" s="8">
        <v>2.2000000000000002</v>
      </c>
      <c r="G1420" s="7" t="s">
        <v>883</v>
      </c>
      <c r="H1420" s="1" t="s">
        <v>1791</v>
      </c>
      <c r="I1420" s="8">
        <f>(C11)</f>
        <v>386.4</v>
      </c>
      <c r="J1420" s="1" t="s">
        <v>883</v>
      </c>
      <c r="K1420" s="8">
        <f>(F1420*I1420)</f>
        <v>850.08</v>
      </c>
      <c r="S1420" s="14">
        <v>0.77100000000000002</v>
      </c>
      <c r="T1420" s="7" t="s">
        <v>234</v>
      </c>
      <c r="U1420" s="1" t="s">
        <v>1939</v>
      </c>
      <c r="V1420" s="8">
        <f>V1396</f>
        <v>844.2</v>
      </c>
      <c r="W1420" s="7" t="s">
        <v>929</v>
      </c>
      <c r="X1420" s="8">
        <f>V1420*S1421</f>
        <v>650.88</v>
      </c>
      <c r="AC1420" s="57">
        <f t="shared" si="133"/>
        <v>0</v>
      </c>
    </row>
    <row r="1421" spans="6:29" ht="24" customHeight="1">
      <c r="F1421" s="8">
        <v>0.5</v>
      </c>
      <c r="G1421" s="7" t="s">
        <v>883</v>
      </c>
      <c r="H1421" s="1" t="s">
        <v>1979</v>
      </c>
      <c r="I1421" s="8">
        <f>(C12)</f>
        <v>269.85000000000002</v>
      </c>
      <c r="J1421" s="1" t="s">
        <v>883</v>
      </c>
      <c r="K1421" s="8">
        <f>(F1421*I1421)</f>
        <v>134.93</v>
      </c>
      <c r="S1421" s="14">
        <v>0.77100000000000002</v>
      </c>
      <c r="T1421" s="7"/>
      <c r="U1421" s="1"/>
      <c r="V1421" s="8"/>
      <c r="W1421" s="7"/>
      <c r="X1421" s="8">
        <f>SUM(X1418:X1420)</f>
        <v>2801.23</v>
      </c>
      <c r="AC1421" s="57">
        <f t="shared" si="133"/>
        <v>0</v>
      </c>
    </row>
    <row r="1422" spans="6:29" ht="24" customHeight="1">
      <c r="F1422" s="8">
        <v>3.8</v>
      </c>
      <c r="G1422" s="7" t="s">
        <v>883</v>
      </c>
      <c r="H1422" s="1" t="s">
        <v>324</v>
      </c>
      <c r="I1422" s="8">
        <f>(C13)</f>
        <v>243.6</v>
      </c>
      <c r="J1422" s="1" t="s">
        <v>883</v>
      </c>
      <c r="K1422" s="8">
        <f>(F1422*I1422)</f>
        <v>925.68</v>
      </c>
      <c r="S1422" s="14"/>
      <c r="T1422" s="7"/>
      <c r="U1422" s="1"/>
      <c r="V1422" s="8"/>
      <c r="W1422" s="7"/>
      <c r="X1422" s="40">
        <f>X1421/S1421</f>
        <v>3633.24</v>
      </c>
      <c r="AC1422" s="57">
        <f t="shared" si="133"/>
        <v>0</v>
      </c>
    </row>
    <row r="1423" spans="6:29" ht="24" customHeight="1">
      <c r="G1423" s="7" t="s">
        <v>448</v>
      </c>
      <c r="H1423" s="1" t="s">
        <v>503</v>
      </c>
      <c r="I1423" s="1" t="s">
        <v>995</v>
      </c>
      <c r="J1423" s="1" t="s">
        <v>448</v>
      </c>
      <c r="K1423" s="8">
        <v>1.5</v>
      </c>
      <c r="S1423" s="14"/>
      <c r="AC1423" s="57">
        <f t="shared" si="133"/>
        <v>0</v>
      </c>
    </row>
    <row r="1424" spans="6:29" ht="24" customHeight="1">
      <c r="K1424" s="5" t="s">
        <v>1667</v>
      </c>
      <c r="AC1424" s="57">
        <f t="shared" si="133"/>
        <v>0</v>
      </c>
    </row>
    <row r="1425" spans="6:29" ht="24" customHeight="1">
      <c r="H1425" s="1" t="s">
        <v>1915</v>
      </c>
      <c r="K1425" s="8">
        <f>SUM(K1418:K1423)</f>
        <v>2020.19</v>
      </c>
      <c r="AC1425" s="57">
        <f t="shared" si="133"/>
        <v>0</v>
      </c>
    </row>
    <row r="1426" spans="6:29" ht="24" customHeight="1">
      <c r="K1426" s="5" t="s">
        <v>1667</v>
      </c>
      <c r="AC1426" s="57">
        <f t="shared" si="133"/>
        <v>0</v>
      </c>
    </row>
    <row r="1427" spans="6:29" ht="24" customHeight="1">
      <c r="H1427" s="64" t="s">
        <v>555</v>
      </c>
      <c r="I1427" s="38"/>
      <c r="J1427" s="104"/>
      <c r="K1427" s="40">
        <f>(K1425/100)</f>
        <v>20.2</v>
      </c>
      <c r="AC1427" s="57">
        <f t="shared" si="133"/>
        <v>0</v>
      </c>
    </row>
    <row r="1428" spans="6:29" ht="24" customHeight="1">
      <c r="K1428" s="5" t="s">
        <v>2130</v>
      </c>
      <c r="AC1428" s="57">
        <f t="shared" si="133"/>
        <v>0</v>
      </c>
    </row>
    <row r="1429" spans="6:29" ht="24" customHeight="1">
      <c r="F1429" s="2" t="s">
        <v>863</v>
      </c>
      <c r="G1429" s="7" t="s">
        <v>2338</v>
      </c>
      <c r="H1429" s="1" t="s">
        <v>1019</v>
      </c>
      <c r="M1429" s="2"/>
      <c r="N1429" s="7" t="s">
        <v>2338</v>
      </c>
      <c r="O1429" s="1" t="s">
        <v>2063</v>
      </c>
      <c r="Q1429" s="11"/>
      <c r="AC1429" s="57">
        <f t="shared" si="133"/>
        <v>0</v>
      </c>
    </row>
    <row r="1430" spans="6:29" ht="24" customHeight="1">
      <c r="H1430" s="1" t="s">
        <v>1020</v>
      </c>
      <c r="N1430" s="3"/>
      <c r="O1430" s="1" t="s">
        <v>1020</v>
      </c>
      <c r="Q1430" s="11"/>
      <c r="AC1430" s="57">
        <f t="shared" si="133"/>
        <v>0</v>
      </c>
    </row>
    <row r="1431" spans="6:29" ht="24" customHeight="1">
      <c r="H1431" s="1" t="s">
        <v>1021</v>
      </c>
      <c r="N1431" s="3"/>
      <c r="O1431" s="1" t="s">
        <v>1021</v>
      </c>
      <c r="Q1431" s="11"/>
      <c r="AC1431" s="57">
        <f t="shared" si="133"/>
        <v>0</v>
      </c>
    </row>
    <row r="1432" spans="6:29" ht="24" customHeight="1">
      <c r="H1432" s="1" t="s">
        <v>34</v>
      </c>
      <c r="N1432" s="3"/>
      <c r="O1432" s="1" t="s">
        <v>34</v>
      </c>
      <c r="Q1432" s="11"/>
      <c r="AC1432" s="57">
        <f t="shared" si="133"/>
        <v>0</v>
      </c>
    </row>
    <row r="1433" spans="6:29" ht="24" customHeight="1">
      <c r="H1433" s="5" t="s">
        <v>1667</v>
      </c>
      <c r="N1433" s="3"/>
      <c r="O1433" s="5" t="s">
        <v>1667</v>
      </c>
      <c r="Q1433" s="11"/>
      <c r="T1433">
        <f>60*S1434</f>
        <v>5.52</v>
      </c>
      <c r="U1433">
        <f>4.58/10</f>
        <v>0.46</v>
      </c>
      <c r="AC1433" s="57">
        <f t="shared" si="133"/>
        <v>0</v>
      </c>
    </row>
    <row r="1434" spans="6:29" ht="24" customHeight="1">
      <c r="F1434" s="8">
        <v>4.8</v>
      </c>
      <c r="G1434" s="7" t="s">
        <v>1730</v>
      </c>
      <c r="H1434" s="1" t="s">
        <v>439</v>
      </c>
      <c r="I1434" s="8">
        <f>(C270)</f>
        <v>53.1</v>
      </c>
      <c r="J1434" s="1" t="s">
        <v>1730</v>
      </c>
      <c r="K1434" s="8">
        <f>(F1434*I1434)</f>
        <v>254.88</v>
      </c>
      <c r="M1434" s="8">
        <v>2.1800000000000002</v>
      </c>
      <c r="N1434" s="7" t="s">
        <v>1730</v>
      </c>
      <c r="O1434" s="1" t="s">
        <v>2064</v>
      </c>
      <c r="P1434" s="8">
        <v>70</v>
      </c>
      <c r="Q1434" s="1" t="s">
        <v>1730</v>
      </c>
      <c r="R1434" s="8">
        <f>M1434*P1434</f>
        <v>152.6</v>
      </c>
      <c r="S1434" s="56">
        <f>0.3028*0.3028</f>
        <v>9.1999999999999998E-2</v>
      </c>
      <c r="AC1434" s="57">
        <f t="shared" si="133"/>
        <v>0</v>
      </c>
    </row>
    <row r="1435" spans="6:29" ht="24" customHeight="1">
      <c r="F1435" s="8">
        <v>0.75</v>
      </c>
      <c r="G1435" s="7" t="s">
        <v>883</v>
      </c>
      <c r="H1435" s="1" t="s">
        <v>35</v>
      </c>
      <c r="I1435" s="8">
        <f>(C14)</f>
        <v>347.55</v>
      </c>
      <c r="J1435" s="1" t="s">
        <v>883</v>
      </c>
      <c r="K1435" s="8">
        <f>(F1435*I1435)</f>
        <v>260.66000000000003</v>
      </c>
      <c r="M1435" s="8">
        <v>0.75</v>
      </c>
      <c r="N1435" s="7" t="s">
        <v>883</v>
      </c>
      <c r="O1435" s="1" t="s">
        <v>35</v>
      </c>
      <c r="P1435" s="8">
        <f>C14</f>
        <v>347.55</v>
      </c>
      <c r="Q1435" s="1" t="s">
        <v>883</v>
      </c>
      <c r="R1435" s="8">
        <f>M1435*P1435</f>
        <v>260.66000000000003</v>
      </c>
      <c r="AC1435" s="57">
        <f t="shared" si="133"/>
        <v>0</v>
      </c>
    </row>
    <row r="1436" spans="6:29" ht="24" customHeight="1">
      <c r="F1436" s="8">
        <v>0.75</v>
      </c>
      <c r="G1436" s="7" t="s">
        <v>883</v>
      </c>
      <c r="H1436" s="1" t="s">
        <v>949</v>
      </c>
      <c r="I1436" s="8">
        <f>(C12)</f>
        <v>269.85000000000002</v>
      </c>
      <c r="J1436" s="1" t="s">
        <v>883</v>
      </c>
      <c r="K1436" s="8">
        <f>(F1436*I1436)</f>
        <v>202.39</v>
      </c>
      <c r="M1436" s="8">
        <v>0.75</v>
      </c>
      <c r="N1436" s="7" t="s">
        <v>883</v>
      </c>
      <c r="O1436" s="1" t="s">
        <v>949</v>
      </c>
      <c r="P1436" s="8">
        <f>C12</f>
        <v>269.85000000000002</v>
      </c>
      <c r="Q1436" s="1" t="s">
        <v>883</v>
      </c>
      <c r="R1436" s="8">
        <f>M1436*P1436</f>
        <v>202.39</v>
      </c>
      <c r="AC1436" s="57">
        <f t="shared" si="133"/>
        <v>0</v>
      </c>
    </row>
    <row r="1437" spans="6:29" ht="24" customHeight="1">
      <c r="F1437" s="8">
        <v>1.2</v>
      </c>
      <c r="G1437" s="7" t="s">
        <v>883</v>
      </c>
      <c r="H1437" s="1" t="s">
        <v>324</v>
      </c>
      <c r="I1437" s="8">
        <f>(C13)</f>
        <v>243.6</v>
      </c>
      <c r="J1437" s="1" t="s">
        <v>883</v>
      </c>
      <c r="K1437" s="8">
        <f>(F1437*I1437)</f>
        <v>292.32</v>
      </c>
      <c r="M1437" s="8">
        <v>1.2</v>
      </c>
      <c r="N1437" s="7" t="s">
        <v>883</v>
      </c>
      <c r="O1437" s="1" t="s">
        <v>324</v>
      </c>
      <c r="P1437" s="8">
        <f>C13</f>
        <v>243.6</v>
      </c>
      <c r="Q1437" s="1" t="s">
        <v>883</v>
      </c>
      <c r="R1437" s="8">
        <f>M1437*P1437</f>
        <v>292.32</v>
      </c>
      <c r="AC1437" s="57">
        <f t="shared" si="133"/>
        <v>0</v>
      </c>
    </row>
    <row r="1438" spans="6:29" ht="24" customHeight="1">
      <c r="G1438" s="7" t="s">
        <v>448</v>
      </c>
      <c r="H1438" s="1" t="s">
        <v>1913</v>
      </c>
      <c r="I1438" s="1" t="s">
        <v>995</v>
      </c>
      <c r="J1438" s="1" t="s">
        <v>448</v>
      </c>
      <c r="K1438" s="8">
        <v>1.5</v>
      </c>
      <c r="N1438" s="7" t="s">
        <v>448</v>
      </c>
      <c r="O1438" s="1" t="s">
        <v>1913</v>
      </c>
      <c r="P1438" s="1" t="s">
        <v>995</v>
      </c>
      <c r="Q1438" s="1" t="s">
        <v>448</v>
      </c>
      <c r="R1438" s="8">
        <v>1.5</v>
      </c>
      <c r="AC1438" s="57">
        <f t="shared" si="133"/>
        <v>0</v>
      </c>
    </row>
    <row r="1439" spans="6:29" ht="24" customHeight="1">
      <c r="K1439" s="5" t="s">
        <v>1667</v>
      </c>
      <c r="N1439" s="3"/>
      <c r="Q1439" s="11"/>
      <c r="R1439" s="5" t="s">
        <v>1667</v>
      </c>
      <c r="AC1439" s="57">
        <f t="shared" si="133"/>
        <v>0</v>
      </c>
    </row>
    <row r="1440" spans="6:29" ht="24" customHeight="1">
      <c r="H1440" s="1" t="s">
        <v>440</v>
      </c>
      <c r="K1440" s="8">
        <f>SUM(K1434:K1438)</f>
        <v>1011.75</v>
      </c>
      <c r="N1440" s="3"/>
      <c r="O1440" s="1" t="s">
        <v>440</v>
      </c>
      <c r="Q1440" s="11"/>
      <c r="R1440" s="8">
        <f>SUM(R1434:R1438)</f>
        <v>909.47</v>
      </c>
      <c r="AC1440" s="57">
        <f t="shared" si="133"/>
        <v>0</v>
      </c>
    </row>
    <row r="1441" spans="6:29" ht="24" customHeight="1">
      <c r="K1441" s="5" t="s">
        <v>1667</v>
      </c>
      <c r="N1441" s="3"/>
      <c r="Q1441" s="11"/>
      <c r="R1441" s="5" t="s">
        <v>1667</v>
      </c>
      <c r="AC1441" s="57">
        <f t="shared" si="133"/>
        <v>0</v>
      </c>
    </row>
    <row r="1442" spans="6:29" ht="24" customHeight="1">
      <c r="H1442" s="64" t="s">
        <v>555</v>
      </c>
      <c r="I1442" s="38"/>
      <c r="J1442" s="104"/>
      <c r="K1442" s="40">
        <f>(K1440/10)</f>
        <v>101.18</v>
      </c>
      <c r="N1442" s="3"/>
      <c r="O1442" s="1" t="s">
        <v>555</v>
      </c>
      <c r="Q1442" s="11"/>
      <c r="R1442" s="8">
        <f>(R1440/10)</f>
        <v>90.95</v>
      </c>
      <c r="AC1442" s="57">
        <f t="shared" si="133"/>
        <v>0</v>
      </c>
    </row>
    <row r="1443" spans="6:29" ht="24" customHeight="1">
      <c r="K1443" s="5" t="s">
        <v>2130</v>
      </c>
      <c r="N1443" s="3"/>
      <c r="Q1443" s="11"/>
      <c r="R1443" s="5" t="s">
        <v>2130</v>
      </c>
      <c r="AC1443" s="57">
        <f t="shared" si="133"/>
        <v>0</v>
      </c>
    </row>
    <row r="1444" spans="6:29" ht="24" customHeight="1">
      <c r="F1444" s="2" t="s">
        <v>36</v>
      </c>
      <c r="G1444" s="7" t="s">
        <v>2338</v>
      </c>
      <c r="H1444" s="2" t="s">
        <v>2045</v>
      </c>
      <c r="AC1444" s="57">
        <f t="shared" si="133"/>
        <v>0</v>
      </c>
    </row>
    <row r="1445" spans="6:29" ht="24" customHeight="1">
      <c r="H1445" s="2" t="s">
        <v>38</v>
      </c>
      <c r="AC1445" s="57">
        <f t="shared" si="133"/>
        <v>0</v>
      </c>
    </row>
    <row r="1446" spans="6:29" ht="24" customHeight="1">
      <c r="F1446" s="8">
        <v>3.08</v>
      </c>
      <c r="G1446" s="7" t="s">
        <v>1430</v>
      </c>
      <c r="H1446" s="1" t="s">
        <v>37</v>
      </c>
      <c r="I1446" s="8">
        <f>E270</f>
        <v>169</v>
      </c>
      <c r="J1446" s="1" t="s">
        <v>1430</v>
      </c>
      <c r="K1446" s="8">
        <f>(F1446*I1446)</f>
        <v>520.52</v>
      </c>
      <c r="AC1446" s="57">
        <f t="shared" si="133"/>
        <v>0</v>
      </c>
    </row>
    <row r="1447" spans="6:29" ht="24" customHeight="1">
      <c r="F1447" s="8">
        <v>0.5</v>
      </c>
      <c r="G1447" s="7" t="s">
        <v>563</v>
      </c>
      <c r="H1447" s="1" t="s">
        <v>1431</v>
      </c>
      <c r="I1447" s="8">
        <f>C14</f>
        <v>347.55</v>
      </c>
      <c r="J1447" s="1" t="s">
        <v>563</v>
      </c>
      <c r="K1447" s="8">
        <f>(F1447*I1447)</f>
        <v>173.78</v>
      </c>
      <c r="AC1447" s="57">
        <f t="shared" si="133"/>
        <v>0</v>
      </c>
    </row>
    <row r="1448" spans="6:29" ht="24" customHeight="1">
      <c r="F1448" s="8">
        <v>0.5</v>
      </c>
      <c r="G1448" s="7" t="s">
        <v>563</v>
      </c>
      <c r="H1448" s="1" t="s">
        <v>838</v>
      </c>
      <c r="I1448" s="8">
        <f>C12</f>
        <v>269.85000000000002</v>
      </c>
      <c r="J1448" s="1" t="s">
        <v>563</v>
      </c>
      <c r="K1448" s="8">
        <f>(F1448*I1448)</f>
        <v>134.93</v>
      </c>
      <c r="AC1448" s="57">
        <f t="shared" si="133"/>
        <v>0</v>
      </c>
    </row>
    <row r="1449" spans="6:29" ht="24" customHeight="1">
      <c r="F1449" s="8">
        <v>0.8</v>
      </c>
      <c r="G1449" s="7" t="s">
        <v>563</v>
      </c>
      <c r="H1449" s="1" t="s">
        <v>1432</v>
      </c>
      <c r="I1449" s="8">
        <f>C13</f>
        <v>243.6</v>
      </c>
      <c r="J1449" s="1" t="s">
        <v>563</v>
      </c>
      <c r="K1449" s="8">
        <f>(F1449*I1449)</f>
        <v>194.88</v>
      </c>
      <c r="AC1449" s="57">
        <f t="shared" si="133"/>
        <v>0</v>
      </c>
    </row>
    <row r="1450" spans="6:29" ht="24" customHeight="1">
      <c r="G1450" s="7" t="s">
        <v>448</v>
      </c>
      <c r="H1450" s="1" t="s">
        <v>1913</v>
      </c>
      <c r="J1450" s="1" t="s">
        <v>448</v>
      </c>
      <c r="K1450" s="8">
        <v>1.5</v>
      </c>
      <c r="AC1450" s="57">
        <f t="shared" si="133"/>
        <v>0</v>
      </c>
    </row>
    <row r="1451" spans="6:29" ht="24" customHeight="1">
      <c r="AC1451" s="57">
        <f t="shared" si="133"/>
        <v>0</v>
      </c>
    </row>
    <row r="1452" spans="6:29" ht="24" customHeight="1">
      <c r="K1452" s="5" t="s">
        <v>1667</v>
      </c>
      <c r="AC1452" s="57">
        <f t="shared" si="133"/>
        <v>0</v>
      </c>
    </row>
    <row r="1453" spans="6:29" ht="24" customHeight="1">
      <c r="H1453" s="2" t="s">
        <v>1433</v>
      </c>
      <c r="K1453" s="8">
        <f>SUM(K1446:K1450)</f>
        <v>1025.6099999999999</v>
      </c>
      <c r="AC1453" s="57">
        <f t="shared" si="133"/>
        <v>0</v>
      </c>
    </row>
    <row r="1454" spans="6:29" ht="24" customHeight="1">
      <c r="K1454" s="5" t="s">
        <v>1667</v>
      </c>
      <c r="AC1454" s="57">
        <f t="shared" si="133"/>
        <v>0</v>
      </c>
    </row>
    <row r="1455" spans="6:29" ht="24" customHeight="1">
      <c r="F1455" s="1" t="s">
        <v>995</v>
      </c>
      <c r="G1455" s="7" t="s">
        <v>995</v>
      </c>
      <c r="H1455" s="64" t="s">
        <v>1779</v>
      </c>
      <c r="I1455" s="35" t="s">
        <v>995</v>
      </c>
      <c r="J1455" s="35" t="s">
        <v>995</v>
      </c>
      <c r="K1455" s="40">
        <f>K1453/10</f>
        <v>102.56</v>
      </c>
      <c r="AC1455" s="57">
        <f t="shared" si="133"/>
        <v>0</v>
      </c>
    </row>
    <row r="1456" spans="6:29" ht="24" customHeight="1">
      <c r="K1456" s="5" t="s">
        <v>2130</v>
      </c>
      <c r="AC1456" s="57">
        <f t="shared" si="133"/>
        <v>0</v>
      </c>
    </row>
    <row r="1457" spans="6:29" ht="24" customHeight="1">
      <c r="F1457" s="2" t="s">
        <v>1434</v>
      </c>
      <c r="G1457" s="7" t="s">
        <v>2338</v>
      </c>
      <c r="H1457" s="1" t="s">
        <v>491</v>
      </c>
      <c r="AC1457" s="57">
        <f t="shared" si="133"/>
        <v>0</v>
      </c>
    </row>
    <row r="1458" spans="6:29" ht="24" customHeight="1">
      <c r="H1458" s="1" t="s">
        <v>1436</v>
      </c>
      <c r="AC1458" s="57">
        <f t="shared" si="133"/>
        <v>0</v>
      </c>
    </row>
    <row r="1459" spans="6:29" ht="24" customHeight="1">
      <c r="H1459" s="1" t="s">
        <v>2046</v>
      </c>
      <c r="AC1459" s="57">
        <f t="shared" si="133"/>
        <v>0</v>
      </c>
    </row>
    <row r="1460" spans="6:29" ht="24" customHeight="1">
      <c r="H1460" s="5" t="s">
        <v>1667</v>
      </c>
      <c r="AC1460" s="57">
        <f t="shared" si="133"/>
        <v>0</v>
      </c>
    </row>
    <row r="1461" spans="6:29" ht="24" customHeight="1">
      <c r="F1461" s="8">
        <v>1.44</v>
      </c>
      <c r="G1461" s="7" t="s">
        <v>1297</v>
      </c>
      <c r="H1461" s="1" t="s">
        <v>1228</v>
      </c>
      <c r="I1461" s="8">
        <f>(C195)</f>
        <v>156.75</v>
      </c>
      <c r="J1461" s="1" t="s">
        <v>1297</v>
      </c>
      <c r="K1461" s="8">
        <f>(F1461*I1461)</f>
        <v>225.72</v>
      </c>
      <c r="AC1461" s="57">
        <f t="shared" si="133"/>
        <v>0</v>
      </c>
    </row>
    <row r="1462" spans="6:29" ht="24" customHeight="1">
      <c r="F1462" s="8">
        <v>0.7</v>
      </c>
      <c r="G1462" s="7" t="s">
        <v>781</v>
      </c>
      <c r="H1462" s="1" t="s">
        <v>1229</v>
      </c>
      <c r="I1462" s="8">
        <f>(C14)</f>
        <v>347.55</v>
      </c>
      <c r="J1462" s="1" t="s">
        <v>781</v>
      </c>
      <c r="K1462" s="8">
        <f>(F1462*I1462)</f>
        <v>243.29</v>
      </c>
      <c r="AC1462" s="57">
        <f t="shared" si="133"/>
        <v>0</v>
      </c>
    </row>
    <row r="1463" spans="6:29" ht="24" customHeight="1">
      <c r="F1463" s="8">
        <v>2.5499999999999998</v>
      </c>
      <c r="G1463" s="7" t="s">
        <v>1297</v>
      </c>
      <c r="H1463" s="1" t="s">
        <v>1230</v>
      </c>
      <c r="I1463" s="8">
        <f>(C194)</f>
        <v>254.1</v>
      </c>
      <c r="J1463" s="1" t="s">
        <v>1297</v>
      </c>
      <c r="K1463" s="8">
        <f>(F1463*I1463)</f>
        <v>647.96</v>
      </c>
      <c r="AC1463" s="57">
        <f t="shared" si="133"/>
        <v>0</v>
      </c>
    </row>
    <row r="1464" spans="6:29" ht="24" customHeight="1">
      <c r="F1464" s="8">
        <v>1.2</v>
      </c>
      <c r="G1464" s="7" t="s">
        <v>781</v>
      </c>
      <c r="H1464" s="1" t="s">
        <v>1229</v>
      </c>
      <c r="I1464" s="8">
        <f>(C14)</f>
        <v>347.55</v>
      </c>
      <c r="J1464" s="1" t="s">
        <v>781</v>
      </c>
      <c r="K1464" s="8">
        <f>(F1464*I1464)</f>
        <v>417.06</v>
      </c>
      <c r="AC1464" s="57">
        <f t="shared" si="133"/>
        <v>0</v>
      </c>
    </row>
    <row r="1465" spans="6:29" ht="24" customHeight="1">
      <c r="G1465" s="7" t="s">
        <v>448</v>
      </c>
      <c r="H1465" s="1" t="s">
        <v>1231</v>
      </c>
      <c r="I1465" s="1" t="s">
        <v>995</v>
      </c>
      <c r="J1465" s="1" t="s">
        <v>448</v>
      </c>
      <c r="K1465" s="8">
        <v>1.5</v>
      </c>
      <c r="AC1465" s="57">
        <f t="shared" si="133"/>
        <v>0</v>
      </c>
    </row>
    <row r="1466" spans="6:29" ht="24" customHeight="1">
      <c r="K1466" s="5" t="s">
        <v>1667</v>
      </c>
      <c r="AC1466" s="57">
        <f t="shared" si="133"/>
        <v>0</v>
      </c>
    </row>
    <row r="1467" spans="6:29" ht="24" customHeight="1">
      <c r="H1467" s="1" t="s">
        <v>440</v>
      </c>
      <c r="K1467" s="8">
        <f>SUM(K1461:K1465)</f>
        <v>1535.53</v>
      </c>
      <c r="AC1467" s="57">
        <f t="shared" si="133"/>
        <v>0</v>
      </c>
    </row>
    <row r="1468" spans="6:29" ht="24" customHeight="1">
      <c r="K1468" s="5" t="s">
        <v>1667</v>
      </c>
      <c r="AC1468" s="57">
        <f t="shared" si="133"/>
        <v>0</v>
      </c>
    </row>
    <row r="1469" spans="6:29" ht="24" customHeight="1">
      <c r="H1469" s="64" t="s">
        <v>555</v>
      </c>
      <c r="I1469" s="38"/>
      <c r="J1469" s="104"/>
      <c r="K1469" s="40">
        <f>(K1467/10)</f>
        <v>153.55000000000001</v>
      </c>
      <c r="AC1469" s="57">
        <f t="shared" si="133"/>
        <v>0</v>
      </c>
    </row>
    <row r="1470" spans="6:29" ht="24" customHeight="1">
      <c r="F1470" s="1" t="s">
        <v>995</v>
      </c>
      <c r="AC1470" s="57">
        <f t="shared" si="133"/>
        <v>0</v>
      </c>
    </row>
    <row r="1471" spans="6:29" ht="24" customHeight="1">
      <c r="K1471" s="5" t="s">
        <v>2130</v>
      </c>
      <c r="AC1471" s="57">
        <f t="shared" si="133"/>
        <v>0</v>
      </c>
    </row>
    <row r="1472" spans="6:29" ht="24" customHeight="1">
      <c r="F1472" s="13">
        <v>41</v>
      </c>
      <c r="G1472" s="7" t="s">
        <v>2338</v>
      </c>
      <c r="H1472" s="1" t="s">
        <v>1435</v>
      </c>
      <c r="AC1472" s="57">
        <f t="shared" si="133"/>
        <v>0</v>
      </c>
    </row>
    <row r="1473" spans="6:29" ht="24" customHeight="1">
      <c r="H1473" s="1" t="s">
        <v>1079</v>
      </c>
      <c r="AC1473" s="57">
        <f t="shared" si="133"/>
        <v>0</v>
      </c>
    </row>
    <row r="1474" spans="6:29" ht="24" customHeight="1">
      <c r="H1474" s="1" t="s">
        <v>1296</v>
      </c>
      <c r="AC1474" s="57">
        <f t="shared" si="133"/>
        <v>0</v>
      </c>
    </row>
    <row r="1475" spans="6:29" ht="24" customHeight="1">
      <c r="H1475" s="5" t="s">
        <v>1667</v>
      </c>
      <c r="AC1475" s="57">
        <f t="shared" si="133"/>
        <v>0</v>
      </c>
    </row>
    <row r="1476" spans="6:29" ht="24" customHeight="1">
      <c r="F1476" s="8">
        <v>2.2200000000000002</v>
      </c>
      <c r="G1476" s="7" t="s">
        <v>1297</v>
      </c>
      <c r="H1476" s="1" t="s">
        <v>1230</v>
      </c>
      <c r="I1476" s="8">
        <f>(C206)</f>
        <v>242.55</v>
      </c>
      <c r="J1476" s="1" t="s">
        <v>1297</v>
      </c>
      <c r="K1476" s="8">
        <f>(F1476*I1476)</f>
        <v>538.46</v>
      </c>
      <c r="AC1476" s="57">
        <f t="shared" si="133"/>
        <v>0</v>
      </c>
    </row>
    <row r="1477" spans="6:29" ht="24" customHeight="1">
      <c r="F1477" s="8">
        <v>1.1000000000000001</v>
      </c>
      <c r="G1477" s="7" t="s">
        <v>781</v>
      </c>
      <c r="H1477" s="1" t="s">
        <v>1229</v>
      </c>
      <c r="I1477" s="8">
        <f>(C14)</f>
        <v>347.55</v>
      </c>
      <c r="J1477" s="1" t="s">
        <v>781</v>
      </c>
      <c r="K1477" s="8">
        <f>(F1477*I1477)</f>
        <v>382.31</v>
      </c>
      <c r="AC1477" s="57">
        <f t="shared" si="133"/>
        <v>0</v>
      </c>
    </row>
    <row r="1478" spans="6:29" ht="24" customHeight="1">
      <c r="G1478" s="7" t="s">
        <v>448</v>
      </c>
      <c r="H1478" s="1" t="s">
        <v>1231</v>
      </c>
      <c r="I1478" s="1" t="s">
        <v>995</v>
      </c>
      <c r="J1478" s="1" t="s">
        <v>448</v>
      </c>
      <c r="K1478" s="8">
        <v>1.5</v>
      </c>
      <c r="AC1478" s="57">
        <f t="shared" si="133"/>
        <v>0</v>
      </c>
    </row>
    <row r="1479" spans="6:29" ht="24" customHeight="1">
      <c r="K1479" s="5" t="s">
        <v>1667</v>
      </c>
      <c r="AC1479" s="57">
        <f t="shared" si="133"/>
        <v>0</v>
      </c>
    </row>
    <row r="1480" spans="6:29" ht="24" customHeight="1">
      <c r="H1480" s="1" t="s">
        <v>440</v>
      </c>
      <c r="K1480" s="8">
        <f>SUM(K1476:K1478)</f>
        <v>922.27</v>
      </c>
      <c r="AC1480" s="57">
        <f t="shared" si="133"/>
        <v>0</v>
      </c>
    </row>
    <row r="1481" spans="6:29" ht="24" customHeight="1">
      <c r="K1481" s="5" t="s">
        <v>1667</v>
      </c>
      <c r="AC1481" s="57">
        <f t="shared" si="133"/>
        <v>0</v>
      </c>
    </row>
    <row r="1482" spans="6:29" ht="24" customHeight="1">
      <c r="H1482" s="64" t="s">
        <v>555</v>
      </c>
      <c r="I1482" s="38"/>
      <c r="J1482" s="104"/>
      <c r="K1482" s="639">
        <f>(K1480/10)</f>
        <v>92.23</v>
      </c>
      <c r="AC1482" s="57">
        <f t="shared" si="133"/>
        <v>0</v>
      </c>
    </row>
    <row r="1483" spans="6:29" ht="24" customHeight="1">
      <c r="H1483" s="1"/>
      <c r="K1483" s="8"/>
      <c r="AC1483" s="57">
        <f t="shared" ref="AC1483:AC1546" si="134">AE1484</f>
        <v>0</v>
      </c>
    </row>
    <row r="1484" spans="6:29" ht="24" customHeight="1">
      <c r="H1484" s="1"/>
      <c r="K1484" s="8"/>
      <c r="AC1484" s="57">
        <f t="shared" si="134"/>
        <v>0</v>
      </c>
    </row>
    <row r="1485" spans="6:29" ht="24" customHeight="1">
      <c r="F1485" s="236">
        <v>238</v>
      </c>
      <c r="G1485" s="237" t="s">
        <v>2338</v>
      </c>
      <c r="H1485" s="238" t="s">
        <v>588</v>
      </c>
      <c r="I1485" s="239"/>
      <c r="J1485" s="240"/>
      <c r="K1485" s="239"/>
      <c r="L1485" s="241"/>
      <c r="AC1485" s="57">
        <f t="shared" si="134"/>
        <v>0</v>
      </c>
    </row>
    <row r="1486" spans="6:29" ht="24" customHeight="1">
      <c r="F1486" s="242"/>
      <c r="G1486" s="243"/>
      <c r="H1486" s="244" t="s">
        <v>2047</v>
      </c>
      <c r="I1486" s="245"/>
      <c r="J1486" s="246"/>
      <c r="K1486" s="245"/>
      <c r="L1486" s="247"/>
      <c r="AC1486" s="57">
        <f t="shared" si="134"/>
        <v>0</v>
      </c>
    </row>
    <row r="1487" spans="6:29" ht="24" customHeight="1">
      <c r="F1487" s="242"/>
      <c r="G1487" s="243"/>
      <c r="H1487" s="248" t="s">
        <v>1667</v>
      </c>
      <c r="I1487" s="245"/>
      <c r="J1487" s="246"/>
      <c r="K1487" s="245"/>
      <c r="L1487" s="247"/>
      <c r="AC1487" s="57">
        <f t="shared" si="134"/>
        <v>0</v>
      </c>
    </row>
    <row r="1488" spans="6:29" ht="24" customHeight="1">
      <c r="F1488" s="249">
        <v>20</v>
      </c>
      <c r="G1488" s="250" t="s">
        <v>1297</v>
      </c>
      <c r="H1488" s="244" t="s">
        <v>589</v>
      </c>
      <c r="I1488" s="251">
        <f>D40</f>
        <v>115</v>
      </c>
      <c r="J1488" s="244" t="s">
        <v>1297</v>
      </c>
      <c r="K1488" s="251">
        <f>(F1488*I1488)</f>
        <v>2300</v>
      </c>
      <c r="L1488" s="247"/>
      <c r="AC1488" s="57">
        <f t="shared" si="134"/>
        <v>0</v>
      </c>
    </row>
    <row r="1489" spans="6:29" ht="24" customHeight="1">
      <c r="F1489" s="242"/>
      <c r="G1489" s="243"/>
      <c r="H1489" s="244" t="s">
        <v>590</v>
      </c>
      <c r="I1489" s="245"/>
      <c r="J1489" s="246"/>
      <c r="K1489" s="244" t="s">
        <v>995</v>
      </c>
      <c r="L1489" s="247"/>
      <c r="AC1489" s="57">
        <f t="shared" si="134"/>
        <v>0</v>
      </c>
    </row>
    <row r="1490" spans="6:29" ht="24" customHeight="1">
      <c r="F1490" s="249">
        <v>50</v>
      </c>
      <c r="G1490" s="250" t="s">
        <v>1730</v>
      </c>
      <c r="H1490" s="244" t="s">
        <v>877</v>
      </c>
      <c r="I1490" s="251">
        <f>C67/1000</f>
        <v>5.6</v>
      </c>
      <c r="J1490" s="244" t="s">
        <v>1730</v>
      </c>
      <c r="K1490" s="251">
        <f>(F1490*I1490)</f>
        <v>280</v>
      </c>
      <c r="L1490" s="247"/>
      <c r="AC1490" s="57">
        <f t="shared" si="134"/>
        <v>0</v>
      </c>
    </row>
    <row r="1491" spans="6:29" ht="24" customHeight="1">
      <c r="F1491" s="249">
        <v>1</v>
      </c>
      <c r="G1491" s="250" t="s">
        <v>448</v>
      </c>
      <c r="H1491" s="244" t="s">
        <v>591</v>
      </c>
      <c r="I1491" s="251">
        <v>75</v>
      </c>
      <c r="J1491" s="244" t="s">
        <v>448</v>
      </c>
      <c r="K1491" s="251">
        <f>(F1491*I1491)</f>
        <v>75</v>
      </c>
      <c r="L1491" s="247"/>
      <c r="AC1491" s="57">
        <f t="shared" si="134"/>
        <v>0</v>
      </c>
    </row>
    <row r="1492" spans="6:29" ht="24" customHeight="1">
      <c r="F1492" s="249">
        <v>1</v>
      </c>
      <c r="G1492" s="250" t="s">
        <v>448</v>
      </c>
      <c r="H1492" s="244" t="s">
        <v>592</v>
      </c>
      <c r="I1492" s="251">
        <f>C38</f>
        <v>40</v>
      </c>
      <c r="J1492" s="244" t="s">
        <v>448</v>
      </c>
      <c r="K1492" s="251">
        <f>(F1492*I1492)</f>
        <v>40</v>
      </c>
      <c r="L1492" s="247"/>
      <c r="AC1492" s="57">
        <f t="shared" si="134"/>
        <v>0</v>
      </c>
    </row>
    <row r="1493" spans="6:29" ht="24" customHeight="1">
      <c r="F1493" s="249">
        <v>2.5</v>
      </c>
      <c r="G1493" s="250" t="s">
        <v>448</v>
      </c>
      <c r="H1493" s="244" t="s">
        <v>593</v>
      </c>
      <c r="I1493" s="251">
        <f>D14</f>
        <v>321.3</v>
      </c>
      <c r="J1493" s="244" t="s">
        <v>448</v>
      </c>
      <c r="K1493" s="251">
        <f>(F1493*I1493)</f>
        <v>803.25</v>
      </c>
      <c r="L1493" s="247"/>
      <c r="AC1493" s="57">
        <f t="shared" si="134"/>
        <v>0</v>
      </c>
    </row>
    <row r="1494" spans="6:29" ht="24" customHeight="1">
      <c r="F1494" s="242"/>
      <c r="G1494" s="250" t="s">
        <v>448</v>
      </c>
      <c r="H1494" s="244" t="s">
        <v>504</v>
      </c>
      <c r="I1494" s="245"/>
      <c r="J1494" s="244" t="s">
        <v>448</v>
      </c>
      <c r="K1494" s="252">
        <v>1.5</v>
      </c>
      <c r="L1494" s="247"/>
      <c r="AC1494" s="57">
        <f t="shared" si="134"/>
        <v>0</v>
      </c>
    </row>
    <row r="1495" spans="6:29" ht="24" customHeight="1">
      <c r="F1495" s="242"/>
      <c r="G1495" s="243"/>
      <c r="H1495" s="245"/>
      <c r="I1495" s="245"/>
      <c r="J1495" s="246"/>
      <c r="K1495" s="248" t="s">
        <v>1667</v>
      </c>
      <c r="L1495" s="247"/>
      <c r="AC1495" s="57">
        <f t="shared" si="134"/>
        <v>0</v>
      </c>
    </row>
    <row r="1496" spans="6:29" ht="24" customHeight="1">
      <c r="F1496" s="242"/>
      <c r="G1496" s="243"/>
      <c r="H1496" s="253" t="s">
        <v>594</v>
      </c>
      <c r="I1496" s="254"/>
      <c r="J1496" s="255"/>
      <c r="K1496" s="256">
        <f>SUM(K1488:K1494)</f>
        <v>3499.75</v>
      </c>
      <c r="L1496" s="247"/>
      <c r="AC1496" s="57">
        <f t="shared" si="134"/>
        <v>0</v>
      </c>
    </row>
    <row r="1497" spans="6:29" ht="24" customHeight="1">
      <c r="F1497" s="242"/>
      <c r="G1497" s="243"/>
      <c r="H1497" s="244"/>
      <c r="I1497" s="245"/>
      <c r="J1497" s="246"/>
      <c r="K1497" s="248" t="s">
        <v>1667</v>
      </c>
      <c r="L1497" s="247"/>
      <c r="AC1497" s="57">
        <f t="shared" si="134"/>
        <v>0</v>
      </c>
    </row>
    <row r="1498" spans="6:29" ht="24" customHeight="1">
      <c r="F1498" s="257"/>
      <c r="G1498" s="258"/>
      <c r="H1498" s="259"/>
      <c r="I1498" s="259"/>
      <c r="J1498" s="260"/>
      <c r="K1498" s="261"/>
      <c r="L1498" s="262"/>
      <c r="AC1498" s="57">
        <f t="shared" si="134"/>
        <v>0</v>
      </c>
    </row>
    <row r="1499" spans="6:29" ht="24" customHeight="1">
      <c r="F1499" s="263" t="s">
        <v>1080</v>
      </c>
      <c r="G1499" s="237" t="s">
        <v>2338</v>
      </c>
      <c r="H1499" s="238" t="s">
        <v>554</v>
      </c>
      <c r="I1499" s="239"/>
      <c r="J1499" s="240"/>
      <c r="K1499" s="239"/>
      <c r="L1499" s="241"/>
      <c r="AC1499" s="57">
        <f t="shared" si="134"/>
        <v>0</v>
      </c>
    </row>
    <row r="1500" spans="6:29" ht="24" customHeight="1">
      <c r="F1500" s="242"/>
      <c r="G1500" s="243"/>
      <c r="H1500" s="244" t="s">
        <v>2208</v>
      </c>
      <c r="I1500" s="245"/>
      <c r="J1500" s="246"/>
      <c r="K1500" s="245"/>
      <c r="L1500" s="247"/>
      <c r="AC1500" s="57">
        <f t="shared" si="134"/>
        <v>0</v>
      </c>
    </row>
    <row r="1501" spans="6:29" ht="24" customHeight="1">
      <c r="F1501" s="242"/>
      <c r="G1501" s="243"/>
      <c r="H1501" s="248" t="s">
        <v>1667</v>
      </c>
      <c r="I1501" s="245"/>
      <c r="J1501" s="246"/>
      <c r="K1501" s="245"/>
      <c r="L1501" s="247"/>
      <c r="AC1501" s="57">
        <f t="shared" si="134"/>
        <v>0</v>
      </c>
    </row>
    <row r="1502" spans="6:29" ht="24" customHeight="1">
      <c r="F1502" s="249">
        <v>1</v>
      </c>
      <c r="G1502" s="250" t="s">
        <v>526</v>
      </c>
      <c r="H1502" s="244" t="s">
        <v>527</v>
      </c>
      <c r="I1502" s="251">
        <f>(C138)</f>
        <v>48000</v>
      </c>
      <c r="J1502" s="244" t="s">
        <v>528</v>
      </c>
      <c r="K1502" s="251">
        <f>(F1502*I1502)/10</f>
        <v>4800</v>
      </c>
      <c r="L1502" s="247"/>
      <c r="AC1502" s="57">
        <f t="shared" si="134"/>
        <v>0</v>
      </c>
    </row>
    <row r="1503" spans="6:29" ht="24" customHeight="1">
      <c r="F1503" s="264">
        <v>0.01</v>
      </c>
      <c r="G1503" s="250" t="s">
        <v>526</v>
      </c>
      <c r="H1503" s="244" t="s">
        <v>193</v>
      </c>
      <c r="I1503" s="251">
        <f>(C142)</f>
        <v>48000</v>
      </c>
      <c r="J1503" s="244" t="s">
        <v>528</v>
      </c>
      <c r="K1503" s="251">
        <f>(F1503*I1503)/10</f>
        <v>48</v>
      </c>
      <c r="L1503" s="247"/>
      <c r="AC1503" s="57">
        <f t="shared" si="134"/>
        <v>0</v>
      </c>
    </row>
    <row r="1504" spans="6:29" ht="24" customHeight="1">
      <c r="F1504" s="264">
        <v>3.5</v>
      </c>
      <c r="G1504" s="250" t="s">
        <v>781</v>
      </c>
      <c r="H1504" s="244" t="s">
        <v>529</v>
      </c>
      <c r="I1504" s="251">
        <f>AC38</f>
        <v>374.85</v>
      </c>
      <c r="J1504" s="244" t="s">
        <v>1458</v>
      </c>
      <c r="K1504" s="251">
        <f>(F1504*I1504)</f>
        <v>1311.98</v>
      </c>
      <c r="L1504" s="247"/>
      <c r="AC1504" s="57">
        <f t="shared" si="134"/>
        <v>0</v>
      </c>
    </row>
    <row r="1505" spans="6:29" ht="24" customHeight="1">
      <c r="F1505" s="249">
        <v>1.3</v>
      </c>
      <c r="G1505" s="250" t="s">
        <v>1730</v>
      </c>
      <c r="H1505" s="244" t="s">
        <v>530</v>
      </c>
      <c r="I1505" s="251">
        <f>C67/1000</f>
        <v>5.6</v>
      </c>
      <c r="J1505" s="244" t="s">
        <v>1730</v>
      </c>
      <c r="K1505" s="251">
        <f>(F1505*I1505)</f>
        <v>7.28</v>
      </c>
      <c r="L1505" s="247"/>
      <c r="AC1505" s="57">
        <f t="shared" si="134"/>
        <v>0</v>
      </c>
    </row>
    <row r="1506" spans="6:29" ht="24" customHeight="1">
      <c r="F1506" s="249">
        <v>0.25</v>
      </c>
      <c r="G1506" s="250" t="s">
        <v>781</v>
      </c>
      <c r="H1506" s="244" t="s">
        <v>531</v>
      </c>
      <c r="I1506" s="251">
        <f>D14</f>
        <v>321.3</v>
      </c>
      <c r="J1506" s="244" t="s">
        <v>1458</v>
      </c>
      <c r="K1506" s="251">
        <f>(F1506*I1506)</f>
        <v>80.33</v>
      </c>
      <c r="L1506" s="247"/>
      <c r="AC1506" s="57">
        <f t="shared" si="134"/>
        <v>0</v>
      </c>
    </row>
    <row r="1507" spans="6:29" ht="24" customHeight="1">
      <c r="F1507" s="264"/>
      <c r="G1507" s="250" t="s">
        <v>448</v>
      </c>
      <c r="H1507" s="244" t="s">
        <v>449</v>
      </c>
      <c r="I1507" s="245"/>
      <c r="J1507" s="244" t="s">
        <v>448</v>
      </c>
      <c r="K1507" s="251">
        <f>(F1507*I1507)</f>
        <v>0</v>
      </c>
      <c r="L1507" s="247"/>
      <c r="AC1507" s="57">
        <f t="shared" si="134"/>
        <v>0</v>
      </c>
    </row>
    <row r="1508" spans="6:29" ht="24" customHeight="1">
      <c r="F1508" s="264"/>
      <c r="G1508" s="243"/>
      <c r="H1508" s="245"/>
      <c r="I1508" s="245"/>
      <c r="J1508" s="246"/>
      <c r="K1508" s="248" t="s">
        <v>1667</v>
      </c>
      <c r="L1508" s="247"/>
      <c r="AC1508" s="57">
        <f t="shared" si="134"/>
        <v>0</v>
      </c>
    </row>
    <row r="1509" spans="6:29" ht="24" customHeight="1">
      <c r="F1509" s="264"/>
      <c r="G1509" s="243"/>
      <c r="H1509" s="244" t="s">
        <v>532</v>
      </c>
      <c r="I1509" s="245"/>
      <c r="J1509" s="246"/>
      <c r="K1509" s="251">
        <f>SUM(K1502:K1507)</f>
        <v>6247.59</v>
      </c>
      <c r="L1509" s="247"/>
      <c r="AC1509" s="57">
        <f t="shared" si="134"/>
        <v>0</v>
      </c>
    </row>
    <row r="1510" spans="6:29" ht="24" customHeight="1">
      <c r="F1510" s="264"/>
      <c r="G1510" s="243"/>
      <c r="H1510" s="245"/>
      <c r="I1510" s="245"/>
      <c r="J1510" s="246"/>
      <c r="K1510" s="248" t="s">
        <v>1667</v>
      </c>
      <c r="L1510" s="247"/>
      <c r="AC1510" s="57">
        <f t="shared" si="134"/>
        <v>0</v>
      </c>
    </row>
    <row r="1511" spans="6:29" ht="24" customHeight="1">
      <c r="F1511" s="265"/>
      <c r="G1511" s="258"/>
      <c r="H1511" s="266" t="s">
        <v>533</v>
      </c>
      <c r="I1511" s="267"/>
      <c r="J1511" s="268"/>
      <c r="K1511" s="672">
        <f>(K1509*10)</f>
        <v>62475.9</v>
      </c>
      <c r="L1511" s="262"/>
      <c r="AC1511" s="57">
        <f t="shared" si="134"/>
        <v>0</v>
      </c>
    </row>
    <row r="1512" spans="6:29" ht="24" customHeight="1">
      <c r="F1512" s="14"/>
      <c r="K1512" s="5"/>
      <c r="AC1512" s="57">
        <f t="shared" si="134"/>
        <v>0</v>
      </c>
    </row>
    <row r="1513" spans="6:29" ht="24" customHeight="1">
      <c r="F1513" s="14"/>
      <c r="K1513" s="5"/>
      <c r="AC1513" s="57">
        <f t="shared" si="134"/>
        <v>0</v>
      </c>
    </row>
    <row r="1514" spans="6:29" ht="24" customHeight="1">
      <c r="F1514" s="14"/>
      <c r="H1514" s="21" t="s">
        <v>534</v>
      </c>
      <c r="K1514" s="5"/>
      <c r="AC1514" s="57">
        <f t="shared" si="134"/>
        <v>0</v>
      </c>
    </row>
    <row r="1515" spans="6:29" ht="24" customHeight="1">
      <c r="F1515" s="8">
        <v>1</v>
      </c>
      <c r="G1515" s="7" t="s">
        <v>526</v>
      </c>
      <c r="H1515" s="1" t="s">
        <v>535</v>
      </c>
      <c r="I1515">
        <f>C137</f>
        <v>48000</v>
      </c>
      <c r="J1515" s="1" t="s">
        <v>528</v>
      </c>
      <c r="K1515" s="8">
        <f>(F1515*I1515)/10</f>
        <v>4800</v>
      </c>
      <c r="AC1515" s="57">
        <f t="shared" si="134"/>
        <v>0</v>
      </c>
    </row>
    <row r="1516" spans="6:29" ht="24" customHeight="1">
      <c r="F1516" s="14">
        <v>0.01</v>
      </c>
      <c r="G1516" s="7" t="s">
        <v>526</v>
      </c>
      <c r="H1516" s="1" t="s">
        <v>193</v>
      </c>
      <c r="I1516">
        <f>C142</f>
        <v>48000</v>
      </c>
      <c r="J1516" s="1" t="s">
        <v>528</v>
      </c>
      <c r="K1516" s="8">
        <f>(F1516*I1516)/10</f>
        <v>48</v>
      </c>
      <c r="AC1516" s="57">
        <f t="shared" si="134"/>
        <v>0</v>
      </c>
    </row>
    <row r="1517" spans="6:29" ht="24" customHeight="1">
      <c r="F1517" s="14">
        <v>3.5</v>
      </c>
      <c r="G1517" s="7" t="s">
        <v>781</v>
      </c>
      <c r="H1517" s="1" t="s">
        <v>529</v>
      </c>
      <c r="I1517">
        <f>I1504</f>
        <v>374.85</v>
      </c>
      <c r="J1517" s="1" t="s">
        <v>1458</v>
      </c>
      <c r="K1517" s="8">
        <f>(F1517*I1517)</f>
        <v>1311.98</v>
      </c>
      <c r="AC1517" s="57">
        <f t="shared" si="134"/>
        <v>0</v>
      </c>
    </row>
    <row r="1518" spans="6:29" ht="24" customHeight="1">
      <c r="F1518" s="8">
        <v>1.3</v>
      </c>
      <c r="G1518" s="7" t="s">
        <v>1730</v>
      </c>
      <c r="H1518" s="1" t="s">
        <v>530</v>
      </c>
      <c r="I1518">
        <f>C67/1000</f>
        <v>5.6</v>
      </c>
      <c r="J1518" s="1" t="s">
        <v>1730</v>
      </c>
      <c r="K1518" s="8">
        <f>(F1518*I1518)</f>
        <v>7.28</v>
      </c>
      <c r="AC1518" s="57">
        <f t="shared" si="134"/>
        <v>0</v>
      </c>
    </row>
    <row r="1519" spans="6:29" ht="24" customHeight="1">
      <c r="F1519" s="8">
        <v>0.25</v>
      </c>
      <c r="G1519" s="7" t="s">
        <v>781</v>
      </c>
      <c r="H1519" s="1" t="s">
        <v>531</v>
      </c>
      <c r="I1519">
        <f>D14</f>
        <v>321.3</v>
      </c>
      <c r="J1519" s="1" t="s">
        <v>1458</v>
      </c>
      <c r="K1519" s="8">
        <f>(F1519*I1519)</f>
        <v>80.33</v>
      </c>
      <c r="AC1519" s="57">
        <f t="shared" si="134"/>
        <v>0</v>
      </c>
    </row>
    <row r="1520" spans="6:29" ht="24" customHeight="1">
      <c r="F1520" s="14"/>
      <c r="G1520" s="7" t="s">
        <v>448</v>
      </c>
      <c r="H1520" s="1" t="s">
        <v>449</v>
      </c>
      <c r="J1520" s="1" t="s">
        <v>448</v>
      </c>
      <c r="K1520" s="8">
        <f>(F1520*I1520)</f>
        <v>0</v>
      </c>
      <c r="AC1520" s="57">
        <f t="shared" si="134"/>
        <v>0</v>
      </c>
    </row>
    <row r="1521" spans="6:29" ht="24" customHeight="1">
      <c r="F1521" s="14"/>
      <c r="K1521" s="5" t="s">
        <v>1667</v>
      </c>
      <c r="AC1521" s="57">
        <f t="shared" si="134"/>
        <v>0</v>
      </c>
    </row>
    <row r="1522" spans="6:29" ht="24" customHeight="1">
      <c r="F1522" s="14"/>
      <c r="H1522" s="1" t="s">
        <v>532</v>
      </c>
      <c r="K1522" s="8">
        <f>SUM(K1515:K1520)</f>
        <v>6247.59</v>
      </c>
      <c r="AC1522" s="57">
        <f t="shared" si="134"/>
        <v>0</v>
      </c>
    </row>
    <row r="1523" spans="6:29" ht="24" customHeight="1">
      <c r="F1523" s="14"/>
      <c r="K1523" s="5" t="s">
        <v>1667</v>
      </c>
      <c r="AC1523" s="57">
        <f t="shared" si="134"/>
        <v>0</v>
      </c>
    </row>
    <row r="1524" spans="6:29" ht="24" customHeight="1">
      <c r="F1524" s="14" t="s">
        <v>995</v>
      </c>
      <c r="H1524" s="64" t="s">
        <v>533</v>
      </c>
      <c r="I1524" s="38"/>
      <c r="J1524" s="104"/>
      <c r="K1524" s="40">
        <f>(K1522*10)</f>
        <v>62475.9</v>
      </c>
      <c r="AC1524" s="57">
        <f t="shared" si="134"/>
        <v>0</v>
      </c>
    </row>
    <row r="1525" spans="6:29" ht="24" customHeight="1">
      <c r="F1525" s="14"/>
      <c r="K1525" s="5" t="s">
        <v>2130</v>
      </c>
      <c r="AC1525" s="57">
        <f t="shared" si="134"/>
        <v>0</v>
      </c>
    </row>
    <row r="1526" spans="6:29" ht="24" customHeight="1">
      <c r="F1526" s="14"/>
      <c r="H1526" s="1" t="s">
        <v>995</v>
      </c>
      <c r="K1526" s="1" t="s">
        <v>995</v>
      </c>
      <c r="AC1526" s="57">
        <f t="shared" si="134"/>
        <v>0</v>
      </c>
    </row>
    <row r="1527" spans="6:29" ht="24" customHeight="1">
      <c r="F1527" s="22" t="s">
        <v>536</v>
      </c>
      <c r="G1527" s="7" t="s">
        <v>1981</v>
      </c>
      <c r="H1527" s="1" t="s">
        <v>554</v>
      </c>
      <c r="AC1527" s="57">
        <f t="shared" si="134"/>
        <v>0</v>
      </c>
    </row>
    <row r="1528" spans="6:29" ht="24" customHeight="1">
      <c r="F1528" s="14"/>
      <c r="H1528" s="1" t="s">
        <v>537</v>
      </c>
      <c r="AC1528" s="57">
        <f t="shared" si="134"/>
        <v>0</v>
      </c>
    </row>
    <row r="1529" spans="6:29" ht="24" customHeight="1">
      <c r="F1529" s="14"/>
      <c r="H1529" s="5" t="s">
        <v>1667</v>
      </c>
      <c r="AC1529" s="57">
        <f t="shared" si="134"/>
        <v>0</v>
      </c>
    </row>
    <row r="1530" spans="6:29" ht="24" customHeight="1">
      <c r="F1530" s="8">
        <v>1</v>
      </c>
      <c r="G1530" s="7" t="s">
        <v>526</v>
      </c>
      <c r="H1530" s="1" t="s">
        <v>527</v>
      </c>
      <c r="I1530" s="8">
        <f>(C138)</f>
        <v>48000</v>
      </c>
      <c r="J1530" s="1" t="s">
        <v>528</v>
      </c>
      <c r="K1530" s="8">
        <f>(F1530*I1530)/10</f>
        <v>4800</v>
      </c>
      <c r="AC1530" s="57">
        <f t="shared" si="134"/>
        <v>0</v>
      </c>
    </row>
    <row r="1531" spans="6:29" ht="24" customHeight="1">
      <c r="F1531" s="14">
        <v>0.01</v>
      </c>
      <c r="G1531" s="7" t="s">
        <v>526</v>
      </c>
      <c r="H1531" s="1" t="s">
        <v>193</v>
      </c>
      <c r="I1531" s="8">
        <f>(C142)</f>
        <v>48000</v>
      </c>
      <c r="J1531" s="1" t="s">
        <v>528</v>
      </c>
      <c r="K1531" s="8">
        <f>(F1531*I1531)/10</f>
        <v>48</v>
      </c>
      <c r="AC1531" s="57">
        <f t="shared" si="134"/>
        <v>0</v>
      </c>
    </row>
    <row r="1532" spans="6:29" ht="24" customHeight="1">
      <c r="F1532" s="14">
        <v>3.5</v>
      </c>
      <c r="G1532" s="7" t="s">
        <v>781</v>
      </c>
      <c r="H1532" s="1" t="s">
        <v>529</v>
      </c>
      <c r="I1532" s="8">
        <f>I1517</f>
        <v>374.85</v>
      </c>
      <c r="J1532" s="1" t="s">
        <v>781</v>
      </c>
      <c r="K1532" s="8">
        <f>(F1532*I1532)</f>
        <v>1311.98</v>
      </c>
      <c r="AC1532" s="57">
        <f t="shared" si="134"/>
        <v>0</v>
      </c>
    </row>
    <row r="1533" spans="6:29" ht="24" customHeight="1">
      <c r="F1533" s="14"/>
      <c r="G1533" s="7" t="s">
        <v>448</v>
      </c>
      <c r="H1533" s="1" t="s">
        <v>449</v>
      </c>
      <c r="J1533" s="1" t="s">
        <v>448</v>
      </c>
      <c r="K1533" s="8">
        <v>0</v>
      </c>
      <c r="AC1533" s="57">
        <f t="shared" si="134"/>
        <v>0</v>
      </c>
    </row>
    <row r="1534" spans="6:29" ht="24" customHeight="1">
      <c r="K1534" s="5" t="s">
        <v>1667</v>
      </c>
      <c r="AC1534" s="57">
        <f t="shared" si="134"/>
        <v>0</v>
      </c>
    </row>
    <row r="1535" spans="6:29" ht="24" customHeight="1">
      <c r="H1535" s="1" t="s">
        <v>532</v>
      </c>
      <c r="K1535" s="8">
        <f>SUM(K1530:K1533)</f>
        <v>6159.98</v>
      </c>
      <c r="AC1535" s="57">
        <f t="shared" si="134"/>
        <v>0</v>
      </c>
    </row>
    <row r="1536" spans="6:29" ht="24" customHeight="1">
      <c r="K1536" s="5" t="s">
        <v>1667</v>
      </c>
      <c r="AC1536" s="57">
        <f t="shared" si="134"/>
        <v>0</v>
      </c>
    </row>
    <row r="1537" spans="6:29" ht="24" customHeight="1">
      <c r="H1537" s="64" t="s">
        <v>533</v>
      </c>
      <c r="I1537" s="38"/>
      <c r="J1537" s="104"/>
      <c r="K1537" s="40">
        <f>(K1535*10)</f>
        <v>61599.8</v>
      </c>
      <c r="AC1537" s="57">
        <f t="shared" si="134"/>
        <v>0</v>
      </c>
    </row>
    <row r="1538" spans="6:29" ht="24" customHeight="1">
      <c r="H1538" s="1" t="s">
        <v>995</v>
      </c>
      <c r="K1538" s="1" t="s">
        <v>995</v>
      </c>
      <c r="AC1538" s="57">
        <f t="shared" si="134"/>
        <v>0</v>
      </c>
    </row>
    <row r="1539" spans="6:29" ht="24" customHeight="1">
      <c r="G1539" s="3" t="s">
        <v>519</v>
      </c>
      <c r="H1539" s="1" t="s">
        <v>554</v>
      </c>
      <c r="K1539" s="1"/>
      <c r="AC1539" s="57">
        <f t="shared" si="134"/>
        <v>0</v>
      </c>
    </row>
    <row r="1540" spans="6:29" ht="24" customHeight="1">
      <c r="H1540" s="1" t="s">
        <v>1676</v>
      </c>
      <c r="K1540" s="1"/>
      <c r="AC1540" s="57">
        <f t="shared" si="134"/>
        <v>0</v>
      </c>
    </row>
    <row r="1541" spans="6:29" ht="24" customHeight="1">
      <c r="F1541" s="14"/>
      <c r="H1541" s="5" t="s">
        <v>1667</v>
      </c>
      <c r="K1541" s="1"/>
      <c r="AC1541" s="57">
        <f t="shared" si="134"/>
        <v>0</v>
      </c>
    </row>
    <row r="1542" spans="6:29" ht="24" customHeight="1">
      <c r="F1542" s="8">
        <v>1</v>
      </c>
      <c r="G1542" s="7" t="s">
        <v>526</v>
      </c>
      <c r="H1542" s="1" t="s">
        <v>535</v>
      </c>
      <c r="I1542">
        <f>C137</f>
        <v>48000</v>
      </c>
      <c r="J1542" s="1" t="s">
        <v>528</v>
      </c>
      <c r="K1542" s="8">
        <f>(F1542*I1542)/10</f>
        <v>4800</v>
      </c>
      <c r="AC1542" s="57">
        <f t="shared" si="134"/>
        <v>0</v>
      </c>
    </row>
    <row r="1543" spans="6:29" ht="24" customHeight="1">
      <c r="F1543" s="14">
        <v>0.01</v>
      </c>
      <c r="G1543" s="7" t="s">
        <v>526</v>
      </c>
      <c r="H1543" s="1" t="s">
        <v>193</v>
      </c>
      <c r="I1543">
        <f>C142</f>
        <v>48000</v>
      </c>
      <c r="J1543" s="1" t="s">
        <v>528</v>
      </c>
      <c r="K1543" s="8">
        <f>(F1543*I1543)/10</f>
        <v>48</v>
      </c>
      <c r="AC1543" s="57">
        <f t="shared" si="134"/>
        <v>0</v>
      </c>
    </row>
    <row r="1544" spans="6:29" ht="24" customHeight="1">
      <c r="F1544" s="14">
        <v>3.5</v>
      </c>
      <c r="G1544" s="7" t="s">
        <v>781</v>
      </c>
      <c r="H1544" s="1" t="s">
        <v>529</v>
      </c>
      <c r="I1544">
        <f>I1532</f>
        <v>374.85</v>
      </c>
      <c r="J1544" s="1" t="s">
        <v>781</v>
      </c>
      <c r="K1544" s="8">
        <f>(F1544*I1544)</f>
        <v>1311.98</v>
      </c>
      <c r="AC1544" s="57">
        <f t="shared" si="134"/>
        <v>0</v>
      </c>
    </row>
    <row r="1545" spans="6:29" ht="24" customHeight="1">
      <c r="F1545" s="14"/>
      <c r="G1545" s="7" t="s">
        <v>448</v>
      </c>
      <c r="H1545" s="1" t="s">
        <v>449</v>
      </c>
      <c r="J1545" s="1" t="s">
        <v>448</v>
      </c>
      <c r="K1545" s="8">
        <v>0</v>
      </c>
      <c r="AC1545" s="57">
        <f t="shared" si="134"/>
        <v>0</v>
      </c>
    </row>
    <row r="1546" spans="6:29" ht="24" customHeight="1">
      <c r="K1546" s="5" t="s">
        <v>1667</v>
      </c>
      <c r="AC1546" s="57">
        <f t="shared" si="134"/>
        <v>0</v>
      </c>
    </row>
    <row r="1547" spans="6:29" ht="24" customHeight="1">
      <c r="H1547" s="1" t="s">
        <v>532</v>
      </c>
      <c r="K1547" s="8">
        <f>SUM(K1542:K1545)</f>
        <v>6159.98</v>
      </c>
      <c r="AC1547" s="57">
        <f t="shared" ref="AC1547:AC1610" si="135">AE1548</f>
        <v>0</v>
      </c>
    </row>
    <row r="1548" spans="6:29" ht="24" customHeight="1">
      <c r="K1548" s="5" t="s">
        <v>1667</v>
      </c>
      <c r="AC1548" s="57">
        <f t="shared" si="135"/>
        <v>0</v>
      </c>
    </row>
    <row r="1549" spans="6:29" ht="24" customHeight="1">
      <c r="H1549" s="64" t="s">
        <v>533</v>
      </c>
      <c r="I1549" s="38"/>
      <c r="J1549" s="104"/>
      <c r="K1549" s="40">
        <f>(K1547*10)</f>
        <v>61599.8</v>
      </c>
      <c r="AC1549" s="57">
        <f t="shared" si="135"/>
        <v>0</v>
      </c>
    </row>
    <row r="1550" spans="6:29" ht="24" customHeight="1">
      <c r="H1550" s="1" t="s">
        <v>995</v>
      </c>
      <c r="AC1550" s="57">
        <f t="shared" si="135"/>
        <v>0</v>
      </c>
    </row>
    <row r="1551" spans="6:29" ht="24" customHeight="1">
      <c r="F1551" s="26">
        <v>44.1</v>
      </c>
      <c r="G1551" s="7" t="s">
        <v>2338</v>
      </c>
      <c r="H1551" s="1" t="s">
        <v>1677</v>
      </c>
      <c r="AC1551" s="57">
        <f t="shared" si="135"/>
        <v>0</v>
      </c>
    </row>
    <row r="1552" spans="6:29" ht="24" customHeight="1">
      <c r="H1552" s="1" t="s">
        <v>1678</v>
      </c>
      <c r="AC1552" s="57">
        <f t="shared" si="135"/>
        <v>0</v>
      </c>
    </row>
    <row r="1553" spans="6:29" ht="24" customHeight="1">
      <c r="H1553" s="1" t="s">
        <v>1184</v>
      </c>
      <c r="AC1553" s="57">
        <f t="shared" si="135"/>
        <v>0</v>
      </c>
    </row>
    <row r="1554" spans="6:29" ht="24" customHeight="1">
      <c r="H1554" s="5" t="s">
        <v>1667</v>
      </c>
      <c r="AC1554" s="57">
        <f t="shared" si="135"/>
        <v>0</v>
      </c>
    </row>
    <row r="1555" spans="6:29" ht="24" customHeight="1">
      <c r="F1555" s="8">
        <v>3</v>
      </c>
      <c r="G1555" s="7" t="s">
        <v>1854</v>
      </c>
      <c r="H1555" s="1" t="s">
        <v>2123</v>
      </c>
      <c r="I1555" s="8">
        <f>D597</f>
        <v>178.1</v>
      </c>
      <c r="J1555" s="1" t="s">
        <v>1854</v>
      </c>
      <c r="K1555" s="8">
        <f t="shared" ref="K1555:K1560" si="136">(F1555*I1555)</f>
        <v>534.29999999999995</v>
      </c>
      <c r="L1555">
        <f>K1555+K1559</f>
        <v>563.6</v>
      </c>
      <c r="AC1555" s="57">
        <f t="shared" si="135"/>
        <v>0</v>
      </c>
    </row>
    <row r="1556" spans="6:29" ht="24" customHeight="1">
      <c r="F1556" s="8">
        <v>1</v>
      </c>
      <c r="G1556" s="7" t="s">
        <v>883</v>
      </c>
      <c r="H1556" s="1" t="s">
        <v>2172</v>
      </c>
      <c r="I1556" s="8">
        <f>(C600)</f>
        <v>109.1</v>
      </c>
      <c r="J1556" s="1" t="s">
        <v>883</v>
      </c>
      <c r="K1556" s="8">
        <f t="shared" si="136"/>
        <v>109.1</v>
      </c>
      <c r="L1556">
        <f>L1555/3</f>
        <v>187.87</v>
      </c>
      <c r="AC1556" s="57">
        <f t="shared" si="135"/>
        <v>0</v>
      </c>
    </row>
    <row r="1557" spans="6:29" ht="24" customHeight="1">
      <c r="F1557" s="8">
        <v>1</v>
      </c>
      <c r="G1557" s="7" t="s">
        <v>883</v>
      </c>
      <c r="H1557" s="1" t="s">
        <v>2173</v>
      </c>
      <c r="I1557" s="8">
        <f>(C603)</f>
        <v>72.7</v>
      </c>
      <c r="J1557" s="1" t="s">
        <v>883</v>
      </c>
      <c r="K1557" s="8">
        <f t="shared" si="136"/>
        <v>72.7</v>
      </c>
      <c r="AC1557" s="57">
        <f t="shared" si="135"/>
        <v>0</v>
      </c>
    </row>
    <row r="1558" spans="6:29" ht="24" customHeight="1">
      <c r="F1558" s="8">
        <v>2</v>
      </c>
      <c r="G1558" s="7" t="s">
        <v>883</v>
      </c>
      <c r="H1558" s="1" t="s">
        <v>2174</v>
      </c>
      <c r="I1558" s="8">
        <f>C574</f>
        <v>21</v>
      </c>
      <c r="J1558" s="1" t="s">
        <v>883</v>
      </c>
      <c r="K1558" s="8">
        <f t="shared" si="136"/>
        <v>42</v>
      </c>
      <c r="AC1558" s="57">
        <f t="shared" si="135"/>
        <v>0</v>
      </c>
    </row>
    <row r="1559" spans="6:29" ht="24" customHeight="1">
      <c r="F1559" s="8">
        <v>1</v>
      </c>
      <c r="G1559" s="7" t="s">
        <v>883</v>
      </c>
      <c r="H1559" s="1" t="s">
        <v>2175</v>
      </c>
      <c r="I1559" s="8">
        <f>(C665)</f>
        <v>29.3</v>
      </c>
      <c r="J1559" s="1" t="s">
        <v>883</v>
      </c>
      <c r="K1559" s="8">
        <f t="shared" si="136"/>
        <v>29.3</v>
      </c>
      <c r="AC1559" s="57">
        <f t="shared" si="135"/>
        <v>0</v>
      </c>
    </row>
    <row r="1560" spans="6:29" ht="24" customHeight="1">
      <c r="F1560" s="8">
        <v>0.5</v>
      </c>
      <c r="G1560" s="7" t="s">
        <v>883</v>
      </c>
      <c r="H1560" s="1" t="s">
        <v>2176</v>
      </c>
      <c r="I1560" s="8">
        <f>(C15)</f>
        <v>374.85</v>
      </c>
      <c r="J1560" s="1" t="s">
        <v>883</v>
      </c>
      <c r="K1560" s="8">
        <f t="shared" si="136"/>
        <v>187.43</v>
      </c>
      <c r="AC1560" s="57">
        <f t="shared" si="135"/>
        <v>0</v>
      </c>
    </row>
    <row r="1561" spans="6:29" ht="24" customHeight="1">
      <c r="G1561" s="7" t="s">
        <v>448</v>
      </c>
      <c r="H1561" s="1" t="s">
        <v>607</v>
      </c>
      <c r="J1561" s="1" t="s">
        <v>448</v>
      </c>
      <c r="K1561" s="8">
        <v>0.75</v>
      </c>
      <c r="AC1561" s="57">
        <f t="shared" si="135"/>
        <v>0</v>
      </c>
    </row>
    <row r="1562" spans="6:29" ht="24" customHeight="1">
      <c r="H1562" s="1" t="s">
        <v>21</v>
      </c>
      <c r="AC1562" s="57">
        <f t="shared" si="135"/>
        <v>0</v>
      </c>
    </row>
    <row r="1563" spans="6:29" ht="24" customHeight="1">
      <c r="K1563" s="5" t="s">
        <v>1667</v>
      </c>
      <c r="AC1563" s="57">
        <f t="shared" si="135"/>
        <v>0</v>
      </c>
    </row>
    <row r="1564" spans="6:29" ht="24" customHeight="1">
      <c r="H1564" s="1" t="s">
        <v>1375</v>
      </c>
      <c r="K1564" s="8">
        <f>SUM(K1555:K1561)</f>
        <v>975.58</v>
      </c>
      <c r="AC1564" s="57">
        <f t="shared" si="135"/>
        <v>0</v>
      </c>
    </row>
    <row r="1565" spans="6:29" ht="24" customHeight="1">
      <c r="F1565" s="1" t="s">
        <v>995</v>
      </c>
      <c r="AC1565" s="57">
        <f t="shared" si="135"/>
        <v>0</v>
      </c>
    </row>
    <row r="1566" spans="6:29" ht="24" customHeight="1">
      <c r="K1566" s="5" t="s">
        <v>1667</v>
      </c>
      <c r="AC1566" s="57">
        <f t="shared" si="135"/>
        <v>0</v>
      </c>
    </row>
    <row r="1567" spans="6:29" ht="24" customHeight="1">
      <c r="H1567" s="64" t="s">
        <v>1622</v>
      </c>
      <c r="I1567" s="38"/>
      <c r="J1567" s="104"/>
      <c r="K1567" s="40">
        <f>(K1564/3)</f>
        <v>325.19</v>
      </c>
      <c r="AC1567" s="57">
        <f t="shared" si="135"/>
        <v>0</v>
      </c>
    </row>
    <row r="1568" spans="6:29" ht="24" customHeight="1">
      <c r="H1568" s="1"/>
      <c r="K1568" s="5" t="s">
        <v>2130</v>
      </c>
      <c r="AC1568" s="57">
        <f t="shared" si="135"/>
        <v>0</v>
      </c>
    </row>
    <row r="1569" spans="6:29" ht="24" customHeight="1">
      <c r="F1569" s="2" t="s">
        <v>1376</v>
      </c>
      <c r="H1569" s="1" t="s">
        <v>15</v>
      </c>
      <c r="AC1569" s="57">
        <f t="shared" si="135"/>
        <v>0</v>
      </c>
    </row>
    <row r="1570" spans="6:29" ht="24" customHeight="1">
      <c r="H1570" s="1" t="s">
        <v>16</v>
      </c>
      <c r="AC1570" s="57">
        <f t="shared" si="135"/>
        <v>0</v>
      </c>
    </row>
    <row r="1571" spans="6:29" ht="24" customHeight="1">
      <c r="H1571" s="1" t="s">
        <v>2112</v>
      </c>
      <c r="AC1571" s="57">
        <f t="shared" si="135"/>
        <v>0</v>
      </c>
    </row>
    <row r="1572" spans="6:29" ht="24" customHeight="1">
      <c r="H1572" s="5" t="s">
        <v>1667</v>
      </c>
      <c r="AC1572" s="57">
        <f t="shared" si="135"/>
        <v>0</v>
      </c>
    </row>
    <row r="1573" spans="6:29" ht="24" customHeight="1">
      <c r="F1573" s="8">
        <v>0.15</v>
      </c>
      <c r="G1573" s="7" t="s">
        <v>884</v>
      </c>
      <c r="H1573" s="1" t="s">
        <v>2113</v>
      </c>
      <c r="I1573" s="8">
        <f>(C70)</f>
        <v>726.28</v>
      </c>
      <c r="J1573" s="1" t="s">
        <v>884</v>
      </c>
      <c r="K1573" s="8">
        <f>(F1573*I1573)</f>
        <v>108.94</v>
      </c>
      <c r="AC1573" s="57">
        <f t="shared" si="135"/>
        <v>0</v>
      </c>
    </row>
    <row r="1574" spans="6:29" ht="24" customHeight="1">
      <c r="F1574" s="17">
        <v>8.6499999999999994E-2</v>
      </c>
      <c r="G1574" s="7" t="s">
        <v>876</v>
      </c>
      <c r="H1574" s="1" t="s">
        <v>877</v>
      </c>
      <c r="I1574" s="8">
        <f>(C67)</f>
        <v>5600</v>
      </c>
      <c r="J1574" s="1" t="s">
        <v>876</v>
      </c>
      <c r="K1574" s="8">
        <f>(F1574*I1574)</f>
        <v>484.4</v>
      </c>
      <c r="AC1574" s="57">
        <f t="shared" si="135"/>
        <v>0</v>
      </c>
    </row>
    <row r="1575" spans="6:29" ht="24" customHeight="1">
      <c r="F1575" s="8">
        <v>1.6</v>
      </c>
      <c r="G1575" s="7" t="s">
        <v>781</v>
      </c>
      <c r="H1575" s="1" t="s">
        <v>2082</v>
      </c>
      <c r="I1575" s="8">
        <f>(C10)</f>
        <v>430.5</v>
      </c>
      <c r="J1575" s="1" t="s">
        <v>781</v>
      </c>
      <c r="K1575" s="8">
        <f>(F1575*I1575)</f>
        <v>688.8</v>
      </c>
      <c r="AC1575" s="57">
        <f t="shared" si="135"/>
        <v>0</v>
      </c>
    </row>
    <row r="1576" spans="6:29" ht="24" customHeight="1">
      <c r="F1576" s="8">
        <v>0.5</v>
      </c>
      <c r="G1576" s="7" t="s">
        <v>781</v>
      </c>
      <c r="H1576" s="1" t="s">
        <v>1979</v>
      </c>
      <c r="I1576" s="8">
        <f>(C12)</f>
        <v>269.85000000000002</v>
      </c>
      <c r="J1576" s="1" t="s">
        <v>781</v>
      </c>
      <c r="K1576" s="8">
        <f>(F1576*I1576)</f>
        <v>134.93</v>
      </c>
      <c r="AC1576" s="57">
        <f t="shared" si="135"/>
        <v>0</v>
      </c>
    </row>
    <row r="1577" spans="6:29" ht="24" customHeight="1">
      <c r="F1577" s="8">
        <v>1.1000000000000001</v>
      </c>
      <c r="G1577" s="7" t="s">
        <v>781</v>
      </c>
      <c r="H1577" s="1" t="s">
        <v>324</v>
      </c>
      <c r="I1577" s="8">
        <f>(C13)</f>
        <v>243.6</v>
      </c>
      <c r="J1577" s="1" t="s">
        <v>781</v>
      </c>
      <c r="K1577" s="8">
        <f>(F1577*I1577)</f>
        <v>267.95999999999998</v>
      </c>
      <c r="AC1577" s="57">
        <f t="shared" si="135"/>
        <v>0</v>
      </c>
    </row>
    <row r="1578" spans="6:29" ht="24" customHeight="1">
      <c r="G1578" s="7" t="s">
        <v>448</v>
      </c>
      <c r="H1578" s="1" t="s">
        <v>449</v>
      </c>
      <c r="I1578" s="1" t="s">
        <v>995</v>
      </c>
      <c r="J1578" s="1" t="s">
        <v>448</v>
      </c>
      <c r="K1578" s="8">
        <v>0</v>
      </c>
      <c r="AC1578" s="57">
        <f t="shared" si="135"/>
        <v>0</v>
      </c>
    </row>
    <row r="1579" spans="6:29" ht="24" customHeight="1">
      <c r="K1579" s="5" t="s">
        <v>1667</v>
      </c>
      <c r="AC1579" s="57">
        <f t="shared" si="135"/>
        <v>0</v>
      </c>
    </row>
    <row r="1580" spans="6:29" ht="24" customHeight="1">
      <c r="H1580" s="1" t="s">
        <v>440</v>
      </c>
      <c r="K1580" s="8">
        <f>SUM(K1573:K1578)</f>
        <v>1685.03</v>
      </c>
      <c r="AC1580" s="57">
        <f t="shared" si="135"/>
        <v>0</v>
      </c>
    </row>
    <row r="1581" spans="6:29" ht="24" customHeight="1">
      <c r="K1581" s="5" t="s">
        <v>1667</v>
      </c>
      <c r="AC1581" s="57">
        <f t="shared" si="135"/>
        <v>0</v>
      </c>
    </row>
    <row r="1582" spans="6:29" ht="24" customHeight="1">
      <c r="H1582" s="64" t="s">
        <v>555</v>
      </c>
      <c r="I1582" s="38"/>
      <c r="J1582" s="104"/>
      <c r="K1582" s="639">
        <f>(K1580/10)</f>
        <v>168.5</v>
      </c>
      <c r="AC1582" s="57">
        <f t="shared" si="135"/>
        <v>0</v>
      </c>
    </row>
    <row r="1583" spans="6:29" ht="24" customHeight="1">
      <c r="K1583" s="5" t="s">
        <v>2130</v>
      </c>
      <c r="AC1583" s="57">
        <f t="shared" si="135"/>
        <v>0</v>
      </c>
    </row>
    <row r="1584" spans="6:29" ht="24" customHeight="1">
      <c r="F1584" s="2" t="s">
        <v>2114</v>
      </c>
      <c r="G1584" s="7" t="s">
        <v>2338</v>
      </c>
      <c r="H1584" s="1" t="s">
        <v>2115</v>
      </c>
      <c r="AC1584" s="57">
        <f t="shared" si="135"/>
        <v>0</v>
      </c>
    </row>
    <row r="1585" spans="6:29" ht="24" customHeight="1">
      <c r="H1585" s="1" t="s">
        <v>1269</v>
      </c>
      <c r="AC1585" s="57">
        <f t="shared" si="135"/>
        <v>0</v>
      </c>
    </row>
    <row r="1586" spans="6:29" ht="24" customHeight="1">
      <c r="H1586" s="1" t="s">
        <v>1270</v>
      </c>
      <c r="J1586" s="1" t="s">
        <v>995</v>
      </c>
      <c r="AC1586" s="57">
        <f t="shared" si="135"/>
        <v>0</v>
      </c>
    </row>
    <row r="1587" spans="6:29" ht="24" customHeight="1">
      <c r="H1587" s="1" t="s">
        <v>1145</v>
      </c>
      <c r="AC1587" s="57">
        <f t="shared" si="135"/>
        <v>0</v>
      </c>
    </row>
    <row r="1588" spans="6:29" ht="24" customHeight="1">
      <c r="H1588" s="1" t="s">
        <v>1053</v>
      </c>
      <c r="AC1588" s="57">
        <f t="shared" si="135"/>
        <v>0</v>
      </c>
    </row>
    <row r="1589" spans="6:29" ht="24" customHeight="1">
      <c r="H1589" s="1" t="s">
        <v>1890</v>
      </c>
      <c r="AC1589" s="57">
        <f t="shared" si="135"/>
        <v>0</v>
      </c>
    </row>
    <row r="1590" spans="6:29" ht="24" customHeight="1">
      <c r="H1590" s="1" t="s">
        <v>280</v>
      </c>
      <c r="AC1590" s="57">
        <f t="shared" si="135"/>
        <v>0</v>
      </c>
    </row>
    <row r="1591" spans="6:29" ht="24" customHeight="1">
      <c r="H1591" s="1" t="s">
        <v>281</v>
      </c>
      <c r="AC1591" s="57">
        <f t="shared" si="135"/>
        <v>0</v>
      </c>
    </row>
    <row r="1592" spans="6:29" ht="24" customHeight="1">
      <c r="H1592" s="1" t="s">
        <v>282</v>
      </c>
      <c r="AC1592" s="57">
        <f t="shared" si="135"/>
        <v>0</v>
      </c>
    </row>
    <row r="1593" spans="6:29" ht="24" customHeight="1">
      <c r="H1593" s="5" t="s">
        <v>2130</v>
      </c>
      <c r="AC1593" s="57">
        <f t="shared" si="135"/>
        <v>0</v>
      </c>
    </row>
    <row r="1594" spans="6:29" ht="24" customHeight="1">
      <c r="AC1594" s="57">
        <f t="shared" si="135"/>
        <v>0</v>
      </c>
    </row>
    <row r="1595" spans="6:29" ht="24" customHeight="1">
      <c r="F1595" s="8">
        <v>1</v>
      </c>
      <c r="G1595" s="7" t="s">
        <v>840</v>
      </c>
      <c r="H1595" s="1" t="s">
        <v>3736</v>
      </c>
      <c r="I1595" s="219">
        <v>48</v>
      </c>
      <c r="J1595" s="1" t="s">
        <v>840</v>
      </c>
      <c r="K1595" s="8">
        <f>(F1595*I1595)</f>
        <v>48</v>
      </c>
      <c r="AC1595" s="57">
        <f t="shared" si="135"/>
        <v>0</v>
      </c>
    </row>
    <row r="1596" spans="6:29" ht="24" customHeight="1">
      <c r="F1596" s="8">
        <v>1</v>
      </c>
      <c r="G1596" s="7" t="s">
        <v>284</v>
      </c>
      <c r="H1596" s="1" t="s">
        <v>1202</v>
      </c>
      <c r="I1596" s="219">
        <v>9</v>
      </c>
      <c r="J1596" s="1" t="s">
        <v>284</v>
      </c>
      <c r="K1596" s="8">
        <f>(F1596*I1596)</f>
        <v>9</v>
      </c>
      <c r="AC1596" s="57">
        <f t="shared" si="135"/>
        <v>0</v>
      </c>
    </row>
    <row r="1597" spans="6:29" ht="24" customHeight="1">
      <c r="G1597" s="7" t="s">
        <v>448</v>
      </c>
      <c r="H1597" s="1" t="s">
        <v>505</v>
      </c>
      <c r="J1597" s="1" t="s">
        <v>448</v>
      </c>
      <c r="K1597" s="8">
        <v>7</v>
      </c>
      <c r="AC1597" s="57">
        <f t="shared" si="135"/>
        <v>0</v>
      </c>
    </row>
    <row r="1598" spans="6:29" ht="24" customHeight="1">
      <c r="K1598" s="5" t="s">
        <v>1667</v>
      </c>
      <c r="AC1598" s="57">
        <f t="shared" si="135"/>
        <v>0</v>
      </c>
    </row>
    <row r="1599" spans="6:29" ht="24" customHeight="1">
      <c r="H1599" s="2" t="s">
        <v>1724</v>
      </c>
      <c r="K1599" s="8">
        <f>SUM(K1595:K1597)</f>
        <v>64</v>
      </c>
      <c r="AC1599" s="57">
        <f t="shared" si="135"/>
        <v>0</v>
      </c>
    </row>
    <row r="1600" spans="6:29" ht="24" customHeight="1">
      <c r="K1600" s="5" t="s">
        <v>2130</v>
      </c>
      <c r="AC1600" s="57">
        <f t="shared" si="135"/>
        <v>0</v>
      </c>
    </row>
    <row r="1601" spans="6:29" ht="24" customHeight="1">
      <c r="F1601" s="2" t="s">
        <v>1725</v>
      </c>
      <c r="G1601" s="7" t="s">
        <v>2338</v>
      </c>
      <c r="H1601" s="1" t="s">
        <v>768</v>
      </c>
      <c r="AC1601" s="57">
        <f t="shared" si="135"/>
        <v>0</v>
      </c>
    </row>
    <row r="1602" spans="6:29" ht="24" customHeight="1">
      <c r="H1602" s="1" t="s">
        <v>401</v>
      </c>
      <c r="AC1602" s="57">
        <f t="shared" si="135"/>
        <v>0</v>
      </c>
    </row>
    <row r="1603" spans="6:29" ht="24" customHeight="1">
      <c r="H1603" s="1" t="s">
        <v>402</v>
      </c>
      <c r="AC1603" s="57">
        <f t="shared" si="135"/>
        <v>0</v>
      </c>
    </row>
    <row r="1604" spans="6:29" ht="24" customHeight="1">
      <c r="H1604" s="1" t="s">
        <v>399</v>
      </c>
      <c r="AC1604" s="57">
        <f t="shared" si="135"/>
        <v>0</v>
      </c>
    </row>
    <row r="1605" spans="6:29" ht="24" customHeight="1">
      <c r="H1605" s="1" t="s">
        <v>1842</v>
      </c>
      <c r="AC1605" s="57">
        <f t="shared" si="135"/>
        <v>0</v>
      </c>
    </row>
    <row r="1606" spans="6:29" ht="24" customHeight="1">
      <c r="H1606" s="5" t="s">
        <v>1667</v>
      </c>
      <c r="I1606" s="5" t="s">
        <v>1667</v>
      </c>
      <c r="AC1606" s="57">
        <f t="shared" si="135"/>
        <v>0</v>
      </c>
    </row>
    <row r="1607" spans="6:29" ht="24" customHeight="1">
      <c r="F1607" s="8">
        <v>1</v>
      </c>
      <c r="G1607" s="7" t="s">
        <v>1843</v>
      </c>
      <c r="H1607" s="1" t="s">
        <v>1632</v>
      </c>
      <c r="I1607" s="219">
        <v>30.75</v>
      </c>
      <c r="J1607" s="1" t="s">
        <v>1458</v>
      </c>
      <c r="K1607" s="8">
        <f>(F1607*I1607)</f>
        <v>30.75</v>
      </c>
      <c r="AC1607" s="57">
        <f t="shared" si="135"/>
        <v>0</v>
      </c>
    </row>
    <row r="1608" spans="6:29" ht="24" customHeight="1">
      <c r="G1608" s="7" t="s">
        <v>448</v>
      </c>
      <c r="H1608" s="1" t="s">
        <v>1633</v>
      </c>
      <c r="J1608" s="1" t="s">
        <v>448</v>
      </c>
      <c r="K1608" s="8">
        <v>7.5</v>
      </c>
      <c r="AC1608" s="57">
        <f t="shared" si="135"/>
        <v>0</v>
      </c>
    </row>
    <row r="1609" spans="6:29" ht="24" customHeight="1">
      <c r="G1609" s="7" t="s">
        <v>448</v>
      </c>
      <c r="H1609" s="1" t="s">
        <v>631</v>
      </c>
      <c r="J1609" s="1" t="s">
        <v>448</v>
      </c>
      <c r="K1609" s="8">
        <v>1.75</v>
      </c>
      <c r="AC1609" s="57">
        <f t="shared" si="135"/>
        <v>0</v>
      </c>
    </row>
    <row r="1610" spans="6:29" ht="24" customHeight="1">
      <c r="H1610" s="1" t="s">
        <v>632</v>
      </c>
      <c r="K1610" s="5" t="s">
        <v>1667</v>
      </c>
      <c r="AC1610" s="57">
        <f t="shared" si="135"/>
        <v>0</v>
      </c>
    </row>
    <row r="1611" spans="6:29" ht="24" customHeight="1">
      <c r="H1611" s="2" t="s">
        <v>1724</v>
      </c>
      <c r="K1611" s="8">
        <f>SUM(K1607:K1609)</f>
        <v>40</v>
      </c>
      <c r="AC1611" s="57">
        <f t="shared" ref="AC1611:AC1632" si="137">AE1612</f>
        <v>0</v>
      </c>
    </row>
    <row r="1612" spans="6:29" ht="24" customHeight="1">
      <c r="K1612" s="5" t="s">
        <v>2130</v>
      </c>
      <c r="AC1612" s="57">
        <f t="shared" si="137"/>
        <v>0</v>
      </c>
    </row>
    <row r="1613" spans="6:29" ht="24" customHeight="1">
      <c r="F1613" s="2" t="s">
        <v>633</v>
      </c>
      <c r="G1613" s="7" t="s">
        <v>2338</v>
      </c>
      <c r="H1613" s="1" t="s">
        <v>542</v>
      </c>
      <c r="AC1613" s="57">
        <f t="shared" si="137"/>
        <v>0</v>
      </c>
    </row>
    <row r="1614" spans="6:29" ht="24" customHeight="1">
      <c r="H1614" s="1" t="s">
        <v>634</v>
      </c>
      <c r="K1614" s="1" t="s">
        <v>995</v>
      </c>
      <c r="AC1614" s="57">
        <f t="shared" si="137"/>
        <v>0</v>
      </c>
    </row>
    <row r="1615" spans="6:29" ht="24" customHeight="1">
      <c r="H1615" s="5" t="s">
        <v>1667</v>
      </c>
      <c r="AC1615" s="57">
        <f t="shared" si="137"/>
        <v>0</v>
      </c>
    </row>
    <row r="1616" spans="6:29" ht="24" customHeight="1">
      <c r="F1616" s="8">
        <v>1</v>
      </c>
      <c r="G1616" s="7" t="s">
        <v>1843</v>
      </c>
      <c r="H1616" s="1" t="s">
        <v>635</v>
      </c>
      <c r="I1616" s="219">
        <v>25</v>
      </c>
      <c r="J1616" s="1" t="s">
        <v>1458</v>
      </c>
      <c r="K1616" s="8">
        <f>(F1616*I1616)</f>
        <v>25</v>
      </c>
      <c r="AC1616" s="57">
        <f t="shared" si="137"/>
        <v>0</v>
      </c>
    </row>
    <row r="1617" spans="6:29" ht="24" customHeight="1">
      <c r="G1617" s="7" t="s">
        <v>448</v>
      </c>
      <c r="H1617" s="1" t="s">
        <v>636</v>
      </c>
      <c r="J1617" s="1" t="s">
        <v>448</v>
      </c>
      <c r="K1617" s="8">
        <v>5</v>
      </c>
      <c r="AC1617" s="57">
        <f t="shared" si="137"/>
        <v>0</v>
      </c>
    </row>
    <row r="1618" spans="6:29" ht="24" customHeight="1">
      <c r="K1618" s="5" t="s">
        <v>1667</v>
      </c>
      <c r="AC1618" s="57">
        <f t="shared" si="137"/>
        <v>0</v>
      </c>
    </row>
    <row r="1619" spans="6:29" ht="24" customHeight="1">
      <c r="H1619" s="2" t="s">
        <v>637</v>
      </c>
      <c r="K1619" s="8">
        <f>SUM(K1615:K1617)</f>
        <v>30</v>
      </c>
      <c r="AC1619" s="57">
        <f t="shared" si="137"/>
        <v>0</v>
      </c>
    </row>
    <row r="1620" spans="6:29" ht="24" customHeight="1">
      <c r="K1620" s="5" t="s">
        <v>2130</v>
      </c>
      <c r="AC1620" s="57">
        <f t="shared" si="137"/>
        <v>0</v>
      </c>
    </row>
    <row r="1621" spans="6:29" ht="24" customHeight="1">
      <c r="F1621" s="2" t="s">
        <v>2223</v>
      </c>
      <c r="G1621" s="7" t="s">
        <v>2338</v>
      </c>
      <c r="H1621" s="1" t="s">
        <v>543</v>
      </c>
      <c r="AC1621" s="57">
        <f t="shared" si="137"/>
        <v>0</v>
      </c>
    </row>
    <row r="1622" spans="6:29" ht="24" customHeight="1">
      <c r="H1622" s="5" t="s">
        <v>1667</v>
      </c>
      <c r="I1622" s="5" t="s">
        <v>1667</v>
      </c>
      <c r="AC1622" s="57">
        <f t="shared" si="137"/>
        <v>0</v>
      </c>
    </row>
    <row r="1623" spans="6:29" ht="24" customHeight="1">
      <c r="F1623" s="8">
        <v>1</v>
      </c>
      <c r="G1623" s="7" t="s">
        <v>1843</v>
      </c>
      <c r="H1623" s="1" t="s">
        <v>2224</v>
      </c>
      <c r="I1623" s="219">
        <v>2</v>
      </c>
      <c r="J1623" s="1" t="s">
        <v>1458</v>
      </c>
      <c r="K1623" s="8">
        <f>(F1623*I1623)</f>
        <v>2</v>
      </c>
      <c r="AC1623" s="57">
        <f t="shared" si="137"/>
        <v>0</v>
      </c>
    </row>
    <row r="1624" spans="6:29" ht="24" customHeight="1">
      <c r="G1624" s="7" t="s">
        <v>448</v>
      </c>
      <c r="H1624" s="1" t="s">
        <v>636</v>
      </c>
      <c r="J1624" s="1" t="s">
        <v>448</v>
      </c>
      <c r="K1624" s="8">
        <f>K1623*0.25</f>
        <v>0.5</v>
      </c>
      <c r="AC1624" s="57">
        <f t="shared" si="137"/>
        <v>0</v>
      </c>
    </row>
    <row r="1625" spans="6:29" ht="24" customHeight="1">
      <c r="K1625" s="5" t="s">
        <v>1667</v>
      </c>
      <c r="AC1625" s="57">
        <f t="shared" si="137"/>
        <v>0</v>
      </c>
    </row>
    <row r="1626" spans="6:29" ht="24" customHeight="1">
      <c r="H1626" s="2" t="s">
        <v>637</v>
      </c>
      <c r="K1626" s="8">
        <f>SUM(K1621:K1624)</f>
        <v>2.5</v>
      </c>
      <c r="AC1626" s="57">
        <f t="shared" si="137"/>
        <v>0</v>
      </c>
    </row>
    <row r="1627" spans="6:29" ht="24" customHeight="1">
      <c r="F1627" s="1" t="s">
        <v>995</v>
      </c>
      <c r="K1627" s="5" t="s">
        <v>1667</v>
      </c>
      <c r="AC1627" s="57">
        <f t="shared" si="137"/>
        <v>0</v>
      </c>
    </row>
    <row r="1628" spans="6:29" ht="24" customHeight="1">
      <c r="F1628" s="26">
        <v>50.1</v>
      </c>
      <c r="G1628" s="7" t="s">
        <v>2338</v>
      </c>
      <c r="H1628" s="1" t="s">
        <v>2240</v>
      </c>
      <c r="AC1628" s="57">
        <f t="shared" si="137"/>
        <v>0</v>
      </c>
    </row>
    <row r="1629" spans="6:29" ht="24" customHeight="1">
      <c r="H1629" s="1" t="s">
        <v>13</v>
      </c>
      <c r="AC1629" s="57">
        <f t="shared" si="137"/>
        <v>0</v>
      </c>
    </row>
    <row r="1630" spans="6:29" ht="24" customHeight="1">
      <c r="H1630" s="1" t="s">
        <v>47</v>
      </c>
      <c r="AC1630" s="57">
        <f t="shared" si="137"/>
        <v>0</v>
      </c>
    </row>
    <row r="1631" spans="6:29" ht="24" customHeight="1">
      <c r="H1631" s="1" t="s">
        <v>48</v>
      </c>
      <c r="AC1631" s="57">
        <f t="shared" si="137"/>
        <v>0</v>
      </c>
    </row>
    <row r="1632" spans="6:29" ht="24" customHeight="1">
      <c r="H1632" s="1" t="s">
        <v>49</v>
      </c>
      <c r="AC1632" s="57">
        <f t="shared" si="137"/>
        <v>0</v>
      </c>
    </row>
    <row r="1633" spans="6:11" ht="24" customHeight="1">
      <c r="H1633" s="5" t="s">
        <v>1667</v>
      </c>
      <c r="I1633" s="5" t="s">
        <v>1667</v>
      </c>
    </row>
    <row r="1634" spans="6:11" ht="24" customHeight="1">
      <c r="F1634" s="8">
        <v>9</v>
      </c>
      <c r="G1634" s="7" t="s">
        <v>2226</v>
      </c>
      <c r="H1634" s="1" t="s">
        <v>1654</v>
      </c>
      <c r="I1634" s="8">
        <f>C73</f>
        <v>1236.78</v>
      </c>
      <c r="J1634" s="1" t="s">
        <v>2226</v>
      </c>
      <c r="K1634" s="8">
        <f>(F1634*I1634)</f>
        <v>11131.02</v>
      </c>
    </row>
    <row r="1635" spans="6:11" ht="24" customHeight="1">
      <c r="F1635" s="8">
        <v>4.5</v>
      </c>
      <c r="G1635" s="7" t="s">
        <v>2226</v>
      </c>
      <c r="H1635" s="1" t="s">
        <v>1655</v>
      </c>
      <c r="I1635" s="8">
        <f>K32</f>
        <v>3479.01</v>
      </c>
      <c r="J1635" s="1" t="s">
        <v>2226</v>
      </c>
      <c r="K1635" s="8">
        <f>(F1635*I1635)</f>
        <v>15655.55</v>
      </c>
    </row>
    <row r="1636" spans="6:11" ht="24" customHeight="1">
      <c r="F1636" s="8">
        <v>1.8</v>
      </c>
      <c r="G1636" s="7" t="s">
        <v>563</v>
      </c>
      <c r="H1636" s="1" t="s">
        <v>1656</v>
      </c>
      <c r="I1636" s="8">
        <f>C11</f>
        <v>386.4</v>
      </c>
      <c r="J1636" s="1" t="s">
        <v>1458</v>
      </c>
      <c r="K1636" s="8">
        <f>(F1636*I1636)</f>
        <v>695.52</v>
      </c>
    </row>
    <row r="1637" spans="6:11" ht="24" customHeight="1">
      <c r="F1637" s="8">
        <v>17.7</v>
      </c>
      <c r="G1637" s="7" t="s">
        <v>563</v>
      </c>
      <c r="H1637" s="1" t="s">
        <v>838</v>
      </c>
      <c r="I1637" s="8">
        <f>C12</f>
        <v>269.85000000000002</v>
      </c>
      <c r="J1637" s="1" t="s">
        <v>1458</v>
      </c>
      <c r="K1637" s="8">
        <f>(F1637*I1637)</f>
        <v>4776.3500000000004</v>
      </c>
    </row>
    <row r="1638" spans="6:11" ht="24" customHeight="1">
      <c r="F1638" s="8">
        <v>14.1</v>
      </c>
      <c r="G1638" s="7" t="s">
        <v>563</v>
      </c>
      <c r="H1638" s="1" t="s">
        <v>1432</v>
      </c>
      <c r="I1638" s="8">
        <f>C13</f>
        <v>243.6</v>
      </c>
      <c r="J1638" s="1" t="s">
        <v>1458</v>
      </c>
      <c r="K1638" s="8">
        <f>(F1638*I1638)</f>
        <v>3434.76</v>
      </c>
    </row>
    <row r="1639" spans="6:11" ht="24" customHeight="1">
      <c r="K1639" s="5" t="s">
        <v>1667</v>
      </c>
    </row>
    <row r="1640" spans="6:11" ht="24" customHeight="1">
      <c r="H1640" s="2" t="s">
        <v>1657</v>
      </c>
      <c r="K1640" s="8">
        <f>SUM(K1634:K1638)</f>
        <v>35693.199999999997</v>
      </c>
    </row>
    <row r="1641" spans="6:11" ht="24" customHeight="1">
      <c r="K1641" s="5" t="s">
        <v>1667</v>
      </c>
    </row>
    <row r="1642" spans="6:11" ht="24" customHeight="1">
      <c r="H1642" s="2" t="s">
        <v>1658</v>
      </c>
      <c r="K1642" s="40">
        <f>(K1640/10)</f>
        <v>3569.32</v>
      </c>
    </row>
    <row r="1643" spans="6:11" ht="24" customHeight="1">
      <c r="K1643" s="5" t="s">
        <v>2130</v>
      </c>
    </row>
    <row r="1645" spans="6:11" ht="24" customHeight="1">
      <c r="G1645" s="7" t="s">
        <v>685</v>
      </c>
      <c r="H1645" s="1" t="s">
        <v>1194</v>
      </c>
    </row>
    <row r="1646" spans="6:11" ht="24" customHeight="1">
      <c r="H1646" s="1" t="s">
        <v>602</v>
      </c>
    </row>
    <row r="1647" spans="6:11" ht="24" customHeight="1">
      <c r="H1647" s="5" t="s">
        <v>1667</v>
      </c>
      <c r="I1647" s="5" t="s">
        <v>1667</v>
      </c>
    </row>
    <row r="1649" spans="6:11" ht="24" customHeight="1">
      <c r="F1649" s="14">
        <v>0.314</v>
      </c>
      <c r="G1649" s="7" t="s">
        <v>2226</v>
      </c>
      <c r="H1649" s="1" t="s">
        <v>441</v>
      </c>
      <c r="I1649" s="8">
        <f>K1642</f>
        <v>3569.32</v>
      </c>
      <c r="J1649" s="1" t="s">
        <v>2226</v>
      </c>
      <c r="K1649" s="8">
        <f>(F1649*I1649)</f>
        <v>1120.77</v>
      </c>
    </row>
    <row r="1650" spans="6:11" ht="24" customHeight="1">
      <c r="F1650" s="8">
        <v>18</v>
      </c>
      <c r="G1650" s="7" t="s">
        <v>563</v>
      </c>
      <c r="H1650" s="1" t="s">
        <v>538</v>
      </c>
      <c r="I1650" s="8">
        <v>2</v>
      </c>
      <c r="J1650" s="1" t="s">
        <v>1458</v>
      </c>
      <c r="K1650" s="8">
        <f>(F1650*I1650)</f>
        <v>36</v>
      </c>
    </row>
    <row r="1651" spans="6:11" ht="24" customHeight="1">
      <c r="F1651" s="8">
        <v>18</v>
      </c>
      <c r="G1651" s="7" t="s">
        <v>563</v>
      </c>
      <c r="H1651" s="1" t="s">
        <v>539</v>
      </c>
      <c r="I1651" s="8">
        <v>1</v>
      </c>
      <c r="J1651" s="1" t="s">
        <v>1458</v>
      </c>
      <c r="K1651" s="8">
        <f>(F1651*I1651)</f>
        <v>18</v>
      </c>
    </row>
    <row r="1652" spans="6:11" ht="24" customHeight="1">
      <c r="F1652" s="8">
        <v>18</v>
      </c>
      <c r="G1652" s="7" t="s">
        <v>563</v>
      </c>
      <c r="H1652" s="1" t="s">
        <v>540</v>
      </c>
      <c r="I1652" s="8">
        <v>2</v>
      </c>
      <c r="J1652" s="1" t="s">
        <v>1458</v>
      </c>
      <c r="K1652" s="8">
        <f>(F1652*I1652)</f>
        <v>36</v>
      </c>
    </row>
    <row r="1653" spans="6:11" ht="24" customHeight="1">
      <c r="K1653" s="5" t="s">
        <v>1667</v>
      </c>
    </row>
    <row r="1654" spans="6:11" ht="24" customHeight="1">
      <c r="H1654" s="2" t="s">
        <v>2025</v>
      </c>
      <c r="K1654" s="8">
        <f>SUM(K1648:K1652)</f>
        <v>1210.77</v>
      </c>
    </row>
    <row r="1655" spans="6:11" ht="24" customHeight="1">
      <c r="K1655" s="5" t="s">
        <v>1667</v>
      </c>
    </row>
    <row r="1656" spans="6:11" ht="24" customHeight="1">
      <c r="H1656" s="2" t="s">
        <v>2026</v>
      </c>
      <c r="K1656" s="40">
        <f>(K1654/6.28)</f>
        <v>192.8</v>
      </c>
    </row>
    <row r="1657" spans="6:11" ht="24" customHeight="1">
      <c r="K1657" s="5" t="s">
        <v>2130</v>
      </c>
    </row>
    <row r="1658" spans="6:11" ht="24" customHeight="1">
      <c r="F1658" s="1" t="s">
        <v>995</v>
      </c>
      <c r="H1658" s="1" t="s">
        <v>742</v>
      </c>
    </row>
    <row r="1659" spans="6:11" ht="24" customHeight="1">
      <c r="H1659" s="5" t="s">
        <v>1667</v>
      </c>
    </row>
    <row r="1660" spans="6:11" ht="24" customHeight="1">
      <c r="F1660" s="14">
        <v>0.01</v>
      </c>
      <c r="G1660" s="7" t="s">
        <v>2226</v>
      </c>
      <c r="H1660" s="1" t="s">
        <v>441</v>
      </c>
      <c r="I1660" s="8">
        <f>K1642</f>
        <v>3569.32</v>
      </c>
      <c r="J1660" s="1" t="s">
        <v>2226</v>
      </c>
      <c r="K1660" s="8">
        <f>ROUND(F1660*I1660,2)</f>
        <v>35.69</v>
      </c>
    </row>
    <row r="1661" spans="6:11" ht="24" customHeight="1">
      <c r="F1661" s="8">
        <v>0.01</v>
      </c>
      <c r="G1661" s="7" t="s">
        <v>1402</v>
      </c>
      <c r="H1661" s="1" t="s">
        <v>743</v>
      </c>
      <c r="I1661" s="6" t="s">
        <v>667</v>
      </c>
      <c r="K1661" s="8">
        <v>1.2</v>
      </c>
    </row>
    <row r="1662" spans="6:11" ht="24" customHeight="1">
      <c r="I1662" s="34"/>
      <c r="K1662" s="5" t="s">
        <v>1667</v>
      </c>
    </row>
    <row r="1663" spans="6:11" ht="24" customHeight="1">
      <c r="H1663" s="2" t="s">
        <v>752</v>
      </c>
      <c r="K1663" s="8">
        <f>SUM(K1657:K1661)</f>
        <v>36.89</v>
      </c>
    </row>
    <row r="1664" spans="6:11" ht="24" customHeight="1">
      <c r="K1664" s="5" t="s">
        <v>1667</v>
      </c>
    </row>
    <row r="1665" spans="6:11" ht="24" customHeight="1">
      <c r="H1665" s="2" t="s">
        <v>2251</v>
      </c>
      <c r="K1665" s="8">
        <f>K1663/0.01</f>
        <v>3689</v>
      </c>
    </row>
    <row r="1666" spans="6:11" ht="24" customHeight="1">
      <c r="K1666" s="5" t="s">
        <v>2130</v>
      </c>
    </row>
    <row r="1667" spans="6:11" ht="24" customHeight="1">
      <c r="F1667" s="2" t="s">
        <v>2252</v>
      </c>
      <c r="G1667" s="7" t="s">
        <v>685</v>
      </c>
      <c r="H1667" s="1" t="s">
        <v>1194</v>
      </c>
    </row>
    <row r="1668" spans="6:11" ht="24" customHeight="1">
      <c r="H1668" s="35" t="s">
        <v>603</v>
      </c>
    </row>
    <row r="1669" spans="6:11" ht="24" customHeight="1">
      <c r="H1669" s="5" t="s">
        <v>1667</v>
      </c>
      <c r="I1669" s="5" t="s">
        <v>1667</v>
      </c>
    </row>
    <row r="1670" spans="6:11" ht="24" customHeight="1">
      <c r="F1670" s="14">
        <v>0.40500000000000003</v>
      </c>
      <c r="G1670" s="7" t="s">
        <v>2226</v>
      </c>
      <c r="H1670" s="1" t="s">
        <v>441</v>
      </c>
      <c r="I1670" s="8">
        <f>K1665</f>
        <v>3689</v>
      </c>
      <c r="J1670" s="1" t="s">
        <v>2226</v>
      </c>
      <c r="K1670" s="8">
        <f>(F1670*I1670)</f>
        <v>1494.05</v>
      </c>
    </row>
    <row r="1671" spans="6:11" ht="24" customHeight="1">
      <c r="F1671" s="1" t="s">
        <v>995</v>
      </c>
      <c r="G1671" s="7" t="s">
        <v>995</v>
      </c>
      <c r="H1671" s="1" t="s">
        <v>1733</v>
      </c>
      <c r="I1671" s="6" t="s">
        <v>667</v>
      </c>
      <c r="K1671" s="1" t="s">
        <v>995</v>
      </c>
    </row>
    <row r="1672" spans="6:11" ht="24" customHeight="1">
      <c r="K1672" s="5" t="s">
        <v>1667</v>
      </c>
    </row>
    <row r="1673" spans="6:11" ht="24" customHeight="1">
      <c r="H1673" s="2" t="s">
        <v>1734</v>
      </c>
      <c r="K1673" s="8">
        <f>SUM(K1667:K1671)</f>
        <v>1494.05</v>
      </c>
    </row>
    <row r="1674" spans="6:11" ht="24" customHeight="1">
      <c r="K1674" s="5" t="s">
        <v>1667</v>
      </c>
    </row>
    <row r="1675" spans="6:11" ht="24" customHeight="1">
      <c r="H1675" s="2" t="s">
        <v>1735</v>
      </c>
      <c r="K1675" s="40">
        <f>K1673/9</f>
        <v>166.01</v>
      </c>
    </row>
    <row r="1676" spans="6:11" ht="24" customHeight="1">
      <c r="K1676" s="5" t="s">
        <v>2130</v>
      </c>
    </row>
    <row r="1677" spans="6:11" ht="24" customHeight="1">
      <c r="F1677" s="2" t="s">
        <v>1465</v>
      </c>
      <c r="H1677" s="1" t="s">
        <v>469</v>
      </c>
    </row>
    <row r="1678" spans="6:11" ht="24" customHeight="1">
      <c r="H1678" s="5" t="s">
        <v>1667</v>
      </c>
    </row>
    <row r="1679" spans="6:11" ht="24" customHeight="1">
      <c r="F1679" s="8">
        <v>4.32</v>
      </c>
      <c r="G1679" s="7" t="s">
        <v>884</v>
      </c>
      <c r="H1679" s="1" t="s">
        <v>362</v>
      </c>
      <c r="I1679" s="8">
        <f>C61</f>
        <v>48.3</v>
      </c>
      <c r="J1679" s="1" t="s">
        <v>884</v>
      </c>
      <c r="K1679" s="8">
        <f t="shared" ref="K1679:K1686" si="138">(F1679*I1679)</f>
        <v>208.66</v>
      </c>
    </row>
    <row r="1680" spans="6:11" ht="24" customHeight="1">
      <c r="F1680" s="8">
        <v>1.44</v>
      </c>
      <c r="G1680" s="7" t="s">
        <v>884</v>
      </c>
      <c r="H1680" s="1" t="s">
        <v>470</v>
      </c>
      <c r="I1680" s="219">
        <v>68.5</v>
      </c>
      <c r="J1680" s="1" t="s">
        <v>884</v>
      </c>
      <c r="K1680" s="8">
        <f t="shared" si="138"/>
        <v>98.64</v>
      </c>
    </row>
    <row r="1681" spans="6:11" ht="24" customHeight="1">
      <c r="F1681" s="8">
        <v>1.44</v>
      </c>
      <c r="G1681" s="7" t="s">
        <v>884</v>
      </c>
      <c r="H1681" s="1" t="s">
        <v>471</v>
      </c>
      <c r="I1681" s="8">
        <f>C35</f>
        <v>274.54000000000002</v>
      </c>
      <c r="J1681" s="1" t="s">
        <v>884</v>
      </c>
      <c r="K1681" s="8">
        <f t="shared" si="138"/>
        <v>395.34</v>
      </c>
    </row>
    <row r="1682" spans="6:11" ht="24" customHeight="1">
      <c r="F1682" s="8">
        <v>1.44</v>
      </c>
      <c r="G1682" s="7" t="s">
        <v>884</v>
      </c>
      <c r="H1682" s="1" t="s">
        <v>472</v>
      </c>
      <c r="I1682" s="8">
        <f>C78</f>
        <v>740.98</v>
      </c>
      <c r="J1682" s="1" t="s">
        <v>884</v>
      </c>
      <c r="K1682" s="8">
        <f t="shared" si="138"/>
        <v>1067.01</v>
      </c>
    </row>
    <row r="1683" spans="6:11" ht="24" customHeight="1">
      <c r="F1683" s="8">
        <v>2.88</v>
      </c>
      <c r="G1683" s="7" t="s">
        <v>884</v>
      </c>
      <c r="H1683" s="1" t="s">
        <v>473</v>
      </c>
      <c r="I1683" s="8">
        <v>10</v>
      </c>
      <c r="J1683" s="1" t="s">
        <v>884</v>
      </c>
      <c r="K1683" s="8">
        <f t="shared" si="138"/>
        <v>28.8</v>
      </c>
    </row>
    <row r="1684" spans="6:11" ht="24" customHeight="1">
      <c r="F1684" s="8">
        <v>20</v>
      </c>
      <c r="G1684" s="7" t="s">
        <v>257</v>
      </c>
      <c r="H1684" s="1" t="s">
        <v>1709</v>
      </c>
      <c r="I1684" s="219">
        <v>45</v>
      </c>
      <c r="J1684" s="1" t="s">
        <v>257</v>
      </c>
      <c r="K1684" s="8">
        <f t="shared" si="138"/>
        <v>900</v>
      </c>
    </row>
    <row r="1685" spans="6:11" ht="24" customHeight="1">
      <c r="F1685" s="8">
        <v>42</v>
      </c>
      <c r="G1685" s="7" t="s">
        <v>2272</v>
      </c>
      <c r="H1685" s="1" t="s">
        <v>1185</v>
      </c>
      <c r="I1685" s="57">
        <v>13.85</v>
      </c>
      <c r="J1685" s="1" t="s">
        <v>2272</v>
      </c>
      <c r="K1685" s="8">
        <f t="shared" si="138"/>
        <v>581.70000000000005</v>
      </c>
    </row>
    <row r="1686" spans="6:11" ht="24" customHeight="1">
      <c r="F1686" s="8">
        <v>4.32</v>
      </c>
      <c r="G1686" s="7" t="s">
        <v>884</v>
      </c>
      <c r="H1686" s="1" t="s">
        <v>1700</v>
      </c>
      <c r="I1686" s="8">
        <f>C26</f>
        <v>16.96</v>
      </c>
      <c r="J1686" s="1" t="s">
        <v>884</v>
      </c>
      <c r="K1686" s="8">
        <f t="shared" si="138"/>
        <v>73.27</v>
      </c>
    </row>
    <row r="1687" spans="6:11" ht="24" customHeight="1">
      <c r="F1687" s="2" t="s">
        <v>744</v>
      </c>
      <c r="H1687" s="1" t="s">
        <v>1042</v>
      </c>
      <c r="K1687" s="8">
        <v>2000</v>
      </c>
    </row>
    <row r="1688" spans="6:11" ht="24" customHeight="1">
      <c r="K1688" s="5" t="s">
        <v>1667</v>
      </c>
    </row>
    <row r="1689" spans="6:11" ht="24" customHeight="1">
      <c r="H1689" s="1" t="s">
        <v>1043</v>
      </c>
      <c r="K1689" s="8">
        <f>SUM(K1679:K1687)</f>
        <v>5353.42</v>
      </c>
    </row>
    <row r="1690" spans="6:11" ht="24" customHeight="1">
      <c r="K1690" s="5" t="s">
        <v>1667</v>
      </c>
    </row>
    <row r="1691" spans="6:11" ht="24" customHeight="1">
      <c r="H1691" s="1" t="s">
        <v>1461</v>
      </c>
      <c r="K1691" s="40">
        <f>K1689/20</f>
        <v>267.67</v>
      </c>
    </row>
    <row r="1692" spans="6:11" ht="24" customHeight="1">
      <c r="K1692" s="5" t="s">
        <v>2130</v>
      </c>
    </row>
    <row r="1694" spans="6:11" ht="24" customHeight="1">
      <c r="F1694" s="2" t="s">
        <v>1044</v>
      </c>
      <c r="H1694" s="1" t="s">
        <v>1374</v>
      </c>
    </row>
    <row r="1695" spans="6:11" ht="24" customHeight="1">
      <c r="H1695" s="5" t="s">
        <v>1667</v>
      </c>
    </row>
    <row r="1696" spans="6:11" ht="24" customHeight="1">
      <c r="F1696" s="8">
        <v>0.1</v>
      </c>
      <c r="G1696" s="7" t="s">
        <v>884</v>
      </c>
      <c r="H1696" s="1" t="s">
        <v>362</v>
      </c>
      <c r="I1696" s="8">
        <f>K90</f>
        <v>96.6</v>
      </c>
      <c r="J1696" s="1" t="s">
        <v>884</v>
      </c>
      <c r="K1696" s="8">
        <f t="shared" ref="K1696:K1701" si="139">(F1696*I1696)</f>
        <v>9.66</v>
      </c>
    </row>
    <row r="1697" spans="6:11" ht="24" customHeight="1">
      <c r="F1697" s="8">
        <v>6.3</v>
      </c>
      <c r="G1697" s="7" t="s">
        <v>2272</v>
      </c>
      <c r="H1697" s="1" t="s">
        <v>643</v>
      </c>
      <c r="I1697" s="57">
        <v>29</v>
      </c>
      <c r="J1697" s="1" t="s">
        <v>2272</v>
      </c>
      <c r="K1697" s="8">
        <f t="shared" si="139"/>
        <v>182.7</v>
      </c>
    </row>
    <row r="1698" spans="6:11" ht="24" customHeight="1">
      <c r="F1698" s="8">
        <v>6.3</v>
      </c>
      <c r="G1698" s="7" t="s">
        <v>2272</v>
      </c>
      <c r="H1698" s="1" t="s">
        <v>1185</v>
      </c>
      <c r="I1698" s="57">
        <f>I1685</f>
        <v>13.85</v>
      </c>
      <c r="J1698" s="1" t="s">
        <v>2272</v>
      </c>
      <c r="K1698" s="8">
        <f t="shared" si="139"/>
        <v>87.26</v>
      </c>
    </row>
    <row r="1699" spans="6:11" ht="24" customHeight="1">
      <c r="F1699" s="8">
        <v>3.15</v>
      </c>
      <c r="G1699" s="7" t="s">
        <v>234</v>
      </c>
      <c r="H1699" s="1" t="s">
        <v>644</v>
      </c>
      <c r="I1699" s="8">
        <f>C197</f>
        <v>35</v>
      </c>
      <c r="J1699" s="1" t="s">
        <v>234</v>
      </c>
      <c r="K1699" s="8">
        <f t="shared" si="139"/>
        <v>110.25</v>
      </c>
    </row>
    <row r="1700" spans="6:11" ht="24" customHeight="1">
      <c r="F1700" s="8">
        <v>0.25</v>
      </c>
      <c r="G1700" s="7" t="s">
        <v>1843</v>
      </c>
      <c r="H1700" s="1" t="s">
        <v>645</v>
      </c>
      <c r="I1700" s="8">
        <f>D16</f>
        <v>386.4</v>
      </c>
      <c r="J1700" s="1" t="s">
        <v>1843</v>
      </c>
      <c r="K1700" s="8">
        <f t="shared" si="139"/>
        <v>96.6</v>
      </c>
    </row>
    <row r="1701" spans="6:11" ht="24" customHeight="1">
      <c r="F1701" s="8">
        <v>0.2</v>
      </c>
      <c r="G1701" s="7" t="s">
        <v>1843</v>
      </c>
      <c r="H1701" s="1" t="s">
        <v>646</v>
      </c>
      <c r="I1701" s="8">
        <f>AC38</f>
        <v>374.85</v>
      </c>
      <c r="J1701" s="1" t="s">
        <v>1843</v>
      </c>
      <c r="K1701" s="8">
        <f t="shared" si="139"/>
        <v>74.97</v>
      </c>
    </row>
    <row r="1702" spans="6:11" ht="24" customHeight="1">
      <c r="H1702" s="1" t="s">
        <v>506</v>
      </c>
      <c r="I1702" s="1" t="s">
        <v>995</v>
      </c>
      <c r="J1702" s="1" t="s">
        <v>995</v>
      </c>
      <c r="K1702" s="8">
        <v>0</v>
      </c>
    </row>
    <row r="1703" spans="6:11" ht="24" customHeight="1">
      <c r="J1703" s="1" t="s">
        <v>995</v>
      </c>
      <c r="K1703" s="5" t="s">
        <v>1667</v>
      </c>
    </row>
    <row r="1704" spans="6:11" ht="24" customHeight="1">
      <c r="F1704" s="1" t="s">
        <v>995</v>
      </c>
      <c r="G1704" s="7" t="s">
        <v>995</v>
      </c>
      <c r="H1704" s="1" t="s">
        <v>1461</v>
      </c>
      <c r="K1704" s="40">
        <f>SUM(K1696:K1703)</f>
        <v>561.44000000000005</v>
      </c>
    </row>
    <row r="1705" spans="6:11" ht="24" customHeight="1">
      <c r="H1705" s="1" t="s">
        <v>995</v>
      </c>
      <c r="K1705" s="5" t="s">
        <v>1667</v>
      </c>
    </row>
    <row r="1706" spans="6:11" ht="24" customHeight="1">
      <c r="K1706" s="5"/>
    </row>
    <row r="1707" spans="6:11" ht="24" customHeight="1">
      <c r="F1707" s="2" t="s">
        <v>595</v>
      </c>
      <c r="H1707" s="1" t="s">
        <v>945</v>
      </c>
    </row>
    <row r="1708" spans="6:11" ht="24" customHeight="1">
      <c r="H1708" s="5" t="s">
        <v>1667</v>
      </c>
    </row>
    <row r="1709" spans="6:11" ht="24" customHeight="1">
      <c r="F1709" s="17">
        <v>0.48599999999999999</v>
      </c>
      <c r="G1709" s="7" t="s">
        <v>1402</v>
      </c>
      <c r="H1709" s="1" t="s">
        <v>362</v>
      </c>
      <c r="I1709" s="8">
        <f>C61</f>
        <v>48.3</v>
      </c>
      <c r="J1709" s="1" t="s">
        <v>1402</v>
      </c>
      <c r="K1709" s="8">
        <f t="shared" ref="K1709:K1715" si="140">(F1709*I1709)</f>
        <v>23.47</v>
      </c>
    </row>
    <row r="1710" spans="6:11" ht="24" customHeight="1">
      <c r="F1710" s="17">
        <v>0.48599999999999999</v>
      </c>
      <c r="G1710" s="7" t="s">
        <v>1402</v>
      </c>
      <c r="H1710" s="1" t="s">
        <v>363</v>
      </c>
      <c r="I1710" s="8">
        <f>K203</f>
        <v>2798.38</v>
      </c>
      <c r="J1710" s="1" t="s">
        <v>1402</v>
      </c>
      <c r="K1710" s="8">
        <f t="shared" si="140"/>
        <v>1360.01</v>
      </c>
    </row>
    <row r="1711" spans="6:11" ht="24" customHeight="1">
      <c r="F1711" s="8">
        <v>81.75</v>
      </c>
      <c r="G1711" s="7" t="s">
        <v>364</v>
      </c>
      <c r="H1711" s="1" t="s">
        <v>365</v>
      </c>
      <c r="I1711" s="8">
        <f>I707</f>
        <v>48</v>
      </c>
      <c r="J1711" s="1" t="s">
        <v>364</v>
      </c>
      <c r="K1711" s="8">
        <f t="shared" si="140"/>
        <v>3924</v>
      </c>
    </row>
    <row r="1712" spans="6:11" ht="24" customHeight="1">
      <c r="F1712" s="8">
        <v>7.2</v>
      </c>
      <c r="G1712" s="7" t="s">
        <v>364</v>
      </c>
      <c r="H1712" s="1" t="s">
        <v>366</v>
      </c>
      <c r="I1712" s="8">
        <f>I707</f>
        <v>48</v>
      </c>
      <c r="J1712" s="1" t="s">
        <v>364</v>
      </c>
      <c r="K1712" s="8">
        <f t="shared" si="140"/>
        <v>345.6</v>
      </c>
    </row>
    <row r="1713" spans="6:12" ht="24" customHeight="1">
      <c r="F1713" s="8">
        <v>43.68</v>
      </c>
      <c r="G1713" s="7" t="s">
        <v>364</v>
      </c>
      <c r="H1713" s="1" t="s">
        <v>1636</v>
      </c>
      <c r="I1713" s="8">
        <f>I705</f>
        <v>48</v>
      </c>
      <c r="J1713" s="1" t="s">
        <v>364</v>
      </c>
      <c r="K1713" s="8">
        <f t="shared" si="140"/>
        <v>2096.64</v>
      </c>
    </row>
    <row r="1714" spans="6:12" ht="24" customHeight="1">
      <c r="F1714" s="8">
        <v>132.63</v>
      </c>
      <c r="G1714" s="7" t="s">
        <v>364</v>
      </c>
      <c r="H1714" s="1" t="s">
        <v>1637</v>
      </c>
      <c r="I1714" s="8">
        <f>C37</f>
        <v>20.8</v>
      </c>
      <c r="J1714" s="1" t="s">
        <v>364</v>
      </c>
      <c r="K1714" s="8">
        <f t="shared" si="140"/>
        <v>2758.7</v>
      </c>
    </row>
    <row r="1715" spans="6:12" ht="24" customHeight="1">
      <c r="F1715" s="8">
        <v>2.2000000000000002</v>
      </c>
      <c r="G1715" s="7" t="s">
        <v>234</v>
      </c>
      <c r="H1715" s="1" t="s">
        <v>219</v>
      </c>
      <c r="I1715" s="347">
        <v>360</v>
      </c>
      <c r="J1715" s="1" t="s">
        <v>234</v>
      </c>
      <c r="K1715" s="8">
        <f t="shared" si="140"/>
        <v>792</v>
      </c>
    </row>
    <row r="1716" spans="6:12" ht="24" customHeight="1">
      <c r="F1716" s="6" t="s">
        <v>667</v>
      </c>
      <c r="H1716" s="1" t="s">
        <v>1638</v>
      </c>
      <c r="I1716" s="6" t="s">
        <v>667</v>
      </c>
      <c r="K1716" s="8">
        <v>250</v>
      </c>
    </row>
    <row r="1717" spans="6:12" ht="24" customHeight="1">
      <c r="F1717" s="6" t="s">
        <v>667</v>
      </c>
      <c r="H1717" s="1" t="s">
        <v>1460</v>
      </c>
      <c r="I1717" s="6" t="s">
        <v>667</v>
      </c>
      <c r="K1717" s="8">
        <v>20.47</v>
      </c>
    </row>
    <row r="1718" spans="6:12" ht="24" customHeight="1">
      <c r="K1718" s="5" t="s">
        <v>1667</v>
      </c>
    </row>
    <row r="1719" spans="6:12" ht="24" customHeight="1">
      <c r="K1719" s="8">
        <f>SUM(K1709:K1718)</f>
        <v>11570.89</v>
      </c>
    </row>
    <row r="1720" spans="6:12" ht="24" customHeight="1">
      <c r="K1720" s="5" t="s">
        <v>1667</v>
      </c>
    </row>
    <row r="1721" spans="6:12" ht="24" customHeight="1">
      <c r="K1721" s="5"/>
    </row>
    <row r="1722" spans="6:12" ht="24" customHeight="1">
      <c r="F1722" s="13">
        <v>86</v>
      </c>
      <c r="H1722" s="1" t="s">
        <v>2131</v>
      </c>
      <c r="K1722" s="8">
        <f>C775</f>
        <v>34</v>
      </c>
    </row>
    <row r="1723" spans="6:12" ht="24" customHeight="1">
      <c r="F1723" s="26"/>
      <c r="H1723" s="1"/>
      <c r="K1723" s="8"/>
    </row>
    <row r="1724" spans="6:12" ht="24" customHeight="1">
      <c r="F1724" s="2" t="s">
        <v>1736</v>
      </c>
      <c r="H1724" s="1" t="s">
        <v>2363</v>
      </c>
      <c r="K1724" s="641">
        <v>9</v>
      </c>
      <c r="L1724" t="s">
        <v>184</v>
      </c>
    </row>
    <row r="1725" spans="6:12" ht="24" customHeight="1">
      <c r="H1725" s="1" t="s">
        <v>2364</v>
      </c>
      <c r="K1725">
        <f>700*K1724</f>
        <v>6300</v>
      </c>
    </row>
    <row r="1726" spans="6:12" ht="24" customHeight="1">
      <c r="F1726" s="1" t="s">
        <v>995</v>
      </c>
      <c r="H1726" s="1" t="s">
        <v>2858</v>
      </c>
      <c r="K1726">
        <f>200*K1724</f>
        <v>1800</v>
      </c>
    </row>
    <row r="1727" spans="6:12" ht="24" customHeight="1">
      <c r="F1727" s="26"/>
      <c r="G1727" s="7" t="s">
        <v>2338</v>
      </c>
      <c r="H1727" s="1" t="s">
        <v>2124</v>
      </c>
    </row>
    <row r="1728" spans="6:12" ht="24" customHeight="1">
      <c r="H1728" s="1" t="s">
        <v>2365</v>
      </c>
    </row>
    <row r="1729" spans="6:11" ht="24" customHeight="1">
      <c r="H1729" s="1" t="s">
        <v>967</v>
      </c>
    </row>
    <row r="1730" spans="6:11" ht="24" customHeight="1">
      <c r="H1730" s="5" t="s">
        <v>1667</v>
      </c>
    </row>
    <row r="1731" spans="6:11" ht="24" customHeight="1">
      <c r="G1731" s="7" t="s">
        <v>2366</v>
      </c>
      <c r="H1731" s="1" t="s">
        <v>967</v>
      </c>
      <c r="K1731" s="1" t="s">
        <v>1514</v>
      </c>
    </row>
    <row r="1732" spans="6:11" ht="24" customHeight="1">
      <c r="H1732" s="5" t="s">
        <v>1667</v>
      </c>
      <c r="K1732" s="5" t="s">
        <v>2130</v>
      </c>
    </row>
    <row r="1733" spans="6:11" ht="24" customHeight="1">
      <c r="F1733" s="8">
        <v>30</v>
      </c>
      <c r="G1733" s="7" t="s">
        <v>1854</v>
      </c>
      <c r="H1733" s="1" t="s">
        <v>1750</v>
      </c>
      <c r="I1733" s="8">
        <f>(C638)</f>
        <v>3.7</v>
      </c>
      <c r="J1733" s="1" t="s">
        <v>1854</v>
      </c>
      <c r="K1733" s="8">
        <f>(F1733*I1733)</f>
        <v>111</v>
      </c>
    </row>
    <row r="1734" spans="6:11" ht="24" customHeight="1">
      <c r="F1734" s="1" t="s">
        <v>995</v>
      </c>
      <c r="H1734" s="1" t="s">
        <v>1753</v>
      </c>
      <c r="I1734" s="1" t="s">
        <v>995</v>
      </c>
      <c r="K1734" s="1" t="s">
        <v>995</v>
      </c>
    </row>
    <row r="1735" spans="6:11" ht="24" customHeight="1">
      <c r="F1735" s="8">
        <v>8</v>
      </c>
      <c r="G1735" s="7" t="s">
        <v>883</v>
      </c>
      <c r="H1735" s="1" t="s">
        <v>2218</v>
      </c>
      <c r="I1735" s="8">
        <f>(C640)</f>
        <v>3.6</v>
      </c>
      <c r="J1735" s="1" t="s">
        <v>883</v>
      </c>
      <c r="K1735" s="8">
        <f t="shared" ref="K1735:K1740" si="141">(F1735*I1735)</f>
        <v>28.8</v>
      </c>
    </row>
    <row r="1736" spans="6:11" ht="24" customHeight="1">
      <c r="F1736" s="8">
        <v>8</v>
      </c>
      <c r="G1736" s="7" t="s">
        <v>883</v>
      </c>
      <c r="H1736" s="1" t="s">
        <v>467</v>
      </c>
      <c r="I1736" s="8">
        <f>(C641)</f>
        <v>5.05</v>
      </c>
      <c r="J1736" s="1" t="s">
        <v>883</v>
      </c>
      <c r="K1736" s="8">
        <f t="shared" si="141"/>
        <v>40.4</v>
      </c>
    </row>
    <row r="1737" spans="6:11" ht="24" customHeight="1">
      <c r="F1737" s="8">
        <v>3</v>
      </c>
      <c r="G1737" s="7" t="s">
        <v>883</v>
      </c>
      <c r="H1737" s="1" t="s">
        <v>1922</v>
      </c>
      <c r="I1737" s="8">
        <f>(C41)</f>
        <v>305.55</v>
      </c>
      <c r="J1737" s="1" t="s">
        <v>883</v>
      </c>
      <c r="K1737" s="8">
        <f t="shared" si="141"/>
        <v>916.65</v>
      </c>
    </row>
    <row r="1738" spans="6:11" ht="24" customHeight="1">
      <c r="F1738" s="8">
        <v>1</v>
      </c>
      <c r="G1738" s="7" t="s">
        <v>883</v>
      </c>
      <c r="H1738" s="1" t="s">
        <v>1440</v>
      </c>
      <c r="I1738" s="8">
        <f>(C10)</f>
        <v>430.5</v>
      </c>
      <c r="J1738" s="1" t="s">
        <v>883</v>
      </c>
      <c r="K1738" s="8">
        <f t="shared" si="141"/>
        <v>430.5</v>
      </c>
    </row>
    <row r="1739" spans="6:11" ht="24" customHeight="1">
      <c r="F1739" s="8">
        <v>2</v>
      </c>
      <c r="G1739" s="7" t="s">
        <v>883</v>
      </c>
      <c r="H1739" s="1" t="s">
        <v>1979</v>
      </c>
      <c r="I1739" s="8">
        <f>(C12)</f>
        <v>269.85000000000002</v>
      </c>
      <c r="J1739" s="1" t="s">
        <v>883</v>
      </c>
      <c r="K1739" s="8">
        <f t="shared" si="141"/>
        <v>539.70000000000005</v>
      </c>
    </row>
    <row r="1740" spans="6:11" ht="24" customHeight="1">
      <c r="F1740" s="8">
        <v>1</v>
      </c>
      <c r="G1740" s="7" t="s">
        <v>883</v>
      </c>
      <c r="H1740" s="1" t="s">
        <v>324</v>
      </c>
      <c r="I1740" s="8">
        <f>(C13)</f>
        <v>243.6</v>
      </c>
      <c r="J1740" s="1" t="s">
        <v>883</v>
      </c>
      <c r="K1740" s="8">
        <f t="shared" si="141"/>
        <v>243.6</v>
      </c>
    </row>
    <row r="1741" spans="6:11" ht="24" customHeight="1">
      <c r="G1741" s="7" t="s">
        <v>448</v>
      </c>
      <c r="H1741" s="1" t="s">
        <v>1441</v>
      </c>
      <c r="I1741" s="1" t="s">
        <v>995</v>
      </c>
      <c r="J1741" s="1" t="s">
        <v>448</v>
      </c>
      <c r="K1741" s="8">
        <v>5</v>
      </c>
    </row>
    <row r="1742" spans="6:11" ht="24" customHeight="1">
      <c r="H1742" s="1" t="s">
        <v>947</v>
      </c>
      <c r="I1742" s="1" t="s">
        <v>995</v>
      </c>
      <c r="K1742" s="1" t="s">
        <v>995</v>
      </c>
    </row>
    <row r="1743" spans="6:11" ht="24" customHeight="1">
      <c r="G1743" s="7" t="s">
        <v>448</v>
      </c>
      <c r="H1743" s="1" t="s">
        <v>449</v>
      </c>
      <c r="J1743" s="1" t="s">
        <v>448</v>
      </c>
      <c r="K1743" s="8">
        <v>0</v>
      </c>
    </row>
    <row r="1744" spans="6:11" ht="24" customHeight="1">
      <c r="K1744" s="5" t="s">
        <v>1667</v>
      </c>
    </row>
    <row r="1745" spans="6:11" ht="24" customHeight="1">
      <c r="H1745" s="1" t="s">
        <v>1927</v>
      </c>
      <c r="K1745" s="8">
        <f>SUM(K1733:K1743)</f>
        <v>2315.65</v>
      </c>
    </row>
    <row r="1746" spans="6:11" ht="24" customHeight="1">
      <c r="K1746" s="5" t="s">
        <v>1667</v>
      </c>
    </row>
    <row r="1747" spans="6:11" ht="24" customHeight="1">
      <c r="H1747" s="1" t="s">
        <v>1622</v>
      </c>
      <c r="K1747" s="8">
        <f>(K1745/30)</f>
        <v>77.19</v>
      </c>
    </row>
    <row r="1748" spans="6:11" ht="24" customHeight="1">
      <c r="K1748" s="5" t="s">
        <v>1667</v>
      </c>
    </row>
    <row r="1749" spans="6:11" ht="24" customHeight="1">
      <c r="G1749" s="7" t="s">
        <v>519</v>
      </c>
      <c r="H1749" s="1" t="s">
        <v>967</v>
      </c>
      <c r="K1749" s="1" t="s">
        <v>22</v>
      </c>
    </row>
    <row r="1750" spans="6:11" ht="24" customHeight="1">
      <c r="H1750" s="5" t="s">
        <v>1667</v>
      </c>
      <c r="K1750" s="5" t="s">
        <v>2130</v>
      </c>
    </row>
    <row r="1751" spans="6:11" ht="24" customHeight="1">
      <c r="F1751" s="8">
        <v>30</v>
      </c>
      <c r="G1751" s="7" t="s">
        <v>1854</v>
      </c>
      <c r="H1751" s="1" t="s">
        <v>1750</v>
      </c>
      <c r="I1751" s="8">
        <f>(C638)</f>
        <v>3.7</v>
      </c>
      <c r="J1751" s="1" t="s">
        <v>1854</v>
      </c>
      <c r="K1751" s="8">
        <f>(F1751*I1751)</f>
        <v>111</v>
      </c>
    </row>
    <row r="1752" spans="6:11" ht="24" customHeight="1">
      <c r="F1752" s="1" t="s">
        <v>995</v>
      </c>
      <c r="H1752" s="1" t="s">
        <v>1753</v>
      </c>
      <c r="I1752" s="1" t="s">
        <v>995</v>
      </c>
      <c r="K1752" s="1" t="s">
        <v>995</v>
      </c>
    </row>
    <row r="1753" spans="6:11" ht="24" customHeight="1">
      <c r="F1753" s="8">
        <v>8</v>
      </c>
      <c r="G1753" s="7" t="s">
        <v>883</v>
      </c>
      <c r="H1753" s="1" t="s">
        <v>2218</v>
      </c>
      <c r="I1753" s="8">
        <f>(C640)</f>
        <v>3.6</v>
      </c>
      <c r="J1753" s="1" t="s">
        <v>883</v>
      </c>
      <c r="K1753" s="8">
        <f t="shared" ref="K1753:K1758" si="142">(F1753*I1753)</f>
        <v>28.8</v>
      </c>
    </row>
    <row r="1754" spans="6:11" ht="24" customHeight="1">
      <c r="F1754" s="8">
        <v>8</v>
      </c>
      <c r="G1754" s="7" t="s">
        <v>883</v>
      </c>
      <c r="H1754" s="1" t="s">
        <v>467</v>
      </c>
      <c r="I1754" s="8">
        <f>D641</f>
        <v>5.25</v>
      </c>
      <c r="J1754" s="1" t="s">
        <v>883</v>
      </c>
      <c r="K1754" s="8">
        <f t="shared" si="142"/>
        <v>42</v>
      </c>
    </row>
    <row r="1755" spans="6:11" ht="24" customHeight="1">
      <c r="F1755" s="8">
        <v>3</v>
      </c>
      <c r="G1755" s="7" t="s">
        <v>883</v>
      </c>
      <c r="H1755" s="1" t="s">
        <v>1922</v>
      </c>
      <c r="I1755" s="8">
        <f>(C41)</f>
        <v>305.55</v>
      </c>
      <c r="J1755" s="1" t="s">
        <v>883</v>
      </c>
      <c r="K1755" s="8">
        <f t="shared" si="142"/>
        <v>916.65</v>
      </c>
    </row>
    <row r="1756" spans="6:11" ht="24" customHeight="1">
      <c r="F1756" s="8">
        <v>1</v>
      </c>
      <c r="G1756" s="7" t="s">
        <v>883</v>
      </c>
      <c r="H1756" s="1" t="s">
        <v>1440</v>
      </c>
      <c r="I1756" s="8">
        <f>(C10)</f>
        <v>430.5</v>
      </c>
      <c r="J1756" s="1" t="s">
        <v>883</v>
      </c>
      <c r="K1756" s="8">
        <f t="shared" si="142"/>
        <v>430.5</v>
      </c>
    </row>
    <row r="1757" spans="6:11" ht="24" customHeight="1">
      <c r="F1757" s="8">
        <v>2</v>
      </c>
      <c r="G1757" s="7" t="s">
        <v>883</v>
      </c>
      <c r="H1757" s="1" t="s">
        <v>1979</v>
      </c>
      <c r="I1757" s="8">
        <f>(C12)</f>
        <v>269.85000000000002</v>
      </c>
      <c r="J1757" s="1" t="s">
        <v>883</v>
      </c>
      <c r="K1757" s="8">
        <f t="shared" si="142"/>
        <v>539.70000000000005</v>
      </c>
    </row>
    <row r="1758" spans="6:11" ht="24" customHeight="1">
      <c r="F1758" s="8">
        <v>1</v>
      </c>
      <c r="G1758" s="7" t="s">
        <v>883</v>
      </c>
      <c r="H1758" s="1" t="s">
        <v>324</v>
      </c>
      <c r="I1758" s="8">
        <f>(C13)</f>
        <v>243.6</v>
      </c>
      <c r="J1758" s="1" t="s">
        <v>883</v>
      </c>
      <c r="K1758" s="8">
        <f t="shared" si="142"/>
        <v>243.6</v>
      </c>
    </row>
    <row r="1759" spans="6:11" ht="24" customHeight="1">
      <c r="G1759" s="7" t="s">
        <v>448</v>
      </c>
      <c r="H1759" s="1" t="s">
        <v>1441</v>
      </c>
      <c r="I1759" s="1" t="s">
        <v>995</v>
      </c>
      <c r="J1759" s="1" t="s">
        <v>448</v>
      </c>
      <c r="K1759" s="8">
        <v>5</v>
      </c>
    </row>
    <row r="1760" spans="6:11" ht="24" customHeight="1">
      <c r="H1760" s="1" t="s">
        <v>947</v>
      </c>
      <c r="I1760" s="1" t="s">
        <v>995</v>
      </c>
      <c r="K1760" s="1" t="s">
        <v>995</v>
      </c>
    </row>
    <row r="1761" spans="6:18" ht="24" customHeight="1">
      <c r="G1761" s="7" t="s">
        <v>448</v>
      </c>
      <c r="H1761" s="1" t="s">
        <v>449</v>
      </c>
      <c r="J1761" s="1" t="s">
        <v>448</v>
      </c>
      <c r="K1761" s="8">
        <v>0</v>
      </c>
    </row>
    <row r="1762" spans="6:18" ht="24" customHeight="1">
      <c r="K1762" s="5" t="s">
        <v>1667</v>
      </c>
    </row>
    <row r="1763" spans="6:18" ht="24" customHeight="1">
      <c r="H1763" s="1" t="s">
        <v>1927</v>
      </c>
      <c r="K1763" s="8">
        <f>SUM(K1751:K1761)</f>
        <v>2317.25</v>
      </c>
    </row>
    <row r="1764" spans="6:18" ht="24" customHeight="1">
      <c r="K1764" s="5" t="s">
        <v>1667</v>
      </c>
    </row>
    <row r="1765" spans="6:18" ht="24" customHeight="1">
      <c r="H1765" s="1" t="s">
        <v>1622</v>
      </c>
      <c r="K1765" s="8">
        <f>(K1763/30)</f>
        <v>77.239999999999995</v>
      </c>
    </row>
    <row r="1766" spans="6:18" ht="24" customHeight="1">
      <c r="K1766" s="5" t="s">
        <v>1667</v>
      </c>
    </row>
    <row r="1767" spans="6:18" ht="24" customHeight="1">
      <c r="G1767" s="7" t="s">
        <v>1981</v>
      </c>
      <c r="H1767" s="1" t="s">
        <v>967</v>
      </c>
      <c r="K1767" s="1" t="s">
        <v>23</v>
      </c>
      <c r="N1767" s="7" t="s">
        <v>1981</v>
      </c>
      <c r="O1767" s="1" t="s">
        <v>967</v>
      </c>
      <c r="Q1767" s="11"/>
      <c r="R1767" s="1" t="s">
        <v>1804</v>
      </c>
    </row>
    <row r="1768" spans="6:18" ht="24" customHeight="1">
      <c r="H1768" s="5" t="s">
        <v>1667</v>
      </c>
      <c r="K1768" s="5" t="s">
        <v>2130</v>
      </c>
      <c r="N1768" s="3"/>
      <c r="O1768" s="5" t="s">
        <v>1667</v>
      </c>
      <c r="Q1768" s="11"/>
      <c r="R1768" s="5" t="s">
        <v>2130</v>
      </c>
    </row>
    <row r="1769" spans="6:18" ht="24" customHeight="1">
      <c r="F1769" s="8">
        <v>30</v>
      </c>
      <c r="G1769" s="7" t="s">
        <v>1854</v>
      </c>
      <c r="H1769" s="1" t="s">
        <v>1750</v>
      </c>
      <c r="I1769" s="8">
        <f>(C638)</f>
        <v>3.7</v>
      </c>
      <c r="J1769" s="1" t="s">
        <v>1854</v>
      </c>
      <c r="K1769" s="8">
        <f>(F1769*I1769)</f>
        <v>111</v>
      </c>
      <c r="M1769" s="8">
        <v>30</v>
      </c>
      <c r="N1769" s="7" t="s">
        <v>1854</v>
      </c>
      <c r="O1769" s="1" t="s">
        <v>1750</v>
      </c>
      <c r="P1769" s="8">
        <f>I1769</f>
        <v>3.7</v>
      </c>
      <c r="Q1769" s="1" t="s">
        <v>1854</v>
      </c>
      <c r="R1769" s="8">
        <f>(M1769*P1769)</f>
        <v>111</v>
      </c>
    </row>
    <row r="1770" spans="6:18" ht="24" customHeight="1">
      <c r="F1770" s="1" t="s">
        <v>995</v>
      </c>
      <c r="H1770" s="1" t="s">
        <v>1753</v>
      </c>
      <c r="I1770" s="1" t="s">
        <v>995</v>
      </c>
      <c r="K1770" s="1" t="s">
        <v>995</v>
      </c>
      <c r="M1770" s="1" t="s">
        <v>995</v>
      </c>
      <c r="N1770" s="3"/>
      <c r="O1770" s="1" t="s">
        <v>1753</v>
      </c>
      <c r="P1770" s="8" t="str">
        <f t="shared" ref="P1770:P1779" si="143">I1770</f>
        <v/>
      </c>
      <c r="Q1770" s="11"/>
      <c r="R1770" s="1" t="s">
        <v>995</v>
      </c>
    </row>
    <row r="1771" spans="6:18" ht="24" customHeight="1">
      <c r="F1771" s="8">
        <v>8</v>
      </c>
      <c r="G1771" s="7" t="s">
        <v>883</v>
      </c>
      <c r="H1771" s="1" t="s">
        <v>2218</v>
      </c>
      <c r="I1771" s="8">
        <f>D640</f>
        <v>4.4000000000000004</v>
      </c>
      <c r="J1771" s="1" t="s">
        <v>883</v>
      </c>
      <c r="K1771" s="8">
        <f t="shared" ref="K1771:K1776" si="144">(F1771*I1771)</f>
        <v>35.200000000000003</v>
      </c>
      <c r="M1771" s="8">
        <v>8</v>
      </c>
      <c r="N1771" s="7" t="s">
        <v>883</v>
      </c>
      <c r="O1771" s="1" t="s">
        <v>2218</v>
      </c>
      <c r="P1771" s="57">
        <v>4.5999999999999996</v>
      </c>
      <c r="Q1771" s="1" t="s">
        <v>883</v>
      </c>
      <c r="R1771" s="8">
        <f t="shared" ref="R1771:R1776" si="145">(M1771*P1771)</f>
        <v>36.799999999999997</v>
      </c>
    </row>
    <row r="1772" spans="6:18" ht="24" customHeight="1">
      <c r="F1772" s="8">
        <v>8</v>
      </c>
      <c r="G1772" s="7" t="s">
        <v>883</v>
      </c>
      <c r="H1772" s="1" t="s">
        <v>467</v>
      </c>
      <c r="I1772" s="8">
        <f>C646</f>
        <v>10.55</v>
      </c>
      <c r="J1772" s="1" t="s">
        <v>883</v>
      </c>
      <c r="K1772" s="8">
        <f t="shared" si="144"/>
        <v>84.4</v>
      </c>
      <c r="M1772" s="8">
        <v>8</v>
      </c>
      <c r="N1772" s="7" t="s">
        <v>883</v>
      </c>
      <c r="O1772" s="1" t="s">
        <v>467</v>
      </c>
      <c r="P1772" s="57">
        <v>12.4</v>
      </c>
      <c r="Q1772" s="1" t="s">
        <v>883</v>
      </c>
      <c r="R1772" s="8">
        <f t="shared" si="145"/>
        <v>99.2</v>
      </c>
    </row>
    <row r="1773" spans="6:18" ht="24" customHeight="1">
      <c r="F1773" s="8">
        <v>3</v>
      </c>
      <c r="G1773" s="7" t="s">
        <v>883</v>
      </c>
      <c r="H1773" s="1" t="s">
        <v>1922</v>
      </c>
      <c r="I1773" s="8">
        <f>(C41)</f>
        <v>305.55</v>
      </c>
      <c r="J1773" s="1" t="s">
        <v>883</v>
      </c>
      <c r="K1773" s="8">
        <f t="shared" si="144"/>
        <v>916.65</v>
      </c>
      <c r="M1773" s="8">
        <v>3</v>
      </c>
      <c r="N1773" s="7" t="s">
        <v>883</v>
      </c>
      <c r="O1773" s="1" t="s">
        <v>1922</v>
      </c>
      <c r="P1773" s="8">
        <f t="shared" si="143"/>
        <v>305.55</v>
      </c>
      <c r="Q1773" s="1" t="s">
        <v>883</v>
      </c>
      <c r="R1773" s="8">
        <f t="shared" si="145"/>
        <v>916.65</v>
      </c>
    </row>
    <row r="1774" spans="6:18" ht="24" customHeight="1">
      <c r="F1774" s="8">
        <v>1</v>
      </c>
      <c r="G1774" s="7" t="s">
        <v>883</v>
      </c>
      <c r="H1774" s="1" t="s">
        <v>1440</v>
      </c>
      <c r="I1774" s="8">
        <f>(C10)</f>
        <v>430.5</v>
      </c>
      <c r="J1774" s="1" t="s">
        <v>883</v>
      </c>
      <c r="K1774" s="8">
        <f t="shared" si="144"/>
        <v>430.5</v>
      </c>
      <c r="M1774" s="8">
        <v>1</v>
      </c>
      <c r="N1774" s="7" t="s">
        <v>883</v>
      </c>
      <c r="O1774" s="1" t="s">
        <v>1440</v>
      </c>
      <c r="P1774" s="8">
        <f t="shared" si="143"/>
        <v>430.5</v>
      </c>
      <c r="Q1774" s="1" t="s">
        <v>883</v>
      </c>
      <c r="R1774" s="8">
        <f t="shared" si="145"/>
        <v>430.5</v>
      </c>
    </row>
    <row r="1775" spans="6:18" ht="24" customHeight="1">
      <c r="F1775" s="8">
        <v>2</v>
      </c>
      <c r="G1775" s="7" t="s">
        <v>883</v>
      </c>
      <c r="H1775" s="1" t="s">
        <v>1979</v>
      </c>
      <c r="I1775" s="8">
        <f>(C12)</f>
        <v>269.85000000000002</v>
      </c>
      <c r="J1775" s="1" t="s">
        <v>883</v>
      </c>
      <c r="K1775" s="8">
        <f t="shared" si="144"/>
        <v>539.70000000000005</v>
      </c>
      <c r="M1775" s="8">
        <v>2</v>
      </c>
      <c r="N1775" s="7" t="s">
        <v>883</v>
      </c>
      <c r="O1775" s="1" t="s">
        <v>1979</v>
      </c>
      <c r="P1775" s="8">
        <f t="shared" si="143"/>
        <v>269.85000000000002</v>
      </c>
      <c r="Q1775" s="1" t="s">
        <v>883</v>
      </c>
      <c r="R1775" s="8">
        <f t="shared" si="145"/>
        <v>539.70000000000005</v>
      </c>
    </row>
    <row r="1776" spans="6:18" ht="24" customHeight="1">
      <c r="F1776" s="8">
        <v>1</v>
      </c>
      <c r="G1776" s="7" t="s">
        <v>883</v>
      </c>
      <c r="H1776" s="1" t="s">
        <v>324</v>
      </c>
      <c r="I1776" s="8">
        <f>(C13)</f>
        <v>243.6</v>
      </c>
      <c r="J1776" s="1" t="s">
        <v>883</v>
      </c>
      <c r="K1776" s="8">
        <f t="shared" si="144"/>
        <v>243.6</v>
      </c>
      <c r="M1776" s="8">
        <v>1</v>
      </c>
      <c r="N1776" s="7" t="s">
        <v>883</v>
      </c>
      <c r="O1776" s="1" t="s">
        <v>324</v>
      </c>
      <c r="P1776" s="8">
        <f t="shared" si="143"/>
        <v>243.6</v>
      </c>
      <c r="Q1776" s="1" t="s">
        <v>883</v>
      </c>
      <c r="R1776" s="8">
        <f t="shared" si="145"/>
        <v>243.6</v>
      </c>
    </row>
    <row r="1777" spans="6:18" ht="24" customHeight="1">
      <c r="G1777" s="7" t="s">
        <v>448</v>
      </c>
      <c r="H1777" s="1" t="s">
        <v>1441</v>
      </c>
      <c r="I1777" s="1" t="s">
        <v>995</v>
      </c>
      <c r="J1777" s="1" t="s">
        <v>448</v>
      </c>
      <c r="K1777" s="8">
        <v>5</v>
      </c>
      <c r="N1777" s="7" t="s">
        <v>448</v>
      </c>
      <c r="O1777" s="1" t="s">
        <v>1441</v>
      </c>
      <c r="P1777" s="8" t="str">
        <f t="shared" si="143"/>
        <v/>
      </c>
      <c r="Q1777" s="1" t="s">
        <v>448</v>
      </c>
      <c r="R1777" s="8">
        <v>5</v>
      </c>
    </row>
    <row r="1778" spans="6:18" ht="24" customHeight="1">
      <c r="H1778" s="1" t="s">
        <v>947</v>
      </c>
      <c r="I1778" s="1" t="s">
        <v>995</v>
      </c>
      <c r="K1778" s="1" t="s">
        <v>995</v>
      </c>
      <c r="N1778" s="3"/>
      <c r="O1778" s="1" t="s">
        <v>947</v>
      </c>
      <c r="P1778" s="8" t="str">
        <f t="shared" si="143"/>
        <v/>
      </c>
      <c r="Q1778" s="11"/>
      <c r="R1778" s="1" t="s">
        <v>995</v>
      </c>
    </row>
    <row r="1779" spans="6:18" ht="24" customHeight="1">
      <c r="G1779" s="7" t="s">
        <v>448</v>
      </c>
      <c r="H1779" s="1" t="s">
        <v>449</v>
      </c>
      <c r="J1779" s="1" t="s">
        <v>448</v>
      </c>
      <c r="K1779" s="8">
        <v>0</v>
      </c>
      <c r="N1779" s="7" t="s">
        <v>448</v>
      </c>
      <c r="O1779" s="1" t="s">
        <v>449</v>
      </c>
      <c r="P1779" s="8">
        <f t="shared" si="143"/>
        <v>0</v>
      </c>
      <c r="Q1779" s="1" t="s">
        <v>448</v>
      </c>
      <c r="R1779" s="8">
        <v>0</v>
      </c>
    </row>
    <row r="1780" spans="6:18" ht="24" customHeight="1">
      <c r="K1780" s="5" t="s">
        <v>1667</v>
      </c>
      <c r="N1780" s="3"/>
      <c r="Q1780" s="11"/>
      <c r="R1780" s="5" t="s">
        <v>1667</v>
      </c>
    </row>
    <row r="1781" spans="6:18" ht="24" customHeight="1">
      <c r="H1781" s="1" t="s">
        <v>1927</v>
      </c>
      <c r="K1781" s="8">
        <f>SUM(K1769:K1779)</f>
        <v>2366.0500000000002</v>
      </c>
      <c r="N1781" s="3"/>
      <c r="O1781" s="1" t="s">
        <v>1927</v>
      </c>
      <c r="Q1781" s="11"/>
      <c r="R1781" s="8">
        <f>SUM(R1769:R1779)</f>
        <v>2382.4499999999998</v>
      </c>
    </row>
    <row r="1782" spans="6:18" ht="24" customHeight="1">
      <c r="K1782" s="5" t="s">
        <v>1667</v>
      </c>
      <c r="N1782" s="3"/>
      <c r="Q1782" s="11"/>
      <c r="R1782" s="5" t="s">
        <v>1667</v>
      </c>
    </row>
    <row r="1783" spans="6:18" ht="24" customHeight="1">
      <c r="H1783" s="1" t="s">
        <v>1622</v>
      </c>
      <c r="K1783" s="8">
        <f>(K1781/30)</f>
        <v>78.87</v>
      </c>
      <c r="N1783" s="3"/>
      <c r="O1783" s="1" t="s">
        <v>1622</v>
      </c>
      <c r="Q1783" s="11"/>
      <c r="R1783" s="8">
        <f>(R1781/30)</f>
        <v>79.42</v>
      </c>
    </row>
    <row r="1784" spans="6:18" ht="24" customHeight="1">
      <c r="K1784" s="5" t="s">
        <v>1667</v>
      </c>
      <c r="N1784" s="3"/>
      <c r="Q1784" s="11"/>
      <c r="R1784" s="5" t="s">
        <v>1667</v>
      </c>
    </row>
    <row r="1786" spans="6:18" ht="24" customHeight="1">
      <c r="F1786" s="45">
        <v>52</v>
      </c>
      <c r="G1786" s="7" t="s">
        <v>2338</v>
      </c>
      <c r="H1786" s="1" t="s">
        <v>102</v>
      </c>
    </row>
    <row r="1787" spans="6:18" ht="24" customHeight="1">
      <c r="H1787" s="1" t="s">
        <v>2244</v>
      </c>
    </row>
    <row r="1788" spans="6:18" ht="24" customHeight="1">
      <c r="H1788" s="1" t="s">
        <v>2245</v>
      </c>
      <c r="N1788" s="7" t="s">
        <v>1981</v>
      </c>
      <c r="O1788" s="1" t="s">
        <v>1805</v>
      </c>
      <c r="Q1788" s="11"/>
    </row>
    <row r="1789" spans="6:18" ht="24" customHeight="1">
      <c r="H1789" s="1" t="s">
        <v>1466</v>
      </c>
      <c r="N1789" s="3"/>
      <c r="O1789" s="5" t="s">
        <v>1667</v>
      </c>
      <c r="Q1789" s="11"/>
    </row>
    <row r="1790" spans="6:18" ht="24" customHeight="1">
      <c r="H1790" s="1" t="s">
        <v>1467</v>
      </c>
      <c r="M1790" s="8">
        <v>1</v>
      </c>
      <c r="N1790" s="7" t="s">
        <v>840</v>
      </c>
      <c r="O1790" s="1" t="s">
        <v>3068</v>
      </c>
      <c r="P1790" s="8">
        <v>99.87</v>
      </c>
      <c r="Q1790" s="1" t="s">
        <v>840</v>
      </c>
      <c r="R1790" s="8">
        <f>(M1790*P1790)</f>
        <v>99.87</v>
      </c>
    </row>
    <row r="1791" spans="6:18" ht="24" customHeight="1">
      <c r="H1791" s="1" t="s">
        <v>1412</v>
      </c>
      <c r="M1791" s="8">
        <v>1</v>
      </c>
      <c r="N1791" s="7" t="s">
        <v>448</v>
      </c>
      <c r="O1791" s="1" t="s">
        <v>1758</v>
      </c>
      <c r="P1791" s="8">
        <f>P1790*0.2</f>
        <v>19.97</v>
      </c>
      <c r="Q1791" s="1" t="s">
        <v>448</v>
      </c>
      <c r="R1791" s="8">
        <f>(M1791*P1791)</f>
        <v>19.97</v>
      </c>
    </row>
    <row r="1792" spans="6:18" ht="24" customHeight="1">
      <c r="H1792" s="1" t="s">
        <v>1413</v>
      </c>
      <c r="M1792" s="8">
        <v>1</v>
      </c>
      <c r="N1792" s="7" t="s">
        <v>840</v>
      </c>
      <c r="O1792" s="1" t="s">
        <v>167</v>
      </c>
      <c r="P1792" s="8">
        <f>R1783</f>
        <v>79.42</v>
      </c>
      <c r="Q1792" s="1" t="s">
        <v>840</v>
      </c>
      <c r="R1792" s="8">
        <f>(M1792*P1792)</f>
        <v>79.42</v>
      </c>
    </row>
    <row r="1793" spans="6:18" ht="24" customHeight="1">
      <c r="H1793" s="1" t="s">
        <v>718</v>
      </c>
      <c r="N1793" s="3"/>
      <c r="P1793" s="1" t="s">
        <v>995</v>
      </c>
      <c r="Q1793" s="11"/>
      <c r="R1793" s="5" t="s">
        <v>1667</v>
      </c>
    </row>
    <row r="1794" spans="6:18" ht="24" customHeight="1">
      <c r="H1794" s="5" t="s">
        <v>2130</v>
      </c>
      <c r="I1794" s="5" t="s">
        <v>2130</v>
      </c>
      <c r="N1794" s="3"/>
      <c r="O1794" s="1" t="s">
        <v>379</v>
      </c>
      <c r="Q1794" s="11"/>
      <c r="R1794" s="40">
        <f>SUM(R1790:R1792)</f>
        <v>199.26</v>
      </c>
    </row>
    <row r="1795" spans="6:18" ht="24" customHeight="1">
      <c r="G1795" s="7" t="s">
        <v>2338</v>
      </c>
      <c r="H1795" s="1" t="s">
        <v>934</v>
      </c>
      <c r="N1795" s="3"/>
      <c r="P1795" s="1" t="s">
        <v>995</v>
      </c>
      <c r="Q1795" s="11"/>
      <c r="R1795" s="5" t="s">
        <v>2130</v>
      </c>
    </row>
    <row r="1796" spans="6:18" ht="24" customHeight="1">
      <c r="H1796" s="1" t="s">
        <v>822</v>
      </c>
    </row>
    <row r="1797" spans="6:18" ht="24" customHeight="1">
      <c r="G1797" s="7" t="s">
        <v>321</v>
      </c>
      <c r="H1797" s="1" t="s">
        <v>823</v>
      </c>
    </row>
    <row r="1798" spans="6:18" ht="24" customHeight="1">
      <c r="H1798" s="5" t="s">
        <v>1667</v>
      </c>
      <c r="R1798">
        <v>0</v>
      </c>
    </row>
    <row r="1799" spans="6:18" ht="24" customHeight="1">
      <c r="F1799" s="8">
        <v>1</v>
      </c>
      <c r="G1799" s="7" t="s">
        <v>840</v>
      </c>
      <c r="H1799" s="1" t="s">
        <v>622</v>
      </c>
      <c r="I1799" s="8">
        <f>C509</f>
        <v>42.54</v>
      </c>
      <c r="J1799" s="1" t="s">
        <v>840</v>
      </c>
      <c r="K1799" s="8">
        <f>(F1799*I1799)</f>
        <v>42.54</v>
      </c>
    </row>
    <row r="1800" spans="6:18" ht="24" customHeight="1">
      <c r="F1800" s="8">
        <v>1</v>
      </c>
      <c r="G1800" s="7" t="s">
        <v>448</v>
      </c>
      <c r="H1800" s="1" t="s">
        <v>1881</v>
      </c>
      <c r="I1800" s="8">
        <f>I1799*0.7</f>
        <v>29.78</v>
      </c>
      <c r="J1800" s="1" t="s">
        <v>448</v>
      </c>
      <c r="K1800" s="8">
        <f>(F1800*I1800)</f>
        <v>29.78</v>
      </c>
    </row>
    <row r="1801" spans="6:18" ht="24" customHeight="1">
      <c r="F1801" s="8">
        <v>1</v>
      </c>
      <c r="G1801" s="7" t="s">
        <v>840</v>
      </c>
      <c r="H1801" s="1" t="s">
        <v>167</v>
      </c>
      <c r="I1801" s="8">
        <f>K1747</f>
        <v>77.19</v>
      </c>
      <c r="J1801" s="1" t="s">
        <v>840</v>
      </c>
      <c r="K1801" s="8">
        <f>(F1801*I1801)</f>
        <v>77.19</v>
      </c>
    </row>
    <row r="1802" spans="6:18" ht="24" customHeight="1">
      <c r="I1802" s="1" t="s">
        <v>995</v>
      </c>
      <c r="K1802" s="5" t="s">
        <v>1667</v>
      </c>
    </row>
    <row r="1803" spans="6:18" ht="24" customHeight="1">
      <c r="H1803" s="1" t="s">
        <v>379</v>
      </c>
      <c r="K1803" s="40">
        <f>SUM(K1799:K1801)</f>
        <v>149.51</v>
      </c>
    </row>
    <row r="1804" spans="6:18" ht="24" customHeight="1">
      <c r="H1804" s="1" t="s">
        <v>995</v>
      </c>
      <c r="I1804" s="1" t="s">
        <v>995</v>
      </c>
      <c r="K1804" s="5" t="s">
        <v>2130</v>
      </c>
    </row>
    <row r="1805" spans="6:18" ht="24" customHeight="1">
      <c r="G1805" s="7" t="s">
        <v>519</v>
      </c>
      <c r="H1805" s="1" t="s">
        <v>754</v>
      </c>
    </row>
    <row r="1806" spans="6:18" ht="24" customHeight="1">
      <c r="H1806" s="5" t="s">
        <v>1667</v>
      </c>
    </row>
    <row r="1807" spans="6:18" ht="24" customHeight="1">
      <c r="F1807" s="8">
        <v>1</v>
      </c>
      <c r="G1807" s="7" t="s">
        <v>840</v>
      </c>
      <c r="H1807" s="1" t="s">
        <v>755</v>
      </c>
      <c r="I1807" s="8">
        <f>C510</f>
        <v>56</v>
      </c>
      <c r="J1807" s="1" t="s">
        <v>840</v>
      </c>
      <c r="K1807" s="8">
        <f>(F1807*I1807)</f>
        <v>56</v>
      </c>
    </row>
    <row r="1808" spans="6:18" ht="24" customHeight="1">
      <c r="F1808" s="8">
        <v>1</v>
      </c>
      <c r="G1808" s="7" t="s">
        <v>448</v>
      </c>
      <c r="H1808" s="1" t="s">
        <v>909</v>
      </c>
      <c r="I1808" s="8">
        <f>I1807*0.4</f>
        <v>22.4</v>
      </c>
      <c r="J1808" s="1" t="s">
        <v>448</v>
      </c>
      <c r="K1808" s="8">
        <f>(F1808*I1808)</f>
        <v>22.4</v>
      </c>
    </row>
    <row r="1809" spans="6:11" ht="24" customHeight="1">
      <c r="F1809" s="8">
        <v>1</v>
      </c>
      <c r="G1809" s="7" t="s">
        <v>840</v>
      </c>
      <c r="H1809" s="1" t="s">
        <v>167</v>
      </c>
      <c r="I1809" s="8">
        <f>K1765</f>
        <v>77.239999999999995</v>
      </c>
      <c r="J1809" s="1" t="s">
        <v>840</v>
      </c>
      <c r="K1809" s="8">
        <f>(F1809*I1809)</f>
        <v>77.239999999999995</v>
      </c>
    </row>
    <row r="1810" spans="6:11" ht="24" customHeight="1">
      <c r="I1810" s="1" t="s">
        <v>995</v>
      </c>
      <c r="K1810" s="5" t="s">
        <v>1667</v>
      </c>
    </row>
    <row r="1811" spans="6:11" ht="24" customHeight="1">
      <c r="H1811" s="1" t="s">
        <v>379</v>
      </c>
      <c r="K1811" s="40">
        <f>SUM(K1807:K1809)</f>
        <v>155.63999999999999</v>
      </c>
    </row>
    <row r="1812" spans="6:11" ht="24" customHeight="1">
      <c r="I1812" s="1" t="s">
        <v>995</v>
      </c>
      <c r="K1812" s="5" t="s">
        <v>2130</v>
      </c>
    </row>
    <row r="1813" spans="6:11" ht="24" customHeight="1">
      <c r="G1813" s="7" t="s">
        <v>1981</v>
      </c>
      <c r="H1813" s="1" t="s">
        <v>377</v>
      </c>
    </row>
    <row r="1814" spans="6:11" ht="24" customHeight="1">
      <c r="H1814" s="5" t="s">
        <v>1667</v>
      </c>
    </row>
    <row r="1815" spans="6:11" ht="24" customHeight="1">
      <c r="F1815" s="8">
        <v>1</v>
      </c>
      <c r="G1815" s="7" t="s">
        <v>840</v>
      </c>
      <c r="H1815" s="1" t="s">
        <v>1757</v>
      </c>
      <c r="I1815" s="8">
        <v>75</v>
      </c>
      <c r="J1815" s="1" t="s">
        <v>840</v>
      </c>
      <c r="K1815" s="8">
        <f>(F1815*I1815)</f>
        <v>75</v>
      </c>
    </row>
    <row r="1816" spans="6:11" ht="24" customHeight="1">
      <c r="F1816" s="8">
        <v>1</v>
      </c>
      <c r="G1816" s="7" t="s">
        <v>448</v>
      </c>
      <c r="H1816" s="1" t="s">
        <v>1758</v>
      </c>
      <c r="I1816" s="8">
        <f>I1815*0.2</f>
        <v>15</v>
      </c>
      <c r="J1816" s="1" t="s">
        <v>448</v>
      </c>
      <c r="K1816" s="8">
        <f>(F1816*I1816)</f>
        <v>15</v>
      </c>
    </row>
    <row r="1817" spans="6:11" ht="24" customHeight="1">
      <c r="F1817" s="8">
        <v>1</v>
      </c>
      <c r="G1817" s="7" t="s">
        <v>840</v>
      </c>
      <c r="H1817" s="1" t="s">
        <v>167</v>
      </c>
      <c r="I1817" s="8">
        <f>K1783</f>
        <v>78.87</v>
      </c>
      <c r="J1817" s="1" t="s">
        <v>840</v>
      </c>
      <c r="K1817" s="8">
        <f>(F1817*I1817)</f>
        <v>78.87</v>
      </c>
    </row>
    <row r="1818" spans="6:11" ht="24" customHeight="1">
      <c r="I1818" s="1" t="s">
        <v>995</v>
      </c>
      <c r="K1818" s="5" t="s">
        <v>1667</v>
      </c>
    </row>
    <row r="1819" spans="6:11" ht="24" customHeight="1">
      <c r="H1819" s="1" t="s">
        <v>379</v>
      </c>
      <c r="K1819" s="40">
        <f>SUM(K1815:K1817)</f>
        <v>168.87</v>
      </c>
    </row>
    <row r="1820" spans="6:11" ht="24" customHeight="1">
      <c r="I1820" s="1" t="s">
        <v>995</v>
      </c>
      <c r="K1820" s="5" t="s">
        <v>2130</v>
      </c>
    </row>
    <row r="1821" spans="6:11" ht="24" customHeight="1">
      <c r="I1821" s="1"/>
      <c r="K1821" s="5"/>
    </row>
    <row r="1822" spans="6:11" ht="24" customHeight="1">
      <c r="F1822" s="30">
        <v>52.1</v>
      </c>
      <c r="H1822" s="29" t="s">
        <v>2277</v>
      </c>
      <c r="I1822" s="1"/>
      <c r="K1822" s="5"/>
    </row>
    <row r="1823" spans="6:11" ht="24" customHeight="1">
      <c r="I1823" s="1"/>
      <c r="K1823" s="5"/>
    </row>
    <row r="1824" spans="6:11" ht="24" customHeight="1">
      <c r="F1824" s="2"/>
      <c r="G1824" s="7"/>
      <c r="H1824" s="1" t="s">
        <v>2124</v>
      </c>
      <c r="I1824" s="1"/>
      <c r="K1824" s="5"/>
    </row>
    <row r="1825" spans="6:11" ht="24" customHeight="1">
      <c r="G1825" s="7"/>
      <c r="H1825" s="1" t="s">
        <v>2278</v>
      </c>
      <c r="I1825" s="1"/>
      <c r="K1825" s="5"/>
    </row>
    <row r="1826" spans="6:11" ht="24" customHeight="1">
      <c r="H1826" s="5" t="s">
        <v>1667</v>
      </c>
      <c r="I1826" s="1"/>
      <c r="K1826" s="5"/>
    </row>
    <row r="1827" spans="6:11" ht="24" customHeight="1">
      <c r="F1827" s="8">
        <v>30</v>
      </c>
      <c r="G1827" s="7" t="s">
        <v>1854</v>
      </c>
      <c r="H1827" s="1" t="s">
        <v>153</v>
      </c>
      <c r="I1827" s="6">
        <f>E638</f>
        <v>7.6</v>
      </c>
      <c r="J1827" s="1" t="s">
        <v>1854</v>
      </c>
      <c r="K1827" s="8">
        <f>(F1827*I1827)</f>
        <v>228</v>
      </c>
    </row>
    <row r="1828" spans="6:11" ht="24" customHeight="1">
      <c r="F1828" s="8">
        <v>8</v>
      </c>
      <c r="G1828" s="7" t="s">
        <v>883</v>
      </c>
      <c r="H1828" s="1" t="s">
        <v>2218</v>
      </c>
      <c r="I1828" s="6">
        <f>C640</f>
        <v>3.6</v>
      </c>
      <c r="J1828" s="1" t="s">
        <v>883</v>
      </c>
      <c r="K1828" s="8">
        <f t="shared" ref="K1828:K1833" si="146">(F1828*I1828)</f>
        <v>28.8</v>
      </c>
    </row>
    <row r="1829" spans="6:11" ht="24" customHeight="1">
      <c r="F1829" s="8">
        <v>8</v>
      </c>
      <c r="G1829" s="7" t="s">
        <v>883</v>
      </c>
      <c r="H1829" s="1" t="s">
        <v>467</v>
      </c>
      <c r="I1829" s="6">
        <f>D641</f>
        <v>5.25</v>
      </c>
      <c r="J1829" s="1" t="s">
        <v>883</v>
      </c>
      <c r="K1829" s="8">
        <f t="shared" si="146"/>
        <v>42</v>
      </c>
    </row>
    <row r="1830" spans="6:11" ht="24" customHeight="1">
      <c r="F1830" s="8">
        <v>3</v>
      </c>
      <c r="G1830" s="7" t="s">
        <v>883</v>
      </c>
      <c r="H1830" s="1" t="s">
        <v>1922</v>
      </c>
      <c r="I1830" s="6">
        <f>C41</f>
        <v>305.55</v>
      </c>
      <c r="J1830" s="1" t="s">
        <v>883</v>
      </c>
      <c r="K1830" s="8">
        <f t="shared" si="146"/>
        <v>916.65</v>
      </c>
    </row>
    <row r="1831" spans="6:11" ht="24" customHeight="1">
      <c r="F1831" s="8">
        <v>1</v>
      </c>
      <c r="G1831" s="7" t="s">
        <v>883</v>
      </c>
      <c r="H1831" s="1" t="s">
        <v>1440</v>
      </c>
      <c r="I1831" s="6">
        <f>C10</f>
        <v>430.5</v>
      </c>
      <c r="J1831" s="1" t="s">
        <v>883</v>
      </c>
      <c r="K1831" s="8">
        <f t="shared" si="146"/>
        <v>430.5</v>
      </c>
    </row>
    <row r="1832" spans="6:11" ht="24" customHeight="1">
      <c r="F1832" s="8">
        <v>2</v>
      </c>
      <c r="G1832" s="7" t="s">
        <v>883</v>
      </c>
      <c r="H1832" s="1" t="s">
        <v>1979</v>
      </c>
      <c r="I1832" s="6">
        <f>C12</f>
        <v>269.85000000000002</v>
      </c>
      <c r="J1832" s="1" t="s">
        <v>883</v>
      </c>
      <c r="K1832" s="8">
        <f t="shared" si="146"/>
        <v>539.70000000000005</v>
      </c>
    </row>
    <row r="1833" spans="6:11" ht="24" customHeight="1">
      <c r="F1833" s="8">
        <v>1</v>
      </c>
      <c r="G1833" s="7" t="s">
        <v>883</v>
      </c>
      <c r="H1833" s="1" t="s">
        <v>324</v>
      </c>
      <c r="I1833" s="6">
        <f>C13</f>
        <v>243.6</v>
      </c>
      <c r="J1833" s="1" t="s">
        <v>883</v>
      </c>
      <c r="K1833" s="8">
        <f t="shared" si="146"/>
        <v>243.6</v>
      </c>
    </row>
    <row r="1834" spans="6:11" ht="24" customHeight="1">
      <c r="K1834" s="5" t="s">
        <v>1667</v>
      </c>
    </row>
    <row r="1835" spans="6:11" ht="24" customHeight="1">
      <c r="H1835" s="1" t="s">
        <v>1927</v>
      </c>
      <c r="K1835" s="8">
        <f>SUM(K1827:K1833)</f>
        <v>2429.25</v>
      </c>
    </row>
    <row r="1836" spans="6:11" ht="24" customHeight="1">
      <c r="K1836" s="5" t="s">
        <v>1667</v>
      </c>
    </row>
    <row r="1837" spans="6:11" ht="24" customHeight="1">
      <c r="H1837" s="1" t="s">
        <v>1622</v>
      </c>
      <c r="K1837" s="8">
        <f>(K1835/30)</f>
        <v>80.98</v>
      </c>
    </row>
    <row r="1838" spans="6:11" ht="24" customHeight="1">
      <c r="K1838" s="5" t="s">
        <v>1667</v>
      </c>
    </row>
    <row r="1839" spans="6:11" ht="24" customHeight="1">
      <c r="I1839" s="1"/>
      <c r="K1839" s="5"/>
    </row>
    <row r="1840" spans="6:11" ht="24" customHeight="1">
      <c r="H1840" t="s">
        <v>342</v>
      </c>
      <c r="I1840" s="1"/>
      <c r="K1840" s="5"/>
    </row>
    <row r="1841" spans="6:14" ht="24" customHeight="1">
      <c r="H1841" s="5" t="s">
        <v>1667</v>
      </c>
      <c r="I1841" s="1"/>
      <c r="K1841" s="5"/>
    </row>
    <row r="1842" spans="6:14" ht="24" customHeight="1">
      <c r="F1842" s="8">
        <v>1</v>
      </c>
      <c r="G1842" s="7" t="s">
        <v>840</v>
      </c>
      <c r="H1842" s="1" t="s">
        <v>343</v>
      </c>
      <c r="I1842" s="6">
        <f>E667</f>
        <v>102.8</v>
      </c>
      <c r="J1842" s="1" t="s">
        <v>840</v>
      </c>
      <c r="K1842" s="8">
        <f>(F1842*I1842)</f>
        <v>102.8</v>
      </c>
    </row>
    <row r="1843" spans="6:14" ht="24" customHeight="1">
      <c r="F1843" s="8">
        <v>1</v>
      </c>
      <c r="G1843" s="7" t="s">
        <v>448</v>
      </c>
      <c r="H1843" s="1" t="s">
        <v>344</v>
      </c>
      <c r="I1843" s="6">
        <f>I1842*0.2</f>
        <v>20.56</v>
      </c>
      <c r="J1843" s="1" t="s">
        <v>448</v>
      </c>
      <c r="K1843" s="8">
        <f>(F1843*I1843)</f>
        <v>20.56</v>
      </c>
    </row>
    <row r="1844" spans="6:14" ht="24" customHeight="1">
      <c r="F1844" s="8">
        <v>1</v>
      </c>
      <c r="G1844" s="7" t="s">
        <v>840</v>
      </c>
      <c r="H1844" s="1" t="s">
        <v>167</v>
      </c>
      <c r="I1844" s="6">
        <f>K1837</f>
        <v>80.98</v>
      </c>
      <c r="J1844" s="1" t="s">
        <v>840</v>
      </c>
      <c r="K1844" s="8">
        <f>(F1844*I1844)</f>
        <v>80.98</v>
      </c>
    </row>
    <row r="1845" spans="6:14" ht="36.75" customHeight="1">
      <c r="F1845" s="8"/>
      <c r="G1845" s="7"/>
      <c r="H1845" s="24" t="s">
        <v>1116</v>
      </c>
      <c r="I1845" s="6"/>
      <c r="J1845" s="1" t="s">
        <v>448</v>
      </c>
      <c r="K1845" s="8">
        <f>1.25+0.47</f>
        <v>1.72</v>
      </c>
    </row>
    <row r="1846" spans="6:14" ht="24" customHeight="1">
      <c r="I1846" s="1"/>
      <c r="K1846" s="5" t="s">
        <v>1667</v>
      </c>
    </row>
    <row r="1847" spans="6:14" ht="24" customHeight="1">
      <c r="H1847" s="1" t="s">
        <v>379</v>
      </c>
      <c r="I1847" s="1"/>
      <c r="K1847" s="40">
        <f>SUM(K1842:K1845)</f>
        <v>206.06</v>
      </c>
    </row>
    <row r="1848" spans="6:14" ht="24" customHeight="1">
      <c r="I1848" s="1"/>
      <c r="K1848" s="5" t="s">
        <v>2130</v>
      </c>
    </row>
    <row r="1849" spans="6:14" ht="24" customHeight="1">
      <c r="I1849" s="1"/>
      <c r="K1849" s="5"/>
    </row>
    <row r="1850" spans="6:14" ht="24" customHeight="1">
      <c r="I1850" s="1"/>
      <c r="K1850" s="5"/>
    </row>
    <row r="1851" spans="6:14" ht="24" customHeight="1">
      <c r="F1851" s="26">
        <v>53.1</v>
      </c>
      <c r="G1851" s="7" t="s">
        <v>2338</v>
      </c>
      <c r="H1851" s="1" t="s">
        <v>2299</v>
      </c>
    </row>
    <row r="1852" spans="6:14" ht="24" customHeight="1">
      <c r="H1852" s="35" t="s">
        <v>1511</v>
      </c>
    </row>
    <row r="1853" spans="6:14" ht="24" customHeight="1">
      <c r="H1853" s="1" t="s">
        <v>1189</v>
      </c>
    </row>
    <row r="1854" spans="6:14" ht="24" customHeight="1">
      <c r="H1854" s="1" t="s">
        <v>1190</v>
      </c>
    </row>
    <row r="1855" spans="6:14" ht="24" customHeight="1">
      <c r="H1855" s="5" t="s">
        <v>1667</v>
      </c>
    </row>
    <row r="1856" spans="6:14" ht="69" customHeight="1">
      <c r="F1856" s="23">
        <v>1</v>
      </c>
      <c r="G1856" s="23" t="s">
        <v>883</v>
      </c>
      <c r="H1856" s="204" t="s">
        <v>1661</v>
      </c>
      <c r="I1856" s="23">
        <f>(C594)</f>
        <v>1510</v>
      </c>
      <c r="J1856" s="103" t="s">
        <v>883</v>
      </c>
      <c r="K1856" s="23">
        <f>(F1856*I1856)</f>
        <v>1510</v>
      </c>
      <c r="N1856">
        <f>7635</f>
        <v>7635</v>
      </c>
    </row>
    <row r="1857" spans="6:14" ht="24" customHeight="1">
      <c r="F1857" s="8"/>
      <c r="G1857" s="7"/>
      <c r="H1857" s="67"/>
      <c r="I1857" s="8"/>
      <c r="J1857" s="1"/>
      <c r="K1857" s="8"/>
      <c r="N1857">
        <f>N1856*4%</f>
        <v>305.39999999999998</v>
      </c>
    </row>
    <row r="1858" spans="6:14" ht="24" customHeight="1">
      <c r="F1858" s="8"/>
      <c r="G1858" s="7"/>
      <c r="H1858" s="67"/>
      <c r="I1858" s="8"/>
      <c r="J1858" s="2"/>
      <c r="K1858" s="8"/>
      <c r="N1858">
        <f>SUM(N1856:N1857)</f>
        <v>7940.4</v>
      </c>
    </row>
    <row r="1859" spans="6:14" ht="24" customHeight="1">
      <c r="F1859" s="205">
        <v>1</v>
      </c>
      <c r="G1859" s="205" t="s">
        <v>883</v>
      </c>
      <c r="H1859" s="67" t="s">
        <v>2206</v>
      </c>
      <c r="I1859" s="207">
        <v>-193</v>
      </c>
      <c r="J1859" s="67" t="s">
        <v>883</v>
      </c>
      <c r="K1859" s="205">
        <f>(F1859*I1859)</f>
        <v>-193</v>
      </c>
    </row>
    <row r="1860" spans="6:14" ht="24" customHeight="1">
      <c r="F1860" s="69"/>
      <c r="G1860" s="70"/>
      <c r="H1860" s="67"/>
      <c r="I1860" s="69"/>
      <c r="J1860" s="66"/>
      <c r="K1860" s="69"/>
    </row>
    <row r="1861" spans="6:14" ht="24" customHeight="1">
      <c r="F1861" s="69">
        <v>1</v>
      </c>
      <c r="G1861" s="70" t="s">
        <v>883</v>
      </c>
      <c r="H1861" s="67" t="s">
        <v>2207</v>
      </c>
      <c r="I1861" s="303">
        <v>250</v>
      </c>
      <c r="J1861" s="67" t="s">
        <v>883</v>
      </c>
      <c r="K1861" s="222">
        <f>(F1861*I1861)</f>
        <v>250</v>
      </c>
    </row>
    <row r="1862" spans="6:14" ht="24" customHeight="1">
      <c r="F1862" s="8"/>
      <c r="G1862" s="7"/>
      <c r="H1862" s="1"/>
      <c r="I1862" s="8"/>
      <c r="J1862" s="1"/>
      <c r="K1862" s="8"/>
    </row>
    <row r="1863" spans="6:14" ht="24" customHeight="1">
      <c r="F1863" s="8">
        <v>0.5</v>
      </c>
      <c r="G1863" s="7" t="s">
        <v>883</v>
      </c>
      <c r="H1863" s="1" t="s">
        <v>2176</v>
      </c>
      <c r="I1863" s="8">
        <f>(C15)</f>
        <v>374.85</v>
      </c>
      <c r="J1863" s="1" t="s">
        <v>883</v>
      </c>
      <c r="K1863" s="8">
        <f>(F1863*I1863)</f>
        <v>187.43</v>
      </c>
    </row>
    <row r="1864" spans="6:14" ht="24" customHeight="1">
      <c r="F1864" s="8">
        <v>1</v>
      </c>
      <c r="G1864" s="7" t="s">
        <v>883</v>
      </c>
      <c r="H1864" s="1" t="s">
        <v>1979</v>
      </c>
      <c r="I1864" s="8">
        <f>(C12)</f>
        <v>269.85000000000002</v>
      </c>
      <c r="J1864" s="1" t="s">
        <v>883</v>
      </c>
      <c r="K1864" s="8">
        <f>(F1864*I1864)</f>
        <v>269.85000000000002</v>
      </c>
    </row>
    <row r="1865" spans="6:14" ht="24" customHeight="1">
      <c r="F1865" s="8">
        <v>0.5</v>
      </c>
      <c r="G1865" s="7" t="s">
        <v>883</v>
      </c>
      <c r="H1865" s="1" t="s">
        <v>2082</v>
      </c>
      <c r="I1865" s="8">
        <f>(C10)</f>
        <v>430.5</v>
      </c>
      <c r="J1865" s="1" t="s">
        <v>883</v>
      </c>
      <c r="K1865" s="8">
        <f>(F1865*I1865)</f>
        <v>215.25</v>
      </c>
    </row>
    <row r="1866" spans="6:14" ht="24" customHeight="1">
      <c r="G1866" s="7" t="s">
        <v>448</v>
      </c>
      <c r="H1866" s="1" t="s">
        <v>1191</v>
      </c>
      <c r="J1866" s="1" t="s">
        <v>448</v>
      </c>
      <c r="K1866" s="8">
        <v>0.75</v>
      </c>
    </row>
    <row r="1867" spans="6:14" ht="24" customHeight="1">
      <c r="K1867" s="5" t="s">
        <v>1667</v>
      </c>
    </row>
    <row r="1868" spans="6:14" ht="24" customHeight="1">
      <c r="H1868" s="1" t="s">
        <v>1834</v>
      </c>
      <c r="K1868" s="8">
        <f>SUM(K1856:K1866)</f>
        <v>2240.2800000000002</v>
      </c>
    </row>
    <row r="1869" spans="6:14" ht="24" customHeight="1">
      <c r="K1869" s="5" t="s">
        <v>1667</v>
      </c>
    </row>
    <row r="1870" spans="6:14" ht="24" customHeight="1">
      <c r="F1870" s="2" t="s">
        <v>1462</v>
      </c>
      <c r="H1870" s="1" t="s">
        <v>1463</v>
      </c>
      <c r="J1870" s="1" t="s">
        <v>1458</v>
      </c>
      <c r="K1870" s="220">
        <v>967.5</v>
      </c>
    </row>
    <row r="1871" spans="6:14" ht="24" customHeight="1">
      <c r="H1871" s="1" t="s">
        <v>1031</v>
      </c>
      <c r="J1871" s="1" t="s">
        <v>1458</v>
      </c>
      <c r="K1871" s="211">
        <v>2079</v>
      </c>
    </row>
    <row r="1872" spans="6:14" ht="24" customHeight="1">
      <c r="F1872" s="2" t="s">
        <v>1464</v>
      </c>
      <c r="H1872" s="1" t="s">
        <v>1030</v>
      </c>
      <c r="J1872" s="1" t="s">
        <v>1458</v>
      </c>
      <c r="K1872" s="220">
        <v>60</v>
      </c>
    </row>
    <row r="1873" spans="6:11" ht="24" customHeight="1">
      <c r="F1873" s="2"/>
      <c r="H1873" s="1"/>
      <c r="K1873" s="1"/>
    </row>
    <row r="1874" spans="6:11" ht="24" customHeight="1">
      <c r="F1874" s="13">
        <v>54</v>
      </c>
      <c r="G1874" s="7" t="s">
        <v>2338</v>
      </c>
      <c r="H1874" s="1" t="s">
        <v>1186</v>
      </c>
      <c r="J1874" s="1" t="s">
        <v>1458</v>
      </c>
      <c r="K1874" s="207">
        <f>C562</f>
        <v>211</v>
      </c>
    </row>
    <row r="1875" spans="6:11" ht="24" customHeight="1">
      <c r="K1875" s="5" t="s">
        <v>2130</v>
      </c>
    </row>
    <row r="1877" spans="6:11" ht="24" customHeight="1">
      <c r="F1877" s="26">
        <v>54.1</v>
      </c>
      <c r="G1877" s="7" t="s">
        <v>2338</v>
      </c>
      <c r="H1877" s="1" t="s">
        <v>1352</v>
      </c>
      <c r="J1877" s="1" t="s">
        <v>1458</v>
      </c>
      <c r="K1877" s="219">
        <v>270</v>
      </c>
    </row>
    <row r="1878" spans="6:11" ht="24" customHeight="1">
      <c r="K1878" s="5" t="s">
        <v>2130</v>
      </c>
    </row>
    <row r="1880" spans="6:11" ht="24" customHeight="1">
      <c r="F1880" s="26">
        <v>54.2</v>
      </c>
      <c r="G1880" s="7" t="s">
        <v>2338</v>
      </c>
      <c r="H1880" s="1" t="s">
        <v>953</v>
      </c>
      <c r="J1880" s="1" t="s">
        <v>1458</v>
      </c>
      <c r="K1880" s="219">
        <v>245</v>
      </c>
    </row>
    <row r="1881" spans="6:11" ht="24" customHeight="1">
      <c r="K1881" s="5" t="s">
        <v>2130</v>
      </c>
    </row>
    <row r="1883" spans="6:11" ht="24" customHeight="1">
      <c r="F1883" s="2" t="s">
        <v>1187</v>
      </c>
      <c r="G1883" s="7" t="s">
        <v>2338</v>
      </c>
      <c r="H1883" s="1" t="s">
        <v>85</v>
      </c>
    </row>
    <row r="1884" spans="6:11" ht="24" customHeight="1">
      <c r="H1884" s="1" t="s">
        <v>1139</v>
      </c>
    </row>
    <row r="1885" spans="6:11" ht="24" customHeight="1">
      <c r="H1885" s="1" t="s">
        <v>1140</v>
      </c>
    </row>
    <row r="1886" spans="6:11" ht="24" customHeight="1">
      <c r="H1886" s="1" t="s">
        <v>1141</v>
      </c>
    </row>
    <row r="1887" spans="6:11" ht="24" customHeight="1">
      <c r="H1887" s="5" t="s">
        <v>1667</v>
      </c>
    </row>
    <row r="1888" spans="6:11" ht="24" customHeight="1">
      <c r="F1888" s="8">
        <v>1</v>
      </c>
      <c r="G1888" s="7" t="s">
        <v>883</v>
      </c>
      <c r="H1888" s="1" t="s">
        <v>720</v>
      </c>
      <c r="I1888" s="8">
        <f>(C200)</f>
        <v>1089</v>
      </c>
      <c r="J1888" s="1" t="s">
        <v>883</v>
      </c>
      <c r="K1888" s="8">
        <f t="shared" ref="K1888:K1894" si="147">(F1888*I1888)</f>
        <v>1089</v>
      </c>
    </row>
    <row r="1889" spans="6:22" ht="24" customHeight="1">
      <c r="F1889" s="8">
        <v>0.65</v>
      </c>
      <c r="G1889" s="7" t="s">
        <v>884</v>
      </c>
      <c r="H1889" s="1" t="s">
        <v>247</v>
      </c>
      <c r="I1889" s="8">
        <f>(C61*2)</f>
        <v>96.6</v>
      </c>
      <c r="J1889" s="1" t="s">
        <v>884</v>
      </c>
      <c r="K1889" s="8">
        <f t="shared" si="147"/>
        <v>62.79</v>
      </c>
    </row>
    <row r="1890" spans="6:22" ht="24" customHeight="1">
      <c r="F1890" s="8">
        <v>0.56999999999999995</v>
      </c>
      <c r="G1890" s="7" t="s">
        <v>884</v>
      </c>
      <c r="H1890" s="1" t="s">
        <v>248</v>
      </c>
      <c r="I1890" s="8">
        <f>(C26)</f>
        <v>16.96</v>
      </c>
      <c r="J1890" s="1" t="s">
        <v>884</v>
      </c>
      <c r="K1890" s="8">
        <f t="shared" si="147"/>
        <v>9.67</v>
      </c>
    </row>
    <row r="1891" spans="6:22" ht="24" customHeight="1">
      <c r="F1891" s="14">
        <v>8.1000000000000003E-2</v>
      </c>
      <c r="G1891" s="7" t="s">
        <v>884</v>
      </c>
      <c r="H1891" s="1" t="s">
        <v>249</v>
      </c>
      <c r="I1891" s="8">
        <f>(R60)</f>
        <v>2253.1999999999998</v>
      </c>
      <c r="J1891" s="1" t="s">
        <v>884</v>
      </c>
      <c r="K1891" s="8">
        <f t="shared" si="147"/>
        <v>182.51</v>
      </c>
    </row>
    <row r="1892" spans="6:22" ht="24" customHeight="1">
      <c r="F1892" s="8">
        <v>1</v>
      </c>
      <c r="G1892" s="7" t="s">
        <v>883</v>
      </c>
      <c r="H1892" s="1" t="s">
        <v>2176</v>
      </c>
      <c r="I1892" s="8">
        <f>(C15)</f>
        <v>374.85</v>
      </c>
      <c r="J1892" s="1" t="s">
        <v>883</v>
      </c>
      <c r="K1892" s="8">
        <f t="shared" si="147"/>
        <v>374.85</v>
      </c>
    </row>
    <row r="1893" spans="6:22" ht="24" customHeight="1">
      <c r="F1893" s="8">
        <v>0.5</v>
      </c>
      <c r="G1893" s="7" t="s">
        <v>883</v>
      </c>
      <c r="H1893" s="1" t="s">
        <v>1791</v>
      </c>
      <c r="I1893" s="8">
        <f>(C11)</f>
        <v>386.4</v>
      </c>
      <c r="J1893" s="1" t="s">
        <v>883</v>
      </c>
      <c r="K1893" s="8">
        <f t="shared" si="147"/>
        <v>193.2</v>
      </c>
    </row>
    <row r="1894" spans="6:22" ht="24" customHeight="1">
      <c r="F1894" s="8">
        <v>0.5</v>
      </c>
      <c r="G1894" s="7" t="s">
        <v>883</v>
      </c>
      <c r="H1894" s="1" t="s">
        <v>1979</v>
      </c>
      <c r="I1894" s="8">
        <f>(C12)</f>
        <v>269.85000000000002</v>
      </c>
      <c r="J1894" s="1" t="s">
        <v>883</v>
      </c>
      <c r="K1894" s="8">
        <f t="shared" si="147"/>
        <v>134.93</v>
      </c>
    </row>
    <row r="1895" spans="6:22" ht="24" customHeight="1">
      <c r="G1895" s="7" t="s">
        <v>448</v>
      </c>
      <c r="H1895" s="1" t="s">
        <v>449</v>
      </c>
      <c r="I1895" s="1" t="s">
        <v>995</v>
      </c>
      <c r="J1895" s="1" t="s">
        <v>448</v>
      </c>
      <c r="K1895" s="8">
        <v>0.44</v>
      </c>
    </row>
    <row r="1896" spans="6:22" ht="24" customHeight="1">
      <c r="K1896" s="5" t="s">
        <v>1667</v>
      </c>
    </row>
    <row r="1897" spans="6:22" ht="24" customHeight="1">
      <c r="H1897" s="1" t="s">
        <v>1834</v>
      </c>
      <c r="K1897" s="8">
        <f>SUM(K1888:K1895)</f>
        <v>2047.39</v>
      </c>
    </row>
    <row r="1898" spans="6:22" ht="24" customHeight="1">
      <c r="K1898" s="5" t="s">
        <v>2130</v>
      </c>
    </row>
    <row r="1899" spans="6:22" ht="24" customHeight="1">
      <c r="G1899" s="7" t="s">
        <v>995</v>
      </c>
      <c r="H1899" s="1" t="s">
        <v>995</v>
      </c>
      <c r="K1899" s="1" t="s">
        <v>995</v>
      </c>
    </row>
    <row r="1900" spans="6:22" ht="24" customHeight="1">
      <c r="J1900" s="1" t="s">
        <v>995</v>
      </c>
      <c r="K1900" s="1" t="s">
        <v>995</v>
      </c>
    </row>
    <row r="1901" spans="6:22" ht="24" customHeight="1">
      <c r="F1901" s="2" t="s">
        <v>250</v>
      </c>
      <c r="G1901" s="7" t="s">
        <v>2338</v>
      </c>
      <c r="H1901" s="1" t="s">
        <v>85</v>
      </c>
      <c r="V1901" s="1" t="s">
        <v>1514</v>
      </c>
    </row>
    <row r="1902" spans="6:22" ht="24" customHeight="1">
      <c r="H1902" s="1" t="s">
        <v>1139</v>
      </c>
    </row>
    <row r="1903" spans="6:22" ht="24" customHeight="1">
      <c r="H1903" s="1" t="s">
        <v>1140</v>
      </c>
    </row>
    <row r="1904" spans="6:22" ht="24" customHeight="1">
      <c r="H1904" s="1" t="s">
        <v>251</v>
      </c>
    </row>
    <row r="1905" spans="6:11" ht="24" customHeight="1">
      <c r="H1905" s="5" t="s">
        <v>1667</v>
      </c>
    </row>
    <row r="1906" spans="6:11" ht="24" customHeight="1">
      <c r="F1906" s="8">
        <v>1</v>
      </c>
      <c r="G1906" s="7" t="s">
        <v>883</v>
      </c>
      <c r="H1906" s="1" t="s">
        <v>720</v>
      </c>
      <c r="I1906" s="8">
        <f>(C200)</f>
        <v>1089</v>
      </c>
      <c r="J1906" s="1" t="s">
        <v>883</v>
      </c>
      <c r="K1906" s="8">
        <f>(F1906*I1906)</f>
        <v>1089</v>
      </c>
    </row>
    <row r="1907" spans="6:11" ht="24" customHeight="1">
      <c r="F1907" s="14">
        <v>0.40500000000000003</v>
      </c>
      <c r="G1907" s="7" t="s">
        <v>884</v>
      </c>
      <c r="H1907" s="1" t="s">
        <v>2295</v>
      </c>
      <c r="I1907" s="8">
        <f>(K1259)</f>
        <v>2273.9299999999998</v>
      </c>
      <c r="J1907" s="1" t="s">
        <v>884</v>
      </c>
      <c r="K1907" s="8">
        <f>(F1907*I1907)</f>
        <v>920.94</v>
      </c>
    </row>
    <row r="1908" spans="6:11" ht="24" customHeight="1">
      <c r="H1908" s="1" t="s">
        <v>1134</v>
      </c>
      <c r="I1908" s="1" t="s">
        <v>995</v>
      </c>
      <c r="K1908" s="1" t="s">
        <v>995</v>
      </c>
    </row>
    <row r="1909" spans="6:11" ht="24" customHeight="1">
      <c r="F1909" s="8">
        <v>1.89</v>
      </c>
      <c r="G1909" s="7" t="s">
        <v>611</v>
      </c>
      <c r="H1909" s="1" t="s">
        <v>263</v>
      </c>
      <c r="I1909" s="8">
        <f>(K1371)</f>
        <v>136.35</v>
      </c>
      <c r="J1909" s="1" t="s">
        <v>611</v>
      </c>
      <c r="K1909" s="8">
        <f>(F1909*I1909)</f>
        <v>257.7</v>
      </c>
    </row>
    <row r="1910" spans="6:11" ht="24" customHeight="1">
      <c r="H1910" s="1" t="s">
        <v>264</v>
      </c>
      <c r="I1910" s="1" t="s">
        <v>995</v>
      </c>
      <c r="K1910" s="1" t="s">
        <v>995</v>
      </c>
    </row>
    <row r="1911" spans="6:11" ht="24" customHeight="1">
      <c r="F1911" s="14">
        <v>8.1000000000000003E-2</v>
      </c>
      <c r="G1911" s="7" t="s">
        <v>884</v>
      </c>
      <c r="H1911" s="1" t="s">
        <v>265</v>
      </c>
      <c r="I1911" s="8">
        <f>(R60)</f>
        <v>2253.1999999999998</v>
      </c>
      <c r="J1911" s="1" t="s">
        <v>884</v>
      </c>
      <c r="K1911" s="8">
        <f>(F1911*I1911)</f>
        <v>182.51</v>
      </c>
    </row>
    <row r="1912" spans="6:11" ht="24" customHeight="1">
      <c r="H1912" s="1" t="s">
        <v>266</v>
      </c>
    </row>
    <row r="1913" spans="6:11" ht="24" customHeight="1">
      <c r="F1913" s="8">
        <v>1</v>
      </c>
      <c r="G1913" s="7" t="s">
        <v>781</v>
      </c>
      <c r="H1913" s="1" t="s">
        <v>2176</v>
      </c>
      <c r="I1913" s="8">
        <f>(C15)</f>
        <v>374.85</v>
      </c>
      <c r="J1913" s="1" t="s">
        <v>781</v>
      </c>
      <c r="K1913" s="8">
        <f>(F1913*I1913)</f>
        <v>374.85</v>
      </c>
    </row>
    <row r="1914" spans="6:11" ht="24" customHeight="1">
      <c r="F1914" s="8">
        <v>0.5</v>
      </c>
      <c r="G1914" s="7" t="s">
        <v>883</v>
      </c>
      <c r="H1914" s="1" t="s">
        <v>1791</v>
      </c>
      <c r="I1914" s="8">
        <f>(C11)</f>
        <v>386.4</v>
      </c>
      <c r="J1914" s="1" t="s">
        <v>883</v>
      </c>
      <c r="K1914" s="8">
        <f>(F1914*I1914)</f>
        <v>193.2</v>
      </c>
    </row>
    <row r="1915" spans="6:11" ht="24" customHeight="1">
      <c r="F1915" s="8">
        <v>0.5</v>
      </c>
      <c r="G1915" s="7" t="s">
        <v>883</v>
      </c>
      <c r="H1915" s="1" t="s">
        <v>1979</v>
      </c>
      <c r="I1915" s="8">
        <f>(C12)</f>
        <v>269.85000000000002</v>
      </c>
      <c r="J1915" s="1" t="s">
        <v>883</v>
      </c>
      <c r="K1915" s="8">
        <f>(F1915*I1915)</f>
        <v>134.93</v>
      </c>
    </row>
    <row r="1916" spans="6:11" ht="24" customHeight="1">
      <c r="G1916" s="7" t="s">
        <v>448</v>
      </c>
      <c r="H1916" s="1" t="s">
        <v>449</v>
      </c>
      <c r="I1916" s="1" t="s">
        <v>995</v>
      </c>
      <c r="J1916" s="1" t="s">
        <v>448</v>
      </c>
      <c r="K1916" s="8">
        <v>0.28999999999999998</v>
      </c>
    </row>
    <row r="1917" spans="6:11" ht="24" customHeight="1">
      <c r="H1917" s="1" t="s">
        <v>995</v>
      </c>
      <c r="K1917" s="5" t="s">
        <v>1667</v>
      </c>
    </row>
    <row r="1918" spans="6:11" ht="24" customHeight="1">
      <c r="H1918" s="1" t="s">
        <v>1834</v>
      </c>
      <c r="K1918" s="8">
        <f>SUM(K1906:K1916)</f>
        <v>3153.42</v>
      </c>
    </row>
    <row r="1919" spans="6:11" ht="24" customHeight="1">
      <c r="K1919" s="5" t="s">
        <v>2130</v>
      </c>
    </row>
    <row r="1920" spans="6:11" ht="24" customHeight="1">
      <c r="G1920" s="7" t="s">
        <v>995</v>
      </c>
      <c r="H1920" s="1" t="s">
        <v>995</v>
      </c>
      <c r="K1920" s="1" t="s">
        <v>995</v>
      </c>
    </row>
    <row r="1921" spans="6:11" ht="24" customHeight="1">
      <c r="J1921" s="1" t="s">
        <v>995</v>
      </c>
      <c r="K1921" s="1" t="s">
        <v>246</v>
      </c>
    </row>
    <row r="1922" spans="6:11" ht="24" customHeight="1">
      <c r="F1922" s="13">
        <v>57</v>
      </c>
      <c r="G1922" s="7" t="s">
        <v>2338</v>
      </c>
      <c r="H1922" s="1" t="s">
        <v>256</v>
      </c>
    </row>
    <row r="1923" spans="6:11" ht="24" customHeight="1">
      <c r="H1923" s="1" t="s">
        <v>204</v>
      </c>
    </row>
    <row r="1924" spans="6:11" ht="24" customHeight="1">
      <c r="H1924" s="1" t="s">
        <v>1855</v>
      </c>
    </row>
    <row r="1925" spans="6:11" ht="24" customHeight="1">
      <c r="H1925" s="5" t="s">
        <v>1667</v>
      </c>
    </row>
    <row r="1926" spans="6:11" ht="24" customHeight="1">
      <c r="F1926" s="23">
        <v>1</v>
      </c>
      <c r="G1926" s="23" t="s">
        <v>799</v>
      </c>
      <c r="H1926" s="28" t="s">
        <v>1166</v>
      </c>
      <c r="I1926" s="23">
        <f>C590</f>
        <v>2785</v>
      </c>
      <c r="J1926" s="103" t="s">
        <v>799</v>
      </c>
      <c r="K1926" s="23">
        <f>(F1926*I1926)</f>
        <v>2785</v>
      </c>
    </row>
    <row r="1927" spans="6:11" ht="24" customHeight="1">
      <c r="F1927" s="8"/>
      <c r="G1927" s="7"/>
      <c r="H1927" s="25" t="s">
        <v>1208</v>
      </c>
      <c r="I1927" s="8"/>
      <c r="J1927" s="1"/>
      <c r="K1927" s="8"/>
    </row>
    <row r="1928" spans="6:11" ht="24" customHeight="1">
      <c r="F1928" s="8">
        <v>1</v>
      </c>
      <c r="G1928" s="7" t="s">
        <v>883</v>
      </c>
      <c r="H1928" s="1" t="s">
        <v>2082</v>
      </c>
      <c r="I1928" s="8">
        <f>(C10)</f>
        <v>430.5</v>
      </c>
      <c r="J1928" s="1" t="s">
        <v>883</v>
      </c>
      <c r="K1928" s="8">
        <f>(F1928*I1928)</f>
        <v>430.5</v>
      </c>
    </row>
    <row r="1929" spans="6:11" ht="24" customHeight="1">
      <c r="F1929" s="8">
        <v>2</v>
      </c>
      <c r="G1929" s="7" t="s">
        <v>883</v>
      </c>
      <c r="H1929" s="1" t="s">
        <v>2176</v>
      </c>
      <c r="I1929" s="8">
        <f>(C15)</f>
        <v>374.85</v>
      </c>
      <c r="J1929" s="1" t="s">
        <v>883</v>
      </c>
      <c r="K1929" s="8">
        <f>(F1929*I1929)</f>
        <v>749.7</v>
      </c>
    </row>
    <row r="1930" spans="6:11" ht="24" customHeight="1">
      <c r="F1930" s="8">
        <v>1</v>
      </c>
      <c r="G1930" s="7" t="s">
        <v>883</v>
      </c>
      <c r="H1930" s="1" t="s">
        <v>324</v>
      </c>
      <c r="I1930" s="8">
        <f>(C13)</f>
        <v>243.6</v>
      </c>
      <c r="J1930" s="1" t="s">
        <v>883</v>
      </c>
      <c r="K1930" s="8">
        <f>(F1930*I1930)</f>
        <v>243.6</v>
      </c>
    </row>
    <row r="1931" spans="6:11" ht="24" customHeight="1">
      <c r="F1931" s="8"/>
      <c r="G1931" s="7"/>
      <c r="H1931" s="25" t="s">
        <v>721</v>
      </c>
      <c r="I1931" s="8"/>
      <c r="J1931" s="1"/>
      <c r="K1931" s="8"/>
    </row>
    <row r="1932" spans="6:11" ht="24" customHeight="1">
      <c r="F1932" s="8">
        <v>0.5</v>
      </c>
      <c r="G1932" s="7" t="s">
        <v>883</v>
      </c>
      <c r="H1932" s="1" t="s">
        <v>2176</v>
      </c>
      <c r="I1932" s="8">
        <f>(C15)</f>
        <v>374.85</v>
      </c>
      <c r="J1932" s="1" t="s">
        <v>883</v>
      </c>
      <c r="K1932" s="8">
        <f>(F1932*I1932)</f>
        <v>187.43</v>
      </c>
    </row>
    <row r="1933" spans="6:11" ht="24" customHeight="1">
      <c r="F1933" s="8">
        <v>0.5</v>
      </c>
      <c r="G1933" s="7" t="s">
        <v>883</v>
      </c>
      <c r="H1933" s="1" t="s">
        <v>1979</v>
      </c>
      <c r="I1933" s="8">
        <f>(C12)</f>
        <v>269.85000000000002</v>
      </c>
      <c r="J1933" s="1" t="s">
        <v>883</v>
      </c>
      <c r="K1933" s="8">
        <f>(F1933*I1933)</f>
        <v>134.93</v>
      </c>
    </row>
    <row r="1934" spans="6:11" ht="24" customHeight="1">
      <c r="G1934" s="7" t="s">
        <v>448</v>
      </c>
      <c r="H1934" s="1" t="s">
        <v>449</v>
      </c>
      <c r="J1934" s="1" t="s">
        <v>448</v>
      </c>
      <c r="K1934" s="8">
        <v>0.7</v>
      </c>
    </row>
    <row r="1935" spans="6:11" ht="24" customHeight="1">
      <c r="K1935" s="5" t="s">
        <v>1667</v>
      </c>
    </row>
    <row r="1936" spans="6:11" ht="24" customHeight="1">
      <c r="H1936" s="1" t="s">
        <v>1834</v>
      </c>
      <c r="K1936" s="8">
        <f>SUM(K1926:K1934)</f>
        <v>4531.8599999999997</v>
      </c>
    </row>
    <row r="1937" spans="6:11" ht="24" customHeight="1">
      <c r="F1937" s="1" t="s">
        <v>995</v>
      </c>
    </row>
    <row r="1938" spans="6:11" ht="24" customHeight="1">
      <c r="K1938" s="5" t="s">
        <v>1667</v>
      </c>
    </row>
    <row r="1939" spans="6:11" ht="24" customHeight="1">
      <c r="G1939" s="7" t="s">
        <v>995</v>
      </c>
      <c r="H1939" s="1" t="s">
        <v>995</v>
      </c>
      <c r="K1939" s="1" t="s">
        <v>995</v>
      </c>
    </row>
    <row r="1940" spans="6:11" ht="24" customHeight="1">
      <c r="H1940" s="1" t="s">
        <v>995</v>
      </c>
    </row>
    <row r="1941" spans="6:11" ht="24" customHeight="1">
      <c r="F1941" s="26">
        <v>57.1</v>
      </c>
      <c r="G1941" s="7" t="s">
        <v>2338</v>
      </c>
      <c r="H1941" s="1" t="s">
        <v>1639</v>
      </c>
    </row>
    <row r="1942" spans="6:11" ht="24" customHeight="1">
      <c r="H1942" s="1" t="s">
        <v>204</v>
      </c>
    </row>
    <row r="1943" spans="6:11" ht="24" customHeight="1">
      <c r="H1943" s="1" t="s">
        <v>1855</v>
      </c>
    </row>
    <row r="1944" spans="6:11" ht="24" customHeight="1">
      <c r="H1944" s="5" t="s">
        <v>1667</v>
      </c>
    </row>
    <row r="1945" spans="6:11" ht="78" customHeight="1">
      <c r="F1945" s="23">
        <v>1</v>
      </c>
      <c r="G1945" s="23" t="s">
        <v>799</v>
      </c>
      <c r="H1945" s="24" t="s">
        <v>1166</v>
      </c>
      <c r="I1945">
        <f>E590</f>
        <v>3150</v>
      </c>
      <c r="J1945" s="103" t="s">
        <v>799</v>
      </c>
      <c r="K1945" s="23">
        <f>(F1945*I1945)</f>
        <v>3150</v>
      </c>
    </row>
    <row r="1946" spans="6:11" ht="24" customHeight="1">
      <c r="F1946" s="8"/>
      <c r="G1946" s="7"/>
      <c r="H1946" s="25" t="s">
        <v>1208</v>
      </c>
      <c r="J1946" s="1"/>
      <c r="K1946" s="8"/>
    </row>
    <row r="1947" spans="6:11" ht="24" customHeight="1">
      <c r="F1947" s="8">
        <v>1</v>
      </c>
      <c r="G1947" s="7" t="s">
        <v>883</v>
      </c>
      <c r="H1947" s="1" t="s">
        <v>2082</v>
      </c>
      <c r="I1947">
        <f>C10</f>
        <v>430.5</v>
      </c>
      <c r="J1947" s="1" t="s">
        <v>883</v>
      </c>
      <c r="K1947" s="8">
        <f>(F1947*I1947)</f>
        <v>430.5</v>
      </c>
    </row>
    <row r="1948" spans="6:11" ht="24" customHeight="1">
      <c r="F1948" s="8">
        <v>2</v>
      </c>
      <c r="G1948" s="7" t="s">
        <v>883</v>
      </c>
      <c r="H1948" s="1" t="s">
        <v>2176</v>
      </c>
      <c r="I1948">
        <f>C15</f>
        <v>374.85</v>
      </c>
      <c r="J1948" s="1" t="s">
        <v>883</v>
      </c>
      <c r="K1948" s="8">
        <f>(F1948*I1948)</f>
        <v>749.7</v>
      </c>
    </row>
    <row r="1949" spans="6:11" ht="24" customHeight="1">
      <c r="F1949" s="8">
        <v>1</v>
      </c>
      <c r="G1949" s="7" t="s">
        <v>883</v>
      </c>
      <c r="H1949" s="1" t="s">
        <v>324</v>
      </c>
      <c r="I1949">
        <f>C13</f>
        <v>243.6</v>
      </c>
      <c r="J1949" s="1" t="s">
        <v>883</v>
      </c>
      <c r="K1949" s="8">
        <f>(F1949*I1949)</f>
        <v>243.6</v>
      </c>
    </row>
    <row r="1950" spans="6:11" ht="24" customHeight="1">
      <c r="F1950" s="8"/>
      <c r="G1950" s="7"/>
      <c r="H1950" s="25" t="s">
        <v>721</v>
      </c>
      <c r="J1950" s="1"/>
      <c r="K1950" s="8"/>
    </row>
    <row r="1951" spans="6:11" ht="24" customHeight="1">
      <c r="F1951" s="8">
        <v>0.5</v>
      </c>
      <c r="G1951" s="7" t="s">
        <v>883</v>
      </c>
      <c r="H1951" s="1" t="s">
        <v>2176</v>
      </c>
      <c r="I1951">
        <f>C15</f>
        <v>374.85</v>
      </c>
      <c r="J1951" s="1" t="s">
        <v>883</v>
      </c>
      <c r="K1951" s="8">
        <f>(F1951*I1951)</f>
        <v>187.43</v>
      </c>
    </row>
    <row r="1952" spans="6:11" ht="24" customHeight="1">
      <c r="F1952" s="8">
        <v>0.5</v>
      </c>
      <c r="G1952" s="7" t="s">
        <v>883</v>
      </c>
      <c r="H1952" s="1" t="s">
        <v>1979</v>
      </c>
      <c r="I1952">
        <f>C12</f>
        <v>269.85000000000002</v>
      </c>
      <c r="J1952" s="1" t="s">
        <v>883</v>
      </c>
      <c r="K1952" s="8">
        <f>(F1952*I1952)</f>
        <v>134.93</v>
      </c>
    </row>
    <row r="1953" spans="6:11" ht="24" customHeight="1">
      <c r="G1953" s="7" t="s">
        <v>448</v>
      </c>
      <c r="H1953" s="1" t="s">
        <v>449</v>
      </c>
      <c r="J1953" s="1" t="s">
        <v>448</v>
      </c>
      <c r="K1953" s="8">
        <v>0.7</v>
      </c>
    </row>
    <row r="1954" spans="6:11" ht="24" customHeight="1">
      <c r="K1954" s="5" t="s">
        <v>1667</v>
      </c>
    </row>
    <row r="1955" spans="6:11" ht="24" customHeight="1">
      <c r="H1955" s="1" t="s">
        <v>1834</v>
      </c>
      <c r="K1955" s="8">
        <f>SUM(K1945:K1953)</f>
        <v>4896.8599999999997</v>
      </c>
    </row>
    <row r="1956" spans="6:11" ht="24" customHeight="1">
      <c r="H1956" s="1"/>
    </row>
    <row r="1957" spans="6:11" ht="24" customHeight="1">
      <c r="H1957" s="1"/>
      <c r="K1957" s="5" t="s">
        <v>1667</v>
      </c>
    </row>
    <row r="1958" spans="6:11" ht="24" customHeight="1">
      <c r="H1958" s="1"/>
    </row>
    <row r="1959" spans="6:11" ht="24" customHeight="1">
      <c r="F1959" s="2" t="s">
        <v>722</v>
      </c>
      <c r="G1959" s="7" t="s">
        <v>2338</v>
      </c>
      <c r="H1959" s="1" t="s">
        <v>824</v>
      </c>
    </row>
    <row r="1960" spans="6:11" ht="24" customHeight="1">
      <c r="H1960" s="1" t="s">
        <v>166</v>
      </c>
    </row>
    <row r="1961" spans="6:11" ht="24" customHeight="1">
      <c r="H1961" s="5" t="s">
        <v>1667</v>
      </c>
    </row>
    <row r="1962" spans="6:11" ht="24" customHeight="1">
      <c r="G1962" s="7" t="s">
        <v>699</v>
      </c>
      <c r="H1962" s="1" t="s">
        <v>46</v>
      </c>
    </row>
    <row r="1963" spans="6:11" ht="24" customHeight="1">
      <c r="H1963" s="1" t="s">
        <v>220</v>
      </c>
    </row>
    <row r="1964" spans="6:11" ht="24" customHeight="1">
      <c r="H1964" s="1" t="s">
        <v>965</v>
      </c>
    </row>
    <row r="1965" spans="6:11" ht="24" customHeight="1">
      <c r="H1965" s="1" t="s">
        <v>966</v>
      </c>
    </row>
    <row r="1966" spans="6:11" ht="24" customHeight="1">
      <c r="H1966" s="1" t="s">
        <v>2177</v>
      </c>
    </row>
    <row r="1967" spans="6:11" ht="24" customHeight="1">
      <c r="H1967" s="1" t="s">
        <v>2178</v>
      </c>
    </row>
    <row r="1968" spans="6:11" ht="24" customHeight="1">
      <c r="H1968" s="1" t="s">
        <v>202</v>
      </c>
    </row>
    <row r="1969" spans="6:11" ht="24" customHeight="1">
      <c r="H1969" s="5" t="s">
        <v>1667</v>
      </c>
    </row>
    <row r="1970" spans="6:11" ht="24" customHeight="1">
      <c r="F1970" s="8">
        <v>3</v>
      </c>
      <c r="G1970" s="7" t="s">
        <v>1854</v>
      </c>
      <c r="H1970" s="1" t="s">
        <v>2179</v>
      </c>
      <c r="I1970" s="8">
        <f>(C597)</f>
        <v>217.6</v>
      </c>
      <c r="J1970" s="1" t="s">
        <v>1854</v>
      </c>
      <c r="K1970" s="8">
        <f t="shared" ref="K1970:K1976" si="148">(F1970*I1970)</f>
        <v>652.79999999999995</v>
      </c>
    </row>
    <row r="1971" spans="6:11" ht="24" customHeight="1">
      <c r="F1971" s="8">
        <v>1</v>
      </c>
      <c r="G1971" s="7" t="s">
        <v>781</v>
      </c>
      <c r="H1971" s="1" t="s">
        <v>680</v>
      </c>
      <c r="I1971" s="8">
        <f>C600</f>
        <v>109.1</v>
      </c>
      <c r="J1971" s="1" t="s">
        <v>1796</v>
      </c>
      <c r="K1971" s="8">
        <f t="shared" si="148"/>
        <v>109.1</v>
      </c>
    </row>
    <row r="1972" spans="6:11" ht="24" customHeight="1">
      <c r="F1972" s="8">
        <v>1</v>
      </c>
      <c r="G1972" s="7" t="s">
        <v>781</v>
      </c>
      <c r="H1972" s="1" t="s">
        <v>681</v>
      </c>
      <c r="I1972" s="8">
        <f>C625</f>
        <v>72.7</v>
      </c>
      <c r="J1972" s="1" t="s">
        <v>1796</v>
      </c>
      <c r="K1972" s="8">
        <f t="shared" si="148"/>
        <v>72.7</v>
      </c>
    </row>
    <row r="1973" spans="6:11" ht="24" customHeight="1">
      <c r="F1973" s="8">
        <v>1</v>
      </c>
      <c r="G1973" s="7" t="s">
        <v>781</v>
      </c>
      <c r="H1973" s="1" t="s">
        <v>1583</v>
      </c>
      <c r="I1973" s="8">
        <f>C622</f>
        <v>163.30000000000001</v>
      </c>
      <c r="J1973" s="1" t="s">
        <v>1796</v>
      </c>
      <c r="K1973" s="8">
        <f t="shared" si="148"/>
        <v>163.30000000000001</v>
      </c>
    </row>
    <row r="1974" spans="6:11" ht="24" customHeight="1">
      <c r="F1974" s="8">
        <v>0.5</v>
      </c>
      <c r="G1974" s="7" t="s">
        <v>883</v>
      </c>
      <c r="H1974" s="1" t="s">
        <v>2176</v>
      </c>
      <c r="I1974" s="8">
        <f>(C15)</f>
        <v>374.85</v>
      </c>
      <c r="J1974" s="1" t="s">
        <v>1796</v>
      </c>
      <c r="K1974" s="8">
        <f t="shared" si="148"/>
        <v>187.43</v>
      </c>
    </row>
    <row r="1975" spans="6:11" ht="24" customHeight="1">
      <c r="F1975" s="8">
        <v>0.5</v>
      </c>
      <c r="G1975" s="7" t="s">
        <v>883</v>
      </c>
      <c r="H1975" s="1" t="s">
        <v>1791</v>
      </c>
      <c r="I1975" s="8">
        <f>(C11)</f>
        <v>386.4</v>
      </c>
      <c r="J1975" s="1" t="s">
        <v>1796</v>
      </c>
      <c r="K1975" s="8">
        <f t="shared" si="148"/>
        <v>193.2</v>
      </c>
    </row>
    <row r="1976" spans="6:11" ht="24" customHeight="1">
      <c r="F1976" s="8">
        <v>0.5</v>
      </c>
      <c r="G1976" s="7" t="s">
        <v>883</v>
      </c>
      <c r="H1976" s="1" t="s">
        <v>1979</v>
      </c>
      <c r="I1976" s="8">
        <f>(C12)</f>
        <v>269.85000000000002</v>
      </c>
      <c r="J1976" s="1" t="s">
        <v>1796</v>
      </c>
      <c r="K1976" s="8">
        <f t="shared" si="148"/>
        <v>134.93</v>
      </c>
    </row>
    <row r="1977" spans="6:11" ht="24" customHeight="1">
      <c r="G1977" s="7" t="s">
        <v>448</v>
      </c>
      <c r="H1977" s="1" t="s">
        <v>1584</v>
      </c>
      <c r="I1977" s="8">
        <v>2.79</v>
      </c>
      <c r="J1977" s="1" t="s">
        <v>448</v>
      </c>
      <c r="K1977" s="8">
        <v>2.79</v>
      </c>
    </row>
    <row r="1978" spans="6:11" ht="24" customHeight="1">
      <c r="H1978" s="1" t="s">
        <v>87</v>
      </c>
    </row>
    <row r="1979" spans="6:11" ht="24" customHeight="1">
      <c r="H1979" s="1" t="s">
        <v>191</v>
      </c>
    </row>
    <row r="1980" spans="6:11" ht="24" customHeight="1">
      <c r="H1980" s="1" t="s">
        <v>745</v>
      </c>
      <c r="J1980" s="1" t="s">
        <v>448</v>
      </c>
      <c r="K1980" s="8">
        <v>0.12</v>
      </c>
    </row>
    <row r="1981" spans="6:11" ht="24" customHeight="1">
      <c r="K1981" s="5" t="s">
        <v>1667</v>
      </c>
    </row>
    <row r="1982" spans="6:11" ht="24" customHeight="1">
      <c r="H1982" s="1" t="s">
        <v>1375</v>
      </c>
      <c r="K1982" s="8">
        <f>SUM(K1970:K1980)</f>
        <v>1516.37</v>
      </c>
    </row>
    <row r="1983" spans="6:11" ht="24" customHeight="1">
      <c r="K1983" s="5" t="s">
        <v>1667</v>
      </c>
    </row>
    <row r="1984" spans="6:11" ht="24" customHeight="1">
      <c r="H1984" s="1" t="s">
        <v>1622</v>
      </c>
      <c r="K1984" s="8">
        <f>(K1982/3)</f>
        <v>505.46</v>
      </c>
    </row>
    <row r="1985" spans="6:11" ht="24" customHeight="1">
      <c r="K1985" s="5" t="s">
        <v>1667</v>
      </c>
    </row>
    <row r="1986" spans="6:11" ht="24" customHeight="1">
      <c r="F1986" s="2" t="s">
        <v>746</v>
      </c>
      <c r="G1986" s="7" t="s">
        <v>287</v>
      </c>
      <c r="H1986" s="1" t="s">
        <v>747</v>
      </c>
    </row>
    <row r="1987" spans="6:11" ht="24" customHeight="1">
      <c r="H1987" s="1" t="s">
        <v>2193</v>
      </c>
    </row>
    <row r="1988" spans="6:11" ht="24" customHeight="1">
      <c r="H1988" s="1" t="s">
        <v>965</v>
      </c>
    </row>
    <row r="1989" spans="6:11" ht="24" customHeight="1">
      <c r="H1989" s="1" t="s">
        <v>748</v>
      </c>
    </row>
    <row r="1990" spans="6:11" ht="24" customHeight="1">
      <c r="H1990" s="1" t="s">
        <v>541</v>
      </c>
    </row>
    <row r="1991" spans="6:11" ht="24" customHeight="1">
      <c r="H1991" s="1" t="s">
        <v>2178</v>
      </c>
    </row>
    <row r="1992" spans="6:11" ht="24" customHeight="1">
      <c r="H1992" s="1" t="s">
        <v>202</v>
      </c>
    </row>
    <row r="1993" spans="6:11" ht="24" customHeight="1">
      <c r="H1993" s="5" t="s">
        <v>1667</v>
      </c>
    </row>
    <row r="1994" spans="6:11" ht="24" customHeight="1">
      <c r="F1994" s="8">
        <v>3</v>
      </c>
      <c r="G1994" s="7" t="s">
        <v>1854</v>
      </c>
      <c r="H1994" s="1" t="s">
        <v>1024</v>
      </c>
      <c r="I1994" s="8">
        <f>C598</f>
        <v>119.73</v>
      </c>
      <c r="J1994" s="1" t="s">
        <v>1854</v>
      </c>
      <c r="K1994" s="8">
        <f t="shared" ref="K1994:K2000" si="149">(F1994*I1994)</f>
        <v>359.19</v>
      </c>
    </row>
    <row r="1995" spans="6:11" ht="24" customHeight="1">
      <c r="F1995" s="8">
        <v>1</v>
      </c>
      <c r="G1995" s="7" t="s">
        <v>781</v>
      </c>
      <c r="H1995" s="1" t="s">
        <v>1025</v>
      </c>
      <c r="I1995" s="8">
        <f>C601</f>
        <v>72.7</v>
      </c>
      <c r="K1995" s="8">
        <f t="shared" si="149"/>
        <v>72.7</v>
      </c>
    </row>
    <row r="1996" spans="6:11" ht="24" customHeight="1">
      <c r="F1996" s="8">
        <v>1</v>
      </c>
      <c r="G1996" s="7" t="s">
        <v>781</v>
      </c>
      <c r="H1996" s="1" t="s">
        <v>1026</v>
      </c>
      <c r="I1996" s="8">
        <f>C626</f>
        <v>48.5</v>
      </c>
      <c r="K1996" s="8">
        <f t="shared" si="149"/>
        <v>48.5</v>
      </c>
    </row>
    <row r="1997" spans="6:11" ht="24" customHeight="1">
      <c r="F1997" s="8">
        <v>1</v>
      </c>
      <c r="G1997" s="7" t="s">
        <v>781</v>
      </c>
      <c r="H1997" s="1" t="s">
        <v>88</v>
      </c>
      <c r="I1997" s="8">
        <f>C623</f>
        <v>109.1</v>
      </c>
      <c r="K1997" s="8">
        <f t="shared" si="149"/>
        <v>109.1</v>
      </c>
    </row>
    <row r="1998" spans="6:11" ht="24" customHeight="1">
      <c r="F1998" s="8">
        <v>0.5</v>
      </c>
      <c r="G1998" s="7" t="s">
        <v>883</v>
      </c>
      <c r="H1998" s="1" t="s">
        <v>2176</v>
      </c>
      <c r="I1998" s="8">
        <f>(C15)</f>
        <v>374.85</v>
      </c>
      <c r="J1998" s="1" t="s">
        <v>883</v>
      </c>
      <c r="K1998" s="8">
        <f t="shared" si="149"/>
        <v>187.43</v>
      </c>
    </row>
    <row r="1999" spans="6:11" ht="24" customHeight="1">
      <c r="F1999" s="8">
        <v>0.5</v>
      </c>
      <c r="G1999" s="7" t="s">
        <v>883</v>
      </c>
      <c r="H1999" s="1" t="s">
        <v>1791</v>
      </c>
      <c r="I1999" s="8">
        <f>(C11)</f>
        <v>386.4</v>
      </c>
      <c r="J1999" s="1" t="s">
        <v>883</v>
      </c>
      <c r="K1999" s="8">
        <f t="shared" si="149"/>
        <v>193.2</v>
      </c>
    </row>
    <row r="2000" spans="6:11" ht="24" customHeight="1">
      <c r="F2000" s="8">
        <v>0.5</v>
      </c>
      <c r="G2000" s="7" t="s">
        <v>883</v>
      </c>
      <c r="H2000" s="1" t="s">
        <v>1979</v>
      </c>
      <c r="I2000" s="8">
        <f>(C12)</f>
        <v>269.85000000000002</v>
      </c>
      <c r="J2000" s="1" t="s">
        <v>883</v>
      </c>
      <c r="K2000" s="8">
        <f t="shared" si="149"/>
        <v>134.93</v>
      </c>
    </row>
    <row r="2001" spans="6:11" ht="24" customHeight="1">
      <c r="G2001" s="7" t="s">
        <v>448</v>
      </c>
      <c r="H2001" s="1" t="s">
        <v>1584</v>
      </c>
      <c r="I2001" s="1" t="s">
        <v>995</v>
      </c>
      <c r="J2001" s="1" t="s">
        <v>448</v>
      </c>
      <c r="K2001" s="8">
        <v>2.73</v>
      </c>
    </row>
    <row r="2002" spans="6:11" ht="24" customHeight="1">
      <c r="H2002" s="1" t="s">
        <v>87</v>
      </c>
    </row>
    <row r="2003" spans="6:11" ht="24" customHeight="1">
      <c r="H2003" s="1" t="s">
        <v>191</v>
      </c>
    </row>
    <row r="2004" spans="6:11" ht="24" customHeight="1">
      <c r="H2004" s="1" t="s">
        <v>745</v>
      </c>
      <c r="J2004" s="1" t="s">
        <v>448</v>
      </c>
      <c r="K2004" s="8">
        <v>0.27</v>
      </c>
    </row>
    <row r="2005" spans="6:11" ht="24" customHeight="1">
      <c r="K2005" s="5" t="s">
        <v>1667</v>
      </c>
    </row>
    <row r="2006" spans="6:11" ht="24" customHeight="1">
      <c r="H2006" s="1" t="s">
        <v>1375</v>
      </c>
      <c r="K2006" s="8">
        <f>SUM(K1994:K2004)</f>
        <v>1108.05</v>
      </c>
    </row>
    <row r="2007" spans="6:11" ht="24" customHeight="1">
      <c r="K2007" s="5" t="s">
        <v>1667</v>
      </c>
    </row>
    <row r="2008" spans="6:11" ht="24" customHeight="1">
      <c r="H2008" s="1" t="s">
        <v>1622</v>
      </c>
      <c r="K2008" s="8">
        <f>(K2006/3)</f>
        <v>369.35</v>
      </c>
    </row>
    <row r="2009" spans="6:11" ht="24" customHeight="1">
      <c r="K2009" s="5" t="s">
        <v>1667</v>
      </c>
    </row>
    <row r="2010" spans="6:11" ht="24" customHeight="1">
      <c r="F2010" s="2" t="s">
        <v>89</v>
      </c>
      <c r="H2010" s="1" t="s">
        <v>209</v>
      </c>
    </row>
    <row r="2011" spans="6:11" ht="24" customHeight="1">
      <c r="H2011" s="1" t="s">
        <v>1897</v>
      </c>
    </row>
    <row r="2012" spans="6:11" ht="24" customHeight="1">
      <c r="F2012" s="1" t="s">
        <v>995</v>
      </c>
      <c r="H2012" s="1" t="s">
        <v>2271</v>
      </c>
    </row>
    <row r="2013" spans="6:11" ht="24" customHeight="1">
      <c r="H2013" s="5" t="s">
        <v>1667</v>
      </c>
    </row>
    <row r="2014" spans="6:11" ht="24" customHeight="1">
      <c r="F2014" s="8">
        <v>3</v>
      </c>
      <c r="G2014" s="7" t="s">
        <v>2272</v>
      </c>
      <c r="H2014" s="1" t="s">
        <v>2273</v>
      </c>
      <c r="I2014" s="8">
        <f>D597</f>
        <v>178.1</v>
      </c>
      <c r="J2014" s="1" t="s">
        <v>2272</v>
      </c>
      <c r="K2014" s="8">
        <f>(F2014*I2014)</f>
        <v>534.29999999999995</v>
      </c>
    </row>
    <row r="2015" spans="6:11" ht="24" customHeight="1">
      <c r="F2015" s="8">
        <v>1</v>
      </c>
      <c r="G2015" s="7" t="s">
        <v>1843</v>
      </c>
      <c r="H2015" s="1" t="s">
        <v>2274</v>
      </c>
      <c r="I2015" s="8">
        <f>C625</f>
        <v>72.7</v>
      </c>
      <c r="J2015" s="1" t="s">
        <v>1843</v>
      </c>
      <c r="K2015" s="8">
        <f>(F2015*I2015)</f>
        <v>72.7</v>
      </c>
    </row>
    <row r="2016" spans="6:11" ht="24" customHeight="1">
      <c r="F2016" s="8">
        <v>1</v>
      </c>
      <c r="G2016" s="7" t="s">
        <v>1843</v>
      </c>
      <c r="H2016" s="1" t="s">
        <v>2275</v>
      </c>
      <c r="I2016" s="8">
        <v>8</v>
      </c>
      <c r="J2016" s="1" t="s">
        <v>1843</v>
      </c>
      <c r="K2016" s="8">
        <f>(F2016*I2016)</f>
        <v>8</v>
      </c>
    </row>
    <row r="2017" spans="6:11" ht="24" customHeight="1">
      <c r="F2017" s="2" t="s">
        <v>744</v>
      </c>
      <c r="H2017" s="1" t="s">
        <v>2276</v>
      </c>
      <c r="I2017" s="2" t="s">
        <v>744</v>
      </c>
      <c r="K2017" s="8">
        <f>1.21+0.47+0.4</f>
        <v>2.08</v>
      </c>
    </row>
    <row r="2018" spans="6:11" ht="24" customHeight="1">
      <c r="K2018" s="5" t="s">
        <v>1667</v>
      </c>
    </row>
    <row r="2019" spans="6:11" ht="24" customHeight="1">
      <c r="H2019" s="1" t="s">
        <v>395</v>
      </c>
      <c r="K2019" s="8">
        <f>SUM(K2014:K2017)</f>
        <v>617.08000000000004</v>
      </c>
    </row>
    <row r="2020" spans="6:11" ht="24" customHeight="1">
      <c r="K2020" s="5" t="s">
        <v>1667</v>
      </c>
    </row>
    <row r="2022" spans="6:11" ht="24" customHeight="1">
      <c r="F2022" s="2" t="s">
        <v>396</v>
      </c>
      <c r="G2022" s="7" t="s">
        <v>2338</v>
      </c>
      <c r="H2022" s="1" t="s">
        <v>1177</v>
      </c>
    </row>
    <row r="2023" spans="6:11" ht="24" customHeight="1">
      <c r="H2023" s="1" t="s">
        <v>298</v>
      </c>
    </row>
    <row r="2024" spans="6:11" ht="24" customHeight="1">
      <c r="H2024" s="5" t="s">
        <v>1667</v>
      </c>
    </row>
    <row r="2025" spans="6:11" ht="24" customHeight="1">
      <c r="F2025" s="8">
        <v>1</v>
      </c>
      <c r="G2025" s="7" t="s">
        <v>883</v>
      </c>
      <c r="H2025" s="1" t="s">
        <v>298</v>
      </c>
      <c r="I2025" s="8">
        <f>(C265)</f>
        <v>169</v>
      </c>
      <c r="J2025" s="1" t="s">
        <v>883</v>
      </c>
      <c r="K2025" s="8">
        <f>(F2025*I2025)</f>
        <v>169</v>
      </c>
    </row>
    <row r="2026" spans="6:11" ht="24" customHeight="1">
      <c r="F2026" s="8">
        <v>0.05</v>
      </c>
      <c r="G2026" s="7" t="s">
        <v>884</v>
      </c>
      <c r="H2026" s="1" t="s">
        <v>1225</v>
      </c>
      <c r="I2026" s="8">
        <f>(R60)</f>
        <v>2253.1999999999998</v>
      </c>
      <c r="J2026" s="1" t="s">
        <v>884</v>
      </c>
      <c r="K2026" s="8">
        <f>(F2026*I2026)</f>
        <v>112.66</v>
      </c>
    </row>
    <row r="2027" spans="6:11" ht="24" customHeight="1">
      <c r="F2027" s="8">
        <v>0.5</v>
      </c>
      <c r="G2027" s="7" t="s">
        <v>883</v>
      </c>
      <c r="H2027" s="1" t="s">
        <v>2176</v>
      </c>
      <c r="I2027" s="8">
        <f>(C15)</f>
        <v>374.85</v>
      </c>
      <c r="J2027" s="1" t="s">
        <v>883</v>
      </c>
      <c r="K2027" s="8">
        <f>(F2027*I2027)</f>
        <v>187.43</v>
      </c>
    </row>
    <row r="2028" spans="6:11" ht="24" customHeight="1">
      <c r="F2028" s="8">
        <v>1</v>
      </c>
      <c r="G2028" s="7" t="s">
        <v>883</v>
      </c>
      <c r="H2028" s="1" t="s">
        <v>1979</v>
      </c>
      <c r="I2028" s="8">
        <f>(C12)</f>
        <v>269.85000000000002</v>
      </c>
      <c r="J2028" s="1" t="s">
        <v>883</v>
      </c>
      <c r="K2028" s="8">
        <f>(F2028*I2028)</f>
        <v>269.85000000000002</v>
      </c>
    </row>
    <row r="2029" spans="6:11" ht="24" customHeight="1">
      <c r="F2029" s="8">
        <v>1</v>
      </c>
      <c r="G2029" s="7" t="s">
        <v>883</v>
      </c>
      <c r="H2029" s="1" t="s">
        <v>324</v>
      </c>
      <c r="I2029" s="8">
        <f>(C13)</f>
        <v>243.6</v>
      </c>
      <c r="J2029" s="1" t="s">
        <v>883</v>
      </c>
      <c r="K2029" s="8">
        <f>(F2029*I2029)</f>
        <v>243.6</v>
      </c>
    </row>
    <row r="2030" spans="6:11" ht="24" customHeight="1">
      <c r="G2030" s="7" t="s">
        <v>448</v>
      </c>
      <c r="H2030" s="1" t="s">
        <v>449</v>
      </c>
      <c r="I2030" s="1" t="s">
        <v>995</v>
      </c>
      <c r="J2030" s="1" t="s">
        <v>448</v>
      </c>
      <c r="K2030" s="8">
        <v>0.54</v>
      </c>
    </row>
    <row r="2031" spans="6:11" ht="24" customHeight="1">
      <c r="H2031" s="1" t="s">
        <v>995</v>
      </c>
      <c r="K2031" s="5" t="s">
        <v>1667</v>
      </c>
    </row>
    <row r="2032" spans="6:11" ht="24" customHeight="1">
      <c r="H2032" s="1" t="s">
        <v>1834</v>
      </c>
      <c r="K2032" s="8">
        <f>SUM(K2025:K2030)</f>
        <v>983.08</v>
      </c>
    </row>
    <row r="2033" spans="6:11" ht="24" customHeight="1">
      <c r="K2033" s="5" t="s">
        <v>2130</v>
      </c>
    </row>
    <row r="2034" spans="6:11" ht="24" customHeight="1">
      <c r="F2034" s="2" t="s">
        <v>1226</v>
      </c>
      <c r="G2034" s="7" t="s">
        <v>2338</v>
      </c>
      <c r="H2034" s="1" t="s">
        <v>2305</v>
      </c>
    </row>
    <row r="2035" spans="6:11" ht="24" customHeight="1">
      <c r="H2035" s="1" t="s">
        <v>2194</v>
      </c>
    </row>
    <row r="2036" spans="6:11" ht="24" customHeight="1">
      <c r="H2036" s="5" t="s">
        <v>1667</v>
      </c>
    </row>
    <row r="2037" spans="6:11" ht="24" customHeight="1">
      <c r="F2037" s="8">
        <v>1</v>
      </c>
      <c r="G2037" s="7" t="s">
        <v>883</v>
      </c>
      <c r="H2037" s="1" t="s">
        <v>2306</v>
      </c>
      <c r="I2037" s="8">
        <f>(D266)</f>
        <v>132</v>
      </c>
      <c r="J2037" s="1" t="s">
        <v>883</v>
      </c>
      <c r="K2037" s="8">
        <f>(F2037*I2037)</f>
        <v>132</v>
      </c>
    </row>
    <row r="2038" spans="6:11" ht="24" customHeight="1">
      <c r="G2038" s="7" t="s">
        <v>448</v>
      </c>
      <c r="H2038" s="1" t="s">
        <v>1772</v>
      </c>
      <c r="J2038" s="1" t="s">
        <v>448</v>
      </c>
      <c r="K2038" s="8">
        <v>4</v>
      </c>
    </row>
    <row r="2039" spans="6:11" ht="24" customHeight="1">
      <c r="J2039" s="1" t="s">
        <v>995</v>
      </c>
      <c r="K2039" s="5" t="s">
        <v>1667</v>
      </c>
    </row>
    <row r="2040" spans="6:11" ht="24" customHeight="1">
      <c r="H2040" s="1" t="s">
        <v>1834</v>
      </c>
      <c r="K2040" s="8">
        <f>SUM(K2037:K2039)</f>
        <v>136</v>
      </c>
    </row>
    <row r="2041" spans="6:11" ht="24" customHeight="1">
      <c r="K2041" s="5" t="s">
        <v>1667</v>
      </c>
    </row>
    <row r="2042" spans="6:11" ht="24" customHeight="1">
      <c r="F2042" s="2" t="s">
        <v>1773</v>
      </c>
      <c r="G2042" s="7" t="s">
        <v>2338</v>
      </c>
      <c r="H2042" s="1" t="s">
        <v>57</v>
      </c>
    </row>
    <row r="2043" spans="6:11" ht="24" customHeight="1">
      <c r="H2043" s="1" t="s">
        <v>58</v>
      </c>
    </row>
    <row r="2044" spans="6:11" ht="24" customHeight="1">
      <c r="H2044" s="5" t="s">
        <v>1667</v>
      </c>
    </row>
    <row r="2045" spans="6:11" ht="24" customHeight="1">
      <c r="F2045" s="8">
        <v>50</v>
      </c>
      <c r="G2045" s="7" t="s">
        <v>883</v>
      </c>
      <c r="H2045" s="1" t="s">
        <v>806</v>
      </c>
      <c r="I2045" s="69">
        <f>C203</f>
        <v>60</v>
      </c>
      <c r="J2045" s="1" t="s">
        <v>883</v>
      </c>
      <c r="K2045" s="8">
        <f t="shared" ref="K2045:K2054" si="150">(F2045*I2045)</f>
        <v>3000</v>
      </c>
    </row>
    <row r="2046" spans="6:11" ht="24" customHeight="1">
      <c r="F2046" s="8">
        <v>21.6</v>
      </c>
      <c r="G2046" s="7" t="s">
        <v>884</v>
      </c>
      <c r="H2046" s="1" t="s">
        <v>807</v>
      </c>
      <c r="I2046" s="8">
        <f>(C61*2)</f>
        <v>96.6</v>
      </c>
      <c r="J2046" s="1" t="s">
        <v>884</v>
      </c>
      <c r="K2046" s="8">
        <f t="shared" si="150"/>
        <v>2086.56</v>
      </c>
    </row>
    <row r="2047" spans="6:11" ht="24" customHeight="1">
      <c r="F2047" s="8">
        <v>21.6</v>
      </c>
      <c r="G2047" s="7" t="s">
        <v>884</v>
      </c>
      <c r="H2047" s="1" t="s">
        <v>248</v>
      </c>
      <c r="I2047" s="8">
        <f>(C26)</f>
        <v>16.96</v>
      </c>
      <c r="J2047" s="1" t="s">
        <v>884</v>
      </c>
      <c r="K2047" s="8">
        <f t="shared" si="150"/>
        <v>366.34</v>
      </c>
    </row>
    <row r="2048" spans="6:11" ht="24" customHeight="1">
      <c r="F2048" s="8">
        <v>45</v>
      </c>
      <c r="G2048" s="7" t="s">
        <v>1730</v>
      </c>
      <c r="H2048" s="1" t="s">
        <v>877</v>
      </c>
      <c r="I2048" s="8">
        <f>(C67/1000)</f>
        <v>5.6</v>
      </c>
      <c r="J2048" s="1" t="s">
        <v>1730</v>
      </c>
      <c r="K2048" s="8">
        <f t="shared" si="150"/>
        <v>252</v>
      </c>
    </row>
    <row r="2049" spans="6:17" ht="24" customHeight="1">
      <c r="F2049" s="8">
        <v>0.04</v>
      </c>
      <c r="G2049" s="7" t="s">
        <v>884</v>
      </c>
      <c r="H2049" s="1" t="s">
        <v>885</v>
      </c>
      <c r="I2049" s="8">
        <f>(C78)</f>
        <v>740.98</v>
      </c>
      <c r="J2049" s="1" t="s">
        <v>884</v>
      </c>
      <c r="K2049" s="8">
        <f t="shared" si="150"/>
        <v>29.64</v>
      </c>
    </row>
    <row r="2050" spans="6:17" ht="24" customHeight="1">
      <c r="F2050" s="8">
        <v>3.63</v>
      </c>
      <c r="G2050" s="7" t="s">
        <v>1730</v>
      </c>
      <c r="H2050" s="1" t="s">
        <v>808</v>
      </c>
      <c r="I2050" s="8">
        <f>(C584)</f>
        <v>10.8</v>
      </c>
      <c r="J2050" s="1" t="s">
        <v>1730</v>
      </c>
      <c r="K2050" s="8">
        <f t="shared" si="150"/>
        <v>39.200000000000003</v>
      </c>
    </row>
    <row r="2051" spans="6:17" ht="24" customHeight="1">
      <c r="F2051" s="8">
        <v>2</v>
      </c>
      <c r="G2051" s="7" t="s">
        <v>883</v>
      </c>
      <c r="H2051" s="1" t="s">
        <v>2082</v>
      </c>
      <c r="I2051" s="8">
        <f>(C10)</f>
        <v>430.5</v>
      </c>
      <c r="J2051" s="1" t="s">
        <v>883</v>
      </c>
      <c r="K2051" s="8">
        <f t="shared" si="150"/>
        <v>861</v>
      </c>
    </row>
    <row r="2052" spans="6:17" ht="24" customHeight="1">
      <c r="F2052" s="8">
        <v>1</v>
      </c>
      <c r="G2052" s="7" t="s">
        <v>883</v>
      </c>
      <c r="H2052" s="1" t="s">
        <v>809</v>
      </c>
      <c r="I2052" s="8">
        <f>AC37</f>
        <v>347.55</v>
      </c>
      <c r="J2052" s="1" t="s">
        <v>883</v>
      </c>
      <c r="K2052" s="8">
        <f t="shared" si="150"/>
        <v>347.55</v>
      </c>
    </row>
    <row r="2053" spans="6:17" ht="24" customHeight="1">
      <c r="F2053" s="8">
        <v>5</v>
      </c>
      <c r="G2053" s="7" t="s">
        <v>883</v>
      </c>
      <c r="H2053" s="1" t="s">
        <v>1979</v>
      </c>
      <c r="I2053" s="8">
        <f>(C12)</f>
        <v>269.85000000000002</v>
      </c>
      <c r="J2053" s="1" t="s">
        <v>883</v>
      </c>
      <c r="K2053" s="8">
        <f t="shared" si="150"/>
        <v>1349.25</v>
      </c>
    </row>
    <row r="2054" spans="6:17" ht="24" customHeight="1">
      <c r="F2054" s="8">
        <v>2</v>
      </c>
      <c r="G2054" s="7" t="s">
        <v>883</v>
      </c>
      <c r="H2054" s="1" t="s">
        <v>324</v>
      </c>
      <c r="I2054" s="8">
        <f>(C13)</f>
        <v>243.6</v>
      </c>
      <c r="J2054" s="1" t="s">
        <v>883</v>
      </c>
      <c r="K2054" s="8">
        <f t="shared" si="150"/>
        <v>487.2</v>
      </c>
    </row>
    <row r="2055" spans="6:17" ht="24" customHeight="1">
      <c r="G2055" s="7" t="s">
        <v>448</v>
      </c>
      <c r="H2055" s="1" t="s">
        <v>2210</v>
      </c>
      <c r="J2055" s="1" t="s">
        <v>448</v>
      </c>
      <c r="K2055" s="8">
        <f>SUM(K2051:K2054)/10+7.5</f>
        <v>312</v>
      </c>
    </row>
    <row r="2056" spans="6:17" ht="24" customHeight="1">
      <c r="K2056" s="5" t="s">
        <v>1667</v>
      </c>
    </row>
    <row r="2057" spans="6:17" ht="24" customHeight="1">
      <c r="H2057" s="1" t="s">
        <v>2211</v>
      </c>
      <c r="K2057" s="8">
        <f>SUM(K2045:K2055)</f>
        <v>9130.74</v>
      </c>
    </row>
    <row r="2058" spans="6:17" ht="24" customHeight="1">
      <c r="K2058" s="5" t="s">
        <v>1667</v>
      </c>
    </row>
    <row r="2059" spans="6:17" ht="24" customHeight="1">
      <c r="H2059" s="1" t="s">
        <v>1167</v>
      </c>
      <c r="K2059" s="8">
        <f>(K2057/30)</f>
        <v>304.36</v>
      </c>
    </row>
    <row r="2060" spans="6:17" ht="24" customHeight="1">
      <c r="K2060" s="5" t="s">
        <v>2130</v>
      </c>
    </row>
    <row r="2062" spans="6:17" ht="24" customHeight="1">
      <c r="F2062" s="2" t="s">
        <v>1168</v>
      </c>
      <c r="G2062" s="7" t="s">
        <v>2338</v>
      </c>
      <c r="H2062" s="1" t="s">
        <v>1041</v>
      </c>
      <c r="M2062" s="2" t="s">
        <v>1168</v>
      </c>
      <c r="N2062" s="7" t="s">
        <v>2338</v>
      </c>
      <c r="O2062" s="1" t="s">
        <v>750</v>
      </c>
      <c r="Q2062" s="11"/>
    </row>
    <row r="2063" spans="6:17" ht="24" customHeight="1">
      <c r="H2063" s="1" t="s">
        <v>58</v>
      </c>
      <c r="N2063" s="3"/>
      <c r="O2063" s="1" t="s">
        <v>58</v>
      </c>
      <c r="Q2063" s="11"/>
    </row>
    <row r="2064" spans="6:17" ht="24" customHeight="1">
      <c r="H2064" s="5" t="s">
        <v>1667</v>
      </c>
      <c r="N2064" s="3"/>
      <c r="O2064" s="5" t="s">
        <v>1667</v>
      </c>
      <c r="Q2064" s="11"/>
    </row>
    <row r="2065" spans="6:18" ht="24" customHeight="1">
      <c r="F2065" s="8">
        <v>50</v>
      </c>
      <c r="G2065" s="7" t="s">
        <v>883</v>
      </c>
      <c r="H2065" s="1" t="s">
        <v>571</v>
      </c>
      <c r="I2065" s="69">
        <f>C204</f>
        <v>96.5</v>
      </c>
      <c r="J2065" s="1" t="s">
        <v>883</v>
      </c>
      <c r="K2065" s="8">
        <f t="shared" ref="K2065:K2074" si="151">(F2065*I2065)</f>
        <v>4825</v>
      </c>
      <c r="M2065" s="8">
        <v>50</v>
      </c>
      <c r="N2065" s="7" t="s">
        <v>883</v>
      </c>
      <c r="O2065" s="1" t="s">
        <v>751</v>
      </c>
      <c r="P2065" s="69">
        <v>266</v>
      </c>
      <c r="Q2065" s="1" t="s">
        <v>883</v>
      </c>
      <c r="R2065" s="8">
        <f t="shared" ref="R2065:R2074" si="152">(M2065*P2065)</f>
        <v>13300</v>
      </c>
    </row>
    <row r="2066" spans="6:18" ht="24" customHeight="1">
      <c r="F2066" s="8">
        <v>21.6</v>
      </c>
      <c r="G2066" s="7" t="s">
        <v>884</v>
      </c>
      <c r="H2066" s="1" t="s">
        <v>807</v>
      </c>
      <c r="I2066" s="8">
        <f>(C61*2)</f>
        <v>96.6</v>
      </c>
      <c r="J2066" s="1" t="s">
        <v>884</v>
      </c>
      <c r="K2066" s="8">
        <f t="shared" si="151"/>
        <v>2086.56</v>
      </c>
      <c r="M2066" s="8">
        <v>21.6</v>
      </c>
      <c r="N2066" s="7" t="s">
        <v>884</v>
      </c>
      <c r="O2066" s="1" t="s">
        <v>807</v>
      </c>
      <c r="P2066" s="8">
        <f>I2066</f>
        <v>96.6</v>
      </c>
      <c r="Q2066" s="1" t="s">
        <v>884</v>
      </c>
      <c r="R2066" s="8">
        <f t="shared" si="152"/>
        <v>2086.56</v>
      </c>
    </row>
    <row r="2067" spans="6:18" ht="24" customHeight="1">
      <c r="F2067" s="8">
        <v>21.6</v>
      </c>
      <c r="G2067" s="7" t="s">
        <v>884</v>
      </c>
      <c r="H2067" s="1" t="s">
        <v>248</v>
      </c>
      <c r="I2067" s="8">
        <f>(C26)</f>
        <v>16.96</v>
      </c>
      <c r="J2067" s="1" t="s">
        <v>884</v>
      </c>
      <c r="K2067" s="8">
        <f t="shared" si="151"/>
        <v>366.34</v>
      </c>
      <c r="M2067" s="8">
        <v>21.6</v>
      </c>
      <c r="N2067" s="7" t="s">
        <v>884</v>
      </c>
      <c r="O2067" s="1" t="s">
        <v>248</v>
      </c>
      <c r="P2067" s="8">
        <f t="shared" ref="P2067:P2074" si="153">I2067</f>
        <v>16.96</v>
      </c>
      <c r="Q2067" s="1" t="s">
        <v>884</v>
      </c>
      <c r="R2067" s="8">
        <f t="shared" si="152"/>
        <v>366.34</v>
      </c>
    </row>
    <row r="2068" spans="6:18" ht="24" customHeight="1">
      <c r="F2068" s="8">
        <v>68</v>
      </c>
      <c r="G2068" s="7" t="s">
        <v>1730</v>
      </c>
      <c r="H2068" s="1" t="s">
        <v>877</v>
      </c>
      <c r="I2068" s="8">
        <f>(C67/1000)</f>
        <v>5.6</v>
      </c>
      <c r="J2068" s="1" t="s">
        <v>1730</v>
      </c>
      <c r="K2068" s="8">
        <f t="shared" si="151"/>
        <v>380.8</v>
      </c>
      <c r="M2068" s="8">
        <v>115</v>
      </c>
      <c r="N2068" s="7" t="s">
        <v>1730</v>
      </c>
      <c r="O2068" s="1" t="s">
        <v>877</v>
      </c>
      <c r="P2068" s="8">
        <f t="shared" si="153"/>
        <v>5.6</v>
      </c>
      <c r="Q2068" s="1" t="s">
        <v>1730</v>
      </c>
      <c r="R2068" s="8">
        <f t="shared" si="152"/>
        <v>644</v>
      </c>
    </row>
    <row r="2069" spans="6:18" ht="24" customHeight="1">
      <c r="F2069" s="8">
        <v>7.0000000000000007E-2</v>
      </c>
      <c r="G2069" s="7" t="s">
        <v>884</v>
      </c>
      <c r="H2069" s="1" t="s">
        <v>885</v>
      </c>
      <c r="I2069" s="8">
        <f>(C78)</f>
        <v>740.98</v>
      </c>
      <c r="J2069" s="1" t="s">
        <v>884</v>
      </c>
      <c r="K2069" s="8">
        <f t="shared" si="151"/>
        <v>51.87</v>
      </c>
      <c r="M2069" s="8">
        <v>0.11</v>
      </c>
      <c r="N2069" s="7" t="s">
        <v>884</v>
      </c>
      <c r="O2069" s="1" t="s">
        <v>885</v>
      </c>
      <c r="P2069" s="8">
        <f t="shared" si="153"/>
        <v>740.98</v>
      </c>
      <c r="Q2069" s="1" t="s">
        <v>884</v>
      </c>
      <c r="R2069" s="8">
        <f t="shared" si="152"/>
        <v>81.510000000000005</v>
      </c>
    </row>
    <row r="2070" spans="6:18" ht="24" customHeight="1">
      <c r="F2070" s="8">
        <v>5.45</v>
      </c>
      <c r="G2070" s="7" t="s">
        <v>1730</v>
      </c>
      <c r="H2070" s="1" t="s">
        <v>808</v>
      </c>
      <c r="I2070" s="8">
        <f>(C584)</f>
        <v>10.8</v>
      </c>
      <c r="J2070" s="1" t="s">
        <v>1730</v>
      </c>
      <c r="K2070" s="8">
        <f t="shared" si="151"/>
        <v>58.86</v>
      </c>
      <c r="M2070" s="8">
        <v>8.35</v>
      </c>
      <c r="N2070" s="7" t="s">
        <v>1730</v>
      </c>
      <c r="O2070" s="1" t="s">
        <v>808</v>
      </c>
      <c r="P2070" s="8">
        <f t="shared" si="153"/>
        <v>10.8</v>
      </c>
      <c r="Q2070" s="1" t="s">
        <v>1730</v>
      </c>
      <c r="R2070" s="8">
        <f t="shared" si="152"/>
        <v>90.18</v>
      </c>
    </row>
    <row r="2071" spans="6:18" ht="24" customHeight="1">
      <c r="F2071" s="8">
        <v>3</v>
      </c>
      <c r="G2071" s="7" t="s">
        <v>883</v>
      </c>
      <c r="H2071" s="1" t="s">
        <v>2082</v>
      </c>
      <c r="I2071" s="8">
        <f>(C10)</f>
        <v>430.5</v>
      </c>
      <c r="J2071" s="1" t="s">
        <v>883</v>
      </c>
      <c r="K2071" s="8">
        <f t="shared" si="151"/>
        <v>1291.5</v>
      </c>
      <c r="M2071" s="8">
        <v>5</v>
      </c>
      <c r="N2071" s="7" t="s">
        <v>883</v>
      </c>
      <c r="O2071" s="1" t="s">
        <v>2082</v>
      </c>
      <c r="P2071" s="8">
        <f t="shared" si="153"/>
        <v>430.5</v>
      </c>
      <c r="Q2071" s="1" t="s">
        <v>883</v>
      </c>
      <c r="R2071" s="8">
        <f t="shared" si="152"/>
        <v>2152.5</v>
      </c>
    </row>
    <row r="2072" spans="6:18" ht="24" customHeight="1">
      <c r="F2072" s="8">
        <v>2</v>
      </c>
      <c r="G2072" s="7" t="s">
        <v>883</v>
      </c>
      <c r="H2072" s="1" t="s">
        <v>809</v>
      </c>
      <c r="I2072" s="8">
        <f>AC37</f>
        <v>347.55</v>
      </c>
      <c r="J2072" s="1" t="s">
        <v>883</v>
      </c>
      <c r="K2072" s="8">
        <f t="shared" si="151"/>
        <v>695.1</v>
      </c>
      <c r="M2072" s="8">
        <v>3</v>
      </c>
      <c r="N2072" s="7" t="s">
        <v>883</v>
      </c>
      <c r="O2072" s="1" t="s">
        <v>809</v>
      </c>
      <c r="P2072" s="8">
        <f t="shared" si="153"/>
        <v>347.55</v>
      </c>
      <c r="Q2072" s="1" t="s">
        <v>883</v>
      </c>
      <c r="R2072" s="8">
        <f t="shared" si="152"/>
        <v>1042.6500000000001</v>
      </c>
    </row>
    <row r="2073" spans="6:18" ht="24" customHeight="1">
      <c r="F2073" s="8">
        <v>6</v>
      </c>
      <c r="G2073" s="7" t="s">
        <v>883</v>
      </c>
      <c r="H2073" s="1" t="s">
        <v>1979</v>
      </c>
      <c r="I2073" s="8">
        <f>(C12)</f>
        <v>269.85000000000002</v>
      </c>
      <c r="J2073" s="1" t="s">
        <v>883</v>
      </c>
      <c r="K2073" s="8">
        <f t="shared" si="151"/>
        <v>1619.1</v>
      </c>
      <c r="M2073" s="8">
        <v>7</v>
      </c>
      <c r="N2073" s="7" t="s">
        <v>883</v>
      </c>
      <c r="O2073" s="1" t="s">
        <v>1979</v>
      </c>
      <c r="P2073" s="8">
        <f t="shared" si="153"/>
        <v>269.85000000000002</v>
      </c>
      <c r="Q2073" s="1" t="s">
        <v>883</v>
      </c>
      <c r="R2073" s="8">
        <f t="shared" si="152"/>
        <v>1888.95</v>
      </c>
    </row>
    <row r="2074" spans="6:18" ht="24" customHeight="1">
      <c r="F2074" s="8">
        <v>3</v>
      </c>
      <c r="G2074" s="7" t="s">
        <v>883</v>
      </c>
      <c r="H2074" s="1" t="s">
        <v>324</v>
      </c>
      <c r="I2074" s="8">
        <f>(C13)</f>
        <v>243.6</v>
      </c>
      <c r="J2074" s="1" t="s">
        <v>883</v>
      </c>
      <c r="K2074" s="8">
        <f t="shared" si="151"/>
        <v>730.8</v>
      </c>
      <c r="M2074" s="8">
        <v>5</v>
      </c>
      <c r="N2074" s="7" t="s">
        <v>883</v>
      </c>
      <c r="O2074" s="1" t="s">
        <v>324</v>
      </c>
      <c r="P2074" s="8">
        <f t="shared" si="153"/>
        <v>243.6</v>
      </c>
      <c r="Q2074" s="1" t="s">
        <v>883</v>
      </c>
      <c r="R2074" s="8">
        <f t="shared" si="152"/>
        <v>1218</v>
      </c>
    </row>
    <row r="2075" spans="6:18" ht="24" customHeight="1">
      <c r="G2075" s="7" t="s">
        <v>448</v>
      </c>
      <c r="H2075" s="1" t="s">
        <v>2210</v>
      </c>
      <c r="J2075" s="1" t="s">
        <v>448</v>
      </c>
      <c r="K2075" s="8">
        <f>SUM(K2071:K2074)/10+4.8</f>
        <v>438.45</v>
      </c>
      <c r="N2075" s="7" t="s">
        <v>448</v>
      </c>
      <c r="O2075" s="1" t="s">
        <v>2210</v>
      </c>
      <c r="Q2075" s="1" t="s">
        <v>448</v>
      </c>
      <c r="R2075" s="8">
        <v>234</v>
      </c>
    </row>
    <row r="2076" spans="6:18" ht="24" customHeight="1">
      <c r="K2076" s="5" t="s">
        <v>1667</v>
      </c>
      <c r="N2076" s="3"/>
      <c r="Q2076" s="11"/>
      <c r="R2076" s="5" t="s">
        <v>1667</v>
      </c>
    </row>
    <row r="2077" spans="6:18" ht="24" customHeight="1">
      <c r="H2077" s="1" t="s">
        <v>2211</v>
      </c>
      <c r="K2077" s="8">
        <f>SUM(K2065:K2075)</f>
        <v>12544.38</v>
      </c>
      <c r="N2077" s="3"/>
      <c r="O2077" s="1" t="s">
        <v>2211</v>
      </c>
      <c r="Q2077" s="11"/>
      <c r="R2077" s="8">
        <f>SUM(R2065:R2075)</f>
        <v>23104.69</v>
      </c>
    </row>
    <row r="2078" spans="6:18" ht="24" customHeight="1">
      <c r="K2078" s="5" t="s">
        <v>1667</v>
      </c>
      <c r="N2078" s="3"/>
      <c r="Q2078" s="11"/>
      <c r="R2078" s="5" t="s">
        <v>1667</v>
      </c>
    </row>
    <row r="2079" spans="6:18" ht="24" customHeight="1">
      <c r="H2079" s="1" t="s">
        <v>1167</v>
      </c>
      <c r="K2079" s="8">
        <f>(K2077/30)</f>
        <v>418.15</v>
      </c>
      <c r="N2079" s="3"/>
      <c r="O2079" s="1" t="s">
        <v>1167</v>
      </c>
      <c r="Q2079" s="11"/>
      <c r="R2079" s="8">
        <f>(R2077/30)</f>
        <v>770.16</v>
      </c>
    </row>
    <row r="2080" spans="6:18" ht="24" customHeight="1">
      <c r="K2080" s="5" t="s">
        <v>2130</v>
      </c>
      <c r="N2080" s="3"/>
      <c r="Q2080" s="11"/>
      <c r="R2080" s="5" t="s">
        <v>2130</v>
      </c>
    </row>
    <row r="2081" spans="6:11" ht="24" customHeight="1">
      <c r="F2081" s="2" t="s">
        <v>572</v>
      </c>
      <c r="G2081" s="7" t="s">
        <v>2338</v>
      </c>
      <c r="H2081" s="1" t="s">
        <v>57</v>
      </c>
    </row>
    <row r="2082" spans="6:11" ht="24" customHeight="1">
      <c r="H2082" s="1" t="s">
        <v>223</v>
      </c>
    </row>
    <row r="2083" spans="6:11" ht="24" customHeight="1">
      <c r="H2083" s="5" t="s">
        <v>1667</v>
      </c>
    </row>
    <row r="2084" spans="6:11" ht="24" customHeight="1">
      <c r="F2084" s="8">
        <v>50</v>
      </c>
      <c r="G2084" s="7" t="s">
        <v>883</v>
      </c>
      <c r="H2084" s="1" t="s">
        <v>224</v>
      </c>
      <c r="I2084" s="8">
        <f>C203</f>
        <v>60</v>
      </c>
      <c r="J2084" s="1" t="s">
        <v>883</v>
      </c>
      <c r="K2084" s="8">
        <f>(F2084*I2084)</f>
        <v>3000</v>
      </c>
    </row>
    <row r="2085" spans="6:11" ht="24" customHeight="1">
      <c r="F2085" s="8">
        <v>1</v>
      </c>
      <c r="G2085" s="7" t="s">
        <v>883</v>
      </c>
      <c r="H2085" s="1" t="s">
        <v>809</v>
      </c>
      <c r="I2085" s="8">
        <f>AC37</f>
        <v>347.55</v>
      </c>
      <c r="J2085" s="1" t="s">
        <v>883</v>
      </c>
      <c r="K2085" s="8">
        <f>(F2085*I2085)</f>
        <v>347.55</v>
      </c>
    </row>
    <row r="2086" spans="6:11" ht="24" customHeight="1">
      <c r="F2086" s="8">
        <v>5</v>
      </c>
      <c r="G2086" s="7" t="s">
        <v>883</v>
      </c>
      <c r="H2086" s="1" t="s">
        <v>1979</v>
      </c>
      <c r="I2086" s="8">
        <f>C12</f>
        <v>269.85000000000002</v>
      </c>
      <c r="J2086" s="1" t="s">
        <v>883</v>
      </c>
      <c r="K2086" s="8">
        <f>(F2086*I2086)</f>
        <v>1349.25</v>
      </c>
    </row>
    <row r="2087" spans="6:11" ht="24" customHeight="1">
      <c r="H2087" s="1" t="s">
        <v>2359</v>
      </c>
      <c r="K2087" s="6">
        <v>1.8</v>
      </c>
    </row>
    <row r="2088" spans="6:11" ht="24" customHeight="1">
      <c r="H2088" s="1" t="s">
        <v>2211</v>
      </c>
      <c r="K2088" s="8">
        <f>SUM(K2084:K2087)</f>
        <v>4698.6000000000004</v>
      </c>
    </row>
    <row r="2089" spans="6:11" ht="24" customHeight="1">
      <c r="F2089" s="1" t="s">
        <v>995</v>
      </c>
      <c r="K2089" s="5" t="s">
        <v>1667</v>
      </c>
    </row>
    <row r="2090" spans="6:11" ht="24" customHeight="1">
      <c r="H2090" s="1" t="s">
        <v>1167</v>
      </c>
      <c r="K2090" s="8">
        <f>(K2088/30)</f>
        <v>156.62</v>
      </c>
    </row>
    <row r="2091" spans="6:11" ht="24" customHeight="1">
      <c r="F2091" s="1" t="s">
        <v>995</v>
      </c>
    </row>
    <row r="2092" spans="6:11" ht="24" customHeight="1">
      <c r="F2092" s="1" t="s">
        <v>995</v>
      </c>
    </row>
    <row r="2093" spans="6:11" ht="24" customHeight="1">
      <c r="K2093" s="5" t="s">
        <v>2130</v>
      </c>
    </row>
    <row r="2094" spans="6:11" ht="24" customHeight="1">
      <c r="F2094" s="2" t="s">
        <v>1168</v>
      </c>
      <c r="G2094" s="7" t="s">
        <v>2338</v>
      </c>
      <c r="H2094" s="1" t="s">
        <v>1041</v>
      </c>
    </row>
    <row r="2095" spans="6:11" ht="24" customHeight="1">
      <c r="H2095" s="8" t="str">
        <f>H2082</f>
        <v>DIA S.W.PIPE(LOOSE JOINTING)</v>
      </c>
    </row>
    <row r="2096" spans="6:11" ht="24" customHeight="1">
      <c r="H2096" s="5" t="s">
        <v>1667</v>
      </c>
    </row>
    <row r="2097" spans="6:11" ht="24" customHeight="1">
      <c r="F2097" s="8">
        <v>50</v>
      </c>
      <c r="G2097" s="7" t="s">
        <v>883</v>
      </c>
      <c r="H2097" s="1" t="s">
        <v>225</v>
      </c>
      <c r="I2097" s="8">
        <f>C204</f>
        <v>96.5</v>
      </c>
      <c r="J2097" s="1" t="s">
        <v>883</v>
      </c>
      <c r="K2097" s="8">
        <f>(F2097*I2097)</f>
        <v>4825</v>
      </c>
    </row>
    <row r="2098" spans="6:11" ht="24" customHeight="1">
      <c r="F2098" s="8">
        <v>2</v>
      </c>
      <c r="G2098" s="7" t="s">
        <v>883</v>
      </c>
      <c r="H2098" s="1" t="s">
        <v>809</v>
      </c>
      <c r="I2098" s="8">
        <f>AC37</f>
        <v>347.55</v>
      </c>
      <c r="J2098" s="1" t="s">
        <v>883</v>
      </c>
      <c r="K2098" s="8">
        <f>(F2098*I2098)</f>
        <v>695.1</v>
      </c>
    </row>
    <row r="2099" spans="6:11" ht="24" customHeight="1">
      <c r="F2099" s="8">
        <v>6</v>
      </c>
      <c r="G2099" s="7" t="s">
        <v>883</v>
      </c>
      <c r="H2099" s="1" t="s">
        <v>1979</v>
      </c>
      <c r="I2099" s="8">
        <f>C12</f>
        <v>269.85000000000002</v>
      </c>
      <c r="J2099" s="1" t="s">
        <v>883</v>
      </c>
      <c r="K2099" s="8">
        <f>(F2099*I2099)</f>
        <v>1619.1</v>
      </c>
    </row>
    <row r="2100" spans="6:11" ht="24" customHeight="1">
      <c r="H2100" s="1" t="s">
        <v>2359</v>
      </c>
      <c r="K2100" s="6">
        <v>0.6</v>
      </c>
    </row>
    <row r="2101" spans="6:11" ht="24" customHeight="1">
      <c r="H2101" s="1" t="s">
        <v>2211</v>
      </c>
      <c r="K2101" s="8">
        <f>SUM(K2097:K2100)</f>
        <v>7139.8</v>
      </c>
    </row>
    <row r="2102" spans="6:11" ht="24" customHeight="1">
      <c r="K2102" s="5" t="s">
        <v>1667</v>
      </c>
    </row>
    <row r="2103" spans="6:11" ht="24" customHeight="1">
      <c r="H2103" s="1" t="s">
        <v>1167</v>
      </c>
      <c r="K2103" s="8">
        <f>(K2101/30)</f>
        <v>237.99</v>
      </c>
    </row>
    <row r="2104" spans="6:11" ht="24" customHeight="1">
      <c r="K2104" s="5" t="s">
        <v>2130</v>
      </c>
    </row>
    <row r="2105" spans="6:11" ht="24" customHeight="1">
      <c r="H2105" s="2" t="s">
        <v>226</v>
      </c>
      <c r="K2105" s="8">
        <f>SUM(K2102:K2103)</f>
        <v>237.99</v>
      </c>
    </row>
    <row r="2106" spans="6:11" ht="24" customHeight="1">
      <c r="K2106" s="5" t="s">
        <v>2130</v>
      </c>
    </row>
    <row r="2107" spans="6:11" ht="24" customHeight="1">
      <c r="F2107" s="2" t="s">
        <v>1946</v>
      </c>
      <c r="G2107" s="7" t="s">
        <v>2338</v>
      </c>
      <c r="H2107" s="1" t="s">
        <v>57</v>
      </c>
    </row>
    <row r="2108" spans="6:11" ht="24" customHeight="1">
      <c r="H2108" s="1" t="s">
        <v>61</v>
      </c>
    </row>
    <row r="2109" spans="6:11" ht="24" customHeight="1">
      <c r="H2109" s="5" t="s">
        <v>1667</v>
      </c>
    </row>
    <row r="2110" spans="6:11" ht="24" customHeight="1">
      <c r="F2110" s="8">
        <v>1</v>
      </c>
      <c r="G2110" s="7" t="s">
        <v>883</v>
      </c>
      <c r="H2110" s="1" t="s">
        <v>1126</v>
      </c>
      <c r="I2110" s="8">
        <f>C205</f>
        <v>96</v>
      </c>
      <c r="J2110" s="1" t="s">
        <v>883</v>
      </c>
      <c r="K2110" s="8">
        <f>(F2110*I2110)</f>
        <v>96</v>
      </c>
    </row>
    <row r="2111" spans="6:11" ht="24" customHeight="1">
      <c r="F2111" s="1" t="s">
        <v>995</v>
      </c>
      <c r="H2111" s="1" t="s">
        <v>62</v>
      </c>
    </row>
    <row r="2112" spans="6:11" ht="24" customHeight="1">
      <c r="F2112" s="1" t="s">
        <v>995</v>
      </c>
      <c r="H2112" s="1" t="s">
        <v>63</v>
      </c>
      <c r="I2112" s="2" t="s">
        <v>448</v>
      </c>
      <c r="K2112" s="8">
        <v>2.5</v>
      </c>
    </row>
    <row r="2113" spans="6:11" ht="24" customHeight="1">
      <c r="K2113" s="5" t="s">
        <v>1667</v>
      </c>
    </row>
    <row r="2114" spans="6:11" ht="24" customHeight="1">
      <c r="H2114" s="1" t="s">
        <v>2211</v>
      </c>
      <c r="K2114" s="8">
        <f>SUM(K2110:K2112)</f>
        <v>98.5</v>
      </c>
    </row>
    <row r="2115" spans="6:11" ht="24" customHeight="1">
      <c r="F2115" s="2" t="s">
        <v>1946</v>
      </c>
      <c r="G2115" s="7" t="s">
        <v>2338</v>
      </c>
      <c r="H2115" s="1" t="s">
        <v>1041</v>
      </c>
      <c r="K2115" s="5" t="s">
        <v>1667</v>
      </c>
    </row>
    <row r="2116" spans="6:11" ht="24" customHeight="1">
      <c r="H2116" s="1" t="s">
        <v>61</v>
      </c>
      <c r="K2116" s="8"/>
    </row>
    <row r="2117" spans="6:11" ht="24" customHeight="1">
      <c r="H2117" s="5" t="s">
        <v>1667</v>
      </c>
      <c r="K2117" s="5" t="s">
        <v>1667</v>
      </c>
    </row>
    <row r="2118" spans="6:11" ht="24" customHeight="1">
      <c r="F2118">
        <v>1</v>
      </c>
      <c r="G2118" s="3" t="s">
        <v>781</v>
      </c>
      <c r="H2118" s="1" t="s">
        <v>1125</v>
      </c>
      <c r="J2118" s="11">
        <f>E205</f>
        <v>133</v>
      </c>
      <c r="K2118" s="8">
        <f>J2118</f>
        <v>133</v>
      </c>
    </row>
    <row r="2119" spans="6:11" ht="24" customHeight="1">
      <c r="H2119" s="1" t="s">
        <v>63</v>
      </c>
      <c r="I2119" s="2" t="s">
        <v>448</v>
      </c>
      <c r="K2119" s="8">
        <v>2.5</v>
      </c>
    </row>
    <row r="2120" spans="6:11" ht="24" customHeight="1">
      <c r="F2120" s="2" t="s">
        <v>1324</v>
      </c>
      <c r="G2120" s="7" t="s">
        <v>2338</v>
      </c>
      <c r="H2120" s="35" t="s">
        <v>57</v>
      </c>
      <c r="K2120" s="5" t="s">
        <v>1667</v>
      </c>
    </row>
    <row r="2121" spans="6:11" ht="24" customHeight="1">
      <c r="H2121" s="35" t="s">
        <v>1331</v>
      </c>
      <c r="K2121" s="8">
        <f>SUM(K2117:K2119)</f>
        <v>135.5</v>
      </c>
    </row>
    <row r="2122" spans="6:11" ht="24" customHeight="1">
      <c r="H2122" s="5" t="s">
        <v>1667</v>
      </c>
      <c r="K2122" s="5" t="s">
        <v>1667</v>
      </c>
    </row>
    <row r="2123" spans="6:11" ht="24" customHeight="1">
      <c r="F2123" s="8">
        <v>1</v>
      </c>
      <c r="G2123" s="7" t="s">
        <v>883</v>
      </c>
      <c r="H2123" s="1" t="s">
        <v>1124</v>
      </c>
      <c r="I2123" s="8">
        <f>C202</f>
        <v>121</v>
      </c>
      <c r="J2123" s="1" t="s">
        <v>883</v>
      </c>
      <c r="K2123" s="8">
        <f>(F2123*I2123)</f>
        <v>121</v>
      </c>
    </row>
    <row r="2124" spans="6:11" ht="24" customHeight="1">
      <c r="F2124" s="1" t="s">
        <v>995</v>
      </c>
      <c r="H2124" s="1" t="s">
        <v>62</v>
      </c>
    </row>
    <row r="2125" spans="6:11" ht="24" customHeight="1">
      <c r="F2125" s="1" t="s">
        <v>995</v>
      </c>
      <c r="H2125" s="1" t="s">
        <v>63</v>
      </c>
      <c r="I2125" s="2" t="s">
        <v>448</v>
      </c>
      <c r="K2125" s="8">
        <v>3</v>
      </c>
    </row>
    <row r="2126" spans="6:11" ht="24" customHeight="1">
      <c r="K2126" s="5" t="s">
        <v>1667</v>
      </c>
    </row>
    <row r="2127" spans="6:11" ht="24" customHeight="1">
      <c r="H2127" s="1" t="s">
        <v>2211</v>
      </c>
      <c r="K2127" s="8">
        <f>SUM(K2123:K2125)</f>
        <v>124</v>
      </c>
    </row>
    <row r="2128" spans="6:11" ht="24" customHeight="1">
      <c r="K2128" s="5" t="s">
        <v>1667</v>
      </c>
    </row>
    <row r="2130" spans="6:11" ht="24" customHeight="1">
      <c r="F2130" s="2" t="s">
        <v>1883</v>
      </c>
      <c r="G2130" s="7" t="s">
        <v>2338</v>
      </c>
      <c r="H2130" s="35" t="s">
        <v>1041</v>
      </c>
    </row>
    <row r="2131" spans="6:11" ht="24" customHeight="1">
      <c r="H2131" s="35" t="s">
        <v>1331</v>
      </c>
    </row>
    <row r="2132" spans="6:11" ht="24" customHeight="1">
      <c r="H2132" s="5" t="s">
        <v>1667</v>
      </c>
    </row>
    <row r="2133" spans="6:11" ht="24" customHeight="1">
      <c r="F2133" s="8">
        <v>1</v>
      </c>
      <c r="G2133" s="7" t="s">
        <v>883</v>
      </c>
      <c r="H2133" s="1" t="s">
        <v>821</v>
      </c>
      <c r="I2133" s="8">
        <f>C207</f>
        <v>157</v>
      </c>
      <c r="J2133" s="1" t="s">
        <v>883</v>
      </c>
      <c r="K2133" s="8">
        <f>(F2133*I2133)</f>
        <v>157</v>
      </c>
    </row>
    <row r="2134" spans="6:11" ht="24" customHeight="1">
      <c r="F2134" s="1" t="s">
        <v>995</v>
      </c>
      <c r="H2134" s="1" t="s">
        <v>62</v>
      </c>
    </row>
    <row r="2135" spans="6:11" ht="24" customHeight="1">
      <c r="F2135" s="1" t="s">
        <v>995</v>
      </c>
      <c r="H2135" s="1" t="s">
        <v>63</v>
      </c>
      <c r="I2135" s="2" t="s">
        <v>448</v>
      </c>
      <c r="K2135" s="8">
        <v>3</v>
      </c>
    </row>
    <row r="2136" spans="6:11" ht="24" customHeight="1">
      <c r="K2136" s="5" t="s">
        <v>1667</v>
      </c>
    </row>
    <row r="2137" spans="6:11" ht="24" customHeight="1">
      <c r="H2137" s="35" t="s">
        <v>2211</v>
      </c>
      <c r="K2137" s="8">
        <f>SUM(K2133:K2135)</f>
        <v>160</v>
      </c>
    </row>
    <row r="2138" spans="6:11" ht="24" customHeight="1">
      <c r="K2138" s="5" t="s">
        <v>1667</v>
      </c>
    </row>
    <row r="2139" spans="6:11" ht="24" customHeight="1">
      <c r="F2139" s="2" t="s">
        <v>1603</v>
      </c>
      <c r="H2139" s="35" t="s">
        <v>1604</v>
      </c>
    </row>
    <row r="2140" spans="6:11" ht="24" customHeight="1">
      <c r="H2140" s="35" t="s">
        <v>1110</v>
      </c>
    </row>
    <row r="2141" spans="6:11" ht="24" customHeight="1">
      <c r="H2141" s="5" t="s">
        <v>1667</v>
      </c>
    </row>
    <row r="2142" spans="6:11" ht="24" customHeight="1">
      <c r="F2142" s="8">
        <v>2.5</v>
      </c>
      <c r="G2142" s="7" t="s">
        <v>1111</v>
      </c>
      <c r="H2142" s="1" t="s">
        <v>1604</v>
      </c>
      <c r="I2142" s="8">
        <f>C565</f>
        <v>50.63</v>
      </c>
      <c r="J2142" s="1">
        <v>2.5</v>
      </c>
      <c r="K2142" s="219">
        <f>(F2142*I2142)/F2142</f>
        <v>50.63</v>
      </c>
    </row>
    <row r="2143" spans="6:11" ht="24" customHeight="1">
      <c r="H2143" s="1" t="s">
        <v>1112</v>
      </c>
      <c r="J2143" s="1" t="s">
        <v>1111</v>
      </c>
      <c r="K2143" s="221"/>
    </row>
    <row r="2144" spans="6:11" ht="24" customHeight="1">
      <c r="G2144" s="7" t="s">
        <v>448</v>
      </c>
      <c r="H2144" s="1" t="s">
        <v>1113</v>
      </c>
      <c r="J2144" s="1" t="s">
        <v>448</v>
      </c>
      <c r="K2144" s="219">
        <v>1.87</v>
      </c>
    </row>
    <row r="2145" spans="6:11" ht="24" customHeight="1">
      <c r="K2145" s="5" t="s">
        <v>1667</v>
      </c>
    </row>
    <row r="2146" spans="6:11" ht="24" customHeight="1">
      <c r="H2146" s="64" t="s">
        <v>226</v>
      </c>
      <c r="K2146" s="40">
        <f>SUM(K2142:K2144)</f>
        <v>52.5</v>
      </c>
    </row>
    <row r="2147" spans="6:11" ht="24" customHeight="1">
      <c r="K2147" s="5" t="s">
        <v>2130</v>
      </c>
    </row>
    <row r="2149" spans="6:11" ht="24" customHeight="1">
      <c r="F2149" s="2" t="s">
        <v>1114</v>
      </c>
      <c r="G2149" s="7" t="s">
        <v>2338</v>
      </c>
      <c r="H2149" s="1" t="s">
        <v>269</v>
      </c>
    </row>
    <row r="2150" spans="6:11" ht="24" customHeight="1">
      <c r="H2150" s="1" t="s">
        <v>67</v>
      </c>
    </row>
    <row r="2151" spans="6:11" ht="24" customHeight="1">
      <c r="H2151" s="1" t="s">
        <v>372</v>
      </c>
    </row>
    <row r="2152" spans="6:11" ht="24" customHeight="1">
      <c r="H2152" s="1" t="s">
        <v>356</v>
      </c>
    </row>
    <row r="2153" spans="6:11" ht="24" customHeight="1">
      <c r="H2153" s="1" t="s">
        <v>430</v>
      </c>
    </row>
    <row r="2154" spans="6:11" ht="24" customHeight="1">
      <c r="H2154" s="1" t="s">
        <v>1542</v>
      </c>
    </row>
    <row r="2155" spans="6:11" ht="24" customHeight="1">
      <c r="H2155" s="1" t="s">
        <v>1944</v>
      </c>
    </row>
    <row r="2156" spans="6:11" ht="24" customHeight="1">
      <c r="H2156" s="1" t="s">
        <v>2279</v>
      </c>
    </row>
    <row r="2157" spans="6:11" ht="24" customHeight="1">
      <c r="H2157" s="1" t="s">
        <v>569</v>
      </c>
    </row>
    <row r="2158" spans="6:11" ht="24" customHeight="1">
      <c r="H2158" s="1" t="s">
        <v>1334</v>
      </c>
    </row>
    <row r="2159" spans="6:11" ht="24" customHeight="1">
      <c r="H2159" s="1" t="s">
        <v>1335</v>
      </c>
    </row>
    <row r="2160" spans="6:11" ht="24" customHeight="1">
      <c r="H2160" s="1" t="s">
        <v>1336</v>
      </c>
    </row>
    <row r="2161" spans="6:12" ht="24" customHeight="1">
      <c r="H2161" s="5" t="s">
        <v>1667</v>
      </c>
      <c r="I2161" s="5" t="s">
        <v>1667</v>
      </c>
    </row>
    <row r="2162" spans="6:12" ht="24" customHeight="1">
      <c r="F2162" s="1" t="s">
        <v>995</v>
      </c>
    </row>
    <row r="2163" spans="6:12" ht="24" customHeight="1">
      <c r="F2163" s="17">
        <v>1.7399999999999999E-2</v>
      </c>
      <c r="G2163" s="7" t="s">
        <v>2226</v>
      </c>
      <c r="H2163" s="1" t="s">
        <v>1337</v>
      </c>
      <c r="I2163" s="8">
        <f>C86</f>
        <v>31660</v>
      </c>
      <c r="J2163" s="1" t="s">
        <v>2226</v>
      </c>
      <c r="K2163" s="8">
        <f t="shared" ref="K2163:K2170" si="154">F2163*I2163</f>
        <v>550.88</v>
      </c>
    </row>
    <row r="2164" spans="6:12" ht="24" customHeight="1">
      <c r="F2164" s="17">
        <v>2.93E-2</v>
      </c>
      <c r="G2164" s="7" t="s">
        <v>2226</v>
      </c>
      <c r="H2164" s="1" t="s">
        <v>1338</v>
      </c>
      <c r="I2164" s="8">
        <f>C87</f>
        <v>36330</v>
      </c>
      <c r="J2164" s="1" t="s">
        <v>2226</v>
      </c>
      <c r="K2164" s="8">
        <f t="shared" si="154"/>
        <v>1064.47</v>
      </c>
    </row>
    <row r="2165" spans="6:12" ht="24" customHeight="1">
      <c r="F2165" s="17">
        <v>1.093</v>
      </c>
      <c r="G2165" s="7" t="s">
        <v>2371</v>
      </c>
      <c r="H2165" s="1" t="s">
        <v>1339</v>
      </c>
      <c r="I2165" s="8">
        <f>C198</f>
        <v>325</v>
      </c>
      <c r="J2165" s="1" t="s">
        <v>2371</v>
      </c>
      <c r="K2165" s="8">
        <f t="shared" si="154"/>
        <v>355.23</v>
      </c>
    </row>
    <row r="2166" spans="6:12" ht="24" customHeight="1">
      <c r="F2166" s="8">
        <v>6</v>
      </c>
      <c r="G2166" s="7" t="s">
        <v>563</v>
      </c>
      <c r="H2166" s="1" t="s">
        <v>1192</v>
      </c>
      <c r="I2166" s="8">
        <f>C296</f>
        <v>8</v>
      </c>
      <c r="J2166" s="1" t="s">
        <v>1458</v>
      </c>
      <c r="K2166" s="8">
        <f t="shared" si="154"/>
        <v>48</v>
      </c>
    </row>
    <row r="2167" spans="6:12" ht="24" customHeight="1">
      <c r="F2167" s="8">
        <v>1</v>
      </c>
      <c r="G2167" s="7" t="s">
        <v>563</v>
      </c>
      <c r="H2167" s="1" t="s">
        <v>2296</v>
      </c>
      <c r="I2167" s="8">
        <f>C286</f>
        <v>89.1</v>
      </c>
      <c r="J2167" s="1" t="s">
        <v>1458</v>
      </c>
      <c r="K2167" s="8">
        <f t="shared" si="154"/>
        <v>89.1</v>
      </c>
    </row>
    <row r="2168" spans="6:12" ht="24" customHeight="1">
      <c r="F2168" s="8">
        <v>2</v>
      </c>
      <c r="G2168" s="7" t="s">
        <v>563</v>
      </c>
      <c r="H2168" s="1" t="s">
        <v>1832</v>
      </c>
      <c r="I2168" s="8">
        <f>C307</f>
        <v>4</v>
      </c>
      <c r="J2168" s="1" t="s">
        <v>1458</v>
      </c>
      <c r="K2168" s="8">
        <f t="shared" si="154"/>
        <v>8</v>
      </c>
    </row>
    <row r="2169" spans="6:12" ht="24" customHeight="1">
      <c r="F2169" s="8">
        <v>6</v>
      </c>
      <c r="G2169" s="7" t="s">
        <v>563</v>
      </c>
      <c r="H2169" s="1" t="s">
        <v>143</v>
      </c>
      <c r="I2169" s="207">
        <v>10.5</v>
      </c>
      <c r="J2169" s="1" t="s">
        <v>1458</v>
      </c>
      <c r="K2169" s="8">
        <f t="shared" si="154"/>
        <v>63</v>
      </c>
    </row>
    <row r="2170" spans="6:12" ht="24" customHeight="1">
      <c r="F2170" s="14">
        <v>1.62</v>
      </c>
      <c r="G2170" s="7" t="s">
        <v>2371</v>
      </c>
      <c r="H2170" s="1" t="s">
        <v>144</v>
      </c>
      <c r="I2170" s="8">
        <f>D33</f>
        <v>462</v>
      </c>
      <c r="J2170" s="1" t="s">
        <v>2371</v>
      </c>
      <c r="K2170" s="8">
        <f t="shared" si="154"/>
        <v>748.44</v>
      </c>
    </row>
    <row r="2171" spans="6:12" ht="24" customHeight="1">
      <c r="G2171" s="7" t="s">
        <v>448</v>
      </c>
      <c r="H2171" s="1" t="s">
        <v>507</v>
      </c>
      <c r="J2171" s="1" t="s">
        <v>448</v>
      </c>
      <c r="K2171" s="8">
        <v>2.66</v>
      </c>
    </row>
    <row r="2172" spans="6:12" ht="24" customHeight="1">
      <c r="K2172" s="5" t="s">
        <v>1667</v>
      </c>
    </row>
    <row r="2173" spans="6:12" ht="24" customHeight="1">
      <c r="H2173" s="64" t="s">
        <v>145</v>
      </c>
      <c r="K2173" s="40">
        <f>SUM(K2163:K2171)</f>
        <v>2929.78</v>
      </c>
    </row>
    <row r="2174" spans="6:12" ht="24" customHeight="1">
      <c r="K2174" s="42" t="s">
        <v>1667</v>
      </c>
    </row>
    <row r="2175" spans="6:12" ht="24" customHeight="1">
      <c r="K2175" s="38"/>
    </row>
    <row r="2176" spans="6:12" ht="24" customHeight="1">
      <c r="H2176" s="64" t="s">
        <v>146</v>
      </c>
      <c r="I2176" s="1" t="s">
        <v>995</v>
      </c>
      <c r="K2176" s="40">
        <f>K2173/1.62</f>
        <v>1808.51</v>
      </c>
      <c r="L2176">
        <f>1394*1.62-K2173</f>
        <v>-671.5</v>
      </c>
    </row>
    <row r="2177" spans="6:11" ht="24" customHeight="1">
      <c r="F2177" s="1" t="s">
        <v>995</v>
      </c>
      <c r="G2177" s="7" t="s">
        <v>995</v>
      </c>
      <c r="H2177" s="1" t="s">
        <v>995</v>
      </c>
      <c r="I2177" s="1" t="s">
        <v>995</v>
      </c>
      <c r="J2177" s="1" t="s">
        <v>995</v>
      </c>
    </row>
    <row r="2179" spans="6:11" ht="24" customHeight="1">
      <c r="G2179" s="7" t="s">
        <v>1602</v>
      </c>
      <c r="H2179" s="35" t="s">
        <v>1453</v>
      </c>
    </row>
    <row r="2180" spans="6:11" ht="24" customHeight="1">
      <c r="H2180" s="1" t="s">
        <v>813</v>
      </c>
    </row>
    <row r="2181" spans="6:11" ht="24" customHeight="1">
      <c r="F2181" s="1" t="s">
        <v>995</v>
      </c>
      <c r="H2181" s="1" t="s">
        <v>814</v>
      </c>
    </row>
    <row r="2182" spans="6:11" ht="24" customHeight="1">
      <c r="F2182" s="2" t="s">
        <v>815</v>
      </c>
      <c r="H2182" s="1" t="s">
        <v>2254</v>
      </c>
      <c r="K2182" s="206">
        <f>Elec.Data!K2860</f>
        <v>882</v>
      </c>
    </row>
    <row r="2183" spans="6:11" ht="24" customHeight="1">
      <c r="F2183" s="2" t="s">
        <v>816</v>
      </c>
      <c r="H2183" s="2" t="s">
        <v>786</v>
      </c>
      <c r="K2183" s="206">
        <f>Elec.Data!K2884</f>
        <v>885</v>
      </c>
    </row>
    <row r="2184" spans="6:11" ht="24" customHeight="1">
      <c r="F2184" s="2" t="s">
        <v>817</v>
      </c>
      <c r="H2184" s="1" t="s">
        <v>1328</v>
      </c>
      <c r="K2184" s="206">
        <f>Elec.Data!K2899</f>
        <v>922</v>
      </c>
    </row>
    <row r="2185" spans="6:11" ht="24" customHeight="1">
      <c r="F2185" s="13">
        <v>65</v>
      </c>
      <c r="H2185" s="1" t="s">
        <v>788</v>
      </c>
      <c r="K2185" s="206">
        <f>Elec.Data!K2921</f>
        <v>953</v>
      </c>
    </row>
    <row r="2186" spans="6:11" ht="24" customHeight="1">
      <c r="F2186" s="13">
        <v>66</v>
      </c>
      <c r="H2186" s="1" t="s">
        <v>615</v>
      </c>
      <c r="K2186" s="206">
        <f>Elec.Data!K2945</f>
        <v>1562</v>
      </c>
    </row>
    <row r="2187" spans="6:11" ht="24" customHeight="1">
      <c r="F2187" s="13">
        <v>67</v>
      </c>
      <c r="H2187" s="1" t="s">
        <v>573</v>
      </c>
      <c r="K2187" s="206">
        <f>Elec.Data!K2977</f>
        <v>424</v>
      </c>
    </row>
    <row r="2188" spans="6:11" ht="24" customHeight="1">
      <c r="F2188" s="13">
        <v>68</v>
      </c>
      <c r="H2188" s="1" t="s">
        <v>853</v>
      </c>
      <c r="K2188" s="206">
        <f>Elec.Data!K2965</f>
        <v>633</v>
      </c>
    </row>
    <row r="2189" spans="6:11" ht="24" customHeight="1">
      <c r="F2189" s="13">
        <v>69</v>
      </c>
      <c r="H2189" s="1" t="s">
        <v>818</v>
      </c>
      <c r="K2189" s="206">
        <f>Elec.Data!K2988</f>
        <v>150</v>
      </c>
    </row>
    <row r="2190" spans="6:11" ht="24" customHeight="1">
      <c r="F2190" s="13" t="s">
        <v>819</v>
      </c>
      <c r="H2190" s="1" t="s">
        <v>496</v>
      </c>
      <c r="K2190" s="206">
        <f>Elec.Data!K3135</f>
        <v>417</v>
      </c>
    </row>
    <row r="2191" spans="6:11" ht="24" customHeight="1">
      <c r="F2191" s="13" t="s">
        <v>297</v>
      </c>
      <c r="H2191" s="1" t="s">
        <v>291</v>
      </c>
      <c r="J2191" s="4"/>
      <c r="K2191" s="206"/>
    </row>
    <row r="2192" spans="6:11" ht="24" customHeight="1">
      <c r="F2192" s="13" t="s">
        <v>2018</v>
      </c>
      <c r="H2192" s="1" t="s">
        <v>1565</v>
      </c>
      <c r="K2192" s="69">
        <v>10</v>
      </c>
    </row>
    <row r="2193" spans="6:11" ht="24" customHeight="1">
      <c r="F2193" s="13" t="s">
        <v>2019</v>
      </c>
      <c r="H2193" s="1" t="s">
        <v>584</v>
      </c>
      <c r="K2193" s="297">
        <v>8</v>
      </c>
    </row>
    <row r="2194" spans="6:11" ht="24" customHeight="1">
      <c r="F2194" s="13">
        <v>71</v>
      </c>
      <c r="H2194" s="1" t="s">
        <v>1203</v>
      </c>
      <c r="K2194" s="206">
        <f>Elec.Data!K3154</f>
        <v>480</v>
      </c>
    </row>
    <row r="2195" spans="6:11" ht="24" customHeight="1">
      <c r="F2195" s="13">
        <v>72</v>
      </c>
      <c r="H2195" s="1" t="s">
        <v>820</v>
      </c>
      <c r="K2195" s="297">
        <v>31</v>
      </c>
    </row>
    <row r="2196" spans="6:11" ht="24" customHeight="1">
      <c r="F2196" s="13" t="s">
        <v>585</v>
      </c>
      <c r="H2196" s="1" t="s">
        <v>272</v>
      </c>
      <c r="K2196" s="206">
        <f>Elec.Data!K3233</f>
        <v>4120</v>
      </c>
    </row>
    <row r="2197" spans="6:11" ht="24" customHeight="1">
      <c r="F2197" s="13" t="s">
        <v>586</v>
      </c>
      <c r="H2197" s="1" t="s">
        <v>587</v>
      </c>
      <c r="K2197" s="206">
        <f>Elec.Data!K3221</f>
        <v>3240</v>
      </c>
    </row>
    <row r="2198" spans="6:11" ht="24" customHeight="1">
      <c r="F2198" s="13">
        <v>74</v>
      </c>
      <c r="H2198" s="1" t="s">
        <v>168</v>
      </c>
      <c r="K2198" s="206">
        <f>Elec.Data!K3277</f>
        <v>225</v>
      </c>
    </row>
    <row r="2199" spans="6:11" ht="24" customHeight="1">
      <c r="F2199" s="13" t="s">
        <v>640</v>
      </c>
      <c r="H2199" s="1" t="s">
        <v>1318</v>
      </c>
      <c r="K2199" s="206">
        <v>1185</v>
      </c>
    </row>
    <row r="2200" spans="6:11" ht="24" customHeight="1">
      <c r="F2200" s="13" t="s">
        <v>641</v>
      </c>
      <c r="H2200" s="1" t="s">
        <v>135</v>
      </c>
    </row>
    <row r="2201" spans="6:11" ht="24" customHeight="1">
      <c r="F2201" s="13">
        <v>112</v>
      </c>
      <c r="H2201" s="1" t="s">
        <v>758</v>
      </c>
      <c r="K2201" s="206">
        <f>Elec.Data!K3741</f>
        <v>1766</v>
      </c>
    </row>
    <row r="2202" spans="6:11" ht="24" customHeight="1">
      <c r="F2202" s="13">
        <v>76</v>
      </c>
      <c r="H2202" s="1" t="s">
        <v>2007</v>
      </c>
      <c r="K2202" s="206">
        <f>Elec.Data!K3294</f>
        <v>15.5</v>
      </c>
    </row>
    <row r="2203" spans="6:11" ht="24" customHeight="1">
      <c r="F2203" s="13">
        <v>77</v>
      </c>
      <c r="H2203" s="1" t="s">
        <v>2355</v>
      </c>
      <c r="K2203" s="206">
        <f>Elec.Data!K3080</f>
        <v>120</v>
      </c>
    </row>
    <row r="2204" spans="6:11" ht="24" customHeight="1">
      <c r="F2204" s="33">
        <v>77.099999999999994</v>
      </c>
      <c r="H2204" s="24" t="s">
        <v>1886</v>
      </c>
      <c r="K2204" s="216">
        <f>Elec.Data!K3105</f>
        <v>168.9</v>
      </c>
    </row>
    <row r="2205" spans="6:11" ht="24" customHeight="1">
      <c r="F2205" s="26">
        <v>77.2</v>
      </c>
      <c r="H2205" s="1" t="s">
        <v>1887</v>
      </c>
      <c r="K2205" s="206">
        <v>500</v>
      </c>
    </row>
    <row r="2206" spans="6:11" ht="24" customHeight="1">
      <c r="F2206" s="26">
        <v>77.3</v>
      </c>
      <c r="H2206" s="1" t="s">
        <v>1564</v>
      </c>
      <c r="K2206" s="206">
        <f>Elec.Data!K3709</f>
        <v>53</v>
      </c>
    </row>
    <row r="2207" spans="6:11" ht="24" customHeight="1">
      <c r="F2207" s="13">
        <v>78</v>
      </c>
      <c r="H2207" s="1" t="s">
        <v>83</v>
      </c>
      <c r="K2207" s="206">
        <f>Elec.Data!K3319</f>
        <v>1830</v>
      </c>
    </row>
    <row r="2208" spans="6:11" ht="24" customHeight="1">
      <c r="F2208" s="13">
        <v>80</v>
      </c>
      <c r="H2208" s="1" t="s">
        <v>2189</v>
      </c>
      <c r="K2208" s="206">
        <f>Elec.Data!K3441</f>
        <v>452</v>
      </c>
    </row>
    <row r="2209" spans="6:12" ht="24" customHeight="1">
      <c r="F2209" s="13">
        <v>81</v>
      </c>
      <c r="H2209" s="1" t="s">
        <v>94</v>
      </c>
      <c r="K2209" s="8">
        <f>K2176</f>
        <v>1808.51</v>
      </c>
    </row>
    <row r="2210" spans="6:12" ht="24" customHeight="1">
      <c r="F2210" s="13">
        <v>82</v>
      </c>
      <c r="H2210" s="1" t="s">
        <v>1627</v>
      </c>
      <c r="K2210" s="206">
        <f>Elec.Data!K3638</f>
        <v>1972</v>
      </c>
    </row>
    <row r="2211" spans="6:12" ht="24" customHeight="1">
      <c r="F2211" s="13">
        <v>87</v>
      </c>
      <c r="H2211" s="1" t="s">
        <v>1845</v>
      </c>
      <c r="K2211" s="206">
        <f>Elec.Data!K3458</f>
        <v>2696</v>
      </c>
    </row>
    <row r="2212" spans="6:12" ht="24" customHeight="1">
      <c r="H2212" s="111" t="s">
        <v>1994</v>
      </c>
      <c r="K2212" s="206">
        <f>Elec.Data!K3759</f>
        <v>1591</v>
      </c>
    </row>
    <row r="2213" spans="6:12" ht="24" customHeight="1">
      <c r="H2213" s="217" t="s">
        <v>262</v>
      </c>
      <c r="K2213" s="206">
        <v>137</v>
      </c>
    </row>
    <row r="2214" spans="6:12" ht="39" customHeight="1">
      <c r="F2214" s="31">
        <v>77.400000000000006</v>
      </c>
      <c r="H2214" s="63" t="s">
        <v>1802</v>
      </c>
      <c r="L2214">
        <f>3.6*1.1</f>
        <v>3.96</v>
      </c>
    </row>
    <row r="2215" spans="6:12" ht="32.25" customHeight="1">
      <c r="H2215" s="1" t="s">
        <v>813</v>
      </c>
      <c r="L2215">
        <f>3.6*1.6</f>
        <v>5.76</v>
      </c>
    </row>
    <row r="2216" spans="6:12" ht="37.5" customHeight="1">
      <c r="F2216">
        <v>90</v>
      </c>
      <c r="G2216" s="3" t="s">
        <v>374</v>
      </c>
      <c r="H2216" s="29" t="s">
        <v>2293</v>
      </c>
      <c r="I2216" s="208">
        <v>20.399999999999999</v>
      </c>
      <c r="J2216" s="11" t="s">
        <v>374</v>
      </c>
      <c r="K2216">
        <f>I2216*F2216</f>
        <v>1836</v>
      </c>
    </row>
    <row r="2217" spans="6:12" ht="24" customHeight="1">
      <c r="F2217">
        <v>0.15</v>
      </c>
      <c r="G2217" s="3" t="s">
        <v>528</v>
      </c>
      <c r="H2217" t="s">
        <v>877</v>
      </c>
      <c r="I2217">
        <f>AA31</f>
        <v>5600</v>
      </c>
      <c r="J2217" s="11" t="s">
        <v>528</v>
      </c>
      <c r="K2217">
        <f>I2217*F2217</f>
        <v>840</v>
      </c>
    </row>
    <row r="2218" spans="6:12" ht="24" customHeight="1">
      <c r="F2218">
        <v>1</v>
      </c>
      <c r="G2218" s="3" t="s">
        <v>781</v>
      </c>
      <c r="H2218" t="s">
        <v>373</v>
      </c>
      <c r="I2218" s="213">
        <f>C778</f>
        <v>317</v>
      </c>
      <c r="J2218" s="11" t="s">
        <v>781</v>
      </c>
      <c r="K2218">
        <f>I2218*F2218</f>
        <v>317</v>
      </c>
    </row>
    <row r="2219" spans="6:12" ht="24" customHeight="1">
      <c r="F2219">
        <v>2</v>
      </c>
      <c r="G2219" s="3" t="s">
        <v>781</v>
      </c>
      <c r="H2219" t="s">
        <v>1791</v>
      </c>
      <c r="I2219">
        <f>AC10</f>
        <v>386.4</v>
      </c>
      <c r="J2219" s="11" t="s">
        <v>781</v>
      </c>
      <c r="K2219">
        <f>I2219*F2219</f>
        <v>772.8</v>
      </c>
    </row>
    <row r="2220" spans="6:12" ht="24" customHeight="1">
      <c r="F2220">
        <v>4</v>
      </c>
      <c r="G2220" s="3" t="s">
        <v>781</v>
      </c>
      <c r="H2220" t="s">
        <v>1343</v>
      </c>
      <c r="I2220" s="213">
        <f>C779</f>
        <v>226</v>
      </c>
      <c r="J2220" s="11" t="s">
        <v>781</v>
      </c>
      <c r="K2220">
        <f>I2220*F2220</f>
        <v>904</v>
      </c>
    </row>
    <row r="2221" spans="6:12" ht="24" customHeight="1">
      <c r="H2221" t="s">
        <v>375</v>
      </c>
      <c r="K2221">
        <v>9.1</v>
      </c>
    </row>
    <row r="2222" spans="6:12" ht="24" customHeight="1">
      <c r="K2222" s="5" t="s">
        <v>1667</v>
      </c>
    </row>
    <row r="2223" spans="6:12" ht="24" customHeight="1">
      <c r="H2223" s="1" t="s">
        <v>2354</v>
      </c>
      <c r="K2223" s="8">
        <f>SUM(K2216:K2221)</f>
        <v>4678.8999999999996</v>
      </c>
    </row>
    <row r="2224" spans="6:12" ht="24" customHeight="1">
      <c r="K2224" s="5" t="s">
        <v>1667</v>
      </c>
    </row>
    <row r="2225" spans="6:12" ht="24" customHeight="1">
      <c r="H2225" s="1" t="s">
        <v>1167</v>
      </c>
      <c r="K2225" s="8">
        <f>(K2223/90)</f>
        <v>51.99</v>
      </c>
      <c r="L2225">
        <f>37.7*90</f>
        <v>3393</v>
      </c>
    </row>
    <row r="2226" spans="6:12" ht="24" customHeight="1">
      <c r="K2226" s="5" t="s">
        <v>2130</v>
      </c>
    </row>
    <row r="2228" spans="6:12" ht="24" customHeight="1">
      <c r="F2228" s="32">
        <v>78.099999999999994</v>
      </c>
      <c r="H2228" s="35" t="s">
        <v>1641</v>
      </c>
    </row>
    <row r="2229" spans="6:12" ht="24" customHeight="1">
      <c r="H2229" s="1" t="s">
        <v>813</v>
      </c>
    </row>
    <row r="2230" spans="6:12" ht="24" customHeight="1">
      <c r="F2230">
        <v>2.5</v>
      </c>
      <c r="G2230" s="3" t="s">
        <v>781</v>
      </c>
      <c r="H2230" t="s">
        <v>1642</v>
      </c>
      <c r="I2230" s="208">
        <f>C394</f>
        <v>169.75</v>
      </c>
      <c r="J2230" s="11" t="s">
        <v>781</v>
      </c>
      <c r="K2230">
        <f t="shared" ref="K2230:K2235" si="155">I2230*F2230</f>
        <v>424.38</v>
      </c>
    </row>
    <row r="2231" spans="6:12" ht="24" customHeight="1">
      <c r="F2231">
        <v>20</v>
      </c>
      <c r="G2231" s="3" t="s">
        <v>364</v>
      </c>
      <c r="H2231" t="s">
        <v>1643</v>
      </c>
      <c r="I2231" s="634">
        <v>5.75</v>
      </c>
      <c r="J2231" s="11" t="s">
        <v>364</v>
      </c>
      <c r="K2231">
        <f t="shared" si="155"/>
        <v>115</v>
      </c>
    </row>
    <row r="2232" spans="6:12" ht="24" customHeight="1">
      <c r="F2232">
        <v>9</v>
      </c>
      <c r="G2232" s="3" t="s">
        <v>364</v>
      </c>
      <c r="H2232" t="s">
        <v>1644</v>
      </c>
      <c r="I2232" s="634">
        <v>4.2</v>
      </c>
      <c r="J2232" s="11" t="s">
        <v>364</v>
      </c>
      <c r="K2232">
        <f t="shared" si="155"/>
        <v>37.799999999999997</v>
      </c>
    </row>
    <row r="2233" spans="6:12" ht="24" customHeight="1">
      <c r="F2233">
        <v>0.5</v>
      </c>
      <c r="G2233" s="3" t="s">
        <v>364</v>
      </c>
      <c r="H2233" t="s">
        <v>1341</v>
      </c>
      <c r="I2233" s="208">
        <v>84</v>
      </c>
      <c r="J2233" s="11" t="s">
        <v>364</v>
      </c>
      <c r="K2233">
        <f t="shared" si="155"/>
        <v>42</v>
      </c>
    </row>
    <row r="2234" spans="6:12" ht="24" customHeight="1">
      <c r="F2234">
        <v>0.5</v>
      </c>
      <c r="G2234" s="3" t="s">
        <v>781</v>
      </c>
      <c r="H2234" t="s">
        <v>1342</v>
      </c>
      <c r="I2234">
        <f>I2218</f>
        <v>317</v>
      </c>
      <c r="J2234" s="11" t="s">
        <v>781</v>
      </c>
      <c r="K2234">
        <f t="shared" si="155"/>
        <v>158.5</v>
      </c>
    </row>
    <row r="2235" spans="6:12" ht="24" customHeight="1">
      <c r="F2235">
        <v>1</v>
      </c>
      <c r="G2235" s="3" t="s">
        <v>781</v>
      </c>
      <c r="H2235" t="s">
        <v>1343</v>
      </c>
      <c r="I2235">
        <f>I2220</f>
        <v>226</v>
      </c>
      <c r="J2235" s="11" t="s">
        <v>781</v>
      </c>
      <c r="K2235">
        <f t="shared" si="155"/>
        <v>226</v>
      </c>
    </row>
    <row r="2236" spans="6:12" ht="24" customHeight="1">
      <c r="G2236" s="3" t="s">
        <v>667</v>
      </c>
      <c r="H2236" s="29" t="s">
        <v>1344</v>
      </c>
      <c r="J2236" s="11" t="s">
        <v>667</v>
      </c>
      <c r="K2236">
        <v>200</v>
      </c>
    </row>
    <row r="2237" spans="6:12" ht="24" customHeight="1">
      <c r="G2237" s="3" t="s">
        <v>667</v>
      </c>
      <c r="H2237" t="s">
        <v>1268</v>
      </c>
      <c r="J2237" s="11" t="s">
        <v>667</v>
      </c>
      <c r="K2237">
        <v>8.32</v>
      </c>
    </row>
    <row r="2238" spans="6:12" ht="24" customHeight="1">
      <c r="K2238" s="5" t="s">
        <v>1667</v>
      </c>
    </row>
    <row r="2239" spans="6:12" ht="24" customHeight="1">
      <c r="H2239" t="s">
        <v>286</v>
      </c>
      <c r="K2239" s="8">
        <f>SUM(K2230:K2237)</f>
        <v>1212</v>
      </c>
    </row>
    <row r="2240" spans="6:12" ht="24" customHeight="1">
      <c r="K2240" s="5" t="s">
        <v>1667</v>
      </c>
    </row>
    <row r="2241" spans="6:31" ht="24" customHeight="1">
      <c r="H2241" s="38" t="s">
        <v>2316</v>
      </c>
    </row>
    <row r="2242" spans="6:31" ht="24" customHeight="1">
      <c r="F2242">
        <v>0.7</v>
      </c>
      <c r="G2242" s="3" t="s">
        <v>781</v>
      </c>
      <c r="H2242" t="s">
        <v>661</v>
      </c>
      <c r="I2242">
        <f>C17</f>
        <v>381.15</v>
      </c>
      <c r="J2242" s="11" t="s">
        <v>1458</v>
      </c>
      <c r="K2242">
        <f>I2242*F2242</f>
        <v>266.81</v>
      </c>
    </row>
    <row r="2243" spans="6:31" ht="24" customHeight="1">
      <c r="F2243">
        <v>0.5</v>
      </c>
      <c r="G2243" s="3" t="s">
        <v>781</v>
      </c>
      <c r="H2243" t="s">
        <v>662</v>
      </c>
      <c r="I2243">
        <f>C12</f>
        <v>269.85000000000002</v>
      </c>
      <c r="J2243" s="11" t="s">
        <v>1458</v>
      </c>
      <c r="K2243">
        <f>I2243*F2243</f>
        <v>134.93</v>
      </c>
      <c r="AE2243">
        <v>0</v>
      </c>
    </row>
    <row r="2244" spans="6:31" ht="24" customHeight="1">
      <c r="H2244" t="s">
        <v>2317</v>
      </c>
      <c r="K2244">
        <f>SUM(K2242:K2243)</f>
        <v>401.74</v>
      </c>
    </row>
    <row r="2245" spans="6:31" ht="24" customHeight="1">
      <c r="H2245" t="s">
        <v>435</v>
      </c>
      <c r="K2245" s="38">
        <f>K2244/8.16</f>
        <v>49.23</v>
      </c>
    </row>
    <row r="2247" spans="6:31" ht="24" customHeight="1">
      <c r="H2247" s="38" t="s">
        <v>1898</v>
      </c>
      <c r="N2247" s="3"/>
      <c r="O2247" s="38" t="s">
        <v>935</v>
      </c>
      <c r="Q2247" s="11"/>
    </row>
    <row r="2248" spans="6:31" ht="24" customHeight="1">
      <c r="F2248">
        <v>2</v>
      </c>
      <c r="G2248" s="3" t="s">
        <v>929</v>
      </c>
      <c r="H2248" t="s">
        <v>852</v>
      </c>
      <c r="I2248" s="208">
        <v>69.3</v>
      </c>
      <c r="J2248" s="11" t="s">
        <v>929</v>
      </c>
      <c r="K2248">
        <f>I2248*F2248</f>
        <v>138.6</v>
      </c>
      <c r="M2248">
        <v>15</v>
      </c>
      <c r="N2248" s="3" t="s">
        <v>234</v>
      </c>
      <c r="O2248" t="s">
        <v>1398</v>
      </c>
      <c r="P2248" s="208">
        <v>170</v>
      </c>
      <c r="Q2248" s="11" t="s">
        <v>234</v>
      </c>
      <c r="R2248">
        <f>P2248*M2248</f>
        <v>2550</v>
      </c>
    </row>
    <row r="2249" spans="6:31" ht="24" customHeight="1">
      <c r="F2249">
        <v>0.2</v>
      </c>
      <c r="G2249" s="3" t="s">
        <v>929</v>
      </c>
      <c r="H2249" t="s">
        <v>1899</v>
      </c>
      <c r="I2249">
        <f>C142/1000</f>
        <v>48</v>
      </c>
      <c r="J2249" s="11" t="s">
        <v>929</v>
      </c>
      <c r="K2249">
        <f>I2249*F2249</f>
        <v>9.6</v>
      </c>
      <c r="M2249">
        <v>0.5</v>
      </c>
      <c r="N2249" s="3" t="s">
        <v>929</v>
      </c>
      <c r="O2249" t="s">
        <v>1899</v>
      </c>
      <c r="P2249">
        <f>C142/1000</f>
        <v>48</v>
      </c>
      <c r="Q2249" s="11" t="s">
        <v>929</v>
      </c>
      <c r="R2249">
        <f>P2249*M2249</f>
        <v>24</v>
      </c>
    </row>
    <row r="2250" spans="6:31" ht="24" customHeight="1">
      <c r="F2250">
        <v>2</v>
      </c>
      <c r="G2250" s="3" t="s">
        <v>929</v>
      </c>
      <c r="H2250" t="s">
        <v>1900</v>
      </c>
      <c r="I2250">
        <f>K2245</f>
        <v>49.23</v>
      </c>
      <c r="J2250" s="11" t="s">
        <v>929</v>
      </c>
      <c r="K2250">
        <f>I2250*F2250</f>
        <v>98.46</v>
      </c>
      <c r="M2250">
        <v>0.5</v>
      </c>
      <c r="N2250" s="3" t="s">
        <v>563</v>
      </c>
      <c r="O2250" t="s">
        <v>661</v>
      </c>
      <c r="P2250">
        <f>C17</f>
        <v>381.15</v>
      </c>
      <c r="Q2250" s="11" t="s">
        <v>929</v>
      </c>
      <c r="R2250">
        <f>P2250*M2250</f>
        <v>190.58</v>
      </c>
    </row>
    <row r="2251" spans="6:31" ht="24" customHeight="1">
      <c r="H2251" t="s">
        <v>1901</v>
      </c>
      <c r="K2251">
        <f>SUM(K2248:K2250)</f>
        <v>246.66</v>
      </c>
      <c r="M2251">
        <v>0.5</v>
      </c>
      <c r="N2251" s="3" t="s">
        <v>563</v>
      </c>
      <c r="O2251" t="s">
        <v>662</v>
      </c>
      <c r="P2251">
        <f>C12</f>
        <v>269.85000000000002</v>
      </c>
      <c r="Q2251" s="11" t="s">
        <v>929</v>
      </c>
      <c r="R2251">
        <f>P2251*M2251</f>
        <v>134.93</v>
      </c>
    </row>
    <row r="2252" spans="6:31" ht="24" customHeight="1">
      <c r="H2252" t="s">
        <v>1902</v>
      </c>
      <c r="K2252" s="38">
        <f>K2251/10</f>
        <v>24.67</v>
      </c>
      <c r="N2252" s="3"/>
      <c r="O2252" t="s">
        <v>45</v>
      </c>
      <c r="Q2252" s="11"/>
      <c r="R2252">
        <f>SUM(R2248:R2251)</f>
        <v>2899.51</v>
      </c>
    </row>
    <row r="2253" spans="6:31" ht="24" customHeight="1">
      <c r="O2253" s="38" t="s">
        <v>1811</v>
      </c>
      <c r="Q2253" s="11"/>
      <c r="R2253" s="38">
        <f>R2252/15</f>
        <v>193.3</v>
      </c>
    </row>
    <row r="2254" spans="6:31" ht="24" customHeight="1">
      <c r="H2254" s="38" t="s">
        <v>1012</v>
      </c>
    </row>
    <row r="2255" spans="6:31" ht="24" customHeight="1">
      <c r="F2255">
        <v>0.25</v>
      </c>
      <c r="G2255" s="3" t="s">
        <v>563</v>
      </c>
      <c r="H2255" t="s">
        <v>1903</v>
      </c>
      <c r="I2255">
        <f>C11</f>
        <v>386.4</v>
      </c>
      <c r="J2255" s="11" t="s">
        <v>1458</v>
      </c>
      <c r="K2255">
        <f>I2255*F2255</f>
        <v>96.6</v>
      </c>
    </row>
    <row r="2256" spans="6:31" ht="24" customHeight="1">
      <c r="F2256">
        <v>1</v>
      </c>
      <c r="G2256" s="3" t="s">
        <v>563</v>
      </c>
      <c r="H2256" t="s">
        <v>662</v>
      </c>
      <c r="I2256">
        <f>C12</f>
        <v>269.85000000000002</v>
      </c>
      <c r="J2256" s="11" t="s">
        <v>1458</v>
      </c>
      <c r="K2256">
        <f>I2256*F2256</f>
        <v>269.85000000000002</v>
      </c>
    </row>
    <row r="2257" spans="6:251" ht="24" customHeight="1">
      <c r="G2257" s="11" t="s">
        <v>448</v>
      </c>
      <c r="H2257" t="s">
        <v>2092</v>
      </c>
      <c r="I2257">
        <f>SUM(K2255:K2256)*10/100</f>
        <v>36.65</v>
      </c>
      <c r="J2257" s="11" t="s">
        <v>448</v>
      </c>
      <c r="K2257">
        <f>I2257</f>
        <v>36.65</v>
      </c>
      <c r="N2257" s="3"/>
      <c r="O2257" s="1192" t="s">
        <v>1213</v>
      </c>
      <c r="P2257" s="1193"/>
      <c r="Q2257" s="1193"/>
    </row>
    <row r="2258" spans="6:251" ht="24" customHeight="1">
      <c r="H2258" t="s">
        <v>2100</v>
      </c>
      <c r="K2258">
        <f>SUM(K2255:K2257)</f>
        <v>403.1</v>
      </c>
      <c r="M2258">
        <v>0.47</v>
      </c>
      <c r="N2258" s="3" t="s">
        <v>2226</v>
      </c>
      <c r="O2258" t="s">
        <v>362</v>
      </c>
      <c r="P2258">
        <f>K90</f>
        <v>96.6</v>
      </c>
      <c r="Q2258" s="11" t="s">
        <v>1458</v>
      </c>
      <c r="R2258">
        <f>P2258*M2258</f>
        <v>45.4</v>
      </c>
    </row>
    <row r="2259" spans="6:251" ht="24" customHeight="1">
      <c r="H2259" t="s">
        <v>1013</v>
      </c>
      <c r="K2259" s="38">
        <f>K2258/2.44</f>
        <v>165.2</v>
      </c>
    </row>
    <row r="2260" spans="6:251" ht="24" customHeight="1">
      <c r="K2260">
        <v>0</v>
      </c>
      <c r="M2260">
        <v>0.24</v>
      </c>
      <c r="N2260" s="3" t="s">
        <v>2226</v>
      </c>
      <c r="O2260" t="s">
        <v>1214</v>
      </c>
      <c r="P2260">
        <f>AA15</f>
        <v>917.78</v>
      </c>
      <c r="Q2260" s="11" t="s">
        <v>1458</v>
      </c>
      <c r="R2260">
        <f>P2260*M2260</f>
        <v>220.27</v>
      </c>
      <c r="IQ2260">
        <v>0</v>
      </c>
    </row>
    <row r="2261" spans="6:251" ht="24" customHeight="1">
      <c r="H2261" s="38" t="s">
        <v>955</v>
      </c>
      <c r="M2261">
        <v>0.79</v>
      </c>
      <c r="N2261" s="11" t="s">
        <v>2371</v>
      </c>
      <c r="O2261" t="s">
        <v>1215</v>
      </c>
      <c r="P2261">
        <f>K541</f>
        <v>738.29</v>
      </c>
      <c r="Q2261" s="11" t="s">
        <v>448</v>
      </c>
      <c r="R2261">
        <f>P2261*M2261</f>
        <v>583.25</v>
      </c>
    </row>
    <row r="2262" spans="6:251" ht="24" customHeight="1">
      <c r="F2262" s="56">
        <v>7.0999999999999994E-2</v>
      </c>
      <c r="G2262" s="3" t="s">
        <v>369</v>
      </c>
      <c r="H2262" t="s">
        <v>956</v>
      </c>
      <c r="I2262">
        <f>K279</f>
        <v>4823.13</v>
      </c>
      <c r="J2262" s="11" t="s">
        <v>370</v>
      </c>
      <c r="K2262">
        <f>I2262*F2262</f>
        <v>342.44</v>
      </c>
      <c r="L2262">
        <f>31.5+85</f>
        <v>116.5</v>
      </c>
      <c r="M2262">
        <v>0.24</v>
      </c>
      <c r="N2262" s="3" t="s">
        <v>2226</v>
      </c>
      <c r="O2262" t="s">
        <v>928</v>
      </c>
      <c r="P2262">
        <f>I139</f>
        <v>740.98</v>
      </c>
      <c r="Q2262" s="11"/>
      <c r="R2262">
        <f>P2262*M2262</f>
        <v>177.84</v>
      </c>
    </row>
    <row r="2263" spans="6:251" ht="24" customHeight="1">
      <c r="F2263">
        <v>1</v>
      </c>
      <c r="G2263" s="3" t="s">
        <v>2272</v>
      </c>
      <c r="H2263" t="s">
        <v>931</v>
      </c>
      <c r="I2263">
        <f>K2259</f>
        <v>165.2</v>
      </c>
      <c r="J2263" s="11" t="s">
        <v>2272</v>
      </c>
      <c r="K2263">
        <f>I2263*F2263</f>
        <v>165.2</v>
      </c>
      <c r="L2263">
        <f>L2262*10%</f>
        <v>11.65</v>
      </c>
      <c r="N2263" s="3"/>
      <c r="O2263" t="s">
        <v>2359</v>
      </c>
      <c r="Q2263" s="11"/>
      <c r="R2263" t="s">
        <v>1366</v>
      </c>
    </row>
    <row r="2264" spans="6:251" ht="24" customHeight="1">
      <c r="F2264" t="s">
        <v>995</v>
      </c>
      <c r="H2264" t="s">
        <v>371</v>
      </c>
      <c r="K2264" s="38">
        <f>SUM(K2262:K2263)</f>
        <v>507.64</v>
      </c>
      <c r="R2264" s="38">
        <f>SUM(R2258:R2262)</f>
        <v>1026.76</v>
      </c>
    </row>
    <row r="2265" spans="6:251" ht="24" customHeight="1">
      <c r="R2265" t="s">
        <v>1366</v>
      </c>
    </row>
    <row r="2267" spans="6:251" ht="51.75" customHeight="1">
      <c r="H2267" s="58" t="s">
        <v>1391</v>
      </c>
      <c r="N2267" s="3"/>
      <c r="O2267" s="1192" t="s">
        <v>1367</v>
      </c>
      <c r="P2267" s="1193"/>
      <c r="Q2267" s="1193"/>
    </row>
    <row r="2268" spans="6:251" ht="24" customHeight="1">
      <c r="F2268">
        <v>98.5</v>
      </c>
      <c r="G2268" s="59" t="s">
        <v>1854</v>
      </c>
      <c r="H2268" t="s">
        <v>3738</v>
      </c>
      <c r="I2268" s="130">
        <v>4.22</v>
      </c>
      <c r="J2268" s="11" t="s">
        <v>1854</v>
      </c>
      <c r="K2268">
        <f>I2268*F2268</f>
        <v>415.67</v>
      </c>
      <c r="M2268">
        <v>1</v>
      </c>
      <c r="N2268" s="3" t="s">
        <v>2226</v>
      </c>
      <c r="O2268" t="s">
        <v>931</v>
      </c>
      <c r="P2268">
        <f>R2279</f>
        <v>165.2</v>
      </c>
      <c r="Q2268" s="11" t="s">
        <v>1458</v>
      </c>
      <c r="R2268">
        <f>P2268*M2268</f>
        <v>165.2</v>
      </c>
    </row>
    <row r="2269" spans="6:251" ht="24" customHeight="1">
      <c r="F2269">
        <v>0.3</v>
      </c>
      <c r="G2269" s="3" t="s">
        <v>1854</v>
      </c>
      <c r="H2269" t="s">
        <v>271</v>
      </c>
      <c r="I2269">
        <f>C16</f>
        <v>421.05</v>
      </c>
      <c r="J2269" s="11" t="s">
        <v>1458</v>
      </c>
      <c r="K2269">
        <f>I2269*F2269</f>
        <v>126.32</v>
      </c>
      <c r="M2269" s="56">
        <v>7.0999999999999994E-2</v>
      </c>
      <c r="N2269" s="3" t="s">
        <v>2226</v>
      </c>
      <c r="O2269" t="s">
        <v>1214</v>
      </c>
      <c r="P2269">
        <f>P2260</f>
        <v>917.78</v>
      </c>
      <c r="Q2269" s="11" t="s">
        <v>1458</v>
      </c>
      <c r="R2269">
        <f>P2269*M2269</f>
        <v>65.16</v>
      </c>
    </row>
    <row r="2270" spans="6:251" ht="24" customHeight="1">
      <c r="F2270">
        <v>0.3</v>
      </c>
      <c r="G2270" t="s">
        <v>1854</v>
      </c>
      <c r="H2270" t="s">
        <v>662</v>
      </c>
      <c r="I2270">
        <f>C12</f>
        <v>269.85000000000002</v>
      </c>
      <c r="J2270" s="11" t="s">
        <v>1458</v>
      </c>
      <c r="K2270">
        <f>I2270*F2270</f>
        <v>80.959999999999994</v>
      </c>
      <c r="R2270" t="s">
        <v>1366</v>
      </c>
    </row>
    <row r="2271" spans="6:251" ht="24" customHeight="1">
      <c r="H2271" t="s">
        <v>14</v>
      </c>
      <c r="K2271">
        <v>0.9</v>
      </c>
      <c r="N2271" s="11"/>
      <c r="Q2271" s="11"/>
      <c r="R2271" s="38">
        <f>SUM(R2268:R2269)</f>
        <v>230.36</v>
      </c>
    </row>
    <row r="2272" spans="6:251" ht="24" customHeight="1">
      <c r="H2272" s="38" t="s">
        <v>1901</v>
      </c>
      <c r="K2272" s="38">
        <f>SUM(K2268:K2271)</f>
        <v>623.85</v>
      </c>
      <c r="N2272" s="3"/>
      <c r="Q2272" s="11"/>
      <c r="R2272" t="s">
        <v>1366</v>
      </c>
    </row>
    <row r="2273" spans="6:19" ht="24" customHeight="1">
      <c r="H2273" s="38" t="s">
        <v>101</v>
      </c>
      <c r="K2273" s="38">
        <f>K2272/10</f>
        <v>62.39</v>
      </c>
      <c r="L2273">
        <f>K2273/3</f>
        <v>20.8</v>
      </c>
      <c r="M2273">
        <v>0.25</v>
      </c>
      <c r="N2273" s="3" t="s">
        <v>1454</v>
      </c>
      <c r="O2273" t="s">
        <v>1368</v>
      </c>
      <c r="P2273">
        <f>AC10</f>
        <v>386.4</v>
      </c>
      <c r="Q2273" s="11"/>
      <c r="R2273">
        <f>P2273*M2273</f>
        <v>96.6</v>
      </c>
    </row>
    <row r="2274" spans="6:19" ht="24" customHeight="1">
      <c r="H2274" s="60"/>
      <c r="K2274" s="38"/>
      <c r="M2274">
        <v>1</v>
      </c>
      <c r="N2274" s="3" t="s">
        <v>1454</v>
      </c>
      <c r="O2274" t="s">
        <v>1369</v>
      </c>
      <c r="P2274">
        <f>AC11</f>
        <v>269.85000000000002</v>
      </c>
      <c r="R2274">
        <f>P2274*M2274</f>
        <v>269.85000000000002</v>
      </c>
      <c r="S2274" s="56">
        <f>R2273+R2274</f>
        <v>366.45</v>
      </c>
    </row>
    <row r="2275" spans="6:19" ht="24" customHeight="1">
      <c r="G2275" s="97" t="s">
        <v>739</v>
      </c>
      <c r="H2275" s="60" t="s">
        <v>735</v>
      </c>
      <c r="I2275" s="811">
        <f>I2277-K2273</f>
        <v>399.45</v>
      </c>
      <c r="K2275" s="38"/>
      <c r="M2275">
        <v>1</v>
      </c>
      <c r="N2275" t="s">
        <v>1454</v>
      </c>
      <c r="O2275" s="29" t="s">
        <v>1370</v>
      </c>
      <c r="P2275" t="s">
        <v>667</v>
      </c>
      <c r="R2275">
        <f>(R2273+R2274)*10%</f>
        <v>36.65</v>
      </c>
    </row>
    <row r="2276" spans="6:19" ht="24" customHeight="1">
      <c r="G2276" s="78"/>
      <c r="H2276" s="60"/>
      <c r="I2276" s="38"/>
      <c r="K2276" s="38"/>
      <c r="R2276" t="s">
        <v>1366</v>
      </c>
    </row>
    <row r="2277" spans="6:19" ht="24" customHeight="1">
      <c r="G2277" s="97" t="s">
        <v>519</v>
      </c>
      <c r="H2277" s="60" t="s">
        <v>736</v>
      </c>
      <c r="I2277" s="38">
        <f>K732</f>
        <v>461.84</v>
      </c>
      <c r="K2277" s="38"/>
      <c r="R2277" s="38">
        <f>SUM(R2273:R2275)</f>
        <v>403.1</v>
      </c>
    </row>
    <row r="2278" spans="6:19" ht="24" customHeight="1">
      <c r="G2278" s="78"/>
      <c r="H2278" s="60"/>
      <c r="I2278" s="38"/>
      <c r="K2278" s="38"/>
      <c r="R2278" t="s">
        <v>1366</v>
      </c>
    </row>
    <row r="2279" spans="6:19" ht="24" customHeight="1">
      <c r="G2279" s="99" t="s">
        <v>321</v>
      </c>
      <c r="H2279" s="98" t="s">
        <v>737</v>
      </c>
      <c r="I2279" s="38">
        <f>I2277*1.2</f>
        <v>554.21</v>
      </c>
      <c r="K2279" s="38"/>
      <c r="R2279">
        <f>R2277/2.44</f>
        <v>165.2</v>
      </c>
    </row>
    <row r="2280" spans="6:19" ht="24" customHeight="1">
      <c r="G2280" s="97"/>
      <c r="H2280" s="60"/>
      <c r="K2280" s="38"/>
    </row>
    <row r="2281" spans="6:19" ht="24" customHeight="1">
      <c r="G2281" s="97" t="s">
        <v>740</v>
      </c>
      <c r="H2281" s="60" t="s">
        <v>738</v>
      </c>
      <c r="I2281" s="38">
        <f>I2277*1.1</f>
        <v>508.02</v>
      </c>
      <c r="K2281" s="38"/>
    </row>
    <row r="2282" spans="6:19" ht="24" customHeight="1">
      <c r="H2282" s="60"/>
      <c r="K2282" s="38"/>
    </row>
    <row r="2283" spans="6:19" ht="24" customHeight="1">
      <c r="O2283" s="4"/>
    </row>
    <row r="2284" spans="6:19" ht="24" customHeight="1">
      <c r="H2284" s="38" t="s">
        <v>2267</v>
      </c>
      <c r="N2284" s="3"/>
      <c r="O2284" s="41" t="s">
        <v>2268</v>
      </c>
      <c r="Q2284" s="11"/>
    </row>
    <row r="2285" spans="6:19" ht="24" customHeight="1">
      <c r="F2285">
        <v>11.5</v>
      </c>
      <c r="G2285" s="3" t="s">
        <v>2371</v>
      </c>
      <c r="H2285" s="60" t="s">
        <v>147</v>
      </c>
      <c r="I2285" s="130">
        <v>175.5</v>
      </c>
      <c r="J2285" s="11" t="s">
        <v>2371</v>
      </c>
      <c r="K2285">
        <f t="shared" ref="K2285:K2290" si="156">F2285*I2285</f>
        <v>2018.25</v>
      </c>
      <c r="M2285">
        <v>11</v>
      </c>
      <c r="N2285" s="3" t="s">
        <v>2371</v>
      </c>
      <c r="O2285" s="60" t="s">
        <v>3069</v>
      </c>
      <c r="P2285" s="288">
        <f>I2285</f>
        <v>175.5</v>
      </c>
      <c r="Q2285" s="11" t="s">
        <v>2371</v>
      </c>
      <c r="R2285">
        <f>M2285*P2285</f>
        <v>1930.5</v>
      </c>
    </row>
    <row r="2286" spans="6:19" ht="24" customHeight="1">
      <c r="F2286">
        <v>2</v>
      </c>
      <c r="G2286" s="3" t="s">
        <v>2041</v>
      </c>
      <c r="H2286" s="60" t="s">
        <v>2042</v>
      </c>
      <c r="I2286" s="130">
        <v>181.85</v>
      </c>
      <c r="J2286" s="11" t="s">
        <v>2043</v>
      </c>
      <c r="K2286">
        <f t="shared" si="156"/>
        <v>363.7</v>
      </c>
      <c r="M2286">
        <v>20</v>
      </c>
      <c r="N2286" s="11" t="s">
        <v>284</v>
      </c>
      <c r="O2286" s="60" t="s">
        <v>810</v>
      </c>
      <c r="P2286" s="288">
        <f>I2287</f>
        <v>3.6</v>
      </c>
      <c r="Q2286" s="11" t="s">
        <v>284</v>
      </c>
      <c r="R2286">
        <f>M2286*P2286</f>
        <v>72</v>
      </c>
    </row>
    <row r="2287" spans="6:19" ht="24" customHeight="1">
      <c r="F2287">
        <v>20</v>
      </c>
      <c r="G2287" s="3" t="s">
        <v>151</v>
      </c>
      <c r="H2287" s="62" t="s">
        <v>148</v>
      </c>
      <c r="I2287" s="130">
        <v>3.6</v>
      </c>
      <c r="J2287" s="11" t="s">
        <v>151</v>
      </c>
      <c r="K2287">
        <f t="shared" si="156"/>
        <v>72</v>
      </c>
      <c r="M2287">
        <v>2.2000000000000002</v>
      </c>
      <c r="N2287" s="3" t="s">
        <v>1454</v>
      </c>
      <c r="O2287" t="s">
        <v>984</v>
      </c>
      <c r="P2287">
        <f>AC18</f>
        <v>355.95</v>
      </c>
      <c r="Q2287" s="11" t="s">
        <v>1458</v>
      </c>
      <c r="R2287">
        <f>M2287*P2287</f>
        <v>783.09</v>
      </c>
    </row>
    <row r="2288" spans="6:19" ht="24" customHeight="1">
      <c r="F2288">
        <v>2.2000000000000002</v>
      </c>
      <c r="G2288" s="3" t="s">
        <v>1454</v>
      </c>
      <c r="H2288" t="s">
        <v>984</v>
      </c>
      <c r="I2288">
        <f>AC18</f>
        <v>355.95</v>
      </c>
      <c r="J2288" s="11" t="s">
        <v>1458</v>
      </c>
      <c r="K2288">
        <f t="shared" si="156"/>
        <v>783.09</v>
      </c>
      <c r="M2288">
        <v>1.1000000000000001</v>
      </c>
      <c r="N2288" s="3" t="s">
        <v>1454</v>
      </c>
      <c r="O2288" t="s">
        <v>149</v>
      </c>
      <c r="P2288">
        <f>I2289</f>
        <v>421.05</v>
      </c>
      <c r="Q2288" s="11" t="s">
        <v>1458</v>
      </c>
      <c r="R2288">
        <f>M2288*P2288</f>
        <v>463.16</v>
      </c>
    </row>
    <row r="2289" spans="6:18" ht="24" customHeight="1">
      <c r="F2289">
        <v>1.1000000000000001</v>
      </c>
      <c r="G2289" s="3" t="s">
        <v>1454</v>
      </c>
      <c r="H2289" t="s">
        <v>149</v>
      </c>
      <c r="I2289">
        <f>C16</f>
        <v>421.05</v>
      </c>
      <c r="J2289" s="11" t="s">
        <v>1458</v>
      </c>
      <c r="K2289">
        <f t="shared" si="156"/>
        <v>463.16</v>
      </c>
      <c r="M2289">
        <v>3.2</v>
      </c>
      <c r="N2289" s="3" t="s">
        <v>1454</v>
      </c>
      <c r="O2289" t="s">
        <v>150</v>
      </c>
      <c r="P2289">
        <f>I2290</f>
        <v>269.85000000000002</v>
      </c>
      <c r="Q2289" s="11" t="s">
        <v>1458</v>
      </c>
      <c r="R2289">
        <f>M2289*P2289</f>
        <v>863.52</v>
      </c>
    </row>
    <row r="2290" spans="6:18" ht="24" customHeight="1">
      <c r="F2290">
        <v>3.2</v>
      </c>
      <c r="G2290" s="3" t="s">
        <v>1454</v>
      </c>
      <c r="H2290" t="s">
        <v>150</v>
      </c>
      <c r="I2290">
        <f>C12</f>
        <v>269.85000000000002</v>
      </c>
      <c r="J2290" s="11" t="s">
        <v>1458</v>
      </c>
      <c r="K2290">
        <f t="shared" si="156"/>
        <v>863.52</v>
      </c>
      <c r="N2290" s="3"/>
      <c r="O2290" t="s">
        <v>1521</v>
      </c>
      <c r="Q2290" s="11" t="s">
        <v>667</v>
      </c>
      <c r="R2290">
        <v>0.74</v>
      </c>
    </row>
    <row r="2291" spans="6:18" ht="24" customHeight="1">
      <c r="H2291" t="s">
        <v>1521</v>
      </c>
      <c r="J2291" s="11" t="s">
        <v>448</v>
      </c>
      <c r="K2291">
        <v>0.5</v>
      </c>
    </row>
    <row r="2292" spans="6:18" ht="24" customHeight="1">
      <c r="K2292" s="61" t="s">
        <v>152</v>
      </c>
      <c r="N2292" s="3"/>
      <c r="Q2292" s="11"/>
      <c r="R2292" s="61" t="s">
        <v>152</v>
      </c>
    </row>
    <row r="2293" spans="6:18" ht="24" customHeight="1">
      <c r="H2293" s="41" t="s">
        <v>1522</v>
      </c>
      <c r="K2293" s="38">
        <f>SUM(K2285:K2292)</f>
        <v>4564.22</v>
      </c>
      <c r="N2293" s="3"/>
      <c r="O2293" s="41" t="s">
        <v>1522</v>
      </c>
      <c r="Q2293" s="11"/>
      <c r="R2293" s="38">
        <f>SUM(R2285:R2292)</f>
        <v>4113.01</v>
      </c>
    </row>
    <row r="2294" spans="6:18" ht="24" customHeight="1">
      <c r="K2294" s="61" t="s">
        <v>152</v>
      </c>
      <c r="N2294" s="3"/>
      <c r="Q2294" s="11"/>
      <c r="R2294" s="61" t="s">
        <v>152</v>
      </c>
    </row>
    <row r="2295" spans="6:18" ht="24" customHeight="1">
      <c r="H2295" s="41" t="s">
        <v>2026</v>
      </c>
      <c r="I2295" t="s">
        <v>995</v>
      </c>
      <c r="K2295" s="38">
        <f>K2293/10</f>
        <v>456.42</v>
      </c>
      <c r="N2295" s="3"/>
      <c r="O2295" s="41" t="s">
        <v>1523</v>
      </c>
      <c r="Q2295" s="11"/>
      <c r="R2295" s="38">
        <f>R2293/10</f>
        <v>411.3</v>
      </c>
    </row>
    <row r="2296" spans="6:18" ht="24" customHeight="1">
      <c r="K2296" s="61" t="s">
        <v>152</v>
      </c>
      <c r="N2296" s="3"/>
      <c r="Q2296" s="11"/>
      <c r="R2296" s="61" t="s">
        <v>152</v>
      </c>
    </row>
    <row r="2299" spans="6:18" ht="51" customHeight="1">
      <c r="G2299"/>
      <c r="H2299" s="75" t="s">
        <v>2102</v>
      </c>
      <c r="O2299" s="107"/>
      <c r="P2299" s="56"/>
    </row>
    <row r="2300" spans="6:18" ht="24" customHeight="1">
      <c r="G2300"/>
      <c r="P2300" s="56"/>
    </row>
    <row r="2301" spans="6:18" ht="24" customHeight="1">
      <c r="F2301" t="s">
        <v>2103</v>
      </c>
      <c r="G2301"/>
      <c r="H2301" t="s">
        <v>2104</v>
      </c>
    </row>
    <row r="2302" spans="6:18" ht="24" customHeight="1">
      <c r="G2302"/>
      <c r="H2302" t="s">
        <v>357</v>
      </c>
    </row>
    <row r="2303" spans="6:18" ht="24" customHeight="1">
      <c r="G2303"/>
    </row>
    <row r="2304" spans="6:18" ht="24" customHeight="1">
      <c r="F2304">
        <v>1.96</v>
      </c>
      <c r="G2304" t="s">
        <v>2226</v>
      </c>
      <c r="H2304" t="s">
        <v>358</v>
      </c>
      <c r="I2304">
        <f>K1642</f>
        <v>3569.32</v>
      </c>
      <c r="J2304" s="1" t="s">
        <v>884</v>
      </c>
      <c r="K2304" s="8">
        <f t="shared" ref="K2304:K2309" si="157">(F2304*I2304)</f>
        <v>6995.87</v>
      </c>
    </row>
    <row r="2305" spans="6:11" ht="24" customHeight="1">
      <c r="F2305">
        <v>2</v>
      </c>
      <c r="G2305" t="s">
        <v>1454</v>
      </c>
      <c r="H2305" t="s">
        <v>359</v>
      </c>
      <c r="I2305">
        <f>C10</f>
        <v>430.5</v>
      </c>
      <c r="J2305" s="1" t="s">
        <v>883</v>
      </c>
      <c r="K2305" s="8">
        <f t="shared" si="157"/>
        <v>861</v>
      </c>
    </row>
    <row r="2306" spans="6:11" ht="24" customHeight="1">
      <c r="F2306">
        <v>2</v>
      </c>
      <c r="G2306" t="s">
        <v>1454</v>
      </c>
      <c r="H2306" t="s">
        <v>360</v>
      </c>
      <c r="I2306">
        <f>C13</f>
        <v>243.6</v>
      </c>
      <c r="J2306" s="1" t="s">
        <v>883</v>
      </c>
      <c r="K2306" s="8">
        <f t="shared" si="157"/>
        <v>487.2</v>
      </c>
    </row>
    <row r="2307" spans="6:11" ht="24" customHeight="1">
      <c r="F2307">
        <v>0.28000000000000003</v>
      </c>
      <c r="G2307" t="s">
        <v>2371</v>
      </c>
      <c r="H2307" t="s">
        <v>361</v>
      </c>
      <c r="I2307">
        <f>I2275</f>
        <v>399.45</v>
      </c>
      <c r="J2307" s="1" t="s">
        <v>883</v>
      </c>
      <c r="K2307" s="8">
        <f t="shared" si="157"/>
        <v>111.85</v>
      </c>
    </row>
    <row r="2308" spans="6:11" ht="24" customHeight="1">
      <c r="F2308">
        <v>500</v>
      </c>
      <c r="G2308" t="s">
        <v>1454</v>
      </c>
      <c r="H2308" s="65" t="s">
        <v>2220</v>
      </c>
      <c r="I2308">
        <v>2</v>
      </c>
      <c r="J2308" s="1" t="s">
        <v>883</v>
      </c>
      <c r="K2308" s="8">
        <f t="shared" si="157"/>
        <v>1000</v>
      </c>
    </row>
    <row r="2309" spans="6:11" ht="24" customHeight="1">
      <c r="F2309">
        <v>8.5</v>
      </c>
      <c r="G2309" t="s">
        <v>2221</v>
      </c>
      <c r="H2309" t="s">
        <v>490</v>
      </c>
      <c r="I2309" s="300">
        <v>42</v>
      </c>
      <c r="J2309" s="11" t="s">
        <v>2221</v>
      </c>
      <c r="K2309" s="8">
        <f t="shared" si="157"/>
        <v>357</v>
      </c>
    </row>
    <row r="2310" spans="6:11" ht="24" customHeight="1">
      <c r="G2310"/>
      <c r="H2310" t="s">
        <v>2359</v>
      </c>
      <c r="K2310" s="6">
        <v>1.96</v>
      </c>
    </row>
    <row r="2311" spans="6:11" ht="24" customHeight="1">
      <c r="G2311"/>
      <c r="I2311" t="s">
        <v>1810</v>
      </c>
      <c r="K2311" s="8">
        <f>SUM(K2304:K2310)</f>
        <v>9814.8799999999992</v>
      </c>
    </row>
    <row r="2312" spans="6:11" ht="24" customHeight="1">
      <c r="G2312"/>
      <c r="K2312" s="5" t="s">
        <v>1667</v>
      </c>
    </row>
    <row r="2313" spans="6:11" ht="24" customHeight="1">
      <c r="G2313"/>
      <c r="I2313" t="s">
        <v>1811</v>
      </c>
      <c r="K2313" s="40">
        <f>K2311/39.2</f>
        <v>250.38</v>
      </c>
    </row>
    <row r="2314" spans="6:11" ht="24" customHeight="1">
      <c r="G2314"/>
      <c r="K2314" s="5" t="s">
        <v>2130</v>
      </c>
    </row>
    <row r="2315" spans="6:11" ht="24" customHeight="1">
      <c r="G2315"/>
    </row>
    <row r="2316" spans="6:11" ht="24" customHeight="1">
      <c r="G2316"/>
    </row>
    <row r="2317" spans="6:11" ht="24" customHeight="1">
      <c r="G2317"/>
      <c r="H2317" s="38" t="s">
        <v>995</v>
      </c>
    </row>
    <row r="2318" spans="6:11" ht="24" customHeight="1">
      <c r="F2318">
        <v>1</v>
      </c>
      <c r="G2318" t="s">
        <v>1454</v>
      </c>
      <c r="H2318" t="s">
        <v>1605</v>
      </c>
      <c r="I2318" s="130">
        <v>462</v>
      </c>
      <c r="J2318" s="1" t="s">
        <v>883</v>
      </c>
      <c r="K2318" s="8">
        <f>(F2318*I2318)</f>
        <v>462</v>
      </c>
    </row>
    <row r="2319" spans="6:11" ht="24" customHeight="1">
      <c r="F2319">
        <v>0.25</v>
      </c>
      <c r="G2319" t="s">
        <v>1454</v>
      </c>
      <c r="H2319" t="s">
        <v>359</v>
      </c>
      <c r="I2319">
        <f>I2305</f>
        <v>430.5</v>
      </c>
      <c r="J2319" s="1" t="s">
        <v>883</v>
      </c>
      <c r="K2319" s="8">
        <f>(F2319*I2319)</f>
        <v>107.63</v>
      </c>
    </row>
    <row r="2320" spans="6:11" ht="24" customHeight="1">
      <c r="F2320">
        <v>0.28000000000000003</v>
      </c>
      <c r="G2320" t="s">
        <v>2371</v>
      </c>
      <c r="H2320" t="s">
        <v>662</v>
      </c>
      <c r="I2320">
        <f>C12</f>
        <v>269.85000000000002</v>
      </c>
      <c r="J2320" s="1" t="s">
        <v>883</v>
      </c>
      <c r="K2320" s="8">
        <f>(F2320*I2320)</f>
        <v>75.56</v>
      </c>
    </row>
    <row r="2321" spans="6:11" ht="24" customHeight="1">
      <c r="G2321"/>
      <c r="H2321" s="65"/>
      <c r="J2321" s="1"/>
      <c r="K2321" s="8"/>
    </row>
    <row r="2322" spans="6:11" ht="24" customHeight="1">
      <c r="G2322"/>
      <c r="K2322" s="8"/>
    </row>
    <row r="2323" spans="6:11" ht="24" customHeight="1">
      <c r="G2323"/>
      <c r="K2323" s="74" t="s">
        <v>152</v>
      </c>
    </row>
    <row r="2324" spans="6:11" ht="24" customHeight="1">
      <c r="G2324"/>
      <c r="K2324" s="40">
        <f>SUM(K2318:K2323)</f>
        <v>645.19000000000005</v>
      </c>
    </row>
    <row r="2325" spans="6:11" ht="24" customHeight="1">
      <c r="G2325"/>
      <c r="K2325" s="74" t="s">
        <v>152</v>
      </c>
    </row>
    <row r="2326" spans="6:11" ht="24" customHeight="1">
      <c r="G2326"/>
      <c r="K2326" s="8"/>
    </row>
    <row r="2327" spans="6:11" ht="24" customHeight="1">
      <c r="G2327"/>
    </row>
    <row r="2328" spans="6:11" ht="24" customHeight="1">
      <c r="G2328"/>
      <c r="H2328" s="38" t="s">
        <v>2195</v>
      </c>
    </row>
    <row r="2329" spans="6:11" ht="24" customHeight="1">
      <c r="F2329">
        <v>1</v>
      </c>
      <c r="G2329" t="s">
        <v>1454</v>
      </c>
      <c r="H2329" t="s">
        <v>1501</v>
      </c>
      <c r="I2329" s="130">
        <f>C596</f>
        <v>847</v>
      </c>
      <c r="J2329" s="1" t="s">
        <v>883</v>
      </c>
      <c r="K2329" s="8">
        <f>(F2329*I2329)</f>
        <v>847</v>
      </c>
    </row>
    <row r="2330" spans="6:11" ht="24" customHeight="1">
      <c r="F2330">
        <v>0.5</v>
      </c>
      <c r="G2330" t="s">
        <v>1454</v>
      </c>
      <c r="H2330" t="s">
        <v>2134</v>
      </c>
      <c r="I2330">
        <f>C15</f>
        <v>374.85</v>
      </c>
      <c r="J2330" s="1" t="s">
        <v>883</v>
      </c>
      <c r="K2330" s="8">
        <f>(F2330*I2330)</f>
        <v>187.43</v>
      </c>
    </row>
    <row r="2331" spans="6:11" ht="24" customHeight="1">
      <c r="F2331">
        <v>0.5</v>
      </c>
      <c r="G2331" t="s">
        <v>1454</v>
      </c>
      <c r="H2331" t="s">
        <v>359</v>
      </c>
      <c r="I2331">
        <f>I2319</f>
        <v>430.5</v>
      </c>
      <c r="J2331" s="1" t="s">
        <v>883</v>
      </c>
      <c r="K2331" s="8">
        <f>(F2331*I2331)</f>
        <v>215.25</v>
      </c>
    </row>
    <row r="2332" spans="6:11" ht="24" customHeight="1">
      <c r="F2332">
        <v>0.5</v>
      </c>
      <c r="G2332" t="s">
        <v>2371</v>
      </c>
      <c r="H2332" t="s">
        <v>662</v>
      </c>
      <c r="I2332">
        <f>I2320</f>
        <v>269.85000000000002</v>
      </c>
      <c r="J2332" s="1" t="s">
        <v>883</v>
      </c>
      <c r="K2332" s="8">
        <f>(F2332*I2332)</f>
        <v>134.93</v>
      </c>
    </row>
    <row r="2333" spans="6:11" ht="24" customHeight="1">
      <c r="G2333"/>
      <c r="H2333" t="s">
        <v>312</v>
      </c>
      <c r="J2333" s="2" t="s">
        <v>72</v>
      </c>
      <c r="K2333" s="8">
        <v>0.25</v>
      </c>
    </row>
    <row r="2334" spans="6:11" ht="24" customHeight="1">
      <c r="G2334"/>
      <c r="K2334" s="8"/>
    </row>
    <row r="2335" spans="6:11" ht="24" customHeight="1">
      <c r="G2335"/>
      <c r="K2335" s="74" t="s">
        <v>152</v>
      </c>
    </row>
    <row r="2336" spans="6:11" ht="24" customHeight="1">
      <c r="G2336"/>
      <c r="K2336" s="40">
        <f>SUM(K2329:K2335)</f>
        <v>1384.86</v>
      </c>
    </row>
    <row r="2337" spans="6:18" ht="24" customHeight="1">
      <c r="G2337"/>
      <c r="K2337" s="74" t="s">
        <v>152</v>
      </c>
    </row>
    <row r="2338" spans="6:18" ht="24" customHeight="1">
      <c r="G2338"/>
      <c r="K2338" s="2"/>
    </row>
    <row r="2339" spans="6:18" ht="24" customHeight="1">
      <c r="G2339"/>
      <c r="K2339" s="2"/>
    </row>
    <row r="2340" spans="6:18" ht="24" customHeight="1">
      <c r="G2340"/>
      <c r="K2340" s="2"/>
    </row>
    <row r="2341" spans="6:18" ht="24" customHeight="1">
      <c r="F2341" s="66" t="s">
        <v>950</v>
      </c>
      <c r="G2341" s="66"/>
      <c r="H2341" s="1187" t="s">
        <v>348</v>
      </c>
      <c r="I2341" s="1187"/>
      <c r="J2341" s="1187"/>
      <c r="K2341" s="1187"/>
      <c r="M2341" s="66" t="s">
        <v>950</v>
      </c>
      <c r="N2341" s="66"/>
      <c r="O2341" s="1194" t="s">
        <v>2939</v>
      </c>
      <c r="P2341" s="1194"/>
      <c r="Q2341" s="1194"/>
      <c r="R2341" s="1194"/>
    </row>
    <row r="2342" spans="6:18" ht="24" customHeight="1">
      <c r="F2342" s="66"/>
      <c r="G2342" s="66"/>
      <c r="H2342" s="66"/>
      <c r="I2342" s="66"/>
      <c r="J2342" s="77"/>
      <c r="K2342" s="60"/>
      <c r="M2342" s="66"/>
      <c r="N2342" s="66"/>
      <c r="O2342" s="66"/>
      <c r="P2342" s="66"/>
      <c r="Q2342" s="77"/>
      <c r="R2342" s="60"/>
    </row>
    <row r="2343" spans="6:18" ht="24" customHeight="1">
      <c r="F2343" s="69">
        <v>10.5</v>
      </c>
      <c r="G2343" s="70" t="s">
        <v>2371</v>
      </c>
      <c r="H2343" s="1185" t="s">
        <v>349</v>
      </c>
      <c r="I2343" s="57">
        <v>302</v>
      </c>
      <c r="J2343" s="67" t="s">
        <v>2371</v>
      </c>
      <c r="K2343" s="69">
        <f>(F2343*I2343)</f>
        <v>3171</v>
      </c>
      <c r="M2343" s="69">
        <v>10.5</v>
      </c>
      <c r="N2343" s="70" t="s">
        <v>2371</v>
      </c>
      <c r="O2343" s="1185" t="s">
        <v>2939</v>
      </c>
      <c r="P2343" s="207">
        <v>485</v>
      </c>
      <c r="Q2343" s="67" t="s">
        <v>2371</v>
      </c>
      <c r="R2343" s="69">
        <f>(M2343*P2343)</f>
        <v>5092.5</v>
      </c>
    </row>
    <row r="2344" spans="6:18" ht="24" customHeight="1">
      <c r="F2344" s="60"/>
      <c r="G2344" s="59"/>
      <c r="H2344" s="1185"/>
      <c r="I2344" s="67" t="s">
        <v>995</v>
      </c>
      <c r="J2344" s="77"/>
      <c r="K2344" s="67" t="s">
        <v>995</v>
      </c>
      <c r="M2344" s="60"/>
      <c r="N2344" s="59"/>
      <c r="O2344" s="1185"/>
      <c r="P2344" s="67" t="s">
        <v>995</v>
      </c>
      <c r="Q2344" s="77"/>
      <c r="R2344" s="67" t="s">
        <v>995</v>
      </c>
    </row>
    <row r="2345" spans="6:18" ht="24" customHeight="1">
      <c r="F2345" s="69">
        <v>0.22</v>
      </c>
      <c r="G2345" s="70" t="s">
        <v>884</v>
      </c>
      <c r="H2345" s="67" t="s">
        <v>1953</v>
      </c>
      <c r="I2345" s="69">
        <f>K32</f>
        <v>3479.01</v>
      </c>
      <c r="J2345" s="67" t="s">
        <v>884</v>
      </c>
      <c r="K2345" s="69">
        <f>(F2345*I2345)</f>
        <v>765.38</v>
      </c>
      <c r="M2345" s="69">
        <v>0.22</v>
      </c>
      <c r="N2345" s="70" t="s">
        <v>884</v>
      </c>
      <c r="O2345" s="67" t="s">
        <v>1953</v>
      </c>
      <c r="P2345" s="69">
        <f t="shared" ref="P2345:P2350" si="158">I2345</f>
        <v>3479.01</v>
      </c>
      <c r="Q2345" s="67" t="s">
        <v>884</v>
      </c>
      <c r="R2345" s="69">
        <f>(M2345*P2345)</f>
        <v>765.38</v>
      </c>
    </row>
    <row r="2346" spans="6:18" ht="24" customHeight="1">
      <c r="F2346" s="69">
        <v>64</v>
      </c>
      <c r="G2346" s="70" t="s">
        <v>1730</v>
      </c>
      <c r="H2346" s="67" t="s">
        <v>350</v>
      </c>
      <c r="I2346" s="69">
        <f>C67</f>
        <v>5600</v>
      </c>
      <c r="J2346" s="67" t="s">
        <v>351</v>
      </c>
      <c r="K2346" s="69">
        <f>I2346*F2346/1000</f>
        <v>358.4</v>
      </c>
      <c r="M2346" s="69">
        <v>64</v>
      </c>
      <c r="N2346" s="70" t="s">
        <v>1730</v>
      </c>
      <c r="O2346" s="67" t="s">
        <v>350</v>
      </c>
      <c r="P2346" s="69">
        <f t="shared" si="158"/>
        <v>5600</v>
      </c>
      <c r="Q2346" s="67" t="s">
        <v>351</v>
      </c>
      <c r="R2346" s="69">
        <f>P2346*M2346/1000</f>
        <v>358.4</v>
      </c>
    </row>
    <row r="2347" spans="6:18" ht="24" customHeight="1">
      <c r="F2347" s="69">
        <v>4.5</v>
      </c>
      <c r="G2347" s="70" t="s">
        <v>1730</v>
      </c>
      <c r="H2347" s="67" t="s">
        <v>1608</v>
      </c>
      <c r="I2347" s="57">
        <f>C585</f>
        <v>24.83</v>
      </c>
      <c r="J2347" s="67" t="s">
        <v>1730</v>
      </c>
      <c r="K2347" s="69">
        <f>F2347*I2347</f>
        <v>111.74</v>
      </c>
      <c r="M2347" s="69">
        <v>4.5</v>
      </c>
      <c r="N2347" s="70" t="s">
        <v>1730</v>
      </c>
      <c r="O2347" s="67" t="s">
        <v>3070</v>
      </c>
      <c r="P2347" s="69">
        <f t="shared" si="158"/>
        <v>24.83</v>
      </c>
      <c r="Q2347" s="67" t="s">
        <v>1730</v>
      </c>
      <c r="R2347" s="69">
        <f>M2347*P2347</f>
        <v>111.74</v>
      </c>
    </row>
    <row r="2348" spans="6:18" ht="24" customHeight="1">
      <c r="F2348" s="69">
        <v>5.4</v>
      </c>
      <c r="G2348" s="70" t="s">
        <v>781</v>
      </c>
      <c r="H2348" s="67" t="s">
        <v>352</v>
      </c>
      <c r="I2348" s="69">
        <f>C11</f>
        <v>386.4</v>
      </c>
      <c r="J2348" s="67" t="s">
        <v>781</v>
      </c>
      <c r="K2348" s="69">
        <f>(F2348*I2348)</f>
        <v>2086.56</v>
      </c>
      <c r="M2348" s="69">
        <v>5.4</v>
      </c>
      <c r="N2348" s="70" t="s">
        <v>781</v>
      </c>
      <c r="O2348" s="67" t="s">
        <v>352</v>
      </c>
      <c r="P2348" s="69">
        <f t="shared" si="158"/>
        <v>386.4</v>
      </c>
      <c r="Q2348" s="67" t="s">
        <v>781</v>
      </c>
      <c r="R2348" s="69">
        <f>(M2348*P2348)</f>
        <v>2086.56</v>
      </c>
    </row>
    <row r="2349" spans="6:18" ht="24" customHeight="1">
      <c r="F2349" s="69">
        <v>2.16</v>
      </c>
      <c r="G2349" s="70" t="s">
        <v>781</v>
      </c>
      <c r="H2349" s="67" t="s">
        <v>353</v>
      </c>
      <c r="I2349" s="69">
        <f>C12</f>
        <v>269.85000000000002</v>
      </c>
      <c r="J2349" s="67" t="s">
        <v>781</v>
      </c>
      <c r="K2349" s="69">
        <f>(F2349*I2349)</f>
        <v>582.88</v>
      </c>
      <c r="M2349" s="69">
        <v>2.16</v>
      </c>
      <c r="N2349" s="70" t="s">
        <v>781</v>
      </c>
      <c r="O2349" s="67" t="s">
        <v>353</v>
      </c>
      <c r="P2349" s="69">
        <f t="shared" si="158"/>
        <v>269.85000000000002</v>
      </c>
      <c r="Q2349" s="67" t="s">
        <v>781</v>
      </c>
      <c r="R2349" s="69">
        <f>(M2349*P2349)</f>
        <v>582.88</v>
      </c>
    </row>
    <row r="2350" spans="6:18" ht="24" customHeight="1">
      <c r="F2350" s="69">
        <v>6.5</v>
      </c>
      <c r="G2350" s="70" t="s">
        <v>781</v>
      </c>
      <c r="H2350" s="67" t="s">
        <v>1282</v>
      </c>
      <c r="I2350" s="69">
        <f>C13</f>
        <v>243.6</v>
      </c>
      <c r="J2350" s="67" t="s">
        <v>781</v>
      </c>
      <c r="K2350" s="69">
        <f>(F2350*I2350)</f>
        <v>1583.4</v>
      </c>
      <c r="M2350" s="69">
        <v>6.5</v>
      </c>
      <c r="N2350" s="70" t="s">
        <v>781</v>
      </c>
      <c r="O2350" s="67" t="s">
        <v>1282</v>
      </c>
      <c r="P2350" s="69">
        <f t="shared" si="158"/>
        <v>243.6</v>
      </c>
      <c r="Q2350" s="67" t="s">
        <v>781</v>
      </c>
      <c r="R2350" s="69">
        <f>(M2350*P2350)</f>
        <v>1583.4</v>
      </c>
    </row>
    <row r="2351" spans="6:18" ht="24" customHeight="1">
      <c r="F2351" s="69"/>
      <c r="G2351" s="70"/>
      <c r="H2351" s="67"/>
      <c r="I2351" s="69"/>
      <c r="J2351" s="67" t="s">
        <v>781</v>
      </c>
      <c r="K2351" s="69">
        <v>0</v>
      </c>
      <c r="M2351" s="69"/>
      <c r="N2351" s="70"/>
      <c r="O2351" s="67"/>
      <c r="P2351" s="69"/>
      <c r="Q2351" s="67" t="s">
        <v>781</v>
      </c>
      <c r="R2351" s="69">
        <f>(M2351*P2351)</f>
        <v>0</v>
      </c>
    </row>
    <row r="2352" spans="6:18" ht="24" customHeight="1">
      <c r="F2352" s="71"/>
      <c r="G2352" s="70"/>
      <c r="H2352" s="60"/>
      <c r="I2352" s="69"/>
      <c r="J2352" s="67"/>
      <c r="K2352" s="69"/>
      <c r="M2352" s="71"/>
      <c r="N2352" s="70"/>
      <c r="O2352" s="60"/>
      <c r="P2352" s="69"/>
      <c r="Q2352" s="67"/>
      <c r="R2352" s="69"/>
    </row>
    <row r="2353" spans="6:18" ht="24" customHeight="1">
      <c r="F2353" s="69"/>
      <c r="G2353" s="70"/>
      <c r="H2353" s="35" t="s">
        <v>440</v>
      </c>
      <c r="I2353" s="60"/>
      <c r="J2353" s="77"/>
      <c r="K2353" s="72" t="s">
        <v>152</v>
      </c>
      <c r="M2353" s="69"/>
      <c r="N2353" s="70"/>
      <c r="O2353" s="35" t="s">
        <v>440</v>
      </c>
      <c r="P2353" s="60"/>
      <c r="Q2353" s="77"/>
      <c r="R2353" s="72" t="s">
        <v>152</v>
      </c>
    </row>
    <row r="2354" spans="6:18" ht="24" customHeight="1">
      <c r="F2354" s="69"/>
      <c r="G2354" s="70"/>
      <c r="H2354" s="35"/>
      <c r="I2354" s="60"/>
      <c r="J2354" s="77"/>
      <c r="K2354" s="40">
        <f>SUM(K2343:K2351)</f>
        <v>8659.36</v>
      </c>
      <c r="M2354" s="69"/>
      <c r="N2354" s="70"/>
      <c r="O2354" s="35"/>
      <c r="P2354" s="60"/>
      <c r="Q2354" s="77"/>
      <c r="R2354" s="40">
        <f>SUM(R2343:R2351)</f>
        <v>10580.86</v>
      </c>
    </row>
    <row r="2355" spans="6:18" ht="24" customHeight="1">
      <c r="F2355" s="69"/>
      <c r="G2355" s="70"/>
      <c r="H2355" s="35"/>
      <c r="I2355" s="69"/>
      <c r="J2355" s="67"/>
      <c r="K2355" s="73" t="s">
        <v>1283</v>
      </c>
      <c r="M2355" s="69"/>
      <c r="N2355" s="70"/>
      <c r="O2355" s="35"/>
      <c r="P2355" s="69"/>
      <c r="Q2355" s="67"/>
      <c r="R2355" s="73" t="s">
        <v>1283</v>
      </c>
    </row>
    <row r="2356" spans="6:18" ht="24" customHeight="1">
      <c r="F2356" s="67"/>
      <c r="G2356" s="59"/>
      <c r="H2356" s="35" t="s">
        <v>555</v>
      </c>
      <c r="I2356" s="67"/>
      <c r="J2356" s="77"/>
      <c r="K2356" s="43">
        <f>K2354/10</f>
        <v>865.94</v>
      </c>
      <c r="M2356" s="67"/>
      <c r="N2356" s="59"/>
      <c r="O2356" s="35" t="s">
        <v>555</v>
      </c>
      <c r="P2356" s="67"/>
      <c r="Q2356" s="77"/>
      <c r="R2356" s="43">
        <f>R2354/10</f>
        <v>1058.0899999999999</v>
      </c>
    </row>
    <row r="2357" spans="6:18" ht="24" customHeight="1">
      <c r="K2357" s="61" t="s">
        <v>152</v>
      </c>
      <c r="N2357" s="3"/>
      <c r="Q2357" s="11"/>
      <c r="R2357" s="61" t="s">
        <v>152</v>
      </c>
    </row>
    <row r="2360" spans="6:18" ht="24" customHeight="1">
      <c r="F2360" s="69"/>
      <c r="G2360" s="70"/>
      <c r="H2360" s="35" t="s">
        <v>1284</v>
      </c>
      <c r="I2360" s="69"/>
      <c r="J2360" s="67"/>
      <c r="K2360" s="69"/>
    </row>
    <row r="2361" spans="6:18" ht="24" customHeight="1">
      <c r="F2361" s="69"/>
      <c r="G2361" s="70"/>
      <c r="H2361" s="60"/>
      <c r="I2361" s="69"/>
      <c r="J2361" s="67"/>
      <c r="K2361" s="60"/>
    </row>
    <row r="2362" spans="6:18" ht="24" customHeight="1">
      <c r="F2362" s="69">
        <v>10</v>
      </c>
      <c r="G2362" s="70" t="s">
        <v>2371</v>
      </c>
      <c r="H2362" s="67" t="s">
        <v>215</v>
      </c>
      <c r="I2362" s="69">
        <f>K1160</f>
        <v>247.91</v>
      </c>
      <c r="J2362" s="67" t="s">
        <v>2371</v>
      </c>
      <c r="K2362" s="69">
        <f>F2362*I2362</f>
        <v>2479.1</v>
      </c>
    </row>
    <row r="2363" spans="6:18" ht="24" customHeight="1">
      <c r="F2363" s="60">
        <v>9.8000000000000007</v>
      </c>
      <c r="G2363" s="70" t="s">
        <v>1730</v>
      </c>
      <c r="H2363" s="60" t="s">
        <v>1731</v>
      </c>
      <c r="I2363" s="348">
        <f>C180</f>
        <v>127</v>
      </c>
      <c r="J2363" s="67" t="s">
        <v>1730</v>
      </c>
      <c r="K2363" s="69">
        <f>F2363*I2363</f>
        <v>1244.5999999999999</v>
      </c>
    </row>
    <row r="2364" spans="6:18" ht="24" customHeight="1">
      <c r="F2364" s="60">
        <v>1.1000000000000001</v>
      </c>
      <c r="G2364" s="59" t="s">
        <v>1950</v>
      </c>
      <c r="H2364" s="67" t="s">
        <v>2082</v>
      </c>
      <c r="I2364" s="60">
        <f>I2331</f>
        <v>430.5</v>
      </c>
      <c r="J2364" s="77" t="s">
        <v>1458</v>
      </c>
      <c r="K2364" s="60">
        <f>F2364*I2364</f>
        <v>473.55</v>
      </c>
    </row>
    <row r="2365" spans="6:18" ht="24" customHeight="1">
      <c r="F2365" s="60"/>
      <c r="G2365" s="59"/>
      <c r="H2365" t="s">
        <v>2359</v>
      </c>
      <c r="I2365" s="60"/>
      <c r="J2365" s="77"/>
      <c r="K2365" s="60">
        <v>0.2</v>
      </c>
    </row>
    <row r="2366" spans="6:18" ht="24" customHeight="1">
      <c r="F2366" s="60"/>
      <c r="G2366" s="59"/>
      <c r="H2366" s="60"/>
      <c r="I2366" s="60"/>
      <c r="J2366" s="77"/>
      <c r="K2366" s="68" t="s">
        <v>2130</v>
      </c>
    </row>
    <row r="2367" spans="6:18" ht="24" customHeight="1">
      <c r="F2367" s="67" t="s">
        <v>995</v>
      </c>
      <c r="G2367" s="59"/>
      <c r="H2367" s="35" t="s">
        <v>440</v>
      </c>
      <c r="I2367" s="60"/>
      <c r="J2367" s="77"/>
      <c r="K2367" s="38">
        <f>SUM(K2362:K2365)</f>
        <v>4197.45</v>
      </c>
    </row>
    <row r="2368" spans="6:18" ht="24" customHeight="1">
      <c r="F2368" s="60"/>
      <c r="G2368" s="59"/>
      <c r="H2368" s="60"/>
      <c r="I2368" s="60"/>
      <c r="J2368" s="77"/>
      <c r="K2368" s="76" t="s">
        <v>152</v>
      </c>
    </row>
    <row r="2369" spans="6:11" ht="24" customHeight="1">
      <c r="F2369" s="67" t="s">
        <v>995</v>
      </c>
      <c r="G2369" s="59"/>
      <c r="H2369" s="35" t="s">
        <v>555</v>
      </c>
      <c r="I2369" s="60"/>
      <c r="J2369" s="77"/>
      <c r="K2369" s="43">
        <f>K2367/10</f>
        <v>419.75</v>
      </c>
    </row>
    <row r="2370" spans="6:11" ht="24" customHeight="1">
      <c r="F2370" s="60"/>
      <c r="G2370" s="59"/>
      <c r="I2370" s="60"/>
      <c r="J2370" s="77"/>
      <c r="K2370" s="61" t="s">
        <v>152</v>
      </c>
    </row>
    <row r="2371" spans="6:11" ht="24" customHeight="1">
      <c r="F2371" s="60"/>
      <c r="G2371" s="59"/>
      <c r="H2371" s="60"/>
      <c r="I2371" s="60"/>
      <c r="J2371" s="77"/>
      <c r="K2371" s="60"/>
    </row>
    <row r="2372" spans="6:11" ht="24" customHeight="1">
      <c r="F2372" s="60"/>
      <c r="G2372" s="59"/>
      <c r="H2372" s="60"/>
      <c r="I2372" s="60"/>
      <c r="J2372" s="77"/>
      <c r="K2372" s="60"/>
    </row>
    <row r="2373" spans="6:11" ht="24" customHeight="1">
      <c r="F2373" s="60"/>
      <c r="G2373" s="59"/>
      <c r="H2373" s="60"/>
      <c r="I2373" s="60"/>
      <c r="J2373" s="77"/>
      <c r="K2373" s="60"/>
    </row>
    <row r="2374" spans="6:11" ht="24" customHeight="1">
      <c r="F2374" s="60"/>
      <c r="G2374" s="59"/>
      <c r="H2374" s="60"/>
      <c r="I2374" s="60"/>
      <c r="J2374" s="77"/>
      <c r="K2374" s="60"/>
    </row>
    <row r="2375" spans="6:11" ht="24" customHeight="1">
      <c r="F2375" s="60"/>
      <c r="G2375" s="59"/>
      <c r="H2375" s="38" t="s">
        <v>216</v>
      </c>
      <c r="I2375" s="60"/>
      <c r="J2375" s="77"/>
      <c r="K2375" s="60"/>
    </row>
    <row r="2376" spans="6:11" ht="24" customHeight="1">
      <c r="F2376" s="60"/>
      <c r="G2376" s="59"/>
      <c r="H2376" s="60"/>
      <c r="I2376" s="60"/>
      <c r="J2376" s="77"/>
      <c r="K2376" s="60"/>
    </row>
    <row r="2377" spans="6:11" ht="24" customHeight="1">
      <c r="F2377" s="77" t="s">
        <v>217</v>
      </c>
      <c r="G2377" s="77"/>
      <c r="H2377" s="77"/>
      <c r="I2377" s="60">
        <v>15.21</v>
      </c>
      <c r="J2377" s="77" t="s">
        <v>364</v>
      </c>
      <c r="K2377" s="60"/>
    </row>
    <row r="2378" spans="6:11" ht="24" customHeight="1">
      <c r="F2378" s="60" t="s">
        <v>218</v>
      </c>
      <c r="G2378" s="59"/>
      <c r="H2378" s="60"/>
      <c r="I2378" s="60">
        <v>22.61</v>
      </c>
      <c r="J2378" s="77" t="s">
        <v>364</v>
      </c>
      <c r="K2378" s="60"/>
    </row>
    <row r="2379" spans="6:11" ht="24" customHeight="1">
      <c r="F2379" s="60" t="s">
        <v>510</v>
      </c>
      <c r="G2379" s="59"/>
      <c r="H2379" s="60"/>
      <c r="I2379" s="60">
        <v>3.24</v>
      </c>
      <c r="J2379" s="77" t="s">
        <v>364</v>
      </c>
      <c r="K2379" s="60"/>
    </row>
    <row r="2380" spans="6:11" ht="24" customHeight="1">
      <c r="F2380" s="60" t="s">
        <v>511</v>
      </c>
      <c r="G2380" s="59"/>
      <c r="H2380" s="60"/>
      <c r="I2380" s="60">
        <v>2.16</v>
      </c>
      <c r="J2380" s="77" t="s">
        <v>364</v>
      </c>
      <c r="K2380" s="60"/>
    </row>
    <row r="2381" spans="6:11" ht="24" customHeight="1">
      <c r="F2381" s="60"/>
      <c r="G2381" s="59"/>
      <c r="H2381" s="60"/>
      <c r="I2381" s="60"/>
      <c r="J2381" s="77"/>
      <c r="K2381" s="60"/>
    </row>
    <row r="2382" spans="6:11" ht="24" customHeight="1">
      <c r="F2382" s="60"/>
      <c r="G2382" s="59"/>
      <c r="H2382" s="60"/>
      <c r="I2382" s="62" t="s">
        <v>152</v>
      </c>
      <c r="J2382" s="77"/>
      <c r="K2382" s="60"/>
    </row>
    <row r="2383" spans="6:11" ht="24" customHeight="1">
      <c r="F2383" s="60"/>
      <c r="G2383" s="59"/>
      <c r="H2383" s="60"/>
      <c r="I2383" s="60">
        <f>SUM(I2377:I2381)</f>
        <v>43.22</v>
      </c>
      <c r="J2383" s="77"/>
      <c r="K2383" s="60"/>
    </row>
    <row r="2384" spans="6:11" ht="24" customHeight="1">
      <c r="F2384" s="60"/>
      <c r="G2384" s="59"/>
      <c r="H2384" s="60"/>
      <c r="I2384" s="60" t="s">
        <v>1771</v>
      </c>
      <c r="J2384" s="77"/>
      <c r="K2384" s="60"/>
    </row>
    <row r="2385" spans="6:11" ht="24" customHeight="1">
      <c r="F2385" s="60"/>
      <c r="G2385" s="59"/>
      <c r="H2385" s="60"/>
      <c r="I2385" s="60"/>
      <c r="J2385" s="77"/>
      <c r="K2385" s="60"/>
    </row>
    <row r="2386" spans="6:11" ht="24" customHeight="1">
      <c r="F2386" s="60"/>
      <c r="G2386" s="59"/>
      <c r="H2386" s="60"/>
      <c r="I2386" s="60"/>
      <c r="J2386" s="77"/>
      <c r="K2386" s="60"/>
    </row>
    <row r="2387" spans="6:11" ht="24" customHeight="1">
      <c r="F2387" s="60">
        <v>43.22</v>
      </c>
      <c r="G2387" s="59" t="s">
        <v>1730</v>
      </c>
      <c r="H2387" s="60" t="s">
        <v>512</v>
      </c>
      <c r="I2387" s="130">
        <f>C637</f>
        <v>65</v>
      </c>
      <c r="J2387" s="77" t="s">
        <v>1730</v>
      </c>
      <c r="K2387" s="60">
        <f>I2387*F2387</f>
        <v>2809.3</v>
      </c>
    </row>
    <row r="2388" spans="6:11" ht="24" customHeight="1">
      <c r="F2388" s="60">
        <v>0.81</v>
      </c>
      <c r="G2388" s="59" t="s">
        <v>2371</v>
      </c>
      <c r="H2388" s="60" t="s">
        <v>2196</v>
      </c>
      <c r="I2388" s="60">
        <f>C198</f>
        <v>325</v>
      </c>
      <c r="J2388" s="77" t="s">
        <v>2371</v>
      </c>
      <c r="K2388" s="60">
        <f>I2388*F2388</f>
        <v>263.25</v>
      </c>
    </row>
    <row r="2389" spans="6:11" ht="24" customHeight="1">
      <c r="F2389" s="60">
        <v>0.81</v>
      </c>
      <c r="G2389" s="59" t="s">
        <v>2371</v>
      </c>
      <c r="H2389" s="60" t="s">
        <v>2027</v>
      </c>
      <c r="I2389" s="60">
        <f>D198</f>
        <v>100</v>
      </c>
      <c r="J2389" s="77" t="s">
        <v>2371</v>
      </c>
      <c r="K2389" s="60">
        <f>I2389*F2389</f>
        <v>81</v>
      </c>
    </row>
    <row r="2390" spans="6:11" ht="24" customHeight="1">
      <c r="F2390" s="60"/>
      <c r="G2390" s="59"/>
      <c r="H2390" s="60" t="s">
        <v>514</v>
      </c>
      <c r="I2390" s="60">
        <f>46.61</f>
        <v>46.61</v>
      </c>
      <c r="J2390" s="77" t="s">
        <v>448</v>
      </c>
      <c r="K2390" s="60">
        <f>I2390</f>
        <v>46.61</v>
      </c>
    </row>
    <row r="2391" spans="6:11" ht="24" customHeight="1">
      <c r="F2391" s="60"/>
      <c r="G2391" s="59"/>
      <c r="H2391" s="60"/>
      <c r="I2391" s="60"/>
      <c r="J2391" s="77"/>
      <c r="K2391" s="62" t="s">
        <v>152</v>
      </c>
    </row>
    <row r="2392" spans="6:11" ht="24" customHeight="1">
      <c r="F2392" s="60"/>
      <c r="G2392" s="59"/>
      <c r="H2392" s="38" t="s">
        <v>515</v>
      </c>
      <c r="I2392" s="60"/>
      <c r="J2392" s="77"/>
      <c r="K2392" s="38">
        <f>SUM(K2387:K2390)</f>
        <v>3200.16</v>
      </c>
    </row>
    <row r="2393" spans="6:11" ht="24" customHeight="1">
      <c r="F2393" s="60"/>
      <c r="G2393" s="59"/>
      <c r="H2393" s="60">
        <f>0.6*1.35</f>
        <v>0.81</v>
      </c>
      <c r="I2393" s="60"/>
      <c r="J2393" s="77"/>
      <c r="K2393" s="62" t="s">
        <v>152</v>
      </c>
    </row>
    <row r="2394" spans="6:11" ht="24" customHeight="1">
      <c r="F2394" s="60"/>
      <c r="G2394" s="59"/>
      <c r="H2394" s="281" t="s">
        <v>509</v>
      </c>
      <c r="I2394" s="60"/>
      <c r="J2394" s="77"/>
      <c r="K2394" s="38">
        <f>K2392/H2393</f>
        <v>3950.81</v>
      </c>
    </row>
    <row r="2395" spans="6:11" ht="24" customHeight="1">
      <c r="F2395" s="60"/>
      <c r="G2395" s="59"/>
      <c r="H2395" s="60"/>
      <c r="I2395" s="60"/>
      <c r="J2395" s="77"/>
      <c r="K2395" s="60"/>
    </row>
    <row r="2396" spans="6:11" ht="24" customHeight="1">
      <c r="F2396" s="77" t="s">
        <v>2212</v>
      </c>
      <c r="G2396" s="77"/>
      <c r="H2396" s="77"/>
      <c r="I2396" s="60">
        <v>11.78</v>
      </c>
      <c r="J2396" s="77" t="s">
        <v>364</v>
      </c>
      <c r="K2396" s="60"/>
    </row>
    <row r="2397" spans="6:11" ht="24" customHeight="1">
      <c r="F2397" s="60" t="s">
        <v>1411</v>
      </c>
      <c r="G2397" s="59"/>
      <c r="H2397" s="60"/>
      <c r="I2397" s="60">
        <v>15.07</v>
      </c>
      <c r="J2397" s="77" t="s">
        <v>364</v>
      </c>
      <c r="K2397" s="60"/>
    </row>
    <row r="2398" spans="6:11" ht="24" customHeight="1">
      <c r="F2398" s="60" t="s">
        <v>2110</v>
      </c>
      <c r="G2398" s="59"/>
      <c r="H2398" s="60"/>
      <c r="I2398" s="60">
        <v>2.16</v>
      </c>
      <c r="J2398" s="77" t="s">
        <v>364</v>
      </c>
      <c r="K2398" s="60"/>
    </row>
    <row r="2399" spans="6:11" ht="24" customHeight="1">
      <c r="F2399" s="60" t="s">
        <v>511</v>
      </c>
      <c r="G2399" s="59"/>
      <c r="H2399" s="60"/>
      <c r="I2399" s="60">
        <v>2.16</v>
      </c>
      <c r="J2399" s="77" t="s">
        <v>364</v>
      </c>
      <c r="K2399" s="60"/>
    </row>
    <row r="2400" spans="6:11" ht="24" customHeight="1">
      <c r="F2400" s="60" t="s">
        <v>544</v>
      </c>
      <c r="G2400" s="59"/>
      <c r="H2400" s="60"/>
      <c r="I2400" s="60">
        <f>1.91-0.08</f>
        <v>1.83</v>
      </c>
      <c r="J2400" s="77"/>
      <c r="K2400" s="60"/>
    </row>
    <row r="2401" spans="6:18" ht="24" customHeight="1">
      <c r="F2401" s="60"/>
      <c r="G2401" s="59"/>
      <c r="H2401" s="60"/>
      <c r="I2401" s="62" t="s">
        <v>894</v>
      </c>
      <c r="J2401" s="77"/>
      <c r="K2401" s="60"/>
    </row>
    <row r="2402" spans="6:18" ht="24" customHeight="1">
      <c r="F2402" s="60"/>
      <c r="G2402" s="59"/>
      <c r="H2402" s="60"/>
      <c r="I2402" s="38">
        <f>SUM(I2396:I2400)</f>
        <v>33</v>
      </c>
      <c r="J2402" s="77" t="s">
        <v>364</v>
      </c>
      <c r="K2402" s="60"/>
    </row>
    <row r="2403" spans="6:18" ht="24" customHeight="1">
      <c r="F2403" s="60"/>
      <c r="G2403" s="59"/>
      <c r="H2403" s="60"/>
      <c r="I2403" s="62" t="s">
        <v>894</v>
      </c>
      <c r="J2403" s="77"/>
      <c r="K2403" s="60"/>
    </row>
    <row r="2404" spans="6:18" ht="24" customHeight="1">
      <c r="F2404" s="60"/>
      <c r="G2404" s="59"/>
      <c r="H2404" s="60"/>
      <c r="I2404" s="60"/>
      <c r="J2404" s="77"/>
      <c r="K2404" s="60"/>
    </row>
    <row r="2405" spans="6:18" ht="24" customHeight="1">
      <c r="F2405" s="60"/>
      <c r="G2405" s="59"/>
      <c r="H2405" s="60"/>
      <c r="I2405" s="60"/>
      <c r="J2405" s="77"/>
      <c r="K2405" s="60"/>
    </row>
    <row r="2406" spans="6:18" ht="24" customHeight="1">
      <c r="F2406" s="60">
        <v>33</v>
      </c>
      <c r="G2406" s="59" t="s">
        <v>1730</v>
      </c>
      <c r="H2406" s="60" t="s">
        <v>512</v>
      </c>
      <c r="I2406" s="60">
        <f>I2387</f>
        <v>65</v>
      </c>
      <c r="J2406" s="77" t="s">
        <v>1730</v>
      </c>
      <c r="K2406" s="60">
        <f>I2406*F2406</f>
        <v>2145</v>
      </c>
    </row>
    <row r="2407" spans="6:18" ht="24" customHeight="1">
      <c r="F2407" s="60">
        <v>0.54</v>
      </c>
      <c r="G2407" s="59" t="s">
        <v>2371</v>
      </c>
      <c r="H2407" s="60" t="s">
        <v>2196</v>
      </c>
      <c r="I2407" s="60">
        <f>I2388</f>
        <v>325</v>
      </c>
      <c r="J2407" s="77" t="s">
        <v>2371</v>
      </c>
      <c r="K2407" s="60">
        <f>I2407*F2407</f>
        <v>175.5</v>
      </c>
    </row>
    <row r="2408" spans="6:18" ht="24" customHeight="1">
      <c r="F2408" s="60">
        <v>0.54</v>
      </c>
      <c r="G2408" s="59" t="s">
        <v>2371</v>
      </c>
      <c r="H2408" s="60" t="str">
        <f>H2389</f>
        <v>Fly proof  Mesh</v>
      </c>
      <c r="I2408" s="60">
        <f>I2389</f>
        <v>100</v>
      </c>
      <c r="J2408" s="77" t="s">
        <v>2371</v>
      </c>
      <c r="K2408" s="60">
        <f>I2408*F2408</f>
        <v>54</v>
      </c>
    </row>
    <row r="2409" spans="6:18" ht="24" customHeight="1">
      <c r="F2409" s="60"/>
      <c r="G2409" s="59"/>
      <c r="H2409" s="60" t="s">
        <v>514</v>
      </c>
      <c r="I2409" s="60">
        <v>53.5</v>
      </c>
      <c r="J2409" s="77" t="s">
        <v>448</v>
      </c>
      <c r="K2409" s="60">
        <v>52.8</v>
      </c>
    </row>
    <row r="2410" spans="6:18" ht="24" customHeight="1">
      <c r="F2410" s="60"/>
      <c r="G2410" s="59"/>
      <c r="H2410" s="60"/>
      <c r="I2410" s="60"/>
      <c r="J2410" s="77"/>
      <c r="K2410" s="62" t="s">
        <v>152</v>
      </c>
    </row>
    <row r="2411" spans="6:18" ht="24" customHeight="1">
      <c r="F2411" s="60"/>
      <c r="G2411" s="59"/>
      <c r="H2411" s="38" t="s">
        <v>515</v>
      </c>
      <c r="I2411" s="60"/>
      <c r="J2411" s="77"/>
      <c r="K2411" s="38">
        <f>SUM(K2406:K2409)</f>
        <v>2427.3000000000002</v>
      </c>
    </row>
    <row r="2412" spans="6:18" ht="24" customHeight="1">
      <c r="F2412" s="60"/>
      <c r="G2412" s="59"/>
      <c r="H2412" s="60"/>
      <c r="I2412" s="60"/>
      <c r="J2412" s="77"/>
      <c r="K2412" s="62" t="s">
        <v>152</v>
      </c>
    </row>
    <row r="2413" spans="6:18" ht="24" customHeight="1">
      <c r="F2413" s="60"/>
      <c r="G2413" s="59"/>
      <c r="H2413" s="60"/>
      <c r="I2413" s="38" t="s">
        <v>2938</v>
      </c>
      <c r="J2413" s="77"/>
      <c r="K2413" s="38">
        <f>K2411/0.54</f>
        <v>4495</v>
      </c>
    </row>
    <row r="2414" spans="6:18" ht="24" customHeight="1">
      <c r="F2414" s="60"/>
      <c r="G2414" s="59"/>
      <c r="H2414" s="60"/>
      <c r="I2414" s="60"/>
      <c r="J2414" s="77"/>
      <c r="K2414" s="60"/>
    </row>
    <row r="2415" spans="6:18" ht="24" customHeight="1">
      <c r="F2415" s="60"/>
      <c r="G2415" s="59"/>
      <c r="H2415" s="60"/>
      <c r="I2415" s="60"/>
      <c r="J2415" s="77"/>
      <c r="K2415" s="60"/>
    </row>
    <row r="2416" spans="6:18" ht="24" customHeight="1">
      <c r="F2416" s="60"/>
      <c r="G2416" s="59"/>
      <c r="H2416" s="38" t="s">
        <v>2066</v>
      </c>
      <c r="I2416" s="60"/>
      <c r="J2416" s="77"/>
      <c r="K2416" s="60"/>
      <c r="M2416" s="60"/>
      <c r="N2416" s="59"/>
      <c r="O2416" s="38" t="s">
        <v>2726</v>
      </c>
      <c r="P2416" s="60"/>
      <c r="Q2416" s="77"/>
      <c r="R2416" s="60"/>
    </row>
    <row r="2417" spans="6:18" ht="24" customHeight="1">
      <c r="F2417" s="60"/>
      <c r="G2417" s="59"/>
      <c r="H2417" s="60"/>
      <c r="I2417" s="60"/>
      <c r="J2417" s="77"/>
      <c r="K2417" s="60"/>
      <c r="M2417" s="60"/>
      <c r="N2417" s="59"/>
      <c r="O2417" s="60"/>
      <c r="P2417" s="60"/>
      <c r="Q2417" s="77"/>
      <c r="R2417" s="60"/>
    </row>
    <row r="2418" spans="6:18" ht="24" customHeight="1">
      <c r="F2418" s="77" t="s">
        <v>1905</v>
      </c>
      <c r="G2418" s="77"/>
      <c r="H2418" s="77"/>
      <c r="I2418" s="60">
        <v>9.42</v>
      </c>
      <c r="J2418" s="77" t="s">
        <v>364</v>
      </c>
      <c r="K2418" s="77"/>
      <c r="M2418" s="77" t="s">
        <v>2727</v>
      </c>
      <c r="N2418" s="77"/>
      <c r="O2418" s="77"/>
      <c r="P2418" s="79">
        <f>3.77*3.9</f>
        <v>14.702999999999999</v>
      </c>
      <c r="Q2418" s="77" t="s">
        <v>364</v>
      </c>
      <c r="R2418" s="77"/>
    </row>
    <row r="2419" spans="6:18" ht="24" customHeight="1">
      <c r="F2419" s="60" t="s">
        <v>1906</v>
      </c>
      <c r="G2419" s="59"/>
      <c r="H2419" s="60"/>
      <c r="I2419" s="60">
        <v>9.42</v>
      </c>
      <c r="J2419" s="77" t="s">
        <v>364</v>
      </c>
      <c r="K2419" s="77"/>
      <c r="M2419" s="60" t="s">
        <v>2728</v>
      </c>
      <c r="N2419" s="59"/>
      <c r="O2419" s="60"/>
      <c r="P2419" s="60">
        <f>12*0.6*3.14</f>
        <v>22.61</v>
      </c>
      <c r="Q2419" s="77" t="s">
        <v>364</v>
      </c>
      <c r="R2419" s="77"/>
    </row>
    <row r="2420" spans="6:18" ht="24" customHeight="1">
      <c r="F2420" s="60" t="s">
        <v>74</v>
      </c>
      <c r="G2420" s="59"/>
      <c r="H2420" s="60"/>
      <c r="I2420" s="60">
        <v>1.44</v>
      </c>
      <c r="J2420" s="77" t="s">
        <v>364</v>
      </c>
      <c r="K2420" s="77"/>
      <c r="M2420" s="60" t="s">
        <v>3420</v>
      </c>
      <c r="N2420" s="59"/>
      <c r="O2420" s="60"/>
      <c r="P2420" s="60">
        <f>2*1.285*1.2</f>
        <v>3.08</v>
      </c>
      <c r="Q2420" s="77" t="s">
        <v>364</v>
      </c>
      <c r="R2420" s="77"/>
    </row>
    <row r="2421" spans="6:18" ht="24" customHeight="1">
      <c r="F2421" s="60" t="s">
        <v>511</v>
      </c>
      <c r="G2421" s="59"/>
      <c r="H2421" s="60"/>
      <c r="I2421" s="60">
        <v>2.16</v>
      </c>
      <c r="J2421" s="77" t="s">
        <v>364</v>
      </c>
      <c r="K2421" s="77"/>
      <c r="M2421" s="60" t="s">
        <v>511</v>
      </c>
      <c r="N2421" s="59"/>
      <c r="O2421" s="60"/>
      <c r="P2421" s="60">
        <f>3*0.6*1.2</f>
        <v>2.16</v>
      </c>
      <c r="Q2421" s="77" t="s">
        <v>364</v>
      </c>
      <c r="R2421" s="77"/>
    </row>
    <row r="2422" spans="6:18" ht="24" customHeight="1">
      <c r="F2422" s="60" t="s">
        <v>544</v>
      </c>
      <c r="G2422" s="59"/>
      <c r="H2422" s="60"/>
      <c r="I2422" s="60">
        <v>1.56</v>
      </c>
      <c r="J2422" s="77"/>
      <c r="K2422" s="77"/>
      <c r="M2422" s="60" t="s">
        <v>544</v>
      </c>
      <c r="N2422" s="59"/>
      <c r="O2422" s="60"/>
      <c r="P2422" s="60">
        <v>0.16</v>
      </c>
      <c r="Q2422" s="77"/>
      <c r="R2422" s="77"/>
    </row>
    <row r="2423" spans="6:18" ht="24" customHeight="1">
      <c r="F2423" s="60"/>
      <c r="G2423" s="59"/>
      <c r="H2423" s="60"/>
      <c r="I2423" s="62" t="s">
        <v>894</v>
      </c>
      <c r="J2423" s="77"/>
      <c r="K2423" s="77"/>
      <c r="M2423" s="60"/>
      <c r="N2423" s="59"/>
      <c r="O2423" s="60"/>
      <c r="P2423" s="62" t="s">
        <v>894</v>
      </c>
      <c r="Q2423" s="77"/>
      <c r="R2423" s="77"/>
    </row>
    <row r="2424" spans="6:18" ht="24" customHeight="1">
      <c r="F2424" s="60"/>
      <c r="G2424" s="59"/>
      <c r="H2424" s="60"/>
      <c r="I2424" s="60">
        <f>SUM(I2418:I2422)</f>
        <v>24</v>
      </c>
      <c r="J2424" s="77" t="s">
        <v>364</v>
      </c>
      <c r="K2424" s="77"/>
      <c r="M2424" s="60"/>
      <c r="N2424" s="59"/>
      <c r="O2424" s="60"/>
      <c r="P2424" s="81">
        <f>SUM(P2418:P2422)</f>
        <v>42.713000000000001</v>
      </c>
      <c r="Q2424" s="77" t="s">
        <v>364</v>
      </c>
      <c r="R2424" s="77">
        <f>42.55-42.713</f>
        <v>-0.16</v>
      </c>
    </row>
    <row r="2425" spans="6:18" ht="24" customHeight="1">
      <c r="F2425" s="60"/>
      <c r="G2425" s="59"/>
      <c r="H2425" s="60"/>
      <c r="I2425" s="62" t="s">
        <v>894</v>
      </c>
      <c r="J2425" s="77"/>
      <c r="K2425" s="60"/>
      <c r="M2425" s="60"/>
      <c r="N2425" s="59"/>
      <c r="O2425" s="60"/>
      <c r="P2425" s="62" t="s">
        <v>894</v>
      </c>
      <c r="Q2425" s="77"/>
      <c r="R2425" s="60"/>
    </row>
    <row r="2426" spans="6:18" ht="24" customHeight="1">
      <c r="F2426" s="60"/>
      <c r="G2426" s="59"/>
      <c r="H2426" s="60"/>
      <c r="I2426" s="60"/>
      <c r="J2426" s="77"/>
      <c r="K2426" s="60"/>
      <c r="M2426" s="60"/>
      <c r="N2426" s="59"/>
      <c r="O2426" s="60"/>
      <c r="P2426" s="60"/>
      <c r="Q2426" s="77"/>
      <c r="R2426" s="60"/>
    </row>
    <row r="2427" spans="6:18" ht="24" customHeight="1">
      <c r="F2427" s="60"/>
      <c r="G2427" s="59"/>
      <c r="H2427" s="60"/>
      <c r="I2427" s="60"/>
      <c r="J2427" s="77"/>
      <c r="K2427" s="60"/>
      <c r="M2427" s="60"/>
      <c r="N2427" s="59"/>
      <c r="O2427" s="60"/>
      <c r="P2427" s="60"/>
      <c r="Q2427" s="77"/>
      <c r="R2427" s="60"/>
    </row>
    <row r="2428" spans="6:18" ht="24" customHeight="1">
      <c r="F2428" s="60">
        <v>24</v>
      </c>
      <c r="G2428" s="59" t="s">
        <v>1730</v>
      </c>
      <c r="H2428" s="60" t="s">
        <v>512</v>
      </c>
      <c r="I2428" s="60">
        <f>I2406</f>
        <v>65</v>
      </c>
      <c r="J2428" s="77" t="s">
        <v>1730</v>
      </c>
      <c r="K2428" s="60">
        <f>I2428*F2428</f>
        <v>1560</v>
      </c>
      <c r="M2428" s="79">
        <f>P2424</f>
        <v>42.713000000000001</v>
      </c>
      <c r="N2428" s="59" t="s">
        <v>1730</v>
      </c>
      <c r="O2428" s="60" t="s">
        <v>512</v>
      </c>
      <c r="P2428" s="60">
        <f>I2428</f>
        <v>65</v>
      </c>
      <c r="Q2428" s="77" t="s">
        <v>1730</v>
      </c>
      <c r="R2428" s="60">
        <f>P2428*M2428</f>
        <v>2776.35</v>
      </c>
    </row>
    <row r="2429" spans="6:18" ht="24" customHeight="1">
      <c r="F2429" s="60">
        <v>0.36</v>
      </c>
      <c r="G2429" s="59" t="s">
        <v>2371</v>
      </c>
      <c r="H2429" s="60" t="s">
        <v>2196</v>
      </c>
      <c r="I2429" s="60">
        <f>I2407</f>
        <v>325</v>
      </c>
      <c r="J2429" s="77" t="s">
        <v>2371</v>
      </c>
      <c r="K2429" s="60">
        <f>I2429*F2429</f>
        <v>117</v>
      </c>
      <c r="M2429" s="60">
        <v>0.77</v>
      </c>
      <c r="N2429" s="59" t="s">
        <v>2371</v>
      </c>
      <c r="O2429" s="60" t="s">
        <v>2196</v>
      </c>
      <c r="P2429" s="60">
        <f>I2429</f>
        <v>325</v>
      </c>
      <c r="Q2429" s="77" t="s">
        <v>2371</v>
      </c>
      <c r="R2429" s="60">
        <f>P2429*M2429</f>
        <v>250.25</v>
      </c>
    </row>
    <row r="2430" spans="6:18" ht="24" customHeight="1">
      <c r="F2430" s="60">
        <v>0.36</v>
      </c>
      <c r="G2430" s="59" t="s">
        <v>2371</v>
      </c>
      <c r="H2430" s="60" t="s">
        <v>513</v>
      </c>
      <c r="I2430" s="60">
        <f>C197</f>
        <v>35</v>
      </c>
      <c r="J2430" s="77" t="s">
        <v>2371</v>
      </c>
      <c r="K2430" s="60">
        <f>I2430*F2430</f>
        <v>12.6</v>
      </c>
      <c r="M2430" s="60">
        <v>0.77</v>
      </c>
      <c r="N2430" s="59" t="s">
        <v>2371</v>
      </c>
      <c r="O2430" s="60" t="s">
        <v>513</v>
      </c>
      <c r="P2430" s="60">
        <f>I2430</f>
        <v>35</v>
      </c>
      <c r="Q2430" s="77" t="s">
        <v>2371</v>
      </c>
      <c r="R2430" s="60">
        <f>P2430*M2430</f>
        <v>26.95</v>
      </c>
    </row>
    <row r="2431" spans="6:18" ht="24" customHeight="1">
      <c r="F2431" s="60"/>
      <c r="G2431" s="59"/>
      <c r="H2431" s="60" t="s">
        <v>574</v>
      </c>
      <c r="I2431" s="60">
        <v>28.34</v>
      </c>
      <c r="J2431" s="77" t="s">
        <v>448</v>
      </c>
      <c r="K2431" s="60">
        <f>28.14</f>
        <v>28.14</v>
      </c>
      <c r="M2431" s="60"/>
      <c r="N2431" s="59"/>
      <c r="O2431" s="60" t="s">
        <v>574</v>
      </c>
      <c r="P2431" s="60">
        <f>I2431</f>
        <v>28.34</v>
      </c>
      <c r="Q2431" s="77" t="s">
        <v>448</v>
      </c>
      <c r="R2431" s="60">
        <f>28.34+0.11</f>
        <v>28.45</v>
      </c>
    </row>
    <row r="2432" spans="6:18" ht="24" customHeight="1">
      <c r="F2432" s="60"/>
      <c r="G2432" s="59"/>
      <c r="H2432" s="60"/>
      <c r="I2432" s="60"/>
      <c r="J2432" s="77"/>
      <c r="K2432" s="62" t="s">
        <v>152</v>
      </c>
      <c r="M2432" s="60"/>
      <c r="N2432" s="59"/>
      <c r="O2432" s="60"/>
      <c r="P2432" s="60"/>
      <c r="Q2432" s="77"/>
      <c r="R2432" s="62" t="s">
        <v>152</v>
      </c>
    </row>
    <row r="2433" spans="6:18" ht="24" customHeight="1">
      <c r="F2433" s="60"/>
      <c r="G2433" s="59"/>
      <c r="H2433" s="38" t="s">
        <v>515</v>
      </c>
      <c r="I2433" s="60"/>
      <c r="J2433" s="77"/>
      <c r="K2433" s="38">
        <f>SUM(K2428:K2431)</f>
        <v>1717.74</v>
      </c>
      <c r="M2433" s="60"/>
      <c r="N2433" s="59"/>
      <c r="O2433" s="38" t="s">
        <v>515</v>
      </c>
      <c r="P2433" s="60"/>
      <c r="Q2433" s="77"/>
      <c r="R2433" s="38">
        <f>SUM(R2428:R2431)</f>
        <v>3082</v>
      </c>
    </row>
    <row r="2434" spans="6:18" ht="24" customHeight="1">
      <c r="F2434" s="60"/>
      <c r="G2434" s="59"/>
      <c r="H2434" s="60"/>
      <c r="I2434" s="60"/>
      <c r="J2434" s="77"/>
      <c r="K2434" s="62" t="s">
        <v>152</v>
      </c>
      <c r="M2434" s="60"/>
      <c r="N2434" s="59"/>
      <c r="O2434" s="60"/>
      <c r="P2434" s="60"/>
      <c r="Q2434" s="77"/>
      <c r="R2434" s="62" t="s">
        <v>152</v>
      </c>
    </row>
    <row r="2435" spans="6:18" ht="24" customHeight="1">
      <c r="F2435" s="60"/>
      <c r="G2435" s="59"/>
      <c r="H2435" s="60"/>
      <c r="I2435" s="60"/>
      <c r="J2435" s="77"/>
      <c r="K2435" s="60">
        <f>0.6*0.6</f>
        <v>0.36</v>
      </c>
      <c r="M2435" s="60"/>
      <c r="N2435" s="59"/>
      <c r="O2435" s="97" t="s">
        <v>2938</v>
      </c>
      <c r="P2435" s="60"/>
      <c r="Q2435" s="77"/>
      <c r="R2435" s="38">
        <f>R2433/M2429</f>
        <v>4002.6</v>
      </c>
    </row>
    <row r="2436" spans="6:18" ht="24" customHeight="1">
      <c r="F2436" s="60"/>
      <c r="G2436" s="59"/>
      <c r="H2436" s="38" t="s">
        <v>1807</v>
      </c>
      <c r="I2436" s="60"/>
      <c r="J2436" s="77"/>
      <c r="K2436" s="60">
        <f>K2433/K2435</f>
        <v>4771.5</v>
      </c>
      <c r="N2436">
        <f>1.285*0.6</f>
        <v>0.77</v>
      </c>
    </row>
    <row r="2437" spans="6:18" ht="24" customHeight="1">
      <c r="F2437" s="60"/>
      <c r="G2437" s="59"/>
      <c r="H2437" s="60"/>
      <c r="I2437" s="60"/>
      <c r="J2437" s="77"/>
      <c r="K2437" s="60"/>
    </row>
    <row r="2438" spans="6:18" ht="24" customHeight="1">
      <c r="F2438" s="38" t="s">
        <v>437</v>
      </c>
      <c r="G2438" s="78"/>
      <c r="H2438" s="60"/>
      <c r="I2438" s="60"/>
      <c r="J2438" s="77"/>
      <c r="K2438" s="60"/>
    </row>
    <row r="2439" spans="6:18" ht="24" customHeight="1">
      <c r="F2439" s="60"/>
      <c r="G2439" s="59"/>
      <c r="H2439" s="60"/>
      <c r="I2439" s="60"/>
      <c r="J2439" s="77"/>
      <c r="K2439" s="60"/>
    </row>
    <row r="2440" spans="6:18" ht="24" customHeight="1">
      <c r="F2440" s="60" t="s">
        <v>811</v>
      </c>
      <c r="G2440" s="59"/>
      <c r="H2440" s="60"/>
      <c r="I2440" s="60">
        <v>3.93</v>
      </c>
      <c r="J2440" s="77" t="s">
        <v>1730</v>
      </c>
      <c r="K2440" s="60"/>
    </row>
    <row r="2441" spans="6:18" ht="24" customHeight="1">
      <c r="F2441" s="60" t="s">
        <v>2318</v>
      </c>
      <c r="G2441" s="59"/>
      <c r="H2441" s="60"/>
      <c r="I2441" s="60">
        <v>3.14</v>
      </c>
      <c r="J2441" s="77" t="s">
        <v>1730</v>
      </c>
      <c r="K2441" s="60"/>
    </row>
    <row r="2442" spans="6:18" ht="24" customHeight="1">
      <c r="F2442" s="60" t="s">
        <v>213</v>
      </c>
      <c r="G2442" s="59"/>
      <c r="H2442" s="60"/>
      <c r="I2442" s="60">
        <v>1.18</v>
      </c>
      <c r="J2442" s="77" t="s">
        <v>1730</v>
      </c>
      <c r="K2442" s="60"/>
    </row>
    <row r="2443" spans="6:18" ht="24" customHeight="1">
      <c r="F2443" s="60"/>
      <c r="G2443" s="59"/>
      <c r="H2443" s="60"/>
      <c r="I2443" s="60"/>
      <c r="J2443" s="77"/>
      <c r="K2443" s="60"/>
    </row>
    <row r="2444" spans="6:18" ht="24" customHeight="1">
      <c r="F2444" s="60"/>
      <c r="G2444" s="59"/>
      <c r="H2444" s="60"/>
      <c r="I2444" s="60"/>
      <c r="J2444" s="77"/>
      <c r="K2444" s="60"/>
    </row>
    <row r="2445" spans="6:18" ht="24" customHeight="1">
      <c r="F2445" s="60"/>
      <c r="G2445" s="59"/>
      <c r="H2445" s="38" t="s">
        <v>1807</v>
      </c>
      <c r="I2445" s="60"/>
      <c r="J2445" s="77"/>
      <c r="K2445" s="60"/>
    </row>
    <row r="2446" spans="6:18" ht="24" customHeight="1">
      <c r="F2446" s="60"/>
      <c r="G2446" s="59"/>
      <c r="H2446" s="60"/>
      <c r="I2446" s="60"/>
      <c r="J2446" s="77"/>
      <c r="K2446" s="60"/>
    </row>
    <row r="2447" spans="6:18" ht="24" customHeight="1">
      <c r="F2447" s="60"/>
      <c r="G2447" s="59"/>
      <c r="H2447" s="60"/>
      <c r="I2447" s="60"/>
      <c r="J2447" s="77"/>
      <c r="K2447" s="60"/>
    </row>
    <row r="2448" spans="6:18" ht="24" customHeight="1">
      <c r="F2448" s="60" t="s">
        <v>1532</v>
      </c>
      <c r="G2448" s="59"/>
      <c r="H2448" s="60"/>
      <c r="I2448" s="60">
        <v>24.34</v>
      </c>
      <c r="J2448" s="77" t="s">
        <v>1730</v>
      </c>
      <c r="K2448" s="60"/>
    </row>
    <row r="2449" spans="6:11" ht="24" customHeight="1">
      <c r="F2449" s="60" t="s">
        <v>114</v>
      </c>
      <c r="G2449" s="59"/>
      <c r="H2449" s="60"/>
      <c r="I2449" s="60">
        <v>11.78</v>
      </c>
      <c r="J2449" s="77" t="s">
        <v>1730</v>
      </c>
      <c r="K2449" s="60"/>
    </row>
    <row r="2450" spans="6:11" ht="24" customHeight="1">
      <c r="F2450" s="60" t="s">
        <v>576</v>
      </c>
      <c r="G2450" s="59"/>
      <c r="H2450" s="60"/>
      <c r="I2450" s="60">
        <v>59.35</v>
      </c>
      <c r="J2450" s="77" t="s">
        <v>1730</v>
      </c>
      <c r="K2450" s="60"/>
    </row>
    <row r="2451" spans="6:11" ht="24" customHeight="1">
      <c r="F2451" s="60" t="s">
        <v>577</v>
      </c>
      <c r="G2451" s="59"/>
      <c r="H2451" s="60"/>
      <c r="I2451" s="60">
        <v>5.04</v>
      </c>
      <c r="J2451" s="77" t="s">
        <v>1730</v>
      </c>
      <c r="K2451" s="60"/>
    </row>
    <row r="2452" spans="6:11" ht="24" customHeight="1">
      <c r="F2452" s="60" t="s">
        <v>578</v>
      </c>
      <c r="G2452" s="59"/>
      <c r="H2452" s="60"/>
      <c r="I2452" s="60">
        <v>4.8</v>
      </c>
      <c r="J2452" s="77" t="s">
        <v>1730</v>
      </c>
      <c r="K2452" s="60"/>
    </row>
    <row r="2453" spans="6:11" ht="24" customHeight="1">
      <c r="F2453" s="60" t="s">
        <v>579</v>
      </c>
      <c r="G2453" s="59"/>
      <c r="H2453" s="60"/>
      <c r="I2453" s="60">
        <v>2.69</v>
      </c>
      <c r="J2453" s="77"/>
      <c r="K2453" s="60"/>
    </row>
    <row r="2454" spans="6:11" ht="24" customHeight="1">
      <c r="F2454" s="60"/>
      <c r="G2454" s="59"/>
      <c r="H2454" s="60"/>
      <c r="I2454" s="62" t="s">
        <v>894</v>
      </c>
      <c r="J2454" s="77"/>
      <c r="K2454" s="60"/>
    </row>
    <row r="2455" spans="6:11" ht="24" customHeight="1">
      <c r="F2455" s="60"/>
      <c r="G2455" s="59"/>
      <c r="H2455" s="60"/>
      <c r="I2455" s="38">
        <f>SUM(I2448:I2453)</f>
        <v>108</v>
      </c>
      <c r="J2455" s="77" t="s">
        <v>1730</v>
      </c>
      <c r="K2455" s="60"/>
    </row>
    <row r="2456" spans="6:11" ht="24" customHeight="1">
      <c r="F2456" s="60"/>
      <c r="G2456" s="59"/>
      <c r="H2456" s="60"/>
      <c r="I2456" s="62" t="s">
        <v>894</v>
      </c>
      <c r="J2456" s="77"/>
      <c r="K2456" s="60"/>
    </row>
    <row r="2457" spans="6:11" ht="24" customHeight="1">
      <c r="F2457" s="60"/>
      <c r="G2457" s="59"/>
      <c r="H2457" s="60"/>
      <c r="I2457" s="60"/>
      <c r="J2457" s="77"/>
      <c r="K2457" s="60"/>
    </row>
    <row r="2458" spans="6:11" ht="24" customHeight="1">
      <c r="F2458" s="60">
        <v>108</v>
      </c>
      <c r="G2458" s="59" t="s">
        <v>1730</v>
      </c>
      <c r="H2458" s="60" t="s">
        <v>580</v>
      </c>
      <c r="I2458" s="60">
        <f>I2387</f>
        <v>65</v>
      </c>
      <c r="J2458" s="77" t="s">
        <v>1730</v>
      </c>
      <c r="K2458" s="60">
        <f>F2458*I2458</f>
        <v>7020</v>
      </c>
    </row>
    <row r="2459" spans="6:11" ht="24" customHeight="1">
      <c r="F2459" s="60">
        <v>2.1</v>
      </c>
      <c r="G2459" s="59" t="s">
        <v>2371</v>
      </c>
      <c r="H2459" s="60" t="s">
        <v>2196</v>
      </c>
      <c r="I2459" s="60">
        <f>I2388</f>
        <v>325</v>
      </c>
      <c r="J2459" s="77" t="s">
        <v>2371</v>
      </c>
      <c r="K2459" s="60">
        <f>F2459*I2459</f>
        <v>682.5</v>
      </c>
    </row>
    <row r="2460" spans="6:11" ht="24" customHeight="1">
      <c r="F2460" s="60">
        <v>2.1</v>
      </c>
      <c r="G2460" s="59" t="s">
        <v>2371</v>
      </c>
      <c r="H2460" s="60" t="s">
        <v>2028</v>
      </c>
      <c r="I2460" s="60">
        <f>I2389</f>
        <v>100</v>
      </c>
      <c r="J2460" s="77" t="s">
        <v>2371</v>
      </c>
      <c r="K2460" s="60">
        <f>F2460*I2460</f>
        <v>210</v>
      </c>
    </row>
    <row r="2461" spans="6:11" ht="24" customHeight="1">
      <c r="F2461" s="60"/>
      <c r="G2461" s="59"/>
      <c r="H2461" s="60" t="s">
        <v>127</v>
      </c>
      <c r="I2461" s="60">
        <f>K2461</f>
        <v>266.89999999999998</v>
      </c>
      <c r="J2461" s="77" t="s">
        <v>448</v>
      </c>
      <c r="K2461" s="60">
        <f>266.29+0.61</f>
        <v>266.89999999999998</v>
      </c>
    </row>
    <row r="2462" spans="6:11" ht="24" customHeight="1">
      <c r="F2462" s="60"/>
      <c r="G2462" s="59"/>
      <c r="H2462" s="60"/>
      <c r="I2462" s="60"/>
      <c r="J2462" s="77"/>
      <c r="K2462" s="62" t="s">
        <v>152</v>
      </c>
    </row>
    <row r="2463" spans="6:11" ht="24" customHeight="1">
      <c r="F2463" s="60"/>
      <c r="G2463" s="59"/>
      <c r="H2463" s="60"/>
      <c r="I2463" s="60"/>
      <c r="J2463" s="77"/>
      <c r="K2463" s="60">
        <f>SUM(K2458:K2461)</f>
        <v>8179.4</v>
      </c>
    </row>
    <row r="2464" spans="6:11" ht="24" customHeight="1">
      <c r="F2464" s="60"/>
      <c r="G2464" s="59"/>
      <c r="H2464" s="60" t="s">
        <v>128</v>
      </c>
      <c r="I2464" s="60">
        <v>500</v>
      </c>
      <c r="J2464" s="77" t="s">
        <v>448</v>
      </c>
      <c r="K2464" s="60">
        <v>500.6</v>
      </c>
    </row>
    <row r="2465" spans="6:18" ht="24" customHeight="1">
      <c r="F2465" s="60"/>
      <c r="G2465" s="59"/>
      <c r="H2465" s="60"/>
      <c r="I2465" s="60"/>
      <c r="J2465" s="77"/>
      <c r="K2465" s="62" t="s">
        <v>152</v>
      </c>
    </row>
    <row r="2466" spans="6:18" ht="24" customHeight="1">
      <c r="F2466" s="60"/>
      <c r="G2466" s="59"/>
      <c r="H2466" s="38" t="s">
        <v>129</v>
      </c>
      <c r="I2466" s="60"/>
      <c r="J2466" s="77"/>
      <c r="K2466" s="520">
        <f>SUM(K2463:K2464)</f>
        <v>8680</v>
      </c>
    </row>
    <row r="2467" spans="6:18" ht="24" customHeight="1">
      <c r="F2467" s="60"/>
      <c r="G2467" s="59"/>
      <c r="H2467" s="60"/>
      <c r="I2467" s="60"/>
      <c r="J2467" s="77"/>
      <c r="K2467" s="62" t="s">
        <v>152</v>
      </c>
    </row>
    <row r="2468" spans="6:18" ht="24" customHeight="1">
      <c r="F2468" s="60"/>
      <c r="G2468" s="59"/>
      <c r="H2468" s="60"/>
      <c r="I2468" s="60"/>
      <c r="J2468" s="77"/>
      <c r="K2468" s="60"/>
    </row>
    <row r="2469" spans="6:18" ht="24" customHeight="1">
      <c r="F2469" s="60"/>
      <c r="G2469" s="59"/>
      <c r="H2469" s="60"/>
      <c r="I2469" s="60"/>
      <c r="J2469" s="77"/>
      <c r="K2469" s="60"/>
    </row>
    <row r="2470" spans="6:18" ht="24" customHeight="1">
      <c r="F2470" s="60"/>
      <c r="G2470" s="59"/>
      <c r="H2470" s="60"/>
      <c r="I2470" s="60"/>
      <c r="J2470" s="77"/>
      <c r="K2470" s="60"/>
    </row>
    <row r="2471" spans="6:18" ht="24" customHeight="1">
      <c r="F2471" s="60"/>
      <c r="G2471" s="59"/>
      <c r="H2471" s="38" t="s">
        <v>12</v>
      </c>
      <c r="I2471" s="60"/>
      <c r="J2471" s="77"/>
      <c r="K2471" s="60"/>
    </row>
    <row r="2472" spans="6:18" ht="24" customHeight="1">
      <c r="F2472" s="60"/>
      <c r="G2472" s="59"/>
      <c r="H2472" s="60"/>
      <c r="I2472" s="60"/>
      <c r="J2472" s="77"/>
      <c r="K2472" s="60"/>
    </row>
    <row r="2473" spans="6:18" ht="24" customHeight="1">
      <c r="F2473" s="38" t="s">
        <v>437</v>
      </c>
      <c r="G2473" s="78"/>
      <c r="H2473" s="60"/>
      <c r="I2473" s="60"/>
      <c r="J2473" s="77"/>
      <c r="K2473" s="60"/>
    </row>
    <row r="2474" spans="6:18" ht="24" customHeight="1">
      <c r="F2474" s="60"/>
      <c r="G2474" s="59"/>
      <c r="H2474" s="60"/>
      <c r="I2474" s="60"/>
      <c r="J2474" s="77"/>
      <c r="K2474" s="60"/>
    </row>
    <row r="2475" spans="6:18" ht="24" customHeight="1">
      <c r="F2475" s="60" t="s">
        <v>831</v>
      </c>
      <c r="G2475" s="59"/>
      <c r="H2475" s="60"/>
      <c r="I2475" s="79">
        <v>2.944</v>
      </c>
      <c r="J2475" s="77" t="s">
        <v>1730</v>
      </c>
      <c r="K2475" s="60"/>
      <c r="M2475" s="60"/>
      <c r="N2475" s="521">
        <v>24.1</v>
      </c>
      <c r="O2475" s="38" t="s">
        <v>2726</v>
      </c>
      <c r="P2475" s="60"/>
      <c r="Q2475" s="77"/>
      <c r="R2475" s="60"/>
    </row>
    <row r="2476" spans="6:18" ht="24" customHeight="1">
      <c r="F2476" s="60" t="s">
        <v>1322</v>
      </c>
      <c r="G2476" s="59"/>
      <c r="H2476" s="60"/>
      <c r="I2476" s="79">
        <v>2.355</v>
      </c>
      <c r="J2476" s="77" t="s">
        <v>1730</v>
      </c>
      <c r="K2476" s="60"/>
      <c r="M2476" s="60"/>
      <c r="N2476" s="522" t="s">
        <v>2130</v>
      </c>
      <c r="O2476" s="523"/>
      <c r="P2476" s="60"/>
      <c r="Q2476" s="77"/>
      <c r="R2476" s="60"/>
    </row>
    <row r="2477" spans="6:18" ht="24" customHeight="1">
      <c r="F2477" s="60" t="s">
        <v>1295</v>
      </c>
      <c r="G2477" s="59"/>
      <c r="H2477" s="60"/>
      <c r="I2477" s="79">
        <v>0.88300000000000001</v>
      </c>
      <c r="J2477" s="77" t="s">
        <v>1730</v>
      </c>
      <c r="K2477" s="60"/>
      <c r="M2477" s="77" t="s">
        <v>2567</v>
      </c>
      <c r="N2477" s="77"/>
      <c r="O2477" s="77"/>
      <c r="P2477" s="60">
        <v>14.8</v>
      </c>
      <c r="Q2477" s="77" t="s">
        <v>364</v>
      </c>
      <c r="R2477" s="60"/>
    </row>
    <row r="2478" spans="6:18" ht="24" customHeight="1">
      <c r="F2478" s="60"/>
      <c r="G2478" s="59"/>
      <c r="H2478" s="60"/>
      <c r="I2478" s="60"/>
      <c r="J2478" s="77"/>
      <c r="K2478" s="60"/>
      <c r="M2478" s="60" t="s">
        <v>218</v>
      </c>
      <c r="N2478" s="59"/>
      <c r="O2478" s="60"/>
      <c r="P2478" s="60">
        <v>22.61</v>
      </c>
      <c r="Q2478" s="77" t="s">
        <v>364</v>
      </c>
      <c r="R2478" s="60"/>
    </row>
    <row r="2479" spans="6:18" ht="24" customHeight="1">
      <c r="F2479" s="60"/>
      <c r="G2479" s="59"/>
      <c r="H2479" s="60"/>
      <c r="I2479" s="60"/>
      <c r="J2479" s="77"/>
      <c r="K2479" s="60"/>
      <c r="M2479" s="60" t="s">
        <v>510</v>
      </c>
      <c r="N2479" s="59"/>
      <c r="O2479" s="60"/>
      <c r="P2479" s="60">
        <v>3.24</v>
      </c>
      <c r="Q2479" s="77" t="s">
        <v>364</v>
      </c>
      <c r="R2479" s="60"/>
    </row>
    <row r="2480" spans="6:18" ht="24" customHeight="1">
      <c r="F2480" s="60"/>
      <c r="G2480" s="59"/>
      <c r="H2480" s="38" t="s">
        <v>12</v>
      </c>
      <c r="I2480" s="60"/>
      <c r="J2480" s="77"/>
      <c r="K2480" s="60"/>
      <c r="M2480" s="60" t="s">
        <v>511</v>
      </c>
      <c r="N2480" s="59"/>
      <c r="O2480" s="60"/>
      <c r="P2480" s="60">
        <v>2.16</v>
      </c>
      <c r="Q2480" s="77" t="s">
        <v>364</v>
      </c>
      <c r="R2480" s="60"/>
    </row>
    <row r="2481" spans="6:18" ht="24" customHeight="1">
      <c r="F2481" s="60"/>
      <c r="G2481" s="59"/>
      <c r="H2481" s="60"/>
      <c r="I2481" s="60"/>
      <c r="J2481" s="77"/>
      <c r="K2481" s="60"/>
      <c r="M2481" s="60"/>
      <c r="N2481" s="59"/>
      <c r="O2481" s="60"/>
      <c r="P2481" s="60"/>
      <c r="Q2481" s="77"/>
      <c r="R2481" s="60"/>
    </row>
    <row r="2482" spans="6:18" ht="24" customHeight="1">
      <c r="F2482" s="60"/>
      <c r="G2482" s="59"/>
      <c r="H2482" s="60"/>
      <c r="I2482" s="60"/>
      <c r="J2482" s="77"/>
      <c r="K2482" s="60"/>
      <c r="M2482" s="60"/>
      <c r="N2482" s="59"/>
      <c r="O2482" s="60"/>
      <c r="P2482" s="62" t="s">
        <v>152</v>
      </c>
      <c r="Q2482" s="77"/>
      <c r="R2482" s="60"/>
    </row>
    <row r="2483" spans="6:18" ht="24" customHeight="1">
      <c r="F2483" s="60" t="s">
        <v>1280</v>
      </c>
      <c r="G2483" s="59"/>
      <c r="H2483" s="60"/>
      <c r="I2483" s="60">
        <v>16.38</v>
      </c>
      <c r="J2483" s="77" t="s">
        <v>1730</v>
      </c>
      <c r="K2483" s="60"/>
      <c r="M2483" s="60"/>
      <c r="N2483" s="59"/>
      <c r="O2483" s="60"/>
      <c r="P2483" s="60">
        <f>SUM(P2477:P2481)</f>
        <v>42.81</v>
      </c>
      <c r="Q2483" s="77"/>
      <c r="R2483" s="60"/>
    </row>
    <row r="2484" spans="6:18" ht="24" customHeight="1">
      <c r="F2484" s="60" t="s">
        <v>1288</v>
      </c>
      <c r="G2484" s="59"/>
      <c r="H2484" s="60"/>
      <c r="I2484" s="60">
        <v>8.7799999999999994</v>
      </c>
      <c r="J2484" s="77" t="s">
        <v>1730</v>
      </c>
      <c r="K2484" s="60"/>
      <c r="M2484" s="60"/>
      <c r="N2484" s="59"/>
      <c r="O2484" s="60"/>
      <c r="P2484" s="60" t="s">
        <v>1771</v>
      </c>
      <c r="Q2484" s="77"/>
      <c r="R2484" s="60"/>
    </row>
    <row r="2485" spans="6:18" ht="24" customHeight="1">
      <c r="F2485" s="60" t="s">
        <v>1686</v>
      </c>
      <c r="G2485" s="59"/>
      <c r="H2485" s="60"/>
      <c r="I2485" s="60">
        <v>37.67</v>
      </c>
      <c r="J2485" s="77" t="s">
        <v>1730</v>
      </c>
      <c r="K2485" s="60"/>
      <c r="M2485" s="60"/>
      <c r="N2485" s="59"/>
      <c r="O2485" s="60"/>
      <c r="P2485" s="60"/>
      <c r="Q2485" s="77"/>
      <c r="R2485" s="60"/>
    </row>
    <row r="2486" spans="6:18" ht="24" customHeight="1">
      <c r="F2486" s="60" t="s">
        <v>1747</v>
      </c>
      <c r="G2486" s="59"/>
      <c r="H2486" s="60"/>
      <c r="I2486" s="60">
        <v>3.24</v>
      </c>
      <c r="J2486" s="77" t="s">
        <v>1730</v>
      </c>
      <c r="K2486" s="60"/>
      <c r="M2486" s="60"/>
      <c r="N2486" s="59"/>
      <c r="O2486" s="60"/>
      <c r="P2486" s="60"/>
      <c r="Q2486" s="77"/>
      <c r="R2486" s="60"/>
    </row>
    <row r="2487" spans="6:18" ht="24" customHeight="1">
      <c r="F2487" s="60" t="s">
        <v>431</v>
      </c>
      <c r="G2487" s="59"/>
      <c r="H2487" s="60"/>
      <c r="I2487" s="60">
        <v>3.6</v>
      </c>
      <c r="J2487" s="77" t="s">
        <v>1730</v>
      </c>
      <c r="K2487" s="60"/>
      <c r="M2487" s="60">
        <v>42.81</v>
      </c>
      <c r="N2487" s="59" t="s">
        <v>1730</v>
      </c>
      <c r="O2487" s="60" t="s">
        <v>512</v>
      </c>
      <c r="P2487" s="60">
        <f>I2493</f>
        <v>65</v>
      </c>
      <c r="Q2487" s="77" t="s">
        <v>1730</v>
      </c>
      <c r="R2487" s="60">
        <f>P2487*M2487</f>
        <v>2782.65</v>
      </c>
    </row>
    <row r="2488" spans="6:18" ht="24" customHeight="1">
      <c r="F2488" s="60" t="s">
        <v>579</v>
      </c>
      <c r="G2488" s="59"/>
      <c r="H2488" s="60"/>
      <c r="I2488" s="60">
        <v>2.88</v>
      </c>
      <c r="J2488" s="77"/>
      <c r="K2488" s="60"/>
      <c r="M2488" s="60">
        <v>0.77</v>
      </c>
      <c r="N2488" s="59" t="s">
        <v>2371</v>
      </c>
      <c r="O2488" s="60" t="s">
        <v>2568</v>
      </c>
      <c r="P2488" s="60">
        <f>I2494</f>
        <v>325</v>
      </c>
      <c r="Q2488" s="77" t="s">
        <v>2371</v>
      </c>
      <c r="R2488" s="60">
        <f>P2488*M2488</f>
        <v>250.25</v>
      </c>
    </row>
    <row r="2489" spans="6:18" ht="24" customHeight="1">
      <c r="F2489" s="60"/>
      <c r="G2489" s="59"/>
      <c r="H2489" s="60"/>
      <c r="I2489" s="62" t="s">
        <v>894</v>
      </c>
      <c r="J2489" s="77"/>
      <c r="K2489" s="60"/>
      <c r="M2489" s="60">
        <v>0.77</v>
      </c>
      <c r="N2489" s="59" t="s">
        <v>2371</v>
      </c>
      <c r="O2489" s="60" t="s">
        <v>2027</v>
      </c>
      <c r="P2489" s="208">
        <f>I2495</f>
        <v>100</v>
      </c>
      <c r="Q2489" s="77" t="s">
        <v>2371</v>
      </c>
      <c r="R2489" s="60">
        <f>P2489*M2489</f>
        <v>77</v>
      </c>
    </row>
    <row r="2490" spans="6:18" ht="24" customHeight="1">
      <c r="F2490" s="60"/>
      <c r="G2490" s="59"/>
      <c r="H2490" s="60"/>
      <c r="I2490" s="38">
        <f>SUM(I2483:I2488)</f>
        <v>72.55</v>
      </c>
      <c r="J2490" s="77" t="s">
        <v>1730</v>
      </c>
      <c r="K2490" s="60"/>
      <c r="M2490" s="60"/>
      <c r="N2490" s="59"/>
      <c r="O2490" s="60" t="s">
        <v>514</v>
      </c>
      <c r="P2490" s="60">
        <f>46.62+0.48</f>
        <v>47.1</v>
      </c>
      <c r="Q2490" s="77" t="s">
        <v>448</v>
      </c>
      <c r="R2490" s="60">
        <f>P2490</f>
        <v>47.1</v>
      </c>
    </row>
    <row r="2491" spans="6:18" ht="24" customHeight="1">
      <c r="F2491" s="60"/>
      <c r="G2491" s="59"/>
      <c r="H2491" s="60"/>
      <c r="I2491" s="62" t="s">
        <v>894</v>
      </c>
      <c r="J2491" s="77"/>
      <c r="K2491" s="60"/>
      <c r="L2491" t="s">
        <v>1780</v>
      </c>
      <c r="M2491" s="60"/>
      <c r="N2491" s="59"/>
      <c r="O2491" s="60"/>
      <c r="P2491" s="60"/>
      <c r="Q2491" s="77"/>
      <c r="R2491" s="62" t="s">
        <v>152</v>
      </c>
    </row>
    <row r="2492" spans="6:18" ht="24" customHeight="1">
      <c r="F2492" s="60"/>
      <c r="G2492" s="59"/>
      <c r="H2492" s="60"/>
      <c r="I2492" s="60"/>
      <c r="J2492" s="77"/>
      <c r="K2492" s="60"/>
      <c r="M2492" s="60"/>
      <c r="N2492" s="59"/>
      <c r="O2492" s="38" t="s">
        <v>515</v>
      </c>
      <c r="P2492" s="60"/>
      <c r="Q2492" s="77"/>
      <c r="R2492" s="38">
        <f>SUM(R2487:R2490)</f>
        <v>3157</v>
      </c>
    </row>
    <row r="2493" spans="6:18" ht="24" customHeight="1">
      <c r="F2493" s="60">
        <v>72.55</v>
      </c>
      <c r="G2493" s="59" t="s">
        <v>1730</v>
      </c>
      <c r="H2493" s="60" t="s">
        <v>580</v>
      </c>
      <c r="I2493" s="60">
        <f>I2458</f>
        <v>65</v>
      </c>
      <c r="J2493" s="77" t="s">
        <v>1730</v>
      </c>
      <c r="K2493" s="60">
        <f>F2493*I2493</f>
        <v>4715.75</v>
      </c>
      <c r="L2493" s="56">
        <v>42.713000000000001</v>
      </c>
      <c r="M2493" s="60"/>
      <c r="N2493" s="59"/>
      <c r="O2493" s="60"/>
      <c r="P2493" s="60"/>
      <c r="Q2493" s="77"/>
      <c r="R2493" s="62" t="s">
        <v>152</v>
      </c>
    </row>
    <row r="2494" spans="6:18" ht="24" customHeight="1">
      <c r="F2494" s="60">
        <v>1.01</v>
      </c>
      <c r="G2494" s="59" t="s">
        <v>2371</v>
      </c>
      <c r="H2494" s="60" t="s">
        <v>2196</v>
      </c>
      <c r="I2494" s="60">
        <f>I2459</f>
        <v>325</v>
      </c>
      <c r="J2494" s="77" t="s">
        <v>2371</v>
      </c>
      <c r="K2494" s="80">
        <f>F2494*I2494</f>
        <v>328.25</v>
      </c>
      <c r="L2494">
        <v>0.77</v>
      </c>
      <c r="N2494" s="3"/>
      <c r="O2494">
        <f>1.285*0.6</f>
        <v>0.77</v>
      </c>
      <c r="Q2494" s="11"/>
      <c r="R2494">
        <f>R2492/O2494</f>
        <v>4100</v>
      </c>
    </row>
    <row r="2495" spans="6:18" ht="24" customHeight="1">
      <c r="F2495" s="60">
        <v>1.01</v>
      </c>
      <c r="G2495" s="59" t="s">
        <v>2371</v>
      </c>
      <c r="H2495" s="60" t="str">
        <f>H2460</f>
        <v>Fly proof mesh</v>
      </c>
      <c r="I2495" s="60">
        <f>I2460</f>
        <v>100</v>
      </c>
      <c r="J2495" s="77" t="s">
        <v>2371</v>
      </c>
      <c r="K2495" s="60">
        <f>F2495*I2495</f>
        <v>101</v>
      </c>
      <c r="L2495">
        <v>0.77</v>
      </c>
      <c r="M2495" s="60">
        <f>I2495</f>
        <v>100</v>
      </c>
      <c r="O2495" s="11">
        <f>M2495*L2495</f>
        <v>77</v>
      </c>
    </row>
    <row r="2496" spans="6:18" ht="24" customHeight="1">
      <c r="F2496" s="60"/>
      <c r="G2496" s="59"/>
      <c r="H2496" s="60" t="s">
        <v>127</v>
      </c>
      <c r="I2496" s="60">
        <v>266</v>
      </c>
      <c r="J2496" s="77" t="s">
        <v>448</v>
      </c>
      <c r="K2496" s="60">
        <f>I2496</f>
        <v>266</v>
      </c>
      <c r="M2496" s="60"/>
      <c r="O2496" s="11">
        <v>0.8</v>
      </c>
    </row>
    <row r="2497" spans="6:15" ht="24" customHeight="1">
      <c r="F2497" s="60"/>
      <c r="G2497" s="59"/>
      <c r="H2497" s="60"/>
      <c r="I2497" s="60"/>
      <c r="J2497" s="77"/>
      <c r="K2497" s="62" t="s">
        <v>152</v>
      </c>
      <c r="O2497" s="11">
        <f>SUM(O2493:O2496)</f>
        <v>78.569999999999993</v>
      </c>
    </row>
    <row r="2498" spans="6:15" ht="24" customHeight="1">
      <c r="F2498" s="60"/>
      <c r="G2498" s="59"/>
      <c r="H2498" s="60"/>
      <c r="I2498" s="60"/>
      <c r="J2498" s="77"/>
      <c r="K2498" s="60">
        <f>SUM(K2493:K2496)</f>
        <v>5411</v>
      </c>
      <c r="O2498" s="11">
        <f>O2497/0.77</f>
        <v>102.04</v>
      </c>
    </row>
    <row r="2499" spans="6:15" ht="24" customHeight="1">
      <c r="F2499" s="60"/>
      <c r="G2499" s="59"/>
      <c r="H2499" s="60" t="s">
        <v>128</v>
      </c>
      <c r="I2499" s="60">
        <v>255</v>
      </c>
      <c r="J2499" s="77" t="s">
        <v>448</v>
      </c>
      <c r="K2499" s="60">
        <v>255</v>
      </c>
    </row>
    <row r="2500" spans="6:15" ht="24" customHeight="1">
      <c r="F2500" s="60"/>
      <c r="G2500" s="59"/>
      <c r="H2500" s="60"/>
      <c r="I2500" s="60"/>
      <c r="J2500" s="77"/>
      <c r="K2500" s="62" t="s">
        <v>152</v>
      </c>
    </row>
    <row r="2501" spans="6:15" ht="24" customHeight="1">
      <c r="F2501" s="60"/>
      <c r="G2501" s="59"/>
      <c r="H2501" s="38" t="s">
        <v>129</v>
      </c>
      <c r="I2501" s="60"/>
      <c r="J2501" s="77"/>
      <c r="K2501" s="520">
        <f>SUM(K2498:K2499)</f>
        <v>5666</v>
      </c>
    </row>
    <row r="2502" spans="6:15" ht="24" customHeight="1">
      <c r="F2502" s="60"/>
      <c r="G2502" s="59"/>
      <c r="H2502" s="60"/>
      <c r="I2502" s="60"/>
      <c r="J2502" s="77"/>
      <c r="K2502" s="62" t="s">
        <v>152</v>
      </c>
    </row>
    <row r="2503" spans="6:15" ht="24" customHeight="1">
      <c r="F2503" s="60"/>
      <c r="G2503" s="59"/>
      <c r="H2503" s="60"/>
      <c r="I2503" s="60"/>
      <c r="J2503" s="77"/>
      <c r="K2503" s="60"/>
    </row>
    <row r="2504" spans="6:15" ht="24" customHeight="1">
      <c r="F2504" s="60"/>
      <c r="G2504" s="59"/>
      <c r="H2504" s="60"/>
      <c r="I2504" s="60"/>
      <c r="J2504" s="77"/>
      <c r="K2504" s="60"/>
    </row>
    <row r="2505" spans="6:15" ht="24" customHeight="1">
      <c r="F2505" s="60"/>
      <c r="G2505" s="59"/>
      <c r="H2505" s="60"/>
      <c r="I2505" s="60"/>
      <c r="J2505" s="77"/>
      <c r="K2505" s="60"/>
    </row>
    <row r="2506" spans="6:15" ht="24" customHeight="1">
      <c r="F2506" s="60"/>
      <c r="G2506" s="59"/>
      <c r="H2506" s="38" t="s">
        <v>12</v>
      </c>
      <c r="I2506" s="60"/>
      <c r="J2506" s="77"/>
      <c r="K2506" s="60"/>
    </row>
    <row r="2507" spans="6:15" ht="24" customHeight="1">
      <c r="F2507" s="60"/>
      <c r="G2507" s="59"/>
      <c r="H2507" s="60"/>
      <c r="I2507" s="60"/>
      <c r="J2507" s="77"/>
      <c r="K2507" s="60"/>
    </row>
    <row r="2508" spans="6:15" ht="24" customHeight="1">
      <c r="F2508" s="38" t="s">
        <v>437</v>
      </c>
      <c r="G2508" s="78"/>
      <c r="H2508" s="60"/>
      <c r="I2508" s="60"/>
      <c r="J2508" s="77"/>
      <c r="K2508" s="60"/>
    </row>
    <row r="2509" spans="6:15" ht="24" customHeight="1">
      <c r="F2509" s="60"/>
      <c r="G2509" s="59"/>
      <c r="H2509" s="60"/>
      <c r="I2509" s="60"/>
      <c r="J2509" s="77"/>
      <c r="K2509" s="60"/>
    </row>
    <row r="2510" spans="6:15" ht="24" customHeight="1">
      <c r="F2510" s="60" t="s">
        <v>831</v>
      </c>
      <c r="G2510" s="59"/>
      <c r="H2510" s="60"/>
      <c r="I2510" s="79">
        <v>2.944</v>
      </c>
      <c r="J2510" s="77" t="s">
        <v>1730</v>
      </c>
      <c r="K2510" s="60"/>
    </row>
    <row r="2511" spans="6:15" ht="24" customHeight="1">
      <c r="F2511" s="60" t="s">
        <v>1322</v>
      </c>
      <c r="G2511" s="59"/>
      <c r="H2511" s="60"/>
      <c r="I2511" s="79">
        <v>2.355</v>
      </c>
      <c r="J2511" s="77" t="s">
        <v>1730</v>
      </c>
      <c r="K2511" s="60"/>
    </row>
    <row r="2512" spans="6:15" ht="24" customHeight="1">
      <c r="F2512" s="60" t="s">
        <v>1295</v>
      </c>
      <c r="G2512" s="59"/>
      <c r="H2512" s="60"/>
      <c r="I2512" s="79">
        <v>0.88300000000000001</v>
      </c>
      <c r="J2512" s="77" t="s">
        <v>1730</v>
      </c>
      <c r="K2512" s="60"/>
    </row>
    <row r="2513" spans="6:11" ht="24" customHeight="1">
      <c r="F2513" s="60"/>
      <c r="G2513" s="59"/>
      <c r="H2513" s="60"/>
      <c r="I2513" s="60"/>
      <c r="J2513" s="77"/>
      <c r="K2513" s="60"/>
    </row>
    <row r="2514" spans="6:11" ht="24" customHeight="1">
      <c r="F2514" s="60"/>
      <c r="G2514" s="59"/>
      <c r="H2514" s="60"/>
      <c r="I2514" s="60"/>
      <c r="J2514" s="77"/>
      <c r="K2514" s="60"/>
    </row>
    <row r="2515" spans="6:11" ht="24" customHeight="1">
      <c r="F2515" s="60"/>
      <c r="G2515" s="59"/>
      <c r="H2515" s="38" t="s">
        <v>12</v>
      </c>
      <c r="I2515" s="60"/>
      <c r="J2515" s="77"/>
      <c r="K2515" s="60"/>
    </row>
    <row r="2516" spans="6:11" ht="24" customHeight="1">
      <c r="F2516" s="60"/>
      <c r="G2516" s="59"/>
      <c r="H2516" s="60"/>
      <c r="I2516" s="60"/>
      <c r="J2516" s="77"/>
      <c r="K2516" s="60"/>
    </row>
    <row r="2517" spans="6:11" ht="24" customHeight="1">
      <c r="F2517" s="60"/>
      <c r="G2517" s="59"/>
      <c r="H2517" s="60"/>
      <c r="I2517" s="60"/>
      <c r="J2517" s="77"/>
      <c r="K2517" s="60"/>
    </row>
    <row r="2518" spans="6:11" ht="24" customHeight="1">
      <c r="F2518" s="60" t="s">
        <v>1280</v>
      </c>
      <c r="G2518" s="59"/>
      <c r="H2518" s="60"/>
      <c r="I2518" s="60">
        <v>16.38</v>
      </c>
      <c r="J2518" s="77" t="s">
        <v>1730</v>
      </c>
      <c r="K2518" s="60"/>
    </row>
    <row r="2519" spans="6:11" ht="24" customHeight="1">
      <c r="F2519" s="60" t="s">
        <v>1288</v>
      </c>
      <c r="G2519" s="59"/>
      <c r="H2519" s="60"/>
      <c r="I2519" s="60">
        <v>8.7799999999999994</v>
      </c>
      <c r="J2519" s="77" t="s">
        <v>1730</v>
      </c>
      <c r="K2519" s="60"/>
    </row>
    <row r="2520" spans="6:11" ht="24" customHeight="1">
      <c r="F2520" s="60" t="s">
        <v>1686</v>
      </c>
      <c r="G2520" s="59"/>
      <c r="H2520" s="60"/>
      <c r="I2520" s="60">
        <v>37.67</v>
      </c>
      <c r="J2520" s="77" t="s">
        <v>1730</v>
      </c>
      <c r="K2520" s="60"/>
    </row>
    <row r="2521" spans="6:11" ht="24" customHeight="1">
      <c r="F2521" s="60" t="s">
        <v>1747</v>
      </c>
      <c r="G2521" s="59"/>
      <c r="H2521" s="60"/>
      <c r="I2521" s="60">
        <v>3.24</v>
      </c>
      <c r="J2521" s="77" t="s">
        <v>1730</v>
      </c>
      <c r="K2521" s="60"/>
    </row>
    <row r="2522" spans="6:11" ht="24" customHeight="1">
      <c r="F2522" s="60" t="s">
        <v>431</v>
      </c>
      <c r="G2522" s="59"/>
      <c r="H2522" s="60"/>
      <c r="I2522" s="60">
        <v>3.6</v>
      </c>
      <c r="J2522" s="77" t="s">
        <v>1730</v>
      </c>
      <c r="K2522" s="60"/>
    </row>
    <row r="2523" spans="6:11" ht="24" customHeight="1">
      <c r="F2523" s="60" t="s">
        <v>579</v>
      </c>
      <c r="G2523" s="59"/>
      <c r="H2523" s="60"/>
      <c r="I2523" s="60">
        <v>2.88</v>
      </c>
      <c r="J2523" s="77"/>
      <c r="K2523" s="60"/>
    </row>
    <row r="2524" spans="6:11" ht="24" customHeight="1">
      <c r="F2524" s="60"/>
      <c r="G2524" s="59"/>
      <c r="H2524" s="60"/>
      <c r="I2524" s="62" t="s">
        <v>894</v>
      </c>
      <c r="J2524" s="77"/>
      <c r="K2524" s="60"/>
    </row>
    <row r="2525" spans="6:11" ht="24" customHeight="1">
      <c r="F2525" s="60"/>
      <c r="G2525" s="59"/>
      <c r="H2525" s="60"/>
      <c r="I2525" s="38">
        <f>SUM(I2518:I2523)</f>
        <v>72.55</v>
      </c>
      <c r="J2525" s="77" t="s">
        <v>1730</v>
      </c>
      <c r="K2525" s="60"/>
    </row>
    <row r="2526" spans="6:11" ht="24" customHeight="1">
      <c r="F2526" s="60"/>
      <c r="G2526" s="59"/>
      <c r="H2526" s="60"/>
      <c r="I2526" s="62" t="s">
        <v>894</v>
      </c>
      <c r="J2526" s="77"/>
      <c r="K2526" s="60"/>
    </row>
    <row r="2527" spans="6:11" ht="24" customHeight="1">
      <c r="F2527" s="60"/>
      <c r="G2527" s="59"/>
      <c r="H2527" s="60"/>
      <c r="I2527" s="60"/>
      <c r="J2527" s="77"/>
      <c r="K2527" s="60"/>
    </row>
    <row r="2528" spans="6:11" ht="24" customHeight="1">
      <c r="F2528" s="60">
        <v>73</v>
      </c>
      <c r="G2528" s="59" t="s">
        <v>1730</v>
      </c>
      <c r="H2528" s="60" t="s">
        <v>580</v>
      </c>
      <c r="I2528" s="60">
        <f>I2493</f>
        <v>65</v>
      </c>
      <c r="J2528" s="77" t="s">
        <v>1730</v>
      </c>
      <c r="K2528" s="60">
        <f>F2528*I2528</f>
        <v>4745</v>
      </c>
    </row>
    <row r="2529" spans="6:31" ht="24" customHeight="1">
      <c r="F2529" s="60">
        <v>1.01</v>
      </c>
      <c r="G2529" s="59" t="s">
        <v>2371</v>
      </c>
      <c r="H2529" s="60" t="s">
        <v>2196</v>
      </c>
      <c r="I2529" s="60">
        <f>I2494</f>
        <v>325</v>
      </c>
      <c r="J2529" s="77" t="s">
        <v>2371</v>
      </c>
      <c r="K2529" s="80">
        <f>F2529*I2529</f>
        <v>328.25</v>
      </c>
    </row>
    <row r="2530" spans="6:31" ht="24" customHeight="1">
      <c r="F2530" s="60">
        <v>1.01</v>
      </c>
      <c r="G2530" s="59" t="s">
        <v>2371</v>
      </c>
      <c r="H2530" s="60" t="s">
        <v>581</v>
      </c>
      <c r="I2530" s="60">
        <f>C197</f>
        <v>35</v>
      </c>
      <c r="J2530" s="77" t="s">
        <v>2371</v>
      </c>
      <c r="K2530" s="60">
        <f>F2530*I2530</f>
        <v>35.35</v>
      </c>
    </row>
    <row r="2531" spans="6:31" ht="24" customHeight="1">
      <c r="F2531" s="60"/>
      <c r="G2531" s="59"/>
      <c r="H2531" s="60" t="s">
        <v>127</v>
      </c>
      <c r="I2531" s="60">
        <v>266.39999999999998</v>
      </c>
      <c r="J2531" s="77" t="s">
        <v>448</v>
      </c>
      <c r="K2531" s="60">
        <f>I2531</f>
        <v>266.39999999999998</v>
      </c>
    </row>
    <row r="2532" spans="6:31" ht="24" customHeight="1">
      <c r="F2532" s="60"/>
      <c r="G2532" s="59"/>
      <c r="H2532" s="60"/>
      <c r="I2532" s="60"/>
      <c r="J2532" s="77"/>
      <c r="K2532" s="62" t="s">
        <v>152</v>
      </c>
    </row>
    <row r="2533" spans="6:31" ht="24" customHeight="1">
      <c r="F2533" s="60"/>
      <c r="G2533" s="59"/>
      <c r="H2533" s="60"/>
      <c r="I2533" s="60"/>
      <c r="J2533" s="77"/>
      <c r="K2533" s="60">
        <f>SUM(K2528:K2531)</f>
        <v>5375</v>
      </c>
    </row>
    <row r="2534" spans="6:31" ht="24" customHeight="1">
      <c r="F2534" s="60"/>
      <c r="G2534" s="59"/>
      <c r="H2534" s="60" t="s">
        <v>128</v>
      </c>
      <c r="I2534" s="60">
        <v>255</v>
      </c>
      <c r="J2534" s="77" t="s">
        <v>448</v>
      </c>
      <c r="K2534" s="60">
        <v>255</v>
      </c>
    </row>
    <row r="2535" spans="6:31" ht="24" customHeight="1">
      <c r="F2535" s="60"/>
      <c r="G2535" s="59"/>
      <c r="H2535" s="60"/>
      <c r="I2535" s="60"/>
      <c r="J2535" s="77"/>
      <c r="K2535" s="62" t="s">
        <v>152</v>
      </c>
    </row>
    <row r="2536" spans="6:31" ht="24" customHeight="1">
      <c r="F2536" s="60"/>
      <c r="G2536" s="59"/>
      <c r="H2536" s="38" t="s">
        <v>129</v>
      </c>
      <c r="I2536" s="60"/>
      <c r="J2536" s="77"/>
      <c r="K2536" s="38">
        <f>SUM(K2533:K2534)</f>
        <v>5630</v>
      </c>
    </row>
    <row r="2537" spans="6:31" ht="24" customHeight="1">
      <c r="F2537" s="60"/>
      <c r="G2537" s="59"/>
      <c r="H2537" s="60"/>
      <c r="I2537" s="60"/>
      <c r="J2537" s="77"/>
      <c r="K2537" s="62" t="s">
        <v>152</v>
      </c>
    </row>
    <row r="2538" spans="6:31" ht="24" customHeight="1">
      <c r="F2538" s="60"/>
      <c r="G2538" s="59"/>
      <c r="H2538" s="60"/>
      <c r="I2538" s="60"/>
      <c r="J2538" s="77"/>
      <c r="K2538" s="60"/>
    </row>
    <row r="2539" spans="6:31" ht="24" customHeight="1">
      <c r="F2539" s="60"/>
      <c r="G2539" s="59"/>
      <c r="H2539" s="60"/>
      <c r="I2539" s="60"/>
      <c r="J2539" s="77"/>
      <c r="K2539" s="60"/>
      <c r="T2539" s="59"/>
      <c r="U2539" s="60" t="s">
        <v>2603</v>
      </c>
      <c r="V2539" s="60"/>
      <c r="W2539" s="77"/>
      <c r="X2539" s="60"/>
      <c r="AA2539" s="59"/>
      <c r="AB2539" s="60" t="s">
        <v>2093</v>
      </c>
      <c r="AC2539" s="60"/>
    </row>
    <row r="2540" spans="6:31" ht="24" customHeight="1">
      <c r="F2540" s="60"/>
      <c r="G2540" s="59"/>
      <c r="H2540" s="60" t="s">
        <v>1741</v>
      </c>
      <c r="I2540" s="60"/>
      <c r="J2540" s="77"/>
      <c r="K2540" s="60"/>
      <c r="M2540" s="60"/>
      <c r="N2540" s="59"/>
      <c r="O2540" s="60" t="s">
        <v>1281</v>
      </c>
      <c r="P2540" s="60"/>
      <c r="Q2540" s="77"/>
      <c r="R2540" s="60"/>
      <c r="S2540" s="79"/>
      <c r="T2540" s="59"/>
      <c r="U2540" s="60"/>
      <c r="V2540" s="60"/>
      <c r="W2540" s="77"/>
      <c r="X2540" s="60"/>
      <c r="AA2540" s="59"/>
      <c r="AB2540" s="60"/>
      <c r="AC2540" s="60"/>
      <c r="AD2540" s="77"/>
      <c r="AE2540" s="60"/>
    </row>
    <row r="2541" spans="6:31" ht="24" customHeight="1">
      <c r="F2541" s="60"/>
      <c r="G2541" s="59"/>
      <c r="H2541" s="60"/>
      <c r="I2541" s="60"/>
      <c r="J2541" s="77"/>
      <c r="K2541" s="60"/>
      <c r="M2541" s="60"/>
      <c r="N2541" s="59"/>
      <c r="O2541" s="60"/>
      <c r="P2541" s="60"/>
      <c r="Q2541" s="77"/>
      <c r="R2541" s="60"/>
      <c r="S2541" s="79"/>
      <c r="T2541" s="59"/>
      <c r="U2541" s="60"/>
      <c r="V2541" s="200">
        <f>2*0.85*2.025</f>
        <v>3.4424999999999999</v>
      </c>
      <c r="W2541" s="77"/>
      <c r="X2541" s="60"/>
      <c r="AA2541" s="59"/>
      <c r="AB2541" s="60"/>
      <c r="AC2541" s="200">
        <f>2*0.95*2.025</f>
        <v>3.8475000000000001</v>
      </c>
      <c r="AD2541" s="77"/>
      <c r="AE2541" s="60"/>
    </row>
    <row r="2542" spans="6:31" ht="24" customHeight="1">
      <c r="F2542" s="60" t="s">
        <v>458</v>
      </c>
      <c r="G2542" s="59"/>
      <c r="H2542" s="60"/>
      <c r="I2542" s="60"/>
      <c r="J2542" s="77"/>
      <c r="K2542" s="60"/>
      <c r="M2542" s="60" t="s">
        <v>1947</v>
      </c>
      <c r="N2542" s="59"/>
      <c r="O2542" s="60"/>
      <c r="P2542" s="60"/>
      <c r="Q2542" s="77"/>
      <c r="R2542" s="60"/>
      <c r="S2542" s="79" t="s">
        <v>2604</v>
      </c>
      <c r="T2542" s="59"/>
      <c r="U2542" s="60"/>
      <c r="V2542" s="200">
        <v>2.2800000000000001E-2</v>
      </c>
      <c r="W2542" s="77"/>
      <c r="X2542" s="60"/>
      <c r="AA2542" s="59"/>
      <c r="AB2542" s="60"/>
      <c r="AC2542" s="200">
        <v>2.2800000000000001E-2</v>
      </c>
      <c r="AD2542" s="77"/>
      <c r="AE2542" s="60"/>
    </row>
    <row r="2543" spans="6:31" ht="24" customHeight="1">
      <c r="F2543" s="60" t="s">
        <v>2008</v>
      </c>
      <c r="G2543" s="59"/>
      <c r="H2543" s="60"/>
      <c r="I2543" s="200">
        <v>2.2800000000000001E-2</v>
      </c>
      <c r="J2543" s="77"/>
      <c r="K2543" s="60"/>
      <c r="M2543" s="60" t="s">
        <v>2008</v>
      </c>
      <c r="N2543" s="59"/>
      <c r="O2543" s="60"/>
      <c r="P2543" s="200">
        <v>2.2800000000000001E-2</v>
      </c>
      <c r="Q2543" s="77"/>
      <c r="R2543" s="60"/>
      <c r="S2543" s="79" t="s">
        <v>2008</v>
      </c>
      <c r="T2543" s="59"/>
      <c r="U2543" s="60"/>
      <c r="V2543" s="81">
        <f>2*3*0.85*0.15*0.0375</f>
        <v>2.87E-2</v>
      </c>
      <c r="W2543" s="77"/>
      <c r="X2543" s="60"/>
      <c r="AA2543" s="59"/>
      <c r="AB2543" s="60"/>
      <c r="AC2543" s="81">
        <f>2*3*0.95*0.15*0.0375</f>
        <v>3.2099999999999997E-2</v>
      </c>
      <c r="AD2543" s="77"/>
      <c r="AE2543" s="60"/>
    </row>
    <row r="2544" spans="6:31" ht="24" customHeight="1">
      <c r="F2544" s="60" t="s">
        <v>2009</v>
      </c>
      <c r="G2544" s="59"/>
      <c r="H2544" s="60"/>
      <c r="I2544" s="81">
        <v>2.3599999999999999E-2</v>
      </c>
      <c r="J2544" s="77"/>
      <c r="K2544" s="60"/>
      <c r="M2544" s="60" t="s">
        <v>1948</v>
      </c>
      <c r="N2544" s="59"/>
      <c r="O2544" s="60"/>
      <c r="P2544" s="81">
        <v>1.8599999999999998E-2</v>
      </c>
      <c r="Q2544" s="77"/>
      <c r="R2544" s="60"/>
      <c r="S2544" s="79" t="s">
        <v>2605</v>
      </c>
      <c r="T2544" s="59" t="s">
        <v>2606</v>
      </c>
      <c r="U2544" s="60"/>
      <c r="V2544" s="81">
        <f>2*3*0.85*0.075*0.0375</f>
        <v>1.43E-2</v>
      </c>
      <c r="W2544" s="77"/>
      <c r="X2544" s="60"/>
      <c r="AA2544" s="59" t="s">
        <v>2094</v>
      </c>
      <c r="AB2544" s="60"/>
      <c r="AC2544" s="81">
        <f>2*3*0.95*0.075*0.0375</f>
        <v>1.6E-2</v>
      </c>
      <c r="AD2544" s="77"/>
      <c r="AE2544" s="60"/>
    </row>
    <row r="2545" spans="6:31" ht="24" customHeight="1">
      <c r="F2545" s="60"/>
      <c r="G2545" s="59" t="s">
        <v>2148</v>
      </c>
      <c r="H2545" s="60"/>
      <c r="I2545" s="81">
        <v>1.18E-2</v>
      </c>
      <c r="J2545" s="77"/>
      <c r="K2545" s="60"/>
      <c r="M2545" s="60"/>
      <c r="N2545" s="59" t="s">
        <v>404</v>
      </c>
      <c r="O2545" s="60"/>
      <c r="P2545" s="81">
        <v>9.2999999999999992E-3</v>
      </c>
      <c r="Q2545" s="77"/>
      <c r="R2545" s="60"/>
      <c r="S2545" s="79"/>
      <c r="T2545" s="59"/>
      <c r="U2545" s="60"/>
      <c r="V2545" s="201">
        <f>SUM(V2543:V2544)</f>
        <v>4.2999999999999997E-2</v>
      </c>
      <c r="W2545" s="77"/>
      <c r="X2545" s="60"/>
      <c r="AA2545" s="59"/>
      <c r="AB2545" s="60"/>
      <c r="AC2545" s="201">
        <f>SUM(AC2543:AC2544)</f>
        <v>4.8099999999999997E-2</v>
      </c>
      <c r="AD2545" s="77"/>
      <c r="AE2545" s="60"/>
    </row>
    <row r="2546" spans="6:31" ht="24" customHeight="1">
      <c r="F2546" s="60"/>
      <c r="G2546" s="59"/>
      <c r="H2546" s="60"/>
      <c r="I2546" s="201">
        <f>SUM(I2544:I2545)</f>
        <v>3.5400000000000001E-2</v>
      </c>
      <c r="J2546" s="77"/>
      <c r="K2546" s="60"/>
      <c r="M2546" s="60"/>
      <c r="N2546" s="59"/>
      <c r="O2546" s="60"/>
      <c r="P2546" s="201">
        <f>SUM(P2544:P2545)</f>
        <v>2.7900000000000001E-2</v>
      </c>
      <c r="Q2546" s="77"/>
      <c r="R2546" s="60"/>
      <c r="S2546" s="79"/>
      <c r="T2546" s="59"/>
      <c r="U2546" s="60"/>
      <c r="V2546" s="60"/>
      <c r="W2546" s="77"/>
      <c r="X2546" s="60"/>
      <c r="AA2546" s="59"/>
      <c r="AB2546" s="60"/>
      <c r="AC2546" s="60"/>
      <c r="AD2546" s="77"/>
      <c r="AE2546" s="60"/>
    </row>
    <row r="2547" spans="6:31" ht="24" customHeight="1">
      <c r="F2547" s="60"/>
      <c r="G2547" s="59"/>
      <c r="H2547" s="60"/>
      <c r="I2547" s="60"/>
      <c r="J2547" s="77"/>
      <c r="K2547" s="60"/>
      <c r="M2547" s="60"/>
      <c r="N2547" s="59"/>
      <c r="O2547" s="60"/>
      <c r="P2547" s="60"/>
      <c r="Q2547" s="77"/>
      <c r="R2547" s="60"/>
      <c r="S2547" s="79"/>
      <c r="T2547" s="59"/>
      <c r="U2547" s="60"/>
      <c r="V2547" s="60"/>
      <c r="W2547" s="77"/>
      <c r="X2547" s="60"/>
      <c r="AA2547" s="59"/>
      <c r="AB2547" s="60"/>
      <c r="AC2547" s="60"/>
      <c r="AD2547" s="77"/>
      <c r="AE2547" s="60"/>
    </row>
    <row r="2548" spans="6:31" ht="24" customHeight="1">
      <c r="F2548" s="60"/>
      <c r="G2548" s="59"/>
      <c r="H2548" s="60"/>
      <c r="I2548" s="60"/>
      <c r="J2548" s="77"/>
      <c r="K2548" s="60"/>
      <c r="M2548" s="60"/>
      <c r="N2548" s="59"/>
      <c r="O2548" s="60"/>
      <c r="P2548" s="60"/>
      <c r="Q2548" s="77"/>
      <c r="R2548" s="60"/>
      <c r="S2548" s="79"/>
      <c r="T2548" s="59"/>
      <c r="U2548" s="60"/>
      <c r="V2548" s="81">
        <f>2*4*0.725*0.3*0.01875</f>
        <v>3.2599999999999997E-2</v>
      </c>
      <c r="W2548" s="77"/>
      <c r="X2548" s="60"/>
      <c r="AA2548" s="59"/>
      <c r="AB2548" s="60"/>
      <c r="AC2548" s="81">
        <f>2*4*0.825*0.3*0.01875</f>
        <v>3.7100000000000001E-2</v>
      </c>
      <c r="AD2548" s="77"/>
      <c r="AE2548" s="60"/>
    </row>
    <row r="2549" spans="6:31" ht="24" customHeight="1">
      <c r="F2549" s="60" t="s">
        <v>2149</v>
      </c>
      <c r="G2549" s="59"/>
      <c r="H2549" s="60"/>
      <c r="I2549" s="81">
        <v>2.5899999999999999E-2</v>
      </c>
      <c r="J2549" s="77"/>
      <c r="K2549" s="60"/>
      <c r="M2549" s="60" t="s">
        <v>403</v>
      </c>
      <c r="N2549" s="59"/>
      <c r="O2549" s="60"/>
      <c r="P2549" s="81">
        <v>1.9E-2</v>
      </c>
      <c r="Q2549" s="77"/>
      <c r="R2549" s="60"/>
      <c r="S2549" s="79" t="s">
        <v>2607</v>
      </c>
      <c r="T2549" s="59"/>
      <c r="U2549" s="60"/>
      <c r="V2549" s="81">
        <f>2*0.725*0.3*0.01875</f>
        <v>8.2000000000000007E-3</v>
      </c>
      <c r="W2549" s="77"/>
      <c r="X2549" s="60"/>
      <c r="AA2549" s="59"/>
      <c r="AB2549" s="60"/>
      <c r="AC2549" s="81">
        <f>2*0.825*0.3*0.01875</f>
        <v>9.2999999999999992E-3</v>
      </c>
      <c r="AD2549" s="77"/>
      <c r="AE2549" s="60"/>
    </row>
    <row r="2550" spans="6:31" ht="24" customHeight="1">
      <c r="F2550" s="60" t="s">
        <v>418</v>
      </c>
      <c r="G2550" s="59"/>
      <c r="H2550" s="60"/>
      <c r="I2550" s="81">
        <f>2*0.575*0.3*0.01875</f>
        <v>6.4999999999999997E-3</v>
      </c>
      <c r="J2550" s="77"/>
      <c r="K2550" s="60">
        <f>3643035-3769622.98</f>
        <v>-126587.98</v>
      </c>
      <c r="M2550" s="60" t="s">
        <v>355</v>
      </c>
      <c r="N2550" s="59"/>
      <c r="O2550" s="60"/>
      <c r="P2550" s="81">
        <v>4.7999999999999996E-3</v>
      </c>
      <c r="Q2550" s="77"/>
      <c r="R2550" s="60"/>
      <c r="S2550" s="79" t="s">
        <v>2608</v>
      </c>
      <c r="T2550" s="59"/>
      <c r="U2550" s="60"/>
      <c r="V2550" s="201">
        <f>SUM(V2548:V2549)</f>
        <v>4.0800000000000003E-2</v>
      </c>
      <c r="W2550" s="77"/>
      <c r="X2550" s="60"/>
      <c r="AA2550" s="59"/>
      <c r="AB2550" s="60"/>
      <c r="AC2550" s="201">
        <f>SUM(AC2548:AC2549)</f>
        <v>4.6399999999999997E-2</v>
      </c>
      <c r="AD2550" s="77"/>
      <c r="AE2550" s="60"/>
    </row>
    <row r="2551" spans="6:31" ht="24" customHeight="1">
      <c r="F2551" s="60"/>
      <c r="G2551" s="59"/>
      <c r="H2551" s="60"/>
      <c r="I2551" s="201">
        <f>SUM(I2549:I2550)</f>
        <v>3.2399999999999998E-2</v>
      </c>
      <c r="J2551" s="77"/>
      <c r="K2551" s="60"/>
      <c r="M2551" s="60"/>
      <c r="N2551" s="59"/>
      <c r="O2551" s="60"/>
      <c r="P2551" s="201">
        <f>SUM(P2549:P2550)</f>
        <v>2.3800000000000002E-2</v>
      </c>
      <c r="Q2551" s="77"/>
      <c r="R2551" s="60"/>
      <c r="S2551" s="79"/>
      <c r="T2551" s="59"/>
      <c r="U2551" s="38" t="s">
        <v>1708</v>
      </c>
      <c r="V2551" s="60"/>
      <c r="W2551" s="77"/>
      <c r="X2551" s="60"/>
      <c r="AA2551" s="59"/>
      <c r="AB2551" s="38" t="s">
        <v>1708</v>
      </c>
      <c r="AC2551" s="60"/>
      <c r="AD2551" s="77"/>
      <c r="AE2551" s="60"/>
    </row>
    <row r="2552" spans="6:31" ht="24" customHeight="1">
      <c r="F2552" s="60"/>
      <c r="G2552" s="59"/>
      <c r="H2552" s="38" t="s">
        <v>1708</v>
      </c>
      <c r="I2552" s="60"/>
      <c r="J2552" s="77"/>
      <c r="K2552" s="60"/>
      <c r="M2552" s="60"/>
      <c r="N2552" s="59"/>
      <c r="O2552" s="38" t="s">
        <v>1708</v>
      </c>
      <c r="P2552" s="60"/>
      <c r="Q2552" s="77"/>
      <c r="R2552" s="60"/>
      <c r="S2552" s="79"/>
      <c r="T2552" s="59"/>
      <c r="U2552" s="60"/>
      <c r="V2552" s="60"/>
      <c r="W2552" s="77"/>
      <c r="X2552" s="60"/>
      <c r="AA2552" s="59"/>
      <c r="AB2552" s="60"/>
      <c r="AC2552" s="60"/>
      <c r="AD2552" s="77"/>
      <c r="AE2552" s="60"/>
    </row>
    <row r="2553" spans="6:31" ht="24" customHeight="1">
      <c r="F2553" s="60"/>
      <c r="G2553" s="59"/>
      <c r="H2553" s="60"/>
      <c r="I2553" s="60"/>
      <c r="J2553" s="77"/>
      <c r="K2553" s="60"/>
      <c r="M2553" s="60"/>
      <c r="N2553" s="59"/>
      <c r="O2553" s="60"/>
      <c r="P2553" s="60"/>
      <c r="Q2553" s="77"/>
      <c r="R2553" s="60"/>
      <c r="S2553" s="79"/>
      <c r="T2553" s="59" t="s">
        <v>884</v>
      </c>
      <c r="U2553" s="60" t="s">
        <v>2609</v>
      </c>
      <c r="V2553" s="60">
        <f>I2554</f>
        <v>102600</v>
      </c>
      <c r="W2553" s="77" t="s">
        <v>884</v>
      </c>
      <c r="X2553" s="60">
        <f t="shared" ref="X2553:X2562" si="159">S2554*V2553</f>
        <v>2359.8000000000002</v>
      </c>
      <c r="Y2553" s="506">
        <v>2.3099999999999999E-2</v>
      </c>
      <c r="Z2553">
        <f>Y2553*V2553</f>
        <v>2370.06</v>
      </c>
      <c r="AA2553" s="59" t="s">
        <v>884</v>
      </c>
      <c r="AB2553" s="60" t="s">
        <v>2609</v>
      </c>
      <c r="AC2553" s="60">
        <f t="shared" ref="AC2553:AC2562" si="160">V2553</f>
        <v>102600</v>
      </c>
      <c r="AD2553" s="77"/>
      <c r="AE2553" s="60"/>
    </row>
    <row r="2554" spans="6:31" ht="24" customHeight="1">
      <c r="F2554" s="81">
        <v>2.2800000000000001E-2</v>
      </c>
      <c r="G2554" s="59" t="s">
        <v>884</v>
      </c>
      <c r="H2554" s="60" t="s">
        <v>3311</v>
      </c>
      <c r="I2554" s="60">
        <f>AA26</f>
        <v>102600</v>
      </c>
      <c r="J2554" s="77" t="s">
        <v>884</v>
      </c>
      <c r="K2554" s="60">
        <f>F2554*I2554</f>
        <v>2339.2800000000002</v>
      </c>
      <c r="M2554" s="81">
        <f>P2543</f>
        <v>2.2800000000000001E-2</v>
      </c>
      <c r="N2554" s="59" t="s">
        <v>884</v>
      </c>
      <c r="O2554" s="60" t="s">
        <v>2609</v>
      </c>
      <c r="P2554" s="60">
        <f>I2554</f>
        <v>102600</v>
      </c>
      <c r="Q2554" s="77" t="s">
        <v>884</v>
      </c>
      <c r="R2554" s="60">
        <f>M2554*P2554</f>
        <v>2339.2800000000002</v>
      </c>
      <c r="S2554" s="79">
        <f>V2542</f>
        <v>2.3E-2</v>
      </c>
      <c r="T2554" s="59" t="s">
        <v>884</v>
      </c>
      <c r="U2554" s="60" t="s">
        <v>2610</v>
      </c>
      <c r="V2554" s="60">
        <f t="shared" ref="V2554:V2562" si="161">I2555</f>
        <v>91300</v>
      </c>
      <c r="W2554" s="77" t="s">
        <v>884</v>
      </c>
      <c r="X2554" s="60">
        <f t="shared" si="159"/>
        <v>3925.9</v>
      </c>
      <c r="Y2554" s="506">
        <v>4.48E-2</v>
      </c>
      <c r="Z2554">
        <f>Y2554*V2554</f>
        <v>4090.24</v>
      </c>
      <c r="AA2554" s="59" t="s">
        <v>884</v>
      </c>
      <c r="AB2554" s="60" t="s">
        <v>2610</v>
      </c>
      <c r="AC2554" s="60">
        <f t="shared" si="160"/>
        <v>91300</v>
      </c>
      <c r="AD2554" s="77" t="s">
        <v>884</v>
      </c>
      <c r="AE2554" s="60" t="e">
        <f>#REF!*AC2553</f>
        <v>#REF!</v>
      </c>
    </row>
    <row r="2555" spans="6:31" ht="24" customHeight="1">
      <c r="F2555" s="81">
        <v>3.5400000000000001E-2</v>
      </c>
      <c r="G2555" s="59" t="s">
        <v>884</v>
      </c>
      <c r="H2555" s="60" t="s">
        <v>2610</v>
      </c>
      <c r="I2555" s="60">
        <f>AA27</f>
        <v>91300</v>
      </c>
      <c r="J2555" s="77" t="s">
        <v>884</v>
      </c>
      <c r="K2555" s="60">
        <f t="shared" ref="K2555:K2563" si="162">F2555*I2555</f>
        <v>3232.02</v>
      </c>
      <c r="M2555" s="81">
        <f>P2546</f>
        <v>2.7900000000000001E-2</v>
      </c>
      <c r="N2555" s="59" t="s">
        <v>884</v>
      </c>
      <c r="O2555" s="60" t="s">
        <v>2610</v>
      </c>
      <c r="P2555" s="60">
        <f t="shared" ref="P2555:P2563" si="163">I2555</f>
        <v>91300</v>
      </c>
      <c r="Q2555" s="77" t="s">
        <v>884</v>
      </c>
      <c r="R2555" s="60">
        <f t="shared" ref="R2555:R2563" si="164">M2555*P2555</f>
        <v>2547.27</v>
      </c>
      <c r="S2555" s="79">
        <f>V2545</f>
        <v>4.2999999999999997E-2</v>
      </c>
      <c r="T2555" s="59" t="s">
        <v>884</v>
      </c>
      <c r="U2555" s="60" t="s">
        <v>952</v>
      </c>
      <c r="V2555" s="60">
        <f t="shared" si="161"/>
        <v>87300</v>
      </c>
      <c r="W2555" s="77" t="s">
        <v>884</v>
      </c>
      <c r="X2555" s="60">
        <f t="shared" si="159"/>
        <v>3579.3</v>
      </c>
      <c r="Y2555" s="506">
        <v>2.2690000000000001</v>
      </c>
      <c r="Z2555">
        <f>Y2555*336</f>
        <v>762.38</v>
      </c>
      <c r="AA2555" s="59" t="s">
        <v>884</v>
      </c>
      <c r="AB2555" s="60" t="s">
        <v>952</v>
      </c>
      <c r="AC2555" s="60">
        <f t="shared" si="160"/>
        <v>87300</v>
      </c>
      <c r="AD2555" s="77" t="s">
        <v>884</v>
      </c>
      <c r="AE2555" s="60" t="e">
        <f>#REF!*AC2554</f>
        <v>#REF!</v>
      </c>
    </row>
    <row r="2556" spans="6:31" ht="24" customHeight="1">
      <c r="F2556" s="82">
        <v>3.2300000000000002E-2</v>
      </c>
      <c r="G2556" s="59" t="s">
        <v>884</v>
      </c>
      <c r="H2556" s="60" t="s">
        <v>952</v>
      </c>
      <c r="I2556" s="60">
        <f>AA28</f>
        <v>87300</v>
      </c>
      <c r="J2556" s="77" t="s">
        <v>884</v>
      </c>
      <c r="K2556" s="60">
        <f t="shared" si="162"/>
        <v>2819.79</v>
      </c>
      <c r="M2556" s="82">
        <f>P2551</f>
        <v>2.3800000000000002E-2</v>
      </c>
      <c r="N2556" s="59" t="s">
        <v>884</v>
      </c>
      <c r="O2556" s="60" t="s">
        <v>952</v>
      </c>
      <c r="P2556" s="60">
        <f t="shared" si="163"/>
        <v>87300</v>
      </c>
      <c r="Q2556" s="77" t="s">
        <v>884</v>
      </c>
      <c r="R2556" s="60">
        <f t="shared" si="164"/>
        <v>2077.7399999999998</v>
      </c>
      <c r="S2556" s="79">
        <f>V2550</f>
        <v>4.1000000000000002E-2</v>
      </c>
      <c r="T2556" s="59" t="s">
        <v>611</v>
      </c>
      <c r="U2556" s="60" t="s">
        <v>898</v>
      </c>
      <c r="V2556" s="60">
        <f t="shared" si="161"/>
        <v>666.75</v>
      </c>
      <c r="W2556" s="77" t="s">
        <v>611</v>
      </c>
      <c r="X2556" s="60">
        <f t="shared" si="159"/>
        <v>2295.62</v>
      </c>
      <c r="Y2556" s="506">
        <v>3.4849999999999999</v>
      </c>
      <c r="Z2556">
        <f>Y2556*V2556</f>
        <v>2323.62</v>
      </c>
      <c r="AA2556" s="59" t="s">
        <v>611</v>
      </c>
      <c r="AB2556" s="60" t="s">
        <v>898</v>
      </c>
      <c r="AC2556" s="60">
        <f t="shared" si="160"/>
        <v>666.75</v>
      </c>
      <c r="AD2556" s="77" t="s">
        <v>884</v>
      </c>
      <c r="AE2556" s="60" t="e">
        <f>#REF!*AC2555</f>
        <v>#REF!</v>
      </c>
    </row>
    <row r="2557" spans="6:31" ht="24" customHeight="1">
      <c r="F2557" s="79">
        <v>2.835</v>
      </c>
      <c r="G2557" s="59" t="s">
        <v>611</v>
      </c>
      <c r="H2557" s="60" t="s">
        <v>898</v>
      </c>
      <c r="I2557" s="60">
        <f>AC30</f>
        <v>666.75</v>
      </c>
      <c r="J2557" s="77" t="s">
        <v>611</v>
      </c>
      <c r="K2557" s="60">
        <f t="shared" si="162"/>
        <v>1890.24</v>
      </c>
      <c r="M2557" s="79">
        <v>2.23</v>
      </c>
      <c r="N2557" s="59" t="s">
        <v>611</v>
      </c>
      <c r="O2557" s="60" t="s">
        <v>898</v>
      </c>
      <c r="P2557" s="60">
        <f t="shared" si="163"/>
        <v>666.75</v>
      </c>
      <c r="Q2557" s="77" t="s">
        <v>611</v>
      </c>
      <c r="R2557" s="60">
        <f t="shared" si="164"/>
        <v>1486.85</v>
      </c>
      <c r="S2557" s="79">
        <f>V2541</f>
        <v>3.4430000000000001</v>
      </c>
      <c r="T2557" s="59" t="s">
        <v>1950</v>
      </c>
      <c r="U2557" s="60" t="s">
        <v>2197</v>
      </c>
      <c r="V2557" s="60">
        <f t="shared" si="161"/>
        <v>50.6</v>
      </c>
      <c r="W2557" s="77" t="s">
        <v>1458</v>
      </c>
      <c r="X2557" s="60">
        <f t="shared" si="159"/>
        <v>101.2</v>
      </c>
      <c r="Y2557" s="506">
        <v>2</v>
      </c>
      <c r="Z2557">
        <f>Y2557*V2557</f>
        <v>101.2</v>
      </c>
      <c r="AA2557" s="59" t="s">
        <v>1950</v>
      </c>
      <c r="AB2557" s="60" t="s">
        <v>2197</v>
      </c>
      <c r="AC2557" s="60">
        <f t="shared" si="160"/>
        <v>50.6</v>
      </c>
      <c r="AD2557" s="77" t="s">
        <v>611</v>
      </c>
      <c r="AE2557" s="60" t="e">
        <f>#REF!*AC2556</f>
        <v>#REF!</v>
      </c>
    </row>
    <row r="2558" spans="6:31" ht="24" customHeight="1">
      <c r="F2558" s="60">
        <v>2</v>
      </c>
      <c r="G2558" s="59" t="s">
        <v>1950</v>
      </c>
      <c r="H2558" s="60" t="s">
        <v>2197</v>
      </c>
      <c r="I2558" s="60">
        <f t="shared" ref="I2558:I2563" si="165">I2739</f>
        <v>50.6</v>
      </c>
      <c r="J2558" s="77" t="s">
        <v>1458</v>
      </c>
      <c r="K2558" s="60">
        <f t="shared" si="162"/>
        <v>101.2</v>
      </c>
      <c r="M2558" s="60">
        <v>2</v>
      </c>
      <c r="N2558" s="59" t="s">
        <v>1950</v>
      </c>
      <c r="O2558" s="60" t="s">
        <v>899</v>
      </c>
      <c r="P2558" s="60">
        <f t="shared" si="163"/>
        <v>50.6</v>
      </c>
      <c r="Q2558" s="77" t="s">
        <v>1458</v>
      </c>
      <c r="R2558" s="60">
        <f t="shared" si="164"/>
        <v>101.2</v>
      </c>
      <c r="S2558" s="79">
        <v>2</v>
      </c>
      <c r="T2558" s="59" t="s">
        <v>1950</v>
      </c>
      <c r="U2558" s="60" t="s">
        <v>1135</v>
      </c>
      <c r="V2558" s="60">
        <f t="shared" si="161"/>
        <v>69.849999999999994</v>
      </c>
      <c r="W2558" s="77" t="s">
        <v>1458</v>
      </c>
      <c r="X2558" s="60">
        <f t="shared" si="159"/>
        <v>419.1</v>
      </c>
      <c r="Y2558" s="506">
        <v>6</v>
      </c>
      <c r="Z2558">
        <f>Y2558*V2558</f>
        <v>419.1</v>
      </c>
      <c r="AA2558" s="59" t="s">
        <v>1950</v>
      </c>
      <c r="AB2558" s="60" t="s">
        <v>1135</v>
      </c>
      <c r="AC2558" s="60">
        <f t="shared" si="160"/>
        <v>69.849999999999994</v>
      </c>
      <c r="AD2558" s="77" t="s">
        <v>1458</v>
      </c>
      <c r="AE2558" s="60" t="e">
        <f>#REF!*AC2557</f>
        <v>#REF!</v>
      </c>
    </row>
    <row r="2559" spans="6:31" ht="24" customHeight="1">
      <c r="F2559" s="60">
        <v>6</v>
      </c>
      <c r="G2559" s="59" t="s">
        <v>1950</v>
      </c>
      <c r="H2559" s="60" t="s">
        <v>1135</v>
      </c>
      <c r="I2559" s="60">
        <f t="shared" si="165"/>
        <v>69.849999999999994</v>
      </c>
      <c r="J2559" s="77" t="s">
        <v>1458</v>
      </c>
      <c r="K2559" s="60">
        <f t="shared" si="162"/>
        <v>419.1</v>
      </c>
      <c r="M2559" s="60">
        <v>6</v>
      </c>
      <c r="N2559" s="59" t="s">
        <v>1950</v>
      </c>
      <c r="O2559" s="60" t="s">
        <v>1135</v>
      </c>
      <c r="P2559" s="60">
        <f t="shared" si="163"/>
        <v>69.849999999999994</v>
      </c>
      <c r="Q2559" s="77" t="s">
        <v>1458</v>
      </c>
      <c r="R2559" s="60">
        <f t="shared" si="164"/>
        <v>419.1</v>
      </c>
      <c r="S2559" s="79">
        <v>6</v>
      </c>
      <c r="T2559" s="59" t="s">
        <v>1950</v>
      </c>
      <c r="U2559" s="60" t="s">
        <v>1409</v>
      </c>
      <c r="V2559" s="60">
        <f t="shared" si="161"/>
        <v>50.6</v>
      </c>
      <c r="W2559" s="77" t="s">
        <v>1458</v>
      </c>
      <c r="X2559" s="60">
        <f t="shared" si="159"/>
        <v>202.4</v>
      </c>
      <c r="Y2559" s="506">
        <v>4</v>
      </c>
      <c r="Z2559">
        <f>Y2559*V2559</f>
        <v>202.4</v>
      </c>
      <c r="AA2559" s="59" t="s">
        <v>1950</v>
      </c>
      <c r="AB2559" s="60" t="s">
        <v>1409</v>
      </c>
      <c r="AC2559" s="60">
        <f t="shared" si="160"/>
        <v>50.6</v>
      </c>
      <c r="AD2559" s="77" t="s">
        <v>1458</v>
      </c>
      <c r="AE2559" s="60" t="e">
        <f>#REF!*AC2558</f>
        <v>#REF!</v>
      </c>
    </row>
    <row r="2560" spans="6:31" ht="24" customHeight="1">
      <c r="F2560" s="60">
        <v>4</v>
      </c>
      <c r="G2560" s="59" t="s">
        <v>1950</v>
      </c>
      <c r="H2560" s="60" t="s">
        <v>1409</v>
      </c>
      <c r="I2560" s="60">
        <f t="shared" si="165"/>
        <v>50.6</v>
      </c>
      <c r="J2560" s="77" t="s">
        <v>1458</v>
      </c>
      <c r="K2560" s="60">
        <f t="shared" si="162"/>
        <v>202.4</v>
      </c>
      <c r="M2560" s="60">
        <v>4</v>
      </c>
      <c r="N2560" s="59" t="s">
        <v>1950</v>
      </c>
      <c r="O2560" s="60" t="s">
        <v>1409</v>
      </c>
      <c r="P2560" s="60">
        <f t="shared" si="163"/>
        <v>50.6</v>
      </c>
      <c r="Q2560" s="77" t="s">
        <v>1458</v>
      </c>
      <c r="R2560" s="60">
        <f t="shared" si="164"/>
        <v>202.4</v>
      </c>
      <c r="S2560" s="79">
        <v>4</v>
      </c>
      <c r="T2560" s="59" t="s">
        <v>1950</v>
      </c>
      <c r="U2560" s="60" t="s">
        <v>1410</v>
      </c>
      <c r="V2560" s="60">
        <f t="shared" si="161"/>
        <v>158.4</v>
      </c>
      <c r="W2560" s="77" t="s">
        <v>1458</v>
      </c>
      <c r="X2560" s="60">
        <f t="shared" si="159"/>
        <v>158.4</v>
      </c>
      <c r="Y2560" s="506">
        <v>1</v>
      </c>
      <c r="Z2560">
        <f>Y2560*X2560</f>
        <v>158.4</v>
      </c>
      <c r="AA2560" s="59" t="s">
        <v>1950</v>
      </c>
      <c r="AB2560" s="60" t="s">
        <v>1410</v>
      </c>
      <c r="AC2560" s="60">
        <f t="shared" si="160"/>
        <v>158.4</v>
      </c>
      <c r="AD2560" s="77" t="s">
        <v>1458</v>
      </c>
      <c r="AE2560" s="60" t="e">
        <f>#REF!*AC2559</f>
        <v>#REF!</v>
      </c>
    </row>
    <row r="2561" spans="6:31" ht="24" customHeight="1">
      <c r="F2561" s="60">
        <v>1</v>
      </c>
      <c r="G2561" s="59" t="s">
        <v>1950</v>
      </c>
      <c r="H2561" s="60" t="s">
        <v>1410</v>
      </c>
      <c r="I2561" s="60">
        <f t="shared" si="165"/>
        <v>158.4</v>
      </c>
      <c r="J2561" s="77" t="s">
        <v>1458</v>
      </c>
      <c r="K2561" s="60">
        <f t="shared" si="162"/>
        <v>158.4</v>
      </c>
      <c r="M2561" s="60">
        <v>1</v>
      </c>
      <c r="N2561" s="59" t="s">
        <v>1950</v>
      </c>
      <c r="O2561" s="60" t="s">
        <v>1410</v>
      </c>
      <c r="P2561" s="60">
        <f t="shared" si="163"/>
        <v>158.4</v>
      </c>
      <c r="Q2561" s="77" t="s">
        <v>1458</v>
      </c>
      <c r="R2561" s="60">
        <f t="shared" si="164"/>
        <v>158.4</v>
      </c>
      <c r="S2561" s="79">
        <v>1</v>
      </c>
      <c r="T2561" s="59" t="s">
        <v>1950</v>
      </c>
      <c r="U2561" s="60" t="s">
        <v>2056</v>
      </c>
      <c r="V2561" s="60">
        <f t="shared" si="161"/>
        <v>7.5</v>
      </c>
      <c r="W2561" s="77" t="s">
        <v>1458</v>
      </c>
      <c r="X2561" s="60">
        <f t="shared" si="159"/>
        <v>15</v>
      </c>
      <c r="Y2561" s="506">
        <v>2</v>
      </c>
      <c r="Z2561">
        <f>Y2561*V2561</f>
        <v>15</v>
      </c>
      <c r="AA2561" s="59" t="s">
        <v>1950</v>
      </c>
      <c r="AB2561" s="60" t="s">
        <v>2056</v>
      </c>
      <c r="AC2561" s="60">
        <f t="shared" si="160"/>
        <v>7.5</v>
      </c>
      <c r="AD2561" s="77" t="s">
        <v>1458</v>
      </c>
      <c r="AE2561" s="60" t="e">
        <f>#REF!*AC2560</f>
        <v>#REF!</v>
      </c>
    </row>
    <row r="2562" spans="6:31" ht="24" customHeight="1">
      <c r="F2562" s="60">
        <v>2</v>
      </c>
      <c r="G2562" s="59" t="s">
        <v>1950</v>
      </c>
      <c r="H2562" s="60" t="s">
        <v>2056</v>
      </c>
      <c r="I2562" s="60">
        <f t="shared" si="165"/>
        <v>7.5</v>
      </c>
      <c r="J2562" s="77" t="s">
        <v>1458</v>
      </c>
      <c r="K2562" s="60">
        <f t="shared" si="162"/>
        <v>15</v>
      </c>
      <c r="M2562" s="60">
        <v>2</v>
      </c>
      <c r="N2562" s="59" t="s">
        <v>1950</v>
      </c>
      <c r="O2562" s="60" t="s">
        <v>2056</v>
      </c>
      <c r="P2562" s="60">
        <f t="shared" si="163"/>
        <v>7.5</v>
      </c>
      <c r="Q2562" s="77" t="s">
        <v>1458</v>
      </c>
      <c r="R2562" s="60">
        <f t="shared" si="164"/>
        <v>15</v>
      </c>
      <c r="S2562" s="79">
        <v>2</v>
      </c>
      <c r="T2562" s="59" t="s">
        <v>1950</v>
      </c>
      <c r="U2562" s="60" t="s">
        <v>2058</v>
      </c>
      <c r="V2562" s="60">
        <f t="shared" si="161"/>
        <v>44.4</v>
      </c>
      <c r="W2562" s="77" t="s">
        <v>1458</v>
      </c>
      <c r="X2562" s="60">
        <f t="shared" si="159"/>
        <v>88.8</v>
      </c>
      <c r="Y2562" s="506">
        <v>2</v>
      </c>
      <c r="Z2562">
        <f>Y2562*V2562</f>
        <v>88.8</v>
      </c>
      <c r="AA2562" s="59" t="s">
        <v>1950</v>
      </c>
      <c r="AB2562" s="60" t="s">
        <v>2058</v>
      </c>
      <c r="AC2562" s="60">
        <f t="shared" si="160"/>
        <v>44.4</v>
      </c>
      <c r="AD2562" s="77" t="s">
        <v>1458</v>
      </c>
      <c r="AE2562" s="60" t="e">
        <f>#REF!*AC2561</f>
        <v>#REF!</v>
      </c>
    </row>
    <row r="2563" spans="6:31" ht="24" customHeight="1">
      <c r="F2563" s="60">
        <v>2</v>
      </c>
      <c r="G2563" s="59" t="s">
        <v>1950</v>
      </c>
      <c r="H2563" s="60" t="s">
        <v>2058</v>
      </c>
      <c r="I2563" s="60">
        <f t="shared" si="165"/>
        <v>44.4</v>
      </c>
      <c r="J2563" s="77" t="s">
        <v>1458</v>
      </c>
      <c r="K2563" s="60">
        <f t="shared" si="162"/>
        <v>88.8</v>
      </c>
      <c r="M2563" s="60">
        <v>2</v>
      </c>
      <c r="N2563" s="59" t="s">
        <v>1950</v>
      </c>
      <c r="O2563" s="60" t="s">
        <v>2058</v>
      </c>
      <c r="P2563" s="60">
        <f t="shared" si="163"/>
        <v>44.4</v>
      </c>
      <c r="Q2563" s="77" t="s">
        <v>1458</v>
      </c>
      <c r="R2563" s="60">
        <f t="shared" si="164"/>
        <v>88.8</v>
      </c>
      <c r="S2563" s="79">
        <v>2</v>
      </c>
      <c r="T2563" s="59"/>
      <c r="U2563" s="60"/>
      <c r="V2563" s="60"/>
      <c r="W2563" s="77"/>
      <c r="X2563" s="60"/>
      <c r="Y2563" s="506"/>
      <c r="Z2563">
        <v>20</v>
      </c>
      <c r="AA2563" s="59"/>
      <c r="AB2563" s="60"/>
      <c r="AC2563" s="60"/>
      <c r="AD2563" s="77" t="s">
        <v>1458</v>
      </c>
      <c r="AE2563" s="60" t="e">
        <f>#REF!*AC2562</f>
        <v>#REF!</v>
      </c>
    </row>
    <row r="2564" spans="6:31" ht="24" customHeight="1">
      <c r="F2564" s="60"/>
      <c r="G2564" s="59"/>
      <c r="H2564" s="643" t="s">
        <v>1188</v>
      </c>
      <c r="I2564" s="60"/>
      <c r="J2564" s="77"/>
      <c r="K2564" s="60">
        <v>23</v>
      </c>
      <c r="M2564" s="60"/>
      <c r="N2564" s="59"/>
      <c r="O2564" s="60"/>
      <c r="P2564" s="60"/>
      <c r="Q2564" s="77"/>
      <c r="R2564" s="60">
        <v>21</v>
      </c>
      <c r="S2564" s="79"/>
      <c r="T2564" s="59"/>
      <c r="U2564" s="60"/>
      <c r="V2564" s="60"/>
      <c r="W2564" s="77"/>
      <c r="X2564" s="62">
        <v>21.3</v>
      </c>
      <c r="Z2564">
        <f>SUM(Z2553:Z2563)</f>
        <v>10551.2</v>
      </c>
      <c r="AA2564" s="59"/>
      <c r="AB2564" s="60"/>
      <c r="AC2564" s="60"/>
      <c r="AD2564" s="77"/>
      <c r="AE2564" s="60"/>
    </row>
    <row r="2565" spans="6:31" ht="24" customHeight="1">
      <c r="F2565" s="60"/>
      <c r="G2565" s="59"/>
      <c r="H2565" s="60"/>
      <c r="I2565" s="60"/>
      <c r="J2565" s="77"/>
      <c r="K2565" s="62">
        <v>0.63</v>
      </c>
      <c r="M2565" s="60"/>
      <c r="N2565" s="59"/>
      <c r="O2565" s="60"/>
      <c r="P2565" s="60"/>
      <c r="Q2565" s="77"/>
      <c r="R2565" s="62" t="s">
        <v>152</v>
      </c>
      <c r="S2565" s="79"/>
      <c r="T2565" s="78"/>
      <c r="U2565" s="38" t="s">
        <v>555</v>
      </c>
      <c r="V2565" s="60"/>
      <c r="W2565" s="77"/>
      <c r="X2565" s="38">
        <f>SUM(X2553:X2564)</f>
        <v>13166.82</v>
      </c>
      <c r="Z2565">
        <f>Z2564/3.485</f>
        <v>3027.6</v>
      </c>
      <c r="AA2565" s="78"/>
      <c r="AB2565" s="38" t="s">
        <v>555</v>
      </c>
      <c r="AC2565" s="60"/>
      <c r="AD2565" s="77"/>
      <c r="AE2565" s="62">
        <v>10.54</v>
      </c>
    </row>
    <row r="2566" spans="6:31" ht="24" customHeight="1">
      <c r="F2566" s="60"/>
      <c r="G2566" s="78"/>
      <c r="H2566" s="38" t="s">
        <v>555</v>
      </c>
      <c r="I2566" s="60"/>
      <c r="J2566" s="77"/>
      <c r="K2566" s="38">
        <f>SUM(K2554:K2565)</f>
        <v>11289.86</v>
      </c>
      <c r="M2566" s="60"/>
      <c r="N2566" s="78"/>
      <c r="O2566" s="38" t="s">
        <v>555</v>
      </c>
      <c r="P2566" s="60"/>
      <c r="Q2566" s="77"/>
      <c r="R2566" s="38">
        <f>SUM(R2554:R2564)</f>
        <v>9457.0400000000009</v>
      </c>
      <c r="S2566" s="79"/>
      <c r="T2566" s="78"/>
      <c r="U2566" s="38"/>
      <c r="V2566" s="60"/>
      <c r="W2566" s="77"/>
      <c r="X2566" s="62" t="s">
        <v>152</v>
      </c>
      <c r="AA2566" s="78"/>
      <c r="AB2566" s="38"/>
      <c r="AC2566" s="60"/>
      <c r="AD2566" s="77"/>
      <c r="AE2566" s="38" t="e">
        <f>SUM(AE2554:AE2565)</f>
        <v>#REF!</v>
      </c>
    </row>
    <row r="2567" spans="6:31" ht="24" customHeight="1">
      <c r="F2567" s="60"/>
      <c r="G2567" s="78"/>
      <c r="H2567" s="38"/>
      <c r="I2567" s="60"/>
      <c r="J2567" s="77"/>
      <c r="K2567" s="62" t="s">
        <v>152</v>
      </c>
      <c r="M2567" s="60"/>
      <c r="N2567" s="78"/>
      <c r="O2567" s="38"/>
      <c r="P2567" s="60"/>
      <c r="Q2567" s="77"/>
      <c r="R2567" s="62" t="s">
        <v>152</v>
      </c>
      <c r="S2567" s="79"/>
      <c r="T2567" s="78"/>
      <c r="U2567" s="38" t="s">
        <v>2611</v>
      </c>
      <c r="V2567" s="60"/>
      <c r="W2567" s="77"/>
      <c r="X2567" s="38">
        <f>X2565/3.4425</f>
        <v>3824.78</v>
      </c>
      <c r="AA2567" s="78"/>
      <c r="AB2567" s="38" t="s">
        <v>2160</v>
      </c>
      <c r="AC2567" s="60"/>
      <c r="AD2567" s="77"/>
      <c r="AE2567" s="62" t="s">
        <v>152</v>
      </c>
    </row>
    <row r="2568" spans="6:31" ht="24" customHeight="1">
      <c r="F2568" s="60"/>
      <c r="G2568" s="78"/>
      <c r="H2568" s="38" t="s">
        <v>2155</v>
      </c>
      <c r="I2568" s="60"/>
      <c r="J2568" s="77"/>
      <c r="K2568" s="38">
        <f>K2566/2.835</f>
        <v>3982.31</v>
      </c>
      <c r="M2568" s="60"/>
      <c r="N2568" s="78"/>
      <c r="O2568" s="38" t="s">
        <v>650</v>
      </c>
      <c r="P2568" s="60"/>
      <c r="Q2568" s="77"/>
      <c r="R2568" s="38">
        <f>R2566/M2557</f>
        <v>4240.83</v>
      </c>
      <c r="S2568" s="79"/>
      <c r="AD2568" s="77"/>
      <c r="AE2568" s="38" t="e">
        <f>AE2566/3.8475</f>
        <v>#REF!</v>
      </c>
    </row>
    <row r="2569" spans="6:31" ht="24" customHeight="1">
      <c r="F2569" s="60"/>
      <c r="G2569" s="78"/>
      <c r="K2569" s="61" t="s">
        <v>152</v>
      </c>
      <c r="M2569" s="60"/>
      <c r="N2569" s="78"/>
      <c r="Q2569" s="11"/>
      <c r="R2569" s="61" t="s">
        <v>152</v>
      </c>
    </row>
    <row r="2570" spans="6:31" ht="24" customHeight="1">
      <c r="F2570" s="83" t="s">
        <v>895</v>
      </c>
      <c r="G2570" s="84"/>
      <c r="H2570" s="85" t="s">
        <v>2072</v>
      </c>
      <c r="I2570" s="51"/>
      <c r="J2570" s="105"/>
      <c r="K2570" s="51"/>
      <c r="M2570" t="s">
        <v>895</v>
      </c>
      <c r="O2570" t="s">
        <v>2072</v>
      </c>
    </row>
    <row r="2571" spans="6:31" ht="24" customHeight="1">
      <c r="F2571" s="51"/>
      <c r="G2571" s="84"/>
      <c r="H2571" s="86" t="s">
        <v>1667</v>
      </c>
      <c r="I2571" s="86" t="s">
        <v>1667</v>
      </c>
      <c r="J2571" s="85" t="s">
        <v>1667</v>
      </c>
      <c r="K2571" s="51"/>
      <c r="O2571" t="s">
        <v>1667</v>
      </c>
      <c r="P2571" t="s">
        <v>1667</v>
      </c>
      <c r="Q2571" t="s">
        <v>1667</v>
      </c>
    </row>
    <row r="2572" spans="6:31" ht="24" customHeight="1">
      <c r="F2572" s="51"/>
      <c r="G2572" s="84"/>
      <c r="H2572" s="51"/>
      <c r="I2572" s="51"/>
      <c r="J2572" s="105"/>
      <c r="K2572" s="51"/>
    </row>
    <row r="2573" spans="6:31" ht="24" customHeight="1">
      <c r="F2573" s="51"/>
      <c r="G2573" s="84"/>
      <c r="H2573" s="85" t="s">
        <v>2073</v>
      </c>
      <c r="I2573" s="51"/>
      <c r="J2573" s="105"/>
      <c r="K2573" s="51"/>
      <c r="O2573" t="s">
        <v>2073</v>
      </c>
    </row>
    <row r="2574" spans="6:31" ht="24" customHeight="1">
      <c r="F2574" s="51"/>
      <c r="G2574" s="84"/>
      <c r="H2574" s="85"/>
      <c r="I2574" s="51"/>
      <c r="J2574" s="105"/>
      <c r="K2574" s="51"/>
    </row>
    <row r="2575" spans="6:31" ht="24" customHeight="1">
      <c r="F2575" s="51"/>
      <c r="G2575" s="84"/>
      <c r="H2575" s="85" t="s">
        <v>2074</v>
      </c>
      <c r="I2575" s="51"/>
      <c r="J2575" s="105"/>
      <c r="K2575" s="51"/>
      <c r="O2575" t="s">
        <v>2074</v>
      </c>
    </row>
    <row r="2576" spans="6:31" ht="24" customHeight="1">
      <c r="F2576" s="51"/>
      <c r="G2576" s="84"/>
      <c r="H2576" s="85" t="s">
        <v>454</v>
      </c>
      <c r="I2576" s="51"/>
      <c r="J2576" s="105"/>
      <c r="K2576" s="51"/>
      <c r="O2576" t="s">
        <v>454</v>
      </c>
    </row>
    <row r="2577" spans="6:18" ht="24" customHeight="1">
      <c r="F2577" s="51"/>
      <c r="G2577" s="84"/>
      <c r="H2577" s="85" t="s">
        <v>455</v>
      </c>
      <c r="I2577" s="51"/>
      <c r="J2577" s="105"/>
      <c r="K2577" s="51"/>
      <c r="O2577" t="s">
        <v>455</v>
      </c>
    </row>
    <row r="2578" spans="6:18" ht="24" customHeight="1">
      <c r="F2578" s="51"/>
      <c r="G2578" s="84"/>
      <c r="H2578" s="85" t="s">
        <v>456</v>
      </c>
      <c r="I2578" s="51"/>
      <c r="J2578" s="105"/>
      <c r="K2578" s="51"/>
      <c r="O2578" t="s">
        <v>456</v>
      </c>
    </row>
    <row r="2579" spans="6:18" ht="24" customHeight="1">
      <c r="F2579" s="51"/>
      <c r="G2579" s="84"/>
      <c r="H2579" s="85" t="s">
        <v>896</v>
      </c>
      <c r="I2579" s="51"/>
      <c r="J2579" s="85" t="s">
        <v>995</v>
      </c>
      <c r="K2579" s="88">
        <v>3.7699999999999997E-2</v>
      </c>
      <c r="O2579" t="s">
        <v>896</v>
      </c>
      <c r="Q2579" t="s">
        <v>995</v>
      </c>
      <c r="R2579">
        <v>0.04</v>
      </c>
    </row>
    <row r="2580" spans="6:18" ht="24" customHeight="1">
      <c r="F2580" s="51"/>
      <c r="G2580" s="84"/>
      <c r="H2580" s="85" t="s">
        <v>705</v>
      </c>
      <c r="I2580" s="51"/>
      <c r="J2580" s="89" t="s">
        <v>995</v>
      </c>
      <c r="K2580" s="89" t="s">
        <v>995</v>
      </c>
      <c r="O2580" t="s">
        <v>705</v>
      </c>
      <c r="Q2580" t="s">
        <v>995</v>
      </c>
      <c r="R2580" t="s">
        <v>995</v>
      </c>
    </row>
    <row r="2581" spans="6:18" ht="24" customHeight="1">
      <c r="F2581" s="51"/>
      <c r="G2581" s="84"/>
      <c r="H2581" s="85" t="s">
        <v>1907</v>
      </c>
      <c r="I2581" s="51"/>
      <c r="J2581" s="105"/>
      <c r="K2581" s="89" t="s">
        <v>995</v>
      </c>
      <c r="O2581" t="s">
        <v>1907</v>
      </c>
      <c r="R2581" t="s">
        <v>995</v>
      </c>
    </row>
    <row r="2582" spans="6:18" ht="24" customHeight="1">
      <c r="F2582" s="51"/>
      <c r="G2582" s="84"/>
      <c r="H2582" s="51"/>
      <c r="I2582" s="51"/>
      <c r="J2582" s="105"/>
      <c r="K2582" s="51"/>
    </row>
    <row r="2583" spans="6:18" ht="24" customHeight="1">
      <c r="F2583" s="90">
        <v>1.18E-2</v>
      </c>
      <c r="G2583" s="91" t="s">
        <v>884</v>
      </c>
      <c r="H2583" s="85" t="s">
        <v>702</v>
      </c>
      <c r="I2583" s="92">
        <f>AA26</f>
        <v>102600</v>
      </c>
      <c r="J2583" s="85" t="s">
        <v>884</v>
      </c>
      <c r="K2583" s="92">
        <f t="shared" ref="K2583:K2592" si="166">(F2583*I2583)</f>
        <v>1210.68</v>
      </c>
      <c r="M2583">
        <v>0.01</v>
      </c>
      <c r="N2583" t="s">
        <v>884</v>
      </c>
      <c r="O2583" t="s">
        <v>702</v>
      </c>
      <c r="P2583">
        <f>I2583</f>
        <v>102600</v>
      </c>
      <c r="Q2583" t="s">
        <v>884</v>
      </c>
      <c r="R2583">
        <v>764.29</v>
      </c>
    </row>
    <row r="2584" spans="6:18" ht="24" customHeight="1">
      <c r="F2584" s="90">
        <v>3.7699999999999997E-2</v>
      </c>
      <c r="G2584" s="91" t="s">
        <v>884</v>
      </c>
      <c r="H2584" s="85" t="s">
        <v>703</v>
      </c>
      <c r="I2584" s="92">
        <f>AA27</f>
        <v>91300</v>
      </c>
      <c r="J2584" s="85" t="s">
        <v>884</v>
      </c>
      <c r="K2584" s="92">
        <f t="shared" si="166"/>
        <v>3442.01</v>
      </c>
      <c r="M2584">
        <v>0.04</v>
      </c>
      <c r="N2584" t="s">
        <v>884</v>
      </c>
      <c r="O2584" t="s">
        <v>703</v>
      </c>
      <c r="P2584">
        <f>I2584</f>
        <v>91300</v>
      </c>
      <c r="Q2584" t="s">
        <v>884</v>
      </c>
      <c r="R2584">
        <v>2172.65</v>
      </c>
    </row>
    <row r="2585" spans="6:18" ht="24" customHeight="1">
      <c r="F2585" s="90">
        <v>1.8550000000000001E-2</v>
      </c>
      <c r="G2585" s="91" t="s">
        <v>884</v>
      </c>
      <c r="H2585" s="85" t="s">
        <v>902</v>
      </c>
      <c r="I2585" s="92">
        <f>AC33</f>
        <v>5906.25</v>
      </c>
      <c r="J2585" s="85" t="s">
        <v>884</v>
      </c>
      <c r="K2585" s="92">
        <f t="shared" si="166"/>
        <v>109.56</v>
      </c>
      <c r="M2585">
        <v>0.02</v>
      </c>
      <c r="N2585" t="s">
        <v>884</v>
      </c>
      <c r="O2585" t="s">
        <v>902</v>
      </c>
      <c r="P2585">
        <f>I2585</f>
        <v>5906.25</v>
      </c>
      <c r="Q2585" t="s">
        <v>884</v>
      </c>
      <c r="R2585">
        <v>56.02</v>
      </c>
    </row>
    <row r="2586" spans="6:18" ht="24" customHeight="1">
      <c r="F2586" s="90">
        <v>1.36</v>
      </c>
      <c r="G2586" s="91" t="s">
        <v>611</v>
      </c>
      <c r="H2586" s="85" t="s">
        <v>903</v>
      </c>
      <c r="I2586" s="302">
        <v>269.10000000000002</v>
      </c>
      <c r="J2586" s="85" t="s">
        <v>611</v>
      </c>
      <c r="K2586" s="92">
        <f t="shared" si="166"/>
        <v>365.98</v>
      </c>
      <c r="M2586">
        <v>1.36</v>
      </c>
      <c r="N2586" t="s">
        <v>611</v>
      </c>
      <c r="O2586" t="s">
        <v>903</v>
      </c>
      <c r="P2586" s="213">
        <v>385.89</v>
      </c>
      <c r="Q2586" t="s">
        <v>611</v>
      </c>
      <c r="R2586">
        <v>524.80999999999995</v>
      </c>
    </row>
    <row r="2587" spans="6:18" ht="24" customHeight="1">
      <c r="F2587" s="90">
        <v>2.0499999999999998</v>
      </c>
      <c r="G2587" s="91" t="s">
        <v>611</v>
      </c>
      <c r="H2587" s="85" t="s">
        <v>1568</v>
      </c>
      <c r="I2587" s="92">
        <f>D30</f>
        <v>554.4</v>
      </c>
      <c r="J2587" s="85" t="s">
        <v>611</v>
      </c>
      <c r="K2587" s="92">
        <f t="shared" si="166"/>
        <v>1136.52</v>
      </c>
      <c r="M2587">
        <v>2.0499999999999998</v>
      </c>
      <c r="N2587" t="s">
        <v>611</v>
      </c>
      <c r="O2587" t="s">
        <v>1568</v>
      </c>
      <c r="P2587">
        <f t="shared" ref="P2587:P2592" si="167">I2587</f>
        <v>554.4</v>
      </c>
      <c r="Q2587" t="s">
        <v>611</v>
      </c>
      <c r="R2587">
        <v>586.29999999999995</v>
      </c>
    </row>
    <row r="2588" spans="6:18" ht="24" customHeight="1">
      <c r="F2588" s="92">
        <v>2</v>
      </c>
      <c r="G2588" s="91" t="s">
        <v>883</v>
      </c>
      <c r="H2588" s="85" t="s">
        <v>1449</v>
      </c>
      <c r="I2588" s="92">
        <f>E284</f>
        <v>44.4</v>
      </c>
      <c r="J2588" s="85" t="s">
        <v>883</v>
      </c>
      <c r="K2588" s="92">
        <f t="shared" si="166"/>
        <v>88.8</v>
      </c>
      <c r="M2588">
        <v>2</v>
      </c>
      <c r="N2588" t="s">
        <v>883</v>
      </c>
      <c r="O2588" t="s">
        <v>1449</v>
      </c>
      <c r="P2588">
        <f t="shared" si="167"/>
        <v>44.4</v>
      </c>
      <c r="Q2588" t="s">
        <v>883</v>
      </c>
      <c r="R2588">
        <v>50</v>
      </c>
    </row>
    <row r="2589" spans="6:18" ht="24" customHeight="1">
      <c r="F2589" s="92">
        <v>6</v>
      </c>
      <c r="G2589" s="91" t="s">
        <v>883</v>
      </c>
      <c r="H2589" s="85" t="s">
        <v>1404</v>
      </c>
      <c r="I2589" s="92">
        <f>C281</f>
        <v>38.5</v>
      </c>
      <c r="J2589" s="85" t="s">
        <v>883</v>
      </c>
      <c r="K2589" s="92">
        <f t="shared" si="166"/>
        <v>231</v>
      </c>
      <c r="M2589">
        <v>6</v>
      </c>
      <c r="N2589" t="s">
        <v>883</v>
      </c>
      <c r="O2589" t="s">
        <v>1404</v>
      </c>
      <c r="P2589">
        <f t="shared" si="167"/>
        <v>38.5</v>
      </c>
      <c r="Q2589" t="s">
        <v>883</v>
      </c>
      <c r="R2589">
        <v>150</v>
      </c>
    </row>
    <row r="2590" spans="6:18" ht="24" customHeight="1">
      <c r="F2590" s="92">
        <v>2</v>
      </c>
      <c r="G2590" s="91" t="s">
        <v>883</v>
      </c>
      <c r="H2590" s="85" t="s">
        <v>2198</v>
      </c>
      <c r="I2590" s="214">
        <f>I1087</f>
        <v>56.1</v>
      </c>
      <c r="J2590" s="85" t="s">
        <v>883</v>
      </c>
      <c r="K2590" s="92">
        <f t="shared" si="166"/>
        <v>112.2</v>
      </c>
      <c r="M2590">
        <v>2</v>
      </c>
      <c r="N2590" t="s">
        <v>883</v>
      </c>
      <c r="O2590" t="s">
        <v>1450</v>
      </c>
      <c r="P2590">
        <f t="shared" si="167"/>
        <v>56.1</v>
      </c>
      <c r="Q2590" t="s">
        <v>883</v>
      </c>
      <c r="R2590">
        <v>70</v>
      </c>
    </row>
    <row r="2591" spans="6:18" ht="24" customHeight="1">
      <c r="F2591" s="92">
        <v>1</v>
      </c>
      <c r="G2591" s="91" t="s">
        <v>883</v>
      </c>
      <c r="H2591" s="85" t="s">
        <v>1477</v>
      </c>
      <c r="I2591" s="302">
        <f>I1088</f>
        <v>63</v>
      </c>
      <c r="J2591" s="85" t="s">
        <v>883</v>
      </c>
      <c r="K2591" s="92">
        <f t="shared" si="166"/>
        <v>63</v>
      </c>
      <c r="M2591">
        <v>1</v>
      </c>
      <c r="N2591" t="s">
        <v>883</v>
      </c>
      <c r="O2591" t="s">
        <v>1477</v>
      </c>
      <c r="P2591">
        <f t="shared" si="167"/>
        <v>63</v>
      </c>
      <c r="Q2591" t="s">
        <v>883</v>
      </c>
      <c r="R2591">
        <v>60</v>
      </c>
    </row>
    <row r="2592" spans="6:18" ht="24" customHeight="1">
      <c r="F2592" s="92">
        <v>2.52</v>
      </c>
      <c r="G2592" s="91" t="s">
        <v>611</v>
      </c>
      <c r="H2592" s="85" t="s">
        <v>1792</v>
      </c>
      <c r="I2592" s="92">
        <f>K1119</f>
        <v>105.12</v>
      </c>
      <c r="J2592" s="85" t="s">
        <v>611</v>
      </c>
      <c r="K2592" s="92">
        <f t="shared" si="166"/>
        <v>264.89999999999998</v>
      </c>
      <c r="M2592">
        <v>2.52</v>
      </c>
      <c r="N2592" t="s">
        <v>611</v>
      </c>
      <c r="O2592" t="s">
        <v>1792</v>
      </c>
      <c r="P2592">
        <f t="shared" si="167"/>
        <v>105.12</v>
      </c>
      <c r="Q2592" t="s">
        <v>611</v>
      </c>
      <c r="R2592">
        <v>124.71</v>
      </c>
    </row>
    <row r="2593" spans="6:18" ht="24" customHeight="1">
      <c r="F2593" s="51"/>
      <c r="G2593" s="84"/>
      <c r="H2593" s="85" t="s">
        <v>1474</v>
      </c>
      <c r="I2593" s="87" t="s">
        <v>448</v>
      </c>
      <c r="J2593" s="105"/>
      <c r="K2593" s="92">
        <v>2.13</v>
      </c>
      <c r="O2593" t="s">
        <v>1474</v>
      </c>
      <c r="P2593" t="s">
        <v>448</v>
      </c>
      <c r="R2593">
        <v>0.28000000000000003</v>
      </c>
    </row>
    <row r="2594" spans="6:18" ht="24" customHeight="1">
      <c r="F2594" s="51"/>
      <c r="G2594" s="84"/>
      <c r="H2594" s="93"/>
      <c r="I2594" s="93"/>
      <c r="J2594" s="106"/>
      <c r="K2594" s="94" t="s">
        <v>1667</v>
      </c>
      <c r="R2594" t="s">
        <v>1667</v>
      </c>
    </row>
    <row r="2595" spans="6:18" ht="24" customHeight="1">
      <c r="F2595" s="51"/>
      <c r="G2595" s="84"/>
      <c r="H2595" s="95" t="s">
        <v>1475</v>
      </c>
      <c r="I2595" s="93"/>
      <c r="J2595" s="106"/>
      <c r="K2595" s="96">
        <f>SUM(K2583:K2593)</f>
        <v>7026.78</v>
      </c>
      <c r="O2595" t="s">
        <v>1475</v>
      </c>
      <c r="R2595">
        <v>4559.0600000000004</v>
      </c>
    </row>
    <row r="2596" spans="6:18" ht="24" customHeight="1">
      <c r="F2596" s="51"/>
      <c r="G2596" s="91" t="s">
        <v>995</v>
      </c>
      <c r="H2596" s="93"/>
      <c r="I2596" s="93"/>
      <c r="J2596" s="106"/>
      <c r="K2596" s="94" t="s">
        <v>1667</v>
      </c>
      <c r="N2596" t="s">
        <v>995</v>
      </c>
      <c r="R2596" t="s">
        <v>1667</v>
      </c>
    </row>
    <row r="2597" spans="6:18" ht="24" customHeight="1">
      <c r="F2597" s="51"/>
      <c r="G2597" s="84"/>
      <c r="H2597" s="95" t="s">
        <v>555</v>
      </c>
      <c r="I2597" s="93"/>
      <c r="J2597" s="106"/>
      <c r="K2597" s="96">
        <f>K2595/2.52</f>
        <v>2788.4</v>
      </c>
      <c r="O2597" t="s">
        <v>555</v>
      </c>
      <c r="R2597">
        <v>1809.15</v>
      </c>
    </row>
    <row r="2598" spans="6:18" ht="24" customHeight="1">
      <c r="F2598" s="51"/>
      <c r="G2598" s="84"/>
      <c r="H2598" s="93"/>
      <c r="I2598" s="93"/>
      <c r="J2598" s="106"/>
      <c r="K2598" s="94" t="s">
        <v>2130</v>
      </c>
      <c r="R2598" t="s">
        <v>2130</v>
      </c>
    </row>
    <row r="2599" spans="6:18" ht="24" customHeight="1">
      <c r="F2599" s="51"/>
      <c r="G2599" s="84"/>
      <c r="H2599" s="93"/>
      <c r="I2599" s="93"/>
      <c r="J2599" s="106"/>
      <c r="K2599" s="93"/>
    </row>
    <row r="2600" spans="6:18" ht="24" customHeight="1">
      <c r="F2600" s="1190" t="s">
        <v>775</v>
      </c>
      <c r="G2600" s="1190"/>
      <c r="H2600" s="1190"/>
      <c r="I2600" s="1190"/>
      <c r="J2600" s="1190"/>
      <c r="K2600" s="1190"/>
      <c r="L2600" s="1190"/>
    </row>
    <row r="2601" spans="6:18" ht="24" customHeight="1">
      <c r="F2601" s="100">
        <v>4</v>
      </c>
      <c r="G2601" s="3" t="s">
        <v>1059</v>
      </c>
      <c r="H2601" t="s">
        <v>1060</v>
      </c>
      <c r="I2601" s="60">
        <f>C393</f>
        <v>157.6</v>
      </c>
      <c r="J2601" s="11" t="s">
        <v>913</v>
      </c>
      <c r="K2601" s="100">
        <f>I2601*F2601</f>
        <v>630.4</v>
      </c>
    </row>
    <row r="2602" spans="6:18" ht="24" customHeight="1">
      <c r="F2602" s="100">
        <v>2.52</v>
      </c>
      <c r="G2602" s="3" t="s">
        <v>913</v>
      </c>
      <c r="H2602" t="s">
        <v>834</v>
      </c>
      <c r="I2602">
        <f>C34/1000</f>
        <v>48</v>
      </c>
      <c r="J2602" s="11" t="s">
        <v>1730</v>
      </c>
      <c r="K2602" s="100">
        <f t="shared" ref="K2602:K2608" si="168">I2602*F2602</f>
        <v>120.96</v>
      </c>
    </row>
    <row r="2603" spans="6:18" ht="24" customHeight="1">
      <c r="F2603" s="100">
        <v>1.1299999999999999</v>
      </c>
      <c r="G2603" s="3" t="s">
        <v>913</v>
      </c>
      <c r="H2603" t="s">
        <v>835</v>
      </c>
      <c r="I2603">
        <f>I2602</f>
        <v>48</v>
      </c>
      <c r="J2603" s="11" t="s">
        <v>1730</v>
      </c>
      <c r="K2603" s="100">
        <f t="shared" si="168"/>
        <v>54.24</v>
      </c>
    </row>
    <row r="2604" spans="6:18" ht="24" customHeight="1">
      <c r="F2604" s="100">
        <v>0.35</v>
      </c>
      <c r="G2604" s="3" t="s">
        <v>1730</v>
      </c>
      <c r="H2604" t="s">
        <v>836</v>
      </c>
      <c r="I2604">
        <f>I2603</f>
        <v>48</v>
      </c>
      <c r="J2604" s="11" t="s">
        <v>1730</v>
      </c>
      <c r="K2604" s="100">
        <f t="shared" si="168"/>
        <v>16.8</v>
      </c>
    </row>
    <row r="2605" spans="6:18" ht="24" customHeight="1">
      <c r="F2605" s="100">
        <v>4</v>
      </c>
      <c r="G2605" s="3" t="s">
        <v>1730</v>
      </c>
      <c r="H2605" t="s">
        <v>110</v>
      </c>
      <c r="I2605">
        <f>C37</f>
        <v>20.8</v>
      </c>
      <c r="J2605" s="11" t="s">
        <v>1730</v>
      </c>
      <c r="K2605" s="100">
        <f t="shared" si="168"/>
        <v>83.2</v>
      </c>
    </row>
    <row r="2606" spans="6:18" ht="24" customHeight="1">
      <c r="F2606" s="100">
        <v>6</v>
      </c>
      <c r="G2606" s="3" t="s">
        <v>1059</v>
      </c>
      <c r="H2606" t="s">
        <v>111</v>
      </c>
      <c r="I2606">
        <v>1</v>
      </c>
      <c r="J2606" s="11" t="s">
        <v>1458</v>
      </c>
      <c r="K2606" s="100">
        <f t="shared" si="168"/>
        <v>6</v>
      </c>
    </row>
    <row r="2607" spans="6:18" ht="24" customHeight="1">
      <c r="F2607" s="100">
        <v>0.5</v>
      </c>
      <c r="G2607" s="3" t="s">
        <v>1059</v>
      </c>
      <c r="H2607" t="s">
        <v>662</v>
      </c>
      <c r="I2607">
        <f>C12</f>
        <v>269.85000000000002</v>
      </c>
      <c r="J2607" s="11" t="s">
        <v>1458</v>
      </c>
      <c r="K2607" s="100">
        <f t="shared" si="168"/>
        <v>134.93</v>
      </c>
    </row>
    <row r="2608" spans="6:18" ht="24" customHeight="1">
      <c r="F2608" s="100">
        <v>0.5</v>
      </c>
      <c r="G2608" s="3" t="s">
        <v>1059</v>
      </c>
      <c r="H2608" t="s">
        <v>360</v>
      </c>
      <c r="I2608">
        <f>C13</f>
        <v>243.6</v>
      </c>
      <c r="J2608" s="11" t="s">
        <v>1458</v>
      </c>
      <c r="K2608" s="100">
        <f t="shared" si="168"/>
        <v>121.8</v>
      </c>
    </row>
    <row r="2609" spans="6:11" ht="24" customHeight="1">
      <c r="G2609" s="3" t="s">
        <v>448</v>
      </c>
      <c r="H2609" t="s">
        <v>112</v>
      </c>
      <c r="I2609" s="34" t="s">
        <v>448</v>
      </c>
      <c r="K2609">
        <v>21.69</v>
      </c>
    </row>
    <row r="2610" spans="6:11" ht="24" customHeight="1">
      <c r="G2610"/>
      <c r="H2610" s="101" t="s">
        <v>113</v>
      </c>
      <c r="K2610" s="102">
        <f>SUM(K2601:K2609)</f>
        <v>1190.02</v>
      </c>
    </row>
    <row r="2611" spans="6:11" ht="24" customHeight="1">
      <c r="G2611"/>
      <c r="H2611" s="101" t="s">
        <v>515</v>
      </c>
      <c r="K2611" s="102">
        <f>K2610/2</f>
        <v>595.01</v>
      </c>
    </row>
    <row r="2612" spans="6:11" ht="24" customHeight="1">
      <c r="G2612"/>
    </row>
    <row r="2613" spans="6:11" ht="24" customHeight="1">
      <c r="H2613" t="s">
        <v>1537</v>
      </c>
    </row>
    <row r="2615" spans="6:11" ht="24" customHeight="1">
      <c r="F2615" s="142"/>
      <c r="G2615" s="143"/>
      <c r="H2615" s="144" t="s">
        <v>2159</v>
      </c>
      <c r="I2615" s="142"/>
      <c r="J2615" s="145"/>
      <c r="K2615" s="142"/>
    </row>
    <row r="2616" spans="6:11" ht="24" customHeight="1">
      <c r="F2616" s="142"/>
      <c r="G2616" s="143"/>
      <c r="H2616" s="142" t="s">
        <v>639</v>
      </c>
      <c r="I2616" s="142"/>
      <c r="J2616" s="145"/>
      <c r="K2616" s="142"/>
    </row>
    <row r="2617" spans="6:11" ht="24" customHeight="1">
      <c r="F2617" s="142">
        <v>41.6</v>
      </c>
      <c r="G2617" s="143" t="s">
        <v>1730</v>
      </c>
      <c r="H2617" s="142" t="s">
        <v>1037</v>
      </c>
      <c r="I2617" s="142">
        <f>I2602</f>
        <v>48</v>
      </c>
      <c r="J2617" s="145" t="s">
        <v>1730</v>
      </c>
      <c r="K2617" s="142">
        <f>F2617*I2617</f>
        <v>1996.8</v>
      </c>
    </row>
    <row r="2618" spans="6:11" ht="24" customHeight="1">
      <c r="F2618" s="142">
        <v>0.5</v>
      </c>
      <c r="G2618" s="143" t="s">
        <v>1454</v>
      </c>
      <c r="H2618" s="142" t="s">
        <v>1038</v>
      </c>
      <c r="I2618" s="142">
        <f>AC21</f>
        <v>331.8</v>
      </c>
      <c r="J2618" s="145" t="s">
        <v>1458</v>
      </c>
      <c r="K2618" s="142">
        <f>F2618*I2618</f>
        <v>165.9</v>
      </c>
    </row>
    <row r="2619" spans="6:11" ht="24" customHeight="1">
      <c r="F2619" s="142">
        <v>1</v>
      </c>
      <c r="G2619" s="143" t="s">
        <v>563</v>
      </c>
      <c r="H2619" s="142" t="s">
        <v>1039</v>
      </c>
      <c r="I2619" s="142">
        <f>C10</f>
        <v>430.5</v>
      </c>
      <c r="J2619" s="145" t="s">
        <v>1458</v>
      </c>
      <c r="K2619" s="142">
        <f>F2619*I2619</f>
        <v>430.5</v>
      </c>
    </row>
    <row r="2620" spans="6:11" ht="24" customHeight="1">
      <c r="F2620" s="142">
        <v>1</v>
      </c>
      <c r="G2620" s="143" t="s">
        <v>563</v>
      </c>
      <c r="H2620" s="142" t="s">
        <v>1282</v>
      </c>
      <c r="I2620" s="142">
        <f>C13</f>
        <v>243.6</v>
      </c>
      <c r="J2620" s="145" t="s">
        <v>1458</v>
      </c>
      <c r="K2620" s="142">
        <f>F2620*I2620</f>
        <v>243.6</v>
      </c>
    </row>
    <row r="2621" spans="6:11" ht="24" customHeight="1">
      <c r="F2621" s="142"/>
      <c r="G2621" s="143" t="s">
        <v>448</v>
      </c>
      <c r="H2621" s="142" t="s">
        <v>833</v>
      </c>
      <c r="I2621" s="142"/>
      <c r="J2621" s="145" t="s">
        <v>448</v>
      </c>
      <c r="K2621" s="142">
        <v>27.7</v>
      </c>
    </row>
    <row r="2622" spans="6:11" ht="24" customHeight="1">
      <c r="F2622" s="142"/>
      <c r="G2622" s="143"/>
      <c r="H2622" s="146" t="s">
        <v>1787</v>
      </c>
      <c r="I2622" s="142"/>
      <c r="J2622" s="146" t="s">
        <v>732</v>
      </c>
      <c r="K2622" s="142">
        <f>SUM(K2617:K2621)</f>
        <v>2864.5</v>
      </c>
    </row>
    <row r="2623" spans="6:11" ht="24" customHeight="1">
      <c r="F2623" s="142"/>
      <c r="G2623" s="143"/>
      <c r="H2623" s="146" t="s">
        <v>1345</v>
      </c>
      <c r="I2623" s="142"/>
      <c r="J2623" s="146" t="s">
        <v>732</v>
      </c>
      <c r="K2623" s="142">
        <f>K2622/16</f>
        <v>179.03</v>
      </c>
    </row>
    <row r="2624" spans="6:11" ht="24" customHeight="1">
      <c r="F2624" s="142"/>
      <c r="G2624" s="143"/>
      <c r="H2624" s="147" t="s">
        <v>101</v>
      </c>
      <c r="I2624" s="148"/>
      <c r="J2624" s="147" t="s">
        <v>732</v>
      </c>
      <c r="K2624" s="148">
        <f>K2623/0.95</f>
        <v>188.45</v>
      </c>
    </row>
    <row r="2625" spans="6:11" ht="24" customHeight="1">
      <c r="F2625" s="142"/>
      <c r="G2625" s="143"/>
      <c r="H2625" s="142"/>
      <c r="I2625" s="142"/>
      <c r="J2625" s="145"/>
      <c r="K2625" s="142"/>
    </row>
    <row r="2626" spans="6:11" ht="24" customHeight="1">
      <c r="F2626" s="142"/>
      <c r="G2626" s="143"/>
      <c r="H2626" s="142"/>
      <c r="I2626" s="142"/>
      <c r="J2626" s="145"/>
      <c r="K2626" s="142"/>
    </row>
    <row r="2627" spans="6:11" ht="24" customHeight="1">
      <c r="F2627" s="149" t="s">
        <v>863</v>
      </c>
      <c r="G2627" s="150" t="s">
        <v>2338</v>
      </c>
      <c r="H2627" s="151" t="s">
        <v>1019</v>
      </c>
      <c r="I2627" s="142"/>
      <c r="J2627" s="145"/>
      <c r="K2627" s="142"/>
    </row>
    <row r="2628" spans="6:11" ht="24" customHeight="1">
      <c r="F2628" s="142"/>
      <c r="G2628" s="143"/>
      <c r="H2628" s="151" t="s">
        <v>1020</v>
      </c>
      <c r="I2628" s="142"/>
      <c r="J2628" s="145"/>
      <c r="K2628" s="142"/>
    </row>
    <row r="2629" spans="6:11" ht="24" customHeight="1">
      <c r="F2629" s="142"/>
      <c r="G2629" s="143"/>
      <c r="H2629" s="151" t="s">
        <v>1021</v>
      </c>
      <c r="I2629" s="142"/>
      <c r="J2629" s="145"/>
      <c r="K2629" s="142"/>
    </row>
    <row r="2630" spans="6:11" ht="24" customHeight="1">
      <c r="F2630" s="142"/>
      <c r="G2630" s="143"/>
      <c r="H2630" s="151" t="s">
        <v>34</v>
      </c>
      <c r="I2630" s="142"/>
      <c r="J2630" s="145"/>
      <c r="K2630" s="142"/>
    </row>
    <row r="2631" spans="6:11" ht="24" customHeight="1">
      <c r="F2631" s="142"/>
      <c r="G2631" s="143"/>
      <c r="H2631" s="152" t="s">
        <v>1667</v>
      </c>
      <c r="I2631" s="142"/>
      <c r="J2631" s="145"/>
      <c r="K2631" s="142"/>
    </row>
    <row r="2632" spans="6:11" ht="24" customHeight="1">
      <c r="F2632" s="153">
        <v>1.8</v>
      </c>
      <c r="G2632" s="150" t="s">
        <v>1730</v>
      </c>
      <c r="H2632" s="151" t="s">
        <v>1346</v>
      </c>
      <c r="I2632" s="215">
        <f>C586</f>
        <v>23</v>
      </c>
      <c r="J2632" s="149" t="s">
        <v>1730</v>
      </c>
      <c r="K2632" s="153">
        <f>(F2632*I2632)</f>
        <v>41.4</v>
      </c>
    </row>
    <row r="2633" spans="6:11" ht="24" customHeight="1">
      <c r="F2633" s="153">
        <v>0.25</v>
      </c>
      <c r="G2633" s="150" t="s">
        <v>883</v>
      </c>
      <c r="H2633" s="151" t="s">
        <v>35</v>
      </c>
      <c r="I2633" s="153">
        <f>C14</f>
        <v>347.55</v>
      </c>
      <c r="J2633" s="149" t="s">
        <v>883</v>
      </c>
      <c r="K2633" s="153">
        <f>(F2633*I2633)</f>
        <v>86.89</v>
      </c>
    </row>
    <row r="2634" spans="6:11" ht="24" customHeight="1">
      <c r="F2634" s="153">
        <v>0.25</v>
      </c>
      <c r="G2634" s="150" t="s">
        <v>883</v>
      </c>
      <c r="H2634" s="151" t="s">
        <v>949</v>
      </c>
      <c r="I2634" s="153">
        <f>C12</f>
        <v>269.85000000000002</v>
      </c>
      <c r="J2634" s="149" t="s">
        <v>883</v>
      </c>
      <c r="K2634" s="153">
        <f>(F2634*I2634)</f>
        <v>67.459999999999994</v>
      </c>
    </row>
    <row r="2635" spans="6:11" ht="24" customHeight="1">
      <c r="F2635" s="153">
        <v>0.4</v>
      </c>
      <c r="G2635" s="150" t="s">
        <v>883</v>
      </c>
      <c r="H2635" s="151" t="s">
        <v>324</v>
      </c>
      <c r="I2635" s="153">
        <f>C13</f>
        <v>243.6</v>
      </c>
      <c r="J2635" s="149" t="s">
        <v>883</v>
      </c>
      <c r="K2635" s="153">
        <f>(F2635*I2635)</f>
        <v>97.44</v>
      </c>
    </row>
    <row r="2636" spans="6:11" ht="24" customHeight="1">
      <c r="F2636" s="142"/>
      <c r="G2636" s="150"/>
      <c r="H2636" s="151"/>
      <c r="I2636" s="151" t="s">
        <v>995</v>
      </c>
      <c r="J2636" s="149"/>
      <c r="K2636" s="153">
        <f>SUM(K2632:K2635)</f>
        <v>293.19</v>
      </c>
    </row>
    <row r="2637" spans="6:11" ht="24" customHeight="1">
      <c r="F2637" s="142"/>
      <c r="G2637" s="143"/>
      <c r="H2637" s="148"/>
      <c r="I2637" s="148"/>
      <c r="J2637" s="154"/>
      <c r="K2637" s="155">
        <f>K2636/10</f>
        <v>29.32</v>
      </c>
    </row>
    <row r="2638" spans="6:11" ht="24" customHeight="1">
      <c r="F2638" s="153">
        <v>3</v>
      </c>
      <c r="G2638" s="150" t="s">
        <v>1730</v>
      </c>
      <c r="H2638" s="151" t="s">
        <v>439</v>
      </c>
      <c r="I2638" s="156">
        <f>C270</f>
        <v>53.1</v>
      </c>
      <c r="J2638" s="149" t="s">
        <v>1730</v>
      </c>
      <c r="K2638" s="156">
        <f>(F2638*I2638)</f>
        <v>159.30000000000001</v>
      </c>
    </row>
    <row r="2639" spans="6:11" ht="24" customHeight="1">
      <c r="F2639" s="153">
        <v>0.5</v>
      </c>
      <c r="G2639" s="150" t="s">
        <v>883</v>
      </c>
      <c r="H2639" s="151" t="s">
        <v>35</v>
      </c>
      <c r="I2639" s="156">
        <f>C14</f>
        <v>347.55</v>
      </c>
      <c r="J2639" s="149" t="s">
        <v>883</v>
      </c>
      <c r="K2639" s="156">
        <f>(F2639*I2639)</f>
        <v>173.78</v>
      </c>
    </row>
    <row r="2640" spans="6:11" ht="24" customHeight="1">
      <c r="F2640" s="153">
        <v>0.5</v>
      </c>
      <c r="G2640" s="150" t="s">
        <v>883</v>
      </c>
      <c r="H2640" s="151" t="s">
        <v>949</v>
      </c>
      <c r="I2640" s="156">
        <f>I2634</f>
        <v>269.85000000000002</v>
      </c>
      <c r="J2640" s="149" t="s">
        <v>883</v>
      </c>
      <c r="K2640" s="156">
        <f>(F2640*I2640)</f>
        <v>134.93</v>
      </c>
    </row>
    <row r="2641" spans="6:12" ht="24" customHeight="1">
      <c r="F2641" s="153">
        <v>0.8</v>
      </c>
      <c r="G2641" s="150" t="s">
        <v>883</v>
      </c>
      <c r="H2641" s="151" t="s">
        <v>324</v>
      </c>
      <c r="I2641" s="156">
        <f>I2635</f>
        <v>243.6</v>
      </c>
      <c r="J2641" s="149" t="s">
        <v>883</v>
      </c>
      <c r="K2641" s="156">
        <f>(F2641*I2641)</f>
        <v>194.88</v>
      </c>
    </row>
    <row r="2642" spans="6:12" ht="24" customHeight="1">
      <c r="F2642" s="142"/>
      <c r="G2642" s="150" t="s">
        <v>448</v>
      </c>
      <c r="H2642" s="151" t="s">
        <v>1913</v>
      </c>
      <c r="I2642" s="151" t="s">
        <v>995</v>
      </c>
      <c r="J2642" s="149" t="s">
        <v>448</v>
      </c>
      <c r="K2642" s="153">
        <v>1.9</v>
      </c>
    </row>
    <row r="2643" spans="6:12" ht="24" customHeight="1">
      <c r="F2643" s="142"/>
      <c r="G2643" s="143"/>
      <c r="H2643" s="148"/>
      <c r="I2643" s="148"/>
      <c r="J2643" s="154"/>
      <c r="K2643" s="138" t="s">
        <v>1667</v>
      </c>
      <c r="L2643">
        <f>24*176</f>
        <v>4224</v>
      </c>
    </row>
    <row r="2644" spans="6:12" ht="24" customHeight="1">
      <c r="F2644" s="142"/>
      <c r="G2644" s="143"/>
      <c r="H2644" s="139" t="s">
        <v>440</v>
      </c>
      <c r="I2644" s="148"/>
      <c r="J2644" s="154"/>
      <c r="K2644" s="140">
        <f>SUM(K2638:K2642)</f>
        <v>664.79</v>
      </c>
    </row>
    <row r="2645" spans="6:12" ht="24" customHeight="1">
      <c r="F2645" s="142"/>
      <c r="G2645" s="143"/>
      <c r="H2645" s="148"/>
      <c r="I2645" s="148"/>
      <c r="J2645" s="154"/>
      <c r="K2645" s="138" t="s">
        <v>1667</v>
      </c>
    </row>
    <row r="2646" spans="6:12" ht="24" customHeight="1">
      <c r="F2646" s="142"/>
      <c r="G2646" s="143"/>
      <c r="H2646" s="139" t="s">
        <v>555</v>
      </c>
      <c r="I2646" s="148"/>
      <c r="J2646" s="154"/>
      <c r="K2646" s="673">
        <f>(K2644/10)</f>
        <v>66.48</v>
      </c>
      <c r="L2646">
        <f>K2646+K2637</f>
        <v>95.8</v>
      </c>
    </row>
    <row r="2647" spans="6:12" ht="24" customHeight="1">
      <c r="F2647" s="142"/>
      <c r="G2647" s="142"/>
      <c r="H2647" s="142"/>
      <c r="I2647" s="142"/>
      <c r="J2647" s="142"/>
      <c r="K2647" s="142"/>
    </row>
    <row r="2648" spans="6:12" ht="24" customHeight="1">
      <c r="F2648" s="157"/>
      <c r="G2648" s="150" t="s">
        <v>2338</v>
      </c>
      <c r="H2648" s="151" t="s">
        <v>2124</v>
      </c>
      <c r="I2648" s="142"/>
      <c r="J2648" s="145"/>
      <c r="K2648" s="142"/>
    </row>
    <row r="2649" spans="6:12" ht="24" customHeight="1">
      <c r="F2649" s="142"/>
      <c r="G2649" s="143"/>
      <c r="H2649" s="151" t="s">
        <v>2365</v>
      </c>
      <c r="I2649" s="142"/>
      <c r="J2649" s="145"/>
      <c r="K2649" s="142"/>
    </row>
    <row r="2650" spans="6:12" ht="24" customHeight="1">
      <c r="F2650" s="142"/>
      <c r="G2650" s="143"/>
      <c r="H2650" s="151" t="s">
        <v>1347</v>
      </c>
      <c r="I2650" s="142"/>
      <c r="J2650" s="145"/>
      <c r="K2650" s="142"/>
    </row>
    <row r="2651" spans="6:12" ht="24" customHeight="1">
      <c r="F2651" s="142"/>
      <c r="G2651" s="143"/>
      <c r="H2651" s="152" t="s">
        <v>1667</v>
      </c>
      <c r="I2651" s="142"/>
      <c r="J2651" s="145"/>
      <c r="K2651" s="142"/>
    </row>
    <row r="2652" spans="6:12" ht="24" customHeight="1">
      <c r="F2652" s="142"/>
      <c r="G2652" s="150" t="s">
        <v>2366</v>
      </c>
      <c r="H2652" s="151" t="s">
        <v>967</v>
      </c>
      <c r="I2652" s="142"/>
      <c r="J2652" s="145"/>
      <c r="K2652" s="151" t="s">
        <v>1514</v>
      </c>
    </row>
    <row r="2653" spans="6:12" ht="24" customHeight="1">
      <c r="F2653" s="142"/>
      <c r="G2653" s="143"/>
      <c r="H2653" s="152" t="s">
        <v>1667</v>
      </c>
      <c r="I2653" s="142"/>
      <c r="J2653" s="145"/>
      <c r="K2653" s="152" t="s">
        <v>2130</v>
      </c>
    </row>
    <row r="2654" spans="6:12" ht="24" customHeight="1">
      <c r="F2654" s="153">
        <v>30</v>
      </c>
      <c r="G2654" s="150" t="s">
        <v>1854</v>
      </c>
      <c r="H2654" s="151" t="s">
        <v>1750</v>
      </c>
      <c r="I2654" s="153">
        <v>3.6</v>
      </c>
      <c r="J2654" s="149" t="s">
        <v>1854</v>
      </c>
      <c r="K2654" s="153">
        <f>(F2654*I2654)</f>
        <v>108</v>
      </c>
    </row>
    <row r="2655" spans="6:12" ht="24" customHeight="1">
      <c r="F2655" s="151" t="s">
        <v>995</v>
      </c>
      <c r="G2655" s="143"/>
      <c r="H2655" s="151" t="s">
        <v>1753</v>
      </c>
      <c r="I2655" s="151" t="s">
        <v>995</v>
      </c>
      <c r="J2655" s="145"/>
      <c r="K2655" s="151" t="s">
        <v>995</v>
      </c>
    </row>
    <row r="2656" spans="6:12" ht="24" customHeight="1">
      <c r="F2656" s="153">
        <v>8</v>
      </c>
      <c r="G2656" s="150" t="s">
        <v>883</v>
      </c>
      <c r="H2656" s="151" t="s">
        <v>2218</v>
      </c>
      <c r="I2656" s="153">
        <f>I1735</f>
        <v>3.6</v>
      </c>
      <c r="J2656" s="149" t="s">
        <v>883</v>
      </c>
      <c r="K2656" s="153">
        <f t="shared" ref="K2656:K2661" si="169">(F2656*I2656)</f>
        <v>28.8</v>
      </c>
    </row>
    <row r="2657" spans="6:11" ht="24" customHeight="1">
      <c r="F2657" s="153">
        <v>8</v>
      </c>
      <c r="G2657" s="150" t="s">
        <v>883</v>
      </c>
      <c r="H2657" s="151" t="s">
        <v>467</v>
      </c>
      <c r="I2657" s="153">
        <f>I1736</f>
        <v>5.05</v>
      </c>
      <c r="J2657" s="149" t="s">
        <v>883</v>
      </c>
      <c r="K2657" s="153">
        <f t="shared" si="169"/>
        <v>40.4</v>
      </c>
    </row>
    <row r="2658" spans="6:11" ht="24" customHeight="1">
      <c r="F2658" s="153">
        <v>3</v>
      </c>
      <c r="G2658" s="150" t="s">
        <v>883</v>
      </c>
      <c r="H2658" s="151" t="s">
        <v>1922</v>
      </c>
      <c r="I2658" s="153">
        <f>C41</f>
        <v>305.55</v>
      </c>
      <c r="J2658" s="149" t="s">
        <v>883</v>
      </c>
      <c r="K2658" s="153">
        <f t="shared" si="169"/>
        <v>916.65</v>
      </c>
    </row>
    <row r="2659" spans="6:11" ht="24" customHeight="1">
      <c r="F2659" s="153">
        <v>1</v>
      </c>
      <c r="G2659" s="150" t="s">
        <v>883</v>
      </c>
      <c r="H2659" s="151" t="s">
        <v>1440</v>
      </c>
      <c r="I2659" s="153">
        <f>C10</f>
        <v>430.5</v>
      </c>
      <c r="J2659" s="149" t="s">
        <v>883</v>
      </c>
      <c r="K2659" s="153">
        <f t="shared" si="169"/>
        <v>430.5</v>
      </c>
    </row>
    <row r="2660" spans="6:11" ht="24" customHeight="1">
      <c r="F2660" s="153">
        <v>2</v>
      </c>
      <c r="G2660" s="150" t="s">
        <v>883</v>
      </c>
      <c r="H2660" s="151" t="s">
        <v>1979</v>
      </c>
      <c r="I2660" s="153">
        <f>C12</f>
        <v>269.85000000000002</v>
      </c>
      <c r="J2660" s="149" t="s">
        <v>883</v>
      </c>
      <c r="K2660" s="153">
        <f t="shared" si="169"/>
        <v>539.70000000000005</v>
      </c>
    </row>
    <row r="2661" spans="6:11" ht="24" customHeight="1">
      <c r="F2661" s="153">
        <v>1</v>
      </c>
      <c r="G2661" s="150" t="s">
        <v>883</v>
      </c>
      <c r="H2661" s="151" t="s">
        <v>324</v>
      </c>
      <c r="I2661" s="153">
        <f>C13</f>
        <v>243.6</v>
      </c>
      <c r="J2661" s="149" t="s">
        <v>883</v>
      </c>
      <c r="K2661" s="153">
        <f t="shared" si="169"/>
        <v>243.6</v>
      </c>
    </row>
    <row r="2662" spans="6:11" ht="50.25" customHeight="1">
      <c r="F2662" s="142"/>
      <c r="G2662" s="150" t="s">
        <v>448</v>
      </c>
      <c r="H2662" s="158" t="s">
        <v>71</v>
      </c>
      <c r="I2662" s="153" t="s">
        <v>72</v>
      </c>
      <c r="J2662" s="149" t="s">
        <v>448</v>
      </c>
      <c r="K2662" s="153">
        <v>64.849999999999994</v>
      </c>
    </row>
    <row r="2663" spans="6:11" ht="24" customHeight="1">
      <c r="F2663" s="142"/>
      <c r="G2663" s="143"/>
      <c r="H2663" s="151"/>
      <c r="I2663" s="153"/>
      <c r="J2663" s="145"/>
      <c r="K2663" s="151" t="s">
        <v>995</v>
      </c>
    </row>
    <row r="2664" spans="6:11" ht="24" customHeight="1">
      <c r="F2664" s="142"/>
      <c r="G2664" s="142"/>
      <c r="H2664" s="142"/>
      <c r="I2664" s="142"/>
      <c r="J2664" s="142"/>
      <c r="K2664" s="142"/>
    </row>
    <row r="2665" spans="6:11" ht="24" customHeight="1">
      <c r="F2665" s="142"/>
      <c r="G2665" s="143"/>
      <c r="H2665" s="142"/>
      <c r="I2665" s="142"/>
      <c r="J2665" s="145"/>
      <c r="K2665" s="152" t="s">
        <v>1667</v>
      </c>
    </row>
    <row r="2666" spans="6:11" ht="24" customHeight="1">
      <c r="F2666" s="142"/>
      <c r="G2666" s="143"/>
      <c r="H2666" s="139" t="s">
        <v>1927</v>
      </c>
      <c r="I2666" s="148"/>
      <c r="J2666" s="154"/>
      <c r="K2666" s="140">
        <f>SUM(K2654:K2663)</f>
        <v>2372.5</v>
      </c>
    </row>
    <row r="2667" spans="6:11" ht="24" customHeight="1">
      <c r="F2667" s="142"/>
      <c r="G2667" s="143"/>
      <c r="H2667" s="148"/>
      <c r="I2667" s="148"/>
      <c r="J2667" s="154"/>
      <c r="K2667" s="138" t="s">
        <v>1667</v>
      </c>
    </row>
    <row r="2668" spans="6:11" ht="24" customHeight="1">
      <c r="F2668" s="142"/>
      <c r="G2668" s="143"/>
      <c r="H2668" s="139" t="s">
        <v>1622</v>
      </c>
      <c r="I2668" s="148"/>
      <c r="J2668" s="154"/>
      <c r="K2668" s="140">
        <f>(K2666/30)</f>
        <v>79.08</v>
      </c>
    </row>
    <row r="2669" spans="6:11" ht="24" customHeight="1">
      <c r="F2669" s="142"/>
      <c r="G2669" s="142"/>
      <c r="H2669" s="142"/>
      <c r="I2669" s="142"/>
      <c r="J2669" s="142"/>
      <c r="K2669" s="142"/>
    </row>
    <row r="2670" spans="6:11" ht="24" customHeight="1">
      <c r="F2670" s="142"/>
      <c r="G2670" s="142"/>
      <c r="H2670" s="142"/>
      <c r="I2670" s="142"/>
      <c r="J2670" s="142"/>
      <c r="K2670" s="142"/>
    </row>
    <row r="2671" spans="6:11" ht="24" customHeight="1">
      <c r="F2671" s="159">
        <v>52</v>
      </c>
      <c r="G2671" s="150" t="s">
        <v>2338</v>
      </c>
      <c r="H2671" s="151" t="s">
        <v>102</v>
      </c>
      <c r="I2671" s="142"/>
      <c r="J2671" s="145"/>
      <c r="K2671" s="142"/>
    </row>
    <row r="2672" spans="6:11" ht="24" customHeight="1">
      <c r="F2672" s="142"/>
      <c r="G2672" s="143"/>
      <c r="H2672" s="151" t="s">
        <v>2244</v>
      </c>
      <c r="I2672" s="142"/>
      <c r="J2672" s="145"/>
      <c r="K2672" s="142"/>
    </row>
    <row r="2673" spans="6:11" ht="24" customHeight="1">
      <c r="F2673" s="142"/>
      <c r="G2673" s="143"/>
      <c r="H2673" s="151" t="s">
        <v>2245</v>
      </c>
      <c r="I2673" s="142"/>
      <c r="J2673" s="145"/>
      <c r="K2673" s="142"/>
    </row>
    <row r="2674" spans="6:11" ht="24" customHeight="1">
      <c r="F2674" s="142"/>
      <c r="G2674" s="143"/>
      <c r="H2674" s="151" t="s">
        <v>1466</v>
      </c>
      <c r="I2674" s="142"/>
      <c r="J2674" s="145"/>
      <c r="K2674" s="142"/>
    </row>
    <row r="2675" spans="6:11" ht="24" customHeight="1">
      <c r="F2675" s="142"/>
      <c r="G2675" s="143"/>
      <c r="H2675" s="151" t="s">
        <v>1467</v>
      </c>
      <c r="I2675" s="142"/>
      <c r="J2675" s="145"/>
      <c r="K2675" s="142"/>
    </row>
    <row r="2676" spans="6:11" ht="24" customHeight="1">
      <c r="F2676" s="142"/>
      <c r="G2676" s="143"/>
      <c r="H2676" s="151" t="s">
        <v>734</v>
      </c>
      <c r="I2676" s="142"/>
      <c r="J2676" s="145"/>
      <c r="K2676" s="142"/>
    </row>
    <row r="2677" spans="6:11" ht="24" customHeight="1">
      <c r="F2677" s="142"/>
      <c r="G2677" s="143"/>
      <c r="H2677" s="151" t="s">
        <v>1413</v>
      </c>
      <c r="I2677" s="142"/>
      <c r="J2677" s="145"/>
      <c r="K2677" s="142"/>
    </row>
    <row r="2678" spans="6:11" ht="24" customHeight="1">
      <c r="F2678" s="142"/>
      <c r="G2678" s="143"/>
      <c r="H2678" s="151" t="s">
        <v>718</v>
      </c>
      <c r="I2678" s="142"/>
      <c r="J2678" s="145"/>
      <c r="K2678" s="142"/>
    </row>
    <row r="2679" spans="6:11" ht="24" customHeight="1">
      <c r="F2679" s="142"/>
      <c r="G2679" s="143"/>
      <c r="H2679" s="152" t="s">
        <v>2130</v>
      </c>
      <c r="I2679" s="152" t="s">
        <v>2130</v>
      </c>
      <c r="J2679" s="145"/>
      <c r="K2679" s="142"/>
    </row>
    <row r="2680" spans="6:11" ht="24" customHeight="1">
      <c r="F2680" s="142"/>
      <c r="G2680" s="150" t="s">
        <v>2338</v>
      </c>
      <c r="H2680" s="151" t="s">
        <v>934</v>
      </c>
      <c r="I2680" s="142"/>
      <c r="J2680" s="145"/>
      <c r="K2680" s="142"/>
    </row>
    <row r="2681" spans="6:11" ht="24" customHeight="1">
      <c r="F2681" s="142"/>
      <c r="G2681" s="143"/>
      <c r="H2681" s="151" t="s">
        <v>822</v>
      </c>
      <c r="I2681" s="142"/>
      <c r="J2681" s="145"/>
      <c r="K2681" s="142"/>
    </row>
    <row r="2682" spans="6:11" ht="24" customHeight="1">
      <c r="F2682" s="142"/>
      <c r="G2682" s="150" t="s">
        <v>321</v>
      </c>
      <c r="H2682" s="151" t="s">
        <v>823</v>
      </c>
      <c r="I2682" s="142"/>
      <c r="J2682" s="145"/>
      <c r="K2682" s="142"/>
    </row>
    <row r="2683" spans="6:11" ht="24" customHeight="1">
      <c r="F2683" s="142"/>
      <c r="G2683" s="143"/>
      <c r="H2683" s="152" t="s">
        <v>1667</v>
      </c>
      <c r="I2683" s="142"/>
      <c r="J2683" s="145"/>
      <c r="K2683" s="142"/>
    </row>
    <row r="2684" spans="6:11" ht="24" customHeight="1">
      <c r="F2684" s="153">
        <v>1</v>
      </c>
      <c r="G2684" s="150" t="s">
        <v>840</v>
      </c>
      <c r="H2684" s="151" t="s">
        <v>622</v>
      </c>
      <c r="I2684" s="153">
        <f>I1799</f>
        <v>42.54</v>
      </c>
      <c r="J2684" s="149" t="s">
        <v>840</v>
      </c>
      <c r="K2684" s="153">
        <f>(F2684*I2684)</f>
        <v>42.54</v>
      </c>
    </row>
    <row r="2685" spans="6:11" ht="24" customHeight="1">
      <c r="F2685" s="153">
        <v>1</v>
      </c>
      <c r="G2685" s="150" t="s">
        <v>448</v>
      </c>
      <c r="H2685" s="151" t="s">
        <v>1881</v>
      </c>
      <c r="I2685" s="153">
        <f>I2684*0.7</f>
        <v>29.78</v>
      </c>
      <c r="J2685" s="149" t="s">
        <v>448</v>
      </c>
      <c r="K2685" s="153">
        <f>(F2685*I2685)</f>
        <v>29.78</v>
      </c>
    </row>
    <row r="2686" spans="6:11" ht="24" customHeight="1">
      <c r="F2686" s="153">
        <v>1</v>
      </c>
      <c r="G2686" s="150" t="s">
        <v>840</v>
      </c>
      <c r="H2686" s="151" t="s">
        <v>167</v>
      </c>
      <c r="I2686" s="153">
        <f>K2668</f>
        <v>79.08</v>
      </c>
      <c r="J2686" s="149" t="s">
        <v>840</v>
      </c>
      <c r="K2686" s="153">
        <f>(F2686*I2686)</f>
        <v>79.08</v>
      </c>
    </row>
    <row r="2687" spans="6:11" ht="24" customHeight="1">
      <c r="F2687" s="142"/>
      <c r="G2687" s="143"/>
      <c r="H2687" s="142"/>
      <c r="I2687" s="151" t="s">
        <v>995</v>
      </c>
      <c r="J2687" s="145"/>
      <c r="K2687" s="152" t="s">
        <v>1667</v>
      </c>
    </row>
    <row r="2688" spans="6:11" ht="24" customHeight="1">
      <c r="F2688" s="142"/>
      <c r="G2688" s="143"/>
      <c r="H2688" s="139" t="s">
        <v>379</v>
      </c>
      <c r="I2688" s="148"/>
      <c r="J2688" s="154"/>
      <c r="K2688" s="140">
        <f>SUM(K2684:K2686)</f>
        <v>151.4</v>
      </c>
    </row>
    <row r="2689" spans="6:12" ht="24" customHeight="1">
      <c r="F2689" s="142"/>
      <c r="G2689" s="143"/>
      <c r="H2689" s="151" t="s">
        <v>995</v>
      </c>
      <c r="I2689" s="151" t="s">
        <v>995</v>
      </c>
      <c r="J2689" s="145"/>
      <c r="K2689" s="152" t="s">
        <v>2130</v>
      </c>
    </row>
    <row r="2690" spans="6:12" ht="24" customHeight="1">
      <c r="F2690" s="142"/>
      <c r="G2690" s="142"/>
      <c r="H2690" s="142"/>
      <c r="I2690" s="142"/>
      <c r="J2690" s="142"/>
      <c r="K2690" s="142"/>
    </row>
    <row r="2691" spans="6:12" ht="24" customHeight="1">
      <c r="F2691" s="269"/>
      <c r="G2691" s="270"/>
      <c r="H2691" s="270"/>
      <c r="I2691" s="270"/>
      <c r="J2691" s="270"/>
      <c r="K2691" s="270"/>
      <c r="L2691" s="241"/>
    </row>
    <row r="2692" spans="6:12" ht="24" customHeight="1">
      <c r="F2692" s="271"/>
      <c r="G2692" s="184" t="s">
        <v>985</v>
      </c>
      <c r="H2692" s="175"/>
      <c r="I2692" s="175"/>
      <c r="J2692" s="177"/>
      <c r="K2692" s="175"/>
      <c r="L2692" s="247"/>
    </row>
    <row r="2693" spans="6:12" ht="24" customHeight="1">
      <c r="F2693" s="272"/>
      <c r="G2693" s="176"/>
      <c r="H2693" s="175"/>
      <c r="I2693" s="175"/>
      <c r="J2693" s="177"/>
      <c r="K2693" s="175"/>
      <c r="L2693" s="247"/>
    </row>
    <row r="2694" spans="6:12" ht="24" customHeight="1">
      <c r="F2694" s="272">
        <v>5</v>
      </c>
      <c r="G2694" s="176" t="s">
        <v>986</v>
      </c>
      <c r="H2694" s="175" t="s">
        <v>987</v>
      </c>
      <c r="I2694" s="273">
        <v>580</v>
      </c>
      <c r="J2694" s="177" t="s">
        <v>988</v>
      </c>
      <c r="K2694" s="175">
        <f>I2694*F2694</f>
        <v>2900</v>
      </c>
      <c r="L2694" s="247"/>
    </row>
    <row r="2695" spans="6:12" ht="24" customHeight="1">
      <c r="F2695" s="272">
        <v>1</v>
      </c>
      <c r="G2695" s="176" t="s">
        <v>1454</v>
      </c>
      <c r="H2695" s="175" t="s">
        <v>777</v>
      </c>
      <c r="I2695" s="175">
        <v>75</v>
      </c>
      <c r="J2695" s="177" t="s">
        <v>1458</v>
      </c>
      <c r="K2695" s="175">
        <f>I2695*F2695</f>
        <v>75</v>
      </c>
      <c r="L2695" s="247"/>
    </row>
    <row r="2696" spans="6:12" ht="24" customHeight="1">
      <c r="F2696" s="272">
        <v>2.5</v>
      </c>
      <c r="G2696" s="176" t="s">
        <v>1454</v>
      </c>
      <c r="H2696" s="175" t="s">
        <v>778</v>
      </c>
      <c r="I2696" s="175">
        <f>C14</f>
        <v>347.55</v>
      </c>
      <c r="J2696" s="177" t="s">
        <v>1454</v>
      </c>
      <c r="K2696" s="175">
        <f>I2696*F2696</f>
        <v>868.88</v>
      </c>
      <c r="L2696" s="247"/>
    </row>
    <row r="2697" spans="6:12" ht="24" customHeight="1">
      <c r="F2697" s="272"/>
      <c r="G2697" s="176"/>
      <c r="H2697" s="175" t="s">
        <v>2359</v>
      </c>
      <c r="I2697" s="181" t="s">
        <v>448</v>
      </c>
      <c r="J2697" s="177"/>
      <c r="K2697" s="175">
        <v>0.25</v>
      </c>
      <c r="L2697" s="247"/>
    </row>
    <row r="2698" spans="6:12" ht="24" customHeight="1">
      <c r="F2698" s="272"/>
      <c r="G2698" s="176"/>
      <c r="H2698" s="175"/>
      <c r="I2698" s="175"/>
      <c r="J2698" s="177"/>
      <c r="K2698" s="274" t="s">
        <v>2130</v>
      </c>
      <c r="L2698" s="247"/>
    </row>
    <row r="2699" spans="6:12" ht="24" customHeight="1">
      <c r="F2699" s="272"/>
      <c r="G2699" s="176"/>
      <c r="H2699" s="175"/>
      <c r="I2699" s="175" t="s">
        <v>779</v>
      </c>
      <c r="J2699" s="177" t="s">
        <v>2130</v>
      </c>
      <c r="K2699" s="179">
        <f>SUM(K2694:K2698)</f>
        <v>3844.13</v>
      </c>
      <c r="L2699" s="247"/>
    </row>
    <row r="2700" spans="6:12" ht="24" customHeight="1">
      <c r="F2700" s="275"/>
      <c r="G2700" s="276"/>
      <c r="H2700" s="277"/>
      <c r="I2700" s="277"/>
      <c r="J2700" s="278"/>
      <c r="K2700" s="279" t="s">
        <v>2130</v>
      </c>
      <c r="L2700" s="262"/>
    </row>
    <row r="2701" spans="6:12" ht="24" customHeight="1">
      <c r="F2701" s="142"/>
      <c r="G2701" s="143"/>
      <c r="H2701" s="142"/>
      <c r="I2701" s="142"/>
      <c r="J2701" s="145"/>
      <c r="K2701" s="142"/>
    </row>
    <row r="2702" spans="6:12" ht="24" customHeight="1">
      <c r="F2702" s="142" t="s">
        <v>960</v>
      </c>
      <c r="G2702" s="143"/>
      <c r="H2702" s="142"/>
      <c r="I2702" s="142"/>
      <c r="J2702" s="145"/>
      <c r="K2702" s="142"/>
    </row>
    <row r="2703" spans="6:12" ht="24" customHeight="1">
      <c r="F2703" s="142"/>
      <c r="G2703" s="143"/>
      <c r="H2703" s="142"/>
      <c r="I2703" s="142"/>
      <c r="J2703" s="145"/>
      <c r="K2703" s="142"/>
    </row>
    <row r="2704" spans="6:12" ht="24" customHeight="1">
      <c r="F2704" s="142" t="s">
        <v>3221</v>
      </c>
      <c r="G2704" s="143"/>
      <c r="H2704" s="142"/>
      <c r="I2704" s="142"/>
      <c r="J2704" s="145"/>
      <c r="K2704" s="142"/>
    </row>
    <row r="2705" spans="5:24" ht="24" customHeight="1">
      <c r="F2705" s="142"/>
      <c r="G2705" s="143"/>
      <c r="H2705" s="142"/>
      <c r="I2705" s="142"/>
      <c r="J2705" s="145"/>
      <c r="K2705" s="142"/>
    </row>
    <row r="2706" spans="5:24" ht="24" customHeight="1">
      <c r="F2706" s="142"/>
      <c r="G2706" s="160">
        <v>0.745</v>
      </c>
      <c r="H2706" s="142" t="s">
        <v>2226</v>
      </c>
      <c r="I2706" s="142"/>
      <c r="J2706" s="145"/>
      <c r="K2706" s="142"/>
    </row>
    <row r="2707" spans="5:24" ht="24" customHeight="1">
      <c r="F2707" s="142"/>
      <c r="G2707" s="143"/>
      <c r="H2707" s="142"/>
      <c r="I2707" s="142"/>
      <c r="J2707" s="145"/>
      <c r="K2707" s="142"/>
    </row>
    <row r="2708" spans="5:24" ht="24" customHeight="1">
      <c r="F2708" s="148" t="s">
        <v>463</v>
      </c>
      <c r="G2708" s="143"/>
      <c r="H2708" s="142"/>
      <c r="I2708" s="142"/>
      <c r="J2708" s="145"/>
      <c r="K2708" s="142"/>
    </row>
    <row r="2709" spans="5:24" ht="24" customHeight="1">
      <c r="F2709" s="142"/>
      <c r="G2709" s="143"/>
      <c r="H2709" s="142"/>
      <c r="I2709" s="142"/>
      <c r="J2709" s="145"/>
      <c r="K2709" s="142"/>
    </row>
    <row r="2710" spans="5:24" ht="24" customHeight="1">
      <c r="E2710">
        <f>6*0.3</f>
        <v>1.8</v>
      </c>
      <c r="F2710" s="161">
        <v>0.37</v>
      </c>
      <c r="G2710" s="143" t="s">
        <v>2226</v>
      </c>
      <c r="H2710" s="142" t="s">
        <v>3224</v>
      </c>
      <c r="I2710" s="142">
        <f>I2913</f>
        <v>5426.25</v>
      </c>
      <c r="J2710" s="146" t="s">
        <v>2226</v>
      </c>
      <c r="K2710" s="142">
        <f>F2710*I2710</f>
        <v>2007.71</v>
      </c>
    </row>
    <row r="2711" spans="5:24" ht="24" customHeight="1">
      <c r="E2711">
        <f>3.5+E2710</f>
        <v>5.3</v>
      </c>
      <c r="F2711" s="142">
        <v>0.25</v>
      </c>
      <c r="G2711" s="143" t="s">
        <v>1454</v>
      </c>
      <c r="H2711" s="142" t="s">
        <v>465</v>
      </c>
      <c r="I2711" s="142">
        <f>C11</f>
        <v>386.4</v>
      </c>
      <c r="J2711" s="146" t="s">
        <v>1458</v>
      </c>
      <c r="K2711" s="142">
        <f>F2711*I2711</f>
        <v>96.6</v>
      </c>
      <c r="L2711">
        <f>K2711</f>
        <v>96.6</v>
      </c>
    </row>
    <row r="2712" spans="5:24" ht="24" customHeight="1">
      <c r="E2712">
        <f>3.14*0.3*0.3</f>
        <v>0.28000000000000003</v>
      </c>
      <c r="F2712" s="142">
        <v>3.5</v>
      </c>
      <c r="G2712" s="143" t="s">
        <v>1492</v>
      </c>
      <c r="H2712" s="142" t="s">
        <v>353</v>
      </c>
      <c r="I2712" s="142">
        <f>C12</f>
        <v>269.85000000000002</v>
      </c>
      <c r="J2712" s="146" t="s">
        <v>1458</v>
      </c>
      <c r="K2712" s="142">
        <f>F2712*I2712</f>
        <v>944.48</v>
      </c>
      <c r="L2712">
        <f>K2712</f>
        <v>944.48</v>
      </c>
    </row>
    <row r="2713" spans="5:24" ht="24" customHeight="1">
      <c r="F2713" s="142">
        <v>12</v>
      </c>
      <c r="G2713" s="143" t="s">
        <v>929</v>
      </c>
      <c r="H2713" s="142" t="s">
        <v>3222</v>
      </c>
      <c r="I2713" s="142"/>
      <c r="J2713" s="146" t="s">
        <v>929</v>
      </c>
      <c r="K2713" s="142">
        <f>I2713*F2713</f>
        <v>0</v>
      </c>
    </row>
    <row r="2714" spans="5:24" ht="24" customHeight="1">
      <c r="E2714">
        <f>E2712/4</f>
        <v>7.0000000000000007E-2</v>
      </c>
      <c r="F2714" s="142"/>
      <c r="G2714" s="142" t="s">
        <v>466</v>
      </c>
      <c r="H2714" s="142" t="s">
        <v>969</v>
      </c>
      <c r="I2714" s="142"/>
      <c r="J2714" s="146" t="s">
        <v>72</v>
      </c>
      <c r="K2714" s="142">
        <f>L2714*10%</f>
        <v>104.11</v>
      </c>
      <c r="L2714">
        <f>SUM(L2711:L2712)</f>
        <v>1041.08</v>
      </c>
    </row>
    <row r="2715" spans="5:24" ht="24" customHeight="1">
      <c r="E2715" s="506">
        <f>E2714*E2711</f>
        <v>0.371</v>
      </c>
      <c r="F2715" s="142"/>
      <c r="G2715" s="143"/>
      <c r="H2715" s="142"/>
      <c r="I2715" s="142"/>
      <c r="J2715" s="145"/>
      <c r="K2715" s="142" t="s">
        <v>970</v>
      </c>
    </row>
    <row r="2716" spans="5:24" ht="24" customHeight="1">
      <c r="F2716" s="142"/>
      <c r="G2716" s="143"/>
      <c r="H2716" s="142"/>
      <c r="I2716" s="142"/>
      <c r="J2716" s="145"/>
      <c r="K2716" s="142"/>
    </row>
    <row r="2717" spans="5:24" ht="24" customHeight="1">
      <c r="F2717" s="142"/>
      <c r="G2717" s="143"/>
      <c r="H2717" s="142"/>
      <c r="I2717" s="142" t="s">
        <v>3223</v>
      </c>
      <c r="J2717" s="145"/>
      <c r="K2717" s="142">
        <f>SUM(K2710:K2714)</f>
        <v>3152.9</v>
      </c>
    </row>
    <row r="2718" spans="5:24" ht="24" customHeight="1">
      <c r="F2718" s="142"/>
      <c r="G2718" s="143"/>
      <c r="H2718" s="142"/>
      <c r="I2718" s="142"/>
      <c r="J2718" s="145"/>
      <c r="K2718" s="142"/>
    </row>
    <row r="2719" spans="5:24" ht="24" customHeight="1">
      <c r="F2719" s="142"/>
      <c r="G2719" s="143"/>
      <c r="H2719" s="142"/>
      <c r="I2719" s="142" t="s">
        <v>1958</v>
      </c>
      <c r="J2719" s="145"/>
      <c r="K2719" s="142">
        <f>K2717/3.5</f>
        <v>900.83</v>
      </c>
      <c r="T2719" s="143"/>
      <c r="U2719" s="142"/>
      <c r="V2719" s="142"/>
      <c r="W2719" s="145"/>
      <c r="X2719" s="142"/>
    </row>
    <row r="2720" spans="5:24" ht="24" customHeight="1">
      <c r="F2720" s="142"/>
      <c r="G2720" s="143"/>
      <c r="H2720" s="142"/>
      <c r="I2720" s="142"/>
      <c r="J2720" s="145"/>
      <c r="K2720" s="142"/>
      <c r="S2720" s="161"/>
      <c r="T2720" s="150" t="s">
        <v>2338</v>
      </c>
      <c r="U2720" s="151" t="s">
        <v>336</v>
      </c>
      <c r="V2720" s="142"/>
      <c r="W2720" s="145"/>
      <c r="X2720" s="142"/>
    </row>
    <row r="2721" spans="6:31" ht="24" customHeight="1">
      <c r="F2721" s="149" t="s">
        <v>567</v>
      </c>
      <c r="G2721" s="150" t="s">
        <v>2338</v>
      </c>
      <c r="H2721" s="151" t="s">
        <v>253</v>
      </c>
      <c r="I2721" s="142"/>
      <c r="J2721" s="145"/>
      <c r="K2721" s="142"/>
      <c r="M2721" s="149" t="s">
        <v>567</v>
      </c>
      <c r="N2721" s="150" t="s">
        <v>2338</v>
      </c>
      <c r="O2721" s="151" t="s">
        <v>253</v>
      </c>
      <c r="P2721" s="142"/>
      <c r="Q2721" s="145"/>
      <c r="R2721" s="142"/>
      <c r="S2721" s="610" t="s">
        <v>567</v>
      </c>
      <c r="T2721" s="143"/>
      <c r="U2721" s="151" t="s">
        <v>254</v>
      </c>
      <c r="V2721" s="142"/>
      <c r="W2721" s="145"/>
      <c r="X2721" s="142"/>
      <c r="AA2721" s="38" t="s">
        <v>1827</v>
      </c>
    </row>
    <row r="2722" spans="6:31" ht="24" customHeight="1">
      <c r="F2722" s="142"/>
      <c r="G2722" s="143"/>
      <c r="H2722" s="151" t="s">
        <v>254</v>
      </c>
      <c r="I2722" s="142"/>
      <c r="J2722" s="145"/>
      <c r="K2722" s="142"/>
      <c r="M2722" s="142"/>
      <c r="N2722" s="143"/>
      <c r="O2722" s="151" t="s">
        <v>254</v>
      </c>
      <c r="P2722" s="142"/>
      <c r="Q2722" s="145"/>
      <c r="R2722" s="142"/>
      <c r="S2722" s="161"/>
      <c r="T2722" s="143"/>
      <c r="U2722" s="151" t="s">
        <v>1533</v>
      </c>
      <c r="V2722" s="142"/>
      <c r="W2722" s="145"/>
      <c r="X2722" s="142"/>
      <c r="AA2722" s="38" t="s">
        <v>1828</v>
      </c>
    </row>
    <row r="2723" spans="6:31" ht="24" customHeight="1">
      <c r="F2723" s="142"/>
      <c r="G2723" s="143"/>
      <c r="H2723" s="151" t="s">
        <v>1533</v>
      </c>
      <c r="I2723" s="148" t="s">
        <v>2290</v>
      </c>
      <c r="J2723" s="145"/>
      <c r="K2723" s="142"/>
      <c r="M2723" s="142"/>
      <c r="N2723" s="143"/>
      <c r="O2723" s="151" t="s">
        <v>716</v>
      </c>
      <c r="P2723" s="148" t="s">
        <v>2289</v>
      </c>
      <c r="Q2723" s="145"/>
      <c r="R2723" s="142"/>
      <c r="S2723" s="161"/>
      <c r="T2723" s="143"/>
      <c r="U2723" s="152" t="s">
        <v>1667</v>
      </c>
      <c r="V2723" s="142"/>
      <c r="W2723" s="145"/>
      <c r="X2723" s="142"/>
    </row>
    <row r="2724" spans="6:31" ht="24" customHeight="1">
      <c r="F2724" s="142"/>
      <c r="G2724" s="143"/>
      <c r="H2724" s="152" t="s">
        <v>1667</v>
      </c>
      <c r="I2724" s="142"/>
      <c r="J2724" s="145"/>
      <c r="K2724" s="142"/>
      <c r="M2724" s="142"/>
      <c r="N2724" s="143"/>
      <c r="O2724" s="152" t="s">
        <v>1667</v>
      </c>
      <c r="P2724" s="142"/>
      <c r="Q2724" s="145"/>
      <c r="R2724" s="142"/>
      <c r="S2724" s="161"/>
      <c r="T2724" s="143"/>
      <c r="U2724" s="151" t="s">
        <v>1959</v>
      </c>
      <c r="V2724" s="142"/>
      <c r="W2724" s="145"/>
      <c r="X2724" s="142"/>
      <c r="AA2724" s="78" t="s">
        <v>884</v>
      </c>
      <c r="AB2724" s="38" t="s">
        <v>3311</v>
      </c>
      <c r="AC2724" s="38">
        <f>I2734</f>
        <v>102600</v>
      </c>
    </row>
    <row r="2725" spans="6:31" ht="24" customHeight="1">
      <c r="F2725" s="142"/>
      <c r="G2725" s="143"/>
      <c r="H2725" s="151" t="s">
        <v>1959</v>
      </c>
      <c r="I2725" s="142"/>
      <c r="J2725" s="145"/>
      <c r="K2725" s="142"/>
      <c r="M2725" s="142"/>
      <c r="N2725" s="143"/>
      <c r="O2725" s="151" t="s">
        <v>421</v>
      </c>
      <c r="P2725" s="142"/>
      <c r="Q2725" s="145"/>
      <c r="R2725" s="142"/>
      <c r="S2725" s="161"/>
      <c r="T2725" s="143"/>
      <c r="U2725" s="151" t="s">
        <v>1960</v>
      </c>
      <c r="V2725" s="142"/>
      <c r="W2725" s="145"/>
      <c r="X2725" s="142"/>
      <c r="AA2725" s="78" t="s">
        <v>884</v>
      </c>
      <c r="AB2725" s="38" t="s">
        <v>2610</v>
      </c>
      <c r="AC2725" s="38">
        <f>I2735</f>
        <v>91300</v>
      </c>
      <c r="AD2725" s="104" t="s">
        <v>884</v>
      </c>
      <c r="AE2725" s="38" t="e">
        <f>AC2724*#REF!</f>
        <v>#REF!</v>
      </c>
    </row>
    <row r="2726" spans="6:31" ht="24" customHeight="1">
      <c r="F2726" s="142"/>
      <c r="G2726" s="143"/>
      <c r="H2726" s="151" t="s">
        <v>1960</v>
      </c>
      <c r="I2726" s="142"/>
      <c r="J2726" s="145"/>
      <c r="K2726" s="142"/>
      <c r="M2726" s="142"/>
      <c r="N2726" s="143"/>
      <c r="O2726" s="151" t="s">
        <v>1960</v>
      </c>
      <c r="P2726" s="142"/>
      <c r="Q2726" s="145"/>
      <c r="R2726" s="142"/>
      <c r="S2726" s="161"/>
      <c r="T2726" s="143"/>
      <c r="U2726" s="142"/>
      <c r="V2726" s="142"/>
      <c r="W2726" s="149" t="s">
        <v>1667</v>
      </c>
      <c r="X2726" s="142"/>
      <c r="AA2726" s="78" t="s">
        <v>884</v>
      </c>
      <c r="AB2726" s="38" t="s">
        <v>1829</v>
      </c>
      <c r="AC2726" s="38">
        <v>81290</v>
      </c>
      <c r="AD2726" s="104" t="s">
        <v>884</v>
      </c>
      <c r="AE2726" s="38" t="e">
        <f>AC2725*#REF!</f>
        <v>#REF!</v>
      </c>
    </row>
    <row r="2727" spans="6:31" ht="24" customHeight="1">
      <c r="F2727" s="142"/>
      <c r="G2727" s="143"/>
      <c r="H2727" s="142"/>
      <c r="I2727" s="142"/>
      <c r="J2727" s="149" t="s">
        <v>1667</v>
      </c>
      <c r="K2727" s="142"/>
      <c r="M2727" s="142"/>
      <c r="N2727" s="143"/>
      <c r="O2727" s="142"/>
      <c r="P2727" s="142"/>
      <c r="Q2727" s="149" t="s">
        <v>1667</v>
      </c>
      <c r="R2727" s="142"/>
      <c r="S2727" s="161"/>
      <c r="T2727" s="143"/>
      <c r="U2727" s="151" t="s">
        <v>1359</v>
      </c>
      <c r="V2727" s="142"/>
      <c r="W2727" s="145"/>
      <c r="X2727" s="142"/>
      <c r="AA2727" s="78" t="s">
        <v>611</v>
      </c>
      <c r="AB2727" s="38" t="s">
        <v>898</v>
      </c>
      <c r="AC2727" s="38">
        <f>I2738</f>
        <v>666.75</v>
      </c>
      <c r="AD2727" s="104" t="s">
        <v>884</v>
      </c>
      <c r="AE2727" s="38" t="e">
        <f>AC2726*#REF!</f>
        <v>#REF!</v>
      </c>
    </row>
    <row r="2728" spans="6:31" ht="24" customHeight="1">
      <c r="F2728" s="142"/>
      <c r="G2728" s="143"/>
      <c r="H2728" s="151" t="s">
        <v>1359</v>
      </c>
      <c r="I2728" s="142"/>
      <c r="J2728" s="145"/>
      <c r="K2728" s="142"/>
      <c r="M2728" s="142"/>
      <c r="N2728" s="143"/>
      <c r="O2728" s="151" t="s">
        <v>423</v>
      </c>
      <c r="P2728" s="142"/>
      <c r="Q2728" s="145"/>
      <c r="R2728" s="142"/>
      <c r="S2728" s="161"/>
      <c r="T2728" s="143"/>
      <c r="U2728" s="151" t="s">
        <v>1360</v>
      </c>
      <c r="V2728" s="142"/>
      <c r="W2728" s="145"/>
      <c r="X2728" s="162">
        <v>2.7099999999999999E-2</v>
      </c>
      <c r="AA2728" s="78" t="s">
        <v>1950</v>
      </c>
      <c r="AB2728" s="38" t="s">
        <v>2197</v>
      </c>
      <c r="AC2728" s="38">
        <f t="shared" ref="AC2728:AC2733" si="170">I2739</f>
        <v>50.6</v>
      </c>
      <c r="AD2728" s="104" t="s">
        <v>611</v>
      </c>
      <c r="AE2728" s="38" t="e">
        <f>AC2727*#REF!</f>
        <v>#REF!</v>
      </c>
    </row>
    <row r="2729" spans="6:31" ht="24" customHeight="1">
      <c r="F2729" s="142"/>
      <c r="G2729" s="143"/>
      <c r="H2729" s="151" t="s">
        <v>1360</v>
      </c>
      <c r="I2729" s="142"/>
      <c r="J2729" s="145"/>
      <c r="K2729" s="162">
        <v>2.7099999999999999E-2</v>
      </c>
      <c r="M2729" s="142"/>
      <c r="N2729" s="143"/>
      <c r="O2729" s="151" t="s">
        <v>2287</v>
      </c>
      <c r="P2729" s="142"/>
      <c r="Q2729" s="145"/>
      <c r="R2729" s="162">
        <v>2.784E-2</v>
      </c>
      <c r="S2729" s="161"/>
      <c r="T2729" s="143"/>
      <c r="U2729" s="142"/>
      <c r="V2729" s="142"/>
      <c r="W2729" s="149" t="s">
        <v>995</v>
      </c>
      <c r="X2729" s="152" t="s">
        <v>1667</v>
      </c>
      <c r="AA2729" s="78" t="s">
        <v>1950</v>
      </c>
      <c r="AB2729" s="38" t="s">
        <v>1135</v>
      </c>
      <c r="AC2729" s="38">
        <f t="shared" si="170"/>
        <v>69.849999999999994</v>
      </c>
      <c r="AD2729" s="104" t="s">
        <v>1458</v>
      </c>
      <c r="AE2729" s="38" t="e">
        <f>AC2728*#REF!</f>
        <v>#REF!</v>
      </c>
    </row>
    <row r="2730" spans="6:31" ht="24" customHeight="1">
      <c r="F2730" s="142"/>
      <c r="G2730" s="143"/>
      <c r="H2730" s="142"/>
      <c r="I2730" s="142"/>
      <c r="J2730" s="149" t="s">
        <v>995</v>
      </c>
      <c r="K2730" s="152" t="s">
        <v>1667</v>
      </c>
      <c r="M2730" s="142"/>
      <c r="N2730" s="143"/>
      <c r="O2730" s="142"/>
      <c r="P2730" s="142"/>
      <c r="Q2730" s="149" t="s">
        <v>995</v>
      </c>
      <c r="R2730" s="152" t="s">
        <v>1667</v>
      </c>
      <c r="S2730" s="161"/>
      <c r="T2730" s="143"/>
      <c r="U2730" s="151" t="s">
        <v>1361</v>
      </c>
      <c r="V2730" s="142"/>
      <c r="W2730" s="163" t="s">
        <v>995</v>
      </c>
      <c r="X2730" s="162">
        <v>1.2840000000000001E-2</v>
      </c>
      <c r="AA2730" s="78" t="s">
        <v>1950</v>
      </c>
      <c r="AB2730" s="38" t="s">
        <v>1409</v>
      </c>
      <c r="AC2730" s="38">
        <f t="shared" si="170"/>
        <v>50.6</v>
      </c>
      <c r="AD2730" s="104" t="s">
        <v>1458</v>
      </c>
      <c r="AE2730" s="38" t="e">
        <f>AC2729*#REF!</f>
        <v>#REF!</v>
      </c>
    </row>
    <row r="2731" spans="6:31" ht="24" customHeight="1">
      <c r="F2731" s="142"/>
      <c r="G2731" s="143"/>
      <c r="H2731" s="151" t="s">
        <v>1361</v>
      </c>
      <c r="I2731" s="142"/>
      <c r="J2731" s="163" t="s">
        <v>995</v>
      </c>
      <c r="K2731" s="162">
        <v>1.2840000000000001E-2</v>
      </c>
      <c r="M2731" s="142"/>
      <c r="N2731" s="143"/>
      <c r="O2731" s="151" t="s">
        <v>2288</v>
      </c>
      <c r="P2731" s="142"/>
      <c r="Q2731" s="163" t="s">
        <v>995</v>
      </c>
      <c r="R2731" s="162">
        <v>2.5499999999999998E-2</v>
      </c>
      <c r="S2731" s="161"/>
      <c r="T2731" s="143"/>
      <c r="U2731" s="151" t="s">
        <v>962</v>
      </c>
      <c r="V2731" s="142"/>
      <c r="W2731" s="149" t="s">
        <v>995</v>
      </c>
      <c r="X2731" s="162">
        <v>3.5799999999999998E-3</v>
      </c>
      <c r="Y2731" s="218">
        <f>SUM(X2730:X2731)</f>
        <v>1.6420000000000001E-2</v>
      </c>
      <c r="AA2731" s="78" t="s">
        <v>1950</v>
      </c>
      <c r="AB2731" s="38" t="s">
        <v>1410</v>
      </c>
      <c r="AC2731" s="38">
        <f t="shared" si="170"/>
        <v>158.4</v>
      </c>
      <c r="AD2731" s="104" t="s">
        <v>1458</v>
      </c>
      <c r="AE2731" s="38" t="e">
        <f>AC2730*#REF!</f>
        <v>#REF!</v>
      </c>
    </row>
    <row r="2732" spans="6:31" ht="24" customHeight="1">
      <c r="F2732" s="142"/>
      <c r="G2732" s="143"/>
      <c r="H2732" s="151" t="s">
        <v>2291</v>
      </c>
      <c r="I2732" s="142"/>
      <c r="J2732" s="149" t="s">
        <v>995</v>
      </c>
      <c r="K2732" s="162">
        <v>3.5799999999999998E-3</v>
      </c>
      <c r="M2732" s="142"/>
      <c r="N2732" s="143"/>
      <c r="O2732" s="151"/>
      <c r="P2732" s="142"/>
      <c r="Q2732" s="149" t="s">
        <v>995</v>
      </c>
      <c r="R2732" s="162"/>
      <c r="S2732" s="161"/>
      <c r="T2732" s="143"/>
      <c r="U2732" s="142"/>
      <c r="V2732" s="142"/>
      <c r="W2732" s="145"/>
      <c r="X2732" s="152" t="s">
        <v>1667</v>
      </c>
      <c r="AA2732" s="78" t="s">
        <v>1950</v>
      </c>
      <c r="AB2732" s="38" t="s">
        <v>2056</v>
      </c>
      <c r="AC2732" s="38">
        <f t="shared" si="170"/>
        <v>7.5</v>
      </c>
      <c r="AD2732" s="104" t="s">
        <v>1458</v>
      </c>
      <c r="AE2732" s="38" t="e">
        <f>AC2731*#REF!</f>
        <v>#REF!</v>
      </c>
    </row>
    <row r="2733" spans="6:31" ht="24" customHeight="1">
      <c r="F2733" s="519"/>
      <c r="G2733" s="143"/>
      <c r="H2733" s="142"/>
      <c r="I2733" s="142"/>
      <c r="J2733" s="145"/>
      <c r="K2733" s="152" t="s">
        <v>1667</v>
      </c>
      <c r="L2733" s="218">
        <f>K2732+K2731</f>
        <v>1.6420000000000001E-2</v>
      </c>
      <c r="M2733" s="142"/>
      <c r="N2733" s="143"/>
      <c r="O2733" s="142"/>
      <c r="P2733" s="142"/>
      <c r="Q2733" s="145"/>
      <c r="R2733" s="152" t="s">
        <v>1667</v>
      </c>
      <c r="S2733" s="161"/>
      <c r="T2733" s="150" t="s">
        <v>884</v>
      </c>
      <c r="U2733" s="151" t="s">
        <v>337</v>
      </c>
      <c r="V2733" s="153">
        <v>26180</v>
      </c>
      <c r="W2733" s="149" t="s">
        <v>884</v>
      </c>
      <c r="X2733" s="153">
        <f t="shared" ref="X2733:X2744" si="171">(S2734*V2733)</f>
        <v>497.42</v>
      </c>
      <c r="AA2733" s="78" t="s">
        <v>1950</v>
      </c>
      <c r="AB2733" s="38" t="s">
        <v>2058</v>
      </c>
      <c r="AC2733" s="38">
        <f t="shared" si="170"/>
        <v>44.4</v>
      </c>
      <c r="AD2733" s="104" t="s">
        <v>1458</v>
      </c>
      <c r="AE2733" s="38" t="e">
        <f>AC2732*#REF!</f>
        <v>#REF!</v>
      </c>
    </row>
    <row r="2734" spans="6:31" ht="24" customHeight="1">
      <c r="F2734" s="162">
        <v>1.898E-2</v>
      </c>
      <c r="G2734" s="150" t="s">
        <v>884</v>
      </c>
      <c r="H2734" s="151" t="s">
        <v>313</v>
      </c>
      <c r="I2734" s="153">
        <f>AA26</f>
        <v>102600</v>
      </c>
      <c r="J2734" s="149" t="s">
        <v>884</v>
      </c>
      <c r="K2734" s="153">
        <f>(F2734*I2734)</f>
        <v>1947.35</v>
      </c>
      <c r="M2734" s="162">
        <v>1.898E-2</v>
      </c>
      <c r="N2734" s="150" t="s">
        <v>884</v>
      </c>
      <c r="O2734" s="151" t="s">
        <v>313</v>
      </c>
      <c r="P2734" s="153">
        <f>I2734</f>
        <v>102600</v>
      </c>
      <c r="Q2734" s="149" t="s">
        <v>884</v>
      </c>
      <c r="R2734" s="153">
        <f>(M2734*P2734)</f>
        <v>1947.35</v>
      </c>
      <c r="S2734" s="165">
        <f>F2734</f>
        <v>1.9E-2</v>
      </c>
      <c r="T2734" s="150" t="s">
        <v>884</v>
      </c>
      <c r="U2734" s="151" t="s">
        <v>337</v>
      </c>
      <c r="V2734" s="153">
        <f>V2733</f>
        <v>26180</v>
      </c>
      <c r="W2734" s="149" t="s">
        <v>884</v>
      </c>
      <c r="X2734" s="153">
        <f t="shared" si="171"/>
        <v>706.86</v>
      </c>
      <c r="AA2734" s="78"/>
      <c r="AB2734" s="38" t="s">
        <v>1825</v>
      </c>
      <c r="AC2734" s="38">
        <v>2.1</v>
      </c>
      <c r="AD2734" s="104" t="s">
        <v>1458</v>
      </c>
      <c r="AE2734" s="38" t="e">
        <f>AC2733*#REF!</f>
        <v>#REF!</v>
      </c>
    </row>
    <row r="2735" spans="6:31" ht="24" customHeight="1">
      <c r="F2735" s="162">
        <f>K2729</f>
        <v>2.7099999999999999E-2</v>
      </c>
      <c r="G2735" s="150" t="s">
        <v>884</v>
      </c>
      <c r="H2735" s="151" t="s">
        <v>314</v>
      </c>
      <c r="I2735" s="153">
        <f>AA27</f>
        <v>91300</v>
      </c>
      <c r="J2735" s="149" t="s">
        <v>884</v>
      </c>
      <c r="K2735" s="153">
        <f t="shared" ref="K2735:K2745" si="172">(F2735*I2735)</f>
        <v>2474.23</v>
      </c>
      <c r="M2735" s="162">
        <f>R2729</f>
        <v>2.784E-2</v>
      </c>
      <c r="N2735" s="150" t="s">
        <v>884</v>
      </c>
      <c r="O2735" s="151" t="s">
        <v>314</v>
      </c>
      <c r="P2735" s="153">
        <f t="shared" ref="P2735:P2744" si="173">I2735</f>
        <v>91300</v>
      </c>
      <c r="Q2735" s="149" t="s">
        <v>884</v>
      </c>
      <c r="R2735" s="153">
        <f t="shared" ref="R2735:R2745" si="174">(M2735*P2735)</f>
        <v>2541.79</v>
      </c>
      <c r="S2735" s="165">
        <f t="shared" ref="S2735:S2745" si="175">F2735</f>
        <v>2.7E-2</v>
      </c>
      <c r="T2735" s="150" t="s">
        <v>884</v>
      </c>
      <c r="U2735" s="151" t="s">
        <v>338</v>
      </c>
      <c r="V2735" s="153">
        <v>30030</v>
      </c>
      <c r="W2735" s="149" t="s">
        <v>884</v>
      </c>
      <c r="X2735" s="153">
        <f t="shared" si="171"/>
        <v>480.48</v>
      </c>
      <c r="AA2735" s="78"/>
      <c r="AB2735" s="38" t="s">
        <v>555</v>
      </c>
      <c r="AC2735" s="38"/>
      <c r="AD2735" s="104"/>
      <c r="AE2735" s="38" t="e">
        <f>AC2734*#REF!</f>
        <v>#REF!</v>
      </c>
    </row>
    <row r="2736" spans="6:31" ht="24" customHeight="1">
      <c r="F2736" s="162">
        <f>L2733</f>
        <v>1.6420000000000001E-2</v>
      </c>
      <c r="G2736" s="150" t="s">
        <v>884</v>
      </c>
      <c r="H2736" s="151" t="s">
        <v>315</v>
      </c>
      <c r="I2736" s="153">
        <f>AA28</f>
        <v>87300</v>
      </c>
      <c r="J2736" s="149" t="s">
        <v>884</v>
      </c>
      <c r="K2736" s="153">
        <f t="shared" si="172"/>
        <v>1433.47</v>
      </c>
      <c r="M2736" s="162">
        <f>R2731</f>
        <v>2.5499999999999998E-2</v>
      </c>
      <c r="N2736" s="150" t="s">
        <v>884</v>
      </c>
      <c r="O2736" s="151" t="s">
        <v>315</v>
      </c>
      <c r="P2736" s="153">
        <f t="shared" si="173"/>
        <v>87300</v>
      </c>
      <c r="Q2736" s="149" t="s">
        <v>884</v>
      </c>
      <c r="R2736" s="153">
        <f t="shared" si="174"/>
        <v>2226.15</v>
      </c>
      <c r="S2736" s="165">
        <f t="shared" si="175"/>
        <v>1.6E-2</v>
      </c>
      <c r="T2736" s="143"/>
      <c r="U2736" s="151"/>
      <c r="V2736" s="153">
        <f>V917</f>
        <v>0</v>
      </c>
      <c r="W2736" s="145"/>
      <c r="X2736" s="153">
        <f t="shared" si="171"/>
        <v>0</v>
      </c>
      <c r="AA2736" s="78"/>
      <c r="AB2736" s="38"/>
      <c r="AC2736" s="38"/>
      <c r="AD2736" s="104"/>
      <c r="AE2736" s="38" t="e">
        <f>SUM(AE2725:AE2735)</f>
        <v>#REF!</v>
      </c>
    </row>
    <row r="2737" spans="6:31" ht="24" customHeight="1">
      <c r="F2737" s="164"/>
      <c r="G2737" s="143"/>
      <c r="H2737" s="151" t="s">
        <v>963</v>
      </c>
      <c r="I2737" s="153">
        <f>I918</f>
        <v>0</v>
      </c>
      <c r="J2737" s="145"/>
      <c r="K2737" s="153">
        <f t="shared" si="172"/>
        <v>0</v>
      </c>
      <c r="M2737" s="164"/>
      <c r="N2737" s="143"/>
      <c r="O2737" s="151" t="s">
        <v>2292</v>
      </c>
      <c r="P2737" s="153"/>
      <c r="Q2737" s="145"/>
      <c r="R2737" s="153"/>
      <c r="S2737" s="165"/>
      <c r="T2737" s="150" t="s">
        <v>611</v>
      </c>
      <c r="U2737" s="151" t="s">
        <v>446</v>
      </c>
      <c r="V2737" s="153">
        <f>I2738</f>
        <v>666.75</v>
      </c>
      <c r="W2737" s="149" t="s">
        <v>611</v>
      </c>
      <c r="X2737" s="153">
        <f t="shared" si="171"/>
        <v>1215.49</v>
      </c>
      <c r="AA2737" s="78"/>
      <c r="AB2737" s="38" t="s">
        <v>555</v>
      </c>
      <c r="AC2737" s="38"/>
      <c r="AD2737" s="104"/>
      <c r="AE2737" s="596" t="s">
        <v>152</v>
      </c>
    </row>
    <row r="2738" spans="6:31" ht="24" customHeight="1">
      <c r="F2738" s="164">
        <v>1.8225</v>
      </c>
      <c r="G2738" s="150" t="s">
        <v>611</v>
      </c>
      <c r="H2738" s="151" t="s">
        <v>446</v>
      </c>
      <c r="I2738" s="153">
        <f>I907</f>
        <v>666.75</v>
      </c>
      <c r="J2738" s="149" t="s">
        <v>611</v>
      </c>
      <c r="K2738" s="153">
        <f t="shared" si="172"/>
        <v>1215.1500000000001</v>
      </c>
      <c r="M2738" s="164">
        <v>2.2275</v>
      </c>
      <c r="N2738" s="150" t="s">
        <v>611</v>
      </c>
      <c r="O2738" s="151" t="s">
        <v>446</v>
      </c>
      <c r="P2738" s="153">
        <f t="shared" si="173"/>
        <v>666.75</v>
      </c>
      <c r="Q2738" s="149" t="s">
        <v>611</v>
      </c>
      <c r="R2738" s="153">
        <f t="shared" si="174"/>
        <v>1485.19</v>
      </c>
      <c r="S2738" s="165">
        <f t="shared" si="175"/>
        <v>1.823</v>
      </c>
      <c r="T2738" s="150" t="s">
        <v>781</v>
      </c>
      <c r="U2738" s="151" t="s">
        <v>1526</v>
      </c>
      <c r="V2738" s="153">
        <f t="shared" ref="V2738:V2743" si="176">I2739</f>
        <v>50.6</v>
      </c>
      <c r="W2738" s="149" t="s">
        <v>883</v>
      </c>
      <c r="X2738" s="153">
        <f t="shared" si="171"/>
        <v>50.6</v>
      </c>
      <c r="AA2738" s="78"/>
      <c r="AB2738" s="38"/>
      <c r="AC2738" s="38"/>
      <c r="AD2738" s="104"/>
      <c r="AE2738" s="38" t="e">
        <f>AE2736/#REF!</f>
        <v>#REF!</v>
      </c>
    </row>
    <row r="2739" spans="6:31" ht="24" customHeight="1">
      <c r="F2739" s="153">
        <v>1</v>
      </c>
      <c r="G2739" s="150" t="s">
        <v>781</v>
      </c>
      <c r="H2739" s="151" t="s">
        <v>451</v>
      </c>
      <c r="I2739" s="153">
        <f t="shared" ref="I2739:I2744" si="177">I2757</f>
        <v>50.6</v>
      </c>
      <c r="J2739" s="149" t="s">
        <v>883</v>
      </c>
      <c r="K2739" s="153">
        <f t="shared" si="172"/>
        <v>50.6</v>
      </c>
      <c r="M2739" s="153">
        <v>1</v>
      </c>
      <c r="N2739" s="150" t="s">
        <v>781</v>
      </c>
      <c r="O2739" s="151" t="s">
        <v>1526</v>
      </c>
      <c r="P2739" s="153">
        <f t="shared" si="173"/>
        <v>50.6</v>
      </c>
      <c r="Q2739" s="149" t="s">
        <v>883</v>
      </c>
      <c r="R2739" s="153">
        <f t="shared" si="174"/>
        <v>50.6</v>
      </c>
      <c r="S2739" s="165">
        <f t="shared" si="175"/>
        <v>1</v>
      </c>
      <c r="T2739" s="150" t="s">
        <v>883</v>
      </c>
      <c r="U2739" s="151" t="s">
        <v>1527</v>
      </c>
      <c r="V2739" s="153">
        <f t="shared" si="176"/>
        <v>69.849999999999994</v>
      </c>
      <c r="W2739" s="149" t="s">
        <v>883</v>
      </c>
      <c r="X2739" s="153">
        <f t="shared" si="171"/>
        <v>209.55</v>
      </c>
      <c r="AD2739" s="104"/>
      <c r="AE2739" s="596" t="s">
        <v>152</v>
      </c>
    </row>
    <row r="2740" spans="6:31" ht="24" customHeight="1">
      <c r="F2740" s="153">
        <v>3</v>
      </c>
      <c r="G2740" s="150" t="s">
        <v>883</v>
      </c>
      <c r="H2740" s="151" t="s">
        <v>1527</v>
      </c>
      <c r="I2740" s="153">
        <f t="shared" si="177"/>
        <v>69.849999999999994</v>
      </c>
      <c r="J2740" s="149" t="s">
        <v>883</v>
      </c>
      <c r="K2740" s="153">
        <f t="shared" si="172"/>
        <v>209.55</v>
      </c>
      <c r="M2740" s="153">
        <v>3</v>
      </c>
      <c r="N2740" s="150" t="s">
        <v>883</v>
      </c>
      <c r="O2740" s="151" t="s">
        <v>1527</v>
      </c>
      <c r="P2740" s="153">
        <f t="shared" si="173"/>
        <v>69.849999999999994</v>
      </c>
      <c r="Q2740" s="149" t="s">
        <v>883</v>
      </c>
      <c r="R2740" s="153">
        <f t="shared" si="174"/>
        <v>209.55</v>
      </c>
      <c r="S2740" s="165">
        <f t="shared" si="175"/>
        <v>3</v>
      </c>
      <c r="T2740" s="150" t="s">
        <v>883</v>
      </c>
      <c r="U2740" s="151" t="s">
        <v>1528</v>
      </c>
      <c r="V2740" s="153">
        <f t="shared" si="176"/>
        <v>50.6</v>
      </c>
      <c r="W2740" s="149" t="s">
        <v>883</v>
      </c>
      <c r="X2740" s="153">
        <f t="shared" si="171"/>
        <v>101.2</v>
      </c>
    </row>
    <row r="2741" spans="6:31" ht="24" customHeight="1">
      <c r="F2741" s="153">
        <v>2</v>
      </c>
      <c r="G2741" s="150" t="s">
        <v>883</v>
      </c>
      <c r="H2741" s="151" t="s">
        <v>1528</v>
      </c>
      <c r="I2741" s="153">
        <f t="shared" si="177"/>
        <v>50.6</v>
      </c>
      <c r="J2741" s="149" t="s">
        <v>883</v>
      </c>
      <c r="K2741" s="153">
        <f t="shared" si="172"/>
        <v>101.2</v>
      </c>
      <c r="M2741" s="153">
        <v>2</v>
      </c>
      <c r="N2741" s="150" t="s">
        <v>883</v>
      </c>
      <c r="O2741" s="151" t="s">
        <v>1528</v>
      </c>
      <c r="P2741" s="153">
        <f t="shared" si="173"/>
        <v>50.6</v>
      </c>
      <c r="Q2741" s="149" t="s">
        <v>883</v>
      </c>
      <c r="R2741" s="153">
        <f t="shared" si="174"/>
        <v>101.2</v>
      </c>
      <c r="S2741" s="165">
        <f t="shared" si="175"/>
        <v>2</v>
      </c>
      <c r="T2741" s="150" t="s">
        <v>883</v>
      </c>
      <c r="U2741" s="151" t="s">
        <v>1529</v>
      </c>
      <c r="V2741" s="153">
        <f t="shared" si="176"/>
        <v>158.4</v>
      </c>
      <c r="W2741" s="149" t="s">
        <v>883</v>
      </c>
      <c r="X2741" s="153">
        <f t="shared" si="171"/>
        <v>158.4</v>
      </c>
    </row>
    <row r="2742" spans="6:31" ht="24" customHeight="1">
      <c r="F2742" s="153">
        <v>1</v>
      </c>
      <c r="G2742" s="150" t="s">
        <v>883</v>
      </c>
      <c r="H2742" s="151" t="s">
        <v>1529</v>
      </c>
      <c r="I2742" s="153">
        <f t="shared" si="177"/>
        <v>158.4</v>
      </c>
      <c r="J2742" s="149" t="s">
        <v>883</v>
      </c>
      <c r="K2742" s="153">
        <f t="shared" si="172"/>
        <v>158.4</v>
      </c>
      <c r="M2742" s="153">
        <v>1</v>
      </c>
      <c r="N2742" s="150" t="s">
        <v>883</v>
      </c>
      <c r="O2742" s="151" t="s">
        <v>1529</v>
      </c>
      <c r="P2742" s="153">
        <f t="shared" si="173"/>
        <v>158.4</v>
      </c>
      <c r="Q2742" s="149" t="s">
        <v>883</v>
      </c>
      <c r="R2742" s="153">
        <f t="shared" si="174"/>
        <v>158.4</v>
      </c>
      <c r="S2742" s="165">
        <f t="shared" si="175"/>
        <v>1</v>
      </c>
      <c r="T2742" s="150" t="s">
        <v>883</v>
      </c>
      <c r="U2742" s="151" t="s">
        <v>1530</v>
      </c>
      <c r="V2742" s="153">
        <f t="shared" si="176"/>
        <v>7.5</v>
      </c>
      <c r="W2742" s="149" t="s">
        <v>883</v>
      </c>
      <c r="X2742" s="153">
        <f t="shared" si="171"/>
        <v>7.5</v>
      </c>
    </row>
    <row r="2743" spans="6:31" ht="24" customHeight="1">
      <c r="F2743" s="153">
        <v>1</v>
      </c>
      <c r="G2743" s="150" t="s">
        <v>883</v>
      </c>
      <c r="H2743" s="151" t="s">
        <v>1530</v>
      </c>
      <c r="I2743" s="153">
        <f t="shared" si="177"/>
        <v>7.5</v>
      </c>
      <c r="J2743" s="149" t="s">
        <v>883</v>
      </c>
      <c r="K2743" s="153">
        <f t="shared" si="172"/>
        <v>7.5</v>
      </c>
      <c r="M2743" s="153">
        <v>1</v>
      </c>
      <c r="N2743" s="150" t="s">
        <v>883</v>
      </c>
      <c r="O2743" s="151" t="s">
        <v>1530</v>
      </c>
      <c r="P2743" s="153">
        <f t="shared" si="173"/>
        <v>7.5</v>
      </c>
      <c r="Q2743" s="149" t="s">
        <v>883</v>
      </c>
      <c r="R2743" s="153">
        <f t="shared" si="174"/>
        <v>7.5</v>
      </c>
      <c r="S2743" s="165">
        <f t="shared" si="175"/>
        <v>1</v>
      </c>
      <c r="T2743" s="150" t="s">
        <v>883</v>
      </c>
      <c r="U2743" s="151" t="s">
        <v>2058</v>
      </c>
      <c r="V2743" s="153">
        <f t="shared" si="176"/>
        <v>44.4</v>
      </c>
      <c r="W2743" s="149" t="s">
        <v>883</v>
      </c>
      <c r="X2743" s="153">
        <f t="shared" si="171"/>
        <v>44.4</v>
      </c>
    </row>
    <row r="2744" spans="6:31" ht="24" customHeight="1">
      <c r="F2744" s="153">
        <v>1</v>
      </c>
      <c r="G2744" s="150" t="s">
        <v>883</v>
      </c>
      <c r="H2744" s="151" t="s">
        <v>2058</v>
      </c>
      <c r="I2744" s="153">
        <f t="shared" si="177"/>
        <v>44.4</v>
      </c>
      <c r="J2744" s="149" t="s">
        <v>883</v>
      </c>
      <c r="K2744" s="153">
        <f t="shared" si="172"/>
        <v>44.4</v>
      </c>
      <c r="M2744" s="153">
        <v>1</v>
      </c>
      <c r="N2744" s="150" t="s">
        <v>883</v>
      </c>
      <c r="O2744" s="151" t="s">
        <v>2058</v>
      </c>
      <c r="P2744" s="153">
        <f t="shared" si="173"/>
        <v>44.4</v>
      </c>
      <c r="Q2744" s="149" t="s">
        <v>883</v>
      </c>
      <c r="R2744" s="153">
        <f t="shared" si="174"/>
        <v>44.4</v>
      </c>
      <c r="S2744" s="165">
        <f t="shared" si="175"/>
        <v>1</v>
      </c>
      <c r="T2744" s="143"/>
      <c r="U2744" s="142" t="s">
        <v>474</v>
      </c>
      <c r="V2744" s="142">
        <v>2.1</v>
      </c>
      <c r="W2744" s="145"/>
      <c r="X2744" s="153">
        <f t="shared" si="171"/>
        <v>21</v>
      </c>
    </row>
    <row r="2745" spans="6:31" ht="24" customHeight="1">
      <c r="F2745" s="142">
        <v>10</v>
      </c>
      <c r="G2745" s="143"/>
      <c r="H2745" s="142" t="s">
        <v>1395</v>
      </c>
      <c r="I2745" s="142">
        <v>2.2999999999999998</v>
      </c>
      <c r="J2745" s="145"/>
      <c r="K2745" s="153">
        <f t="shared" si="172"/>
        <v>23</v>
      </c>
      <c r="M2745" s="142">
        <v>10</v>
      </c>
      <c r="N2745" s="143"/>
      <c r="O2745" s="142" t="s">
        <v>1825</v>
      </c>
      <c r="P2745" s="142">
        <v>2.1</v>
      </c>
      <c r="Q2745" s="145"/>
      <c r="R2745" s="153">
        <f t="shared" si="174"/>
        <v>21</v>
      </c>
      <c r="S2745" s="161">
        <f t="shared" si="175"/>
        <v>10</v>
      </c>
      <c r="T2745" s="143"/>
      <c r="U2745" s="151" t="s">
        <v>1007</v>
      </c>
      <c r="V2745" s="142"/>
      <c r="W2745" s="145"/>
      <c r="X2745" s="153">
        <f>SUM(X2733:X2744)</f>
        <v>3492.9</v>
      </c>
    </row>
    <row r="2746" spans="6:31" ht="24" customHeight="1">
      <c r="F2746" s="142"/>
      <c r="G2746" s="143"/>
      <c r="H2746" s="151" t="s">
        <v>1007</v>
      </c>
      <c r="I2746" s="142"/>
      <c r="J2746" s="145"/>
      <c r="K2746" s="153">
        <f>SUM(K2734:K2745)</f>
        <v>7664.85</v>
      </c>
      <c r="M2746" s="142"/>
      <c r="N2746" s="143"/>
      <c r="O2746" s="151" t="s">
        <v>3598</v>
      </c>
      <c r="P2746" s="142"/>
      <c r="Q2746" s="145"/>
      <c r="R2746" s="153">
        <f>SUM(R2734:R2745)</f>
        <v>8793.1299999999992</v>
      </c>
      <c r="S2746" s="161"/>
      <c r="T2746" s="143"/>
      <c r="U2746" s="142"/>
      <c r="V2746" s="142"/>
      <c r="W2746" s="145"/>
      <c r="X2746" s="152" t="s">
        <v>1667</v>
      </c>
    </row>
    <row r="2747" spans="6:31" ht="24" customHeight="1">
      <c r="F2747" s="142"/>
      <c r="G2747" s="143"/>
      <c r="H2747" s="142"/>
      <c r="I2747" s="142"/>
      <c r="J2747" s="145"/>
      <c r="K2747" s="152" t="s">
        <v>1667</v>
      </c>
      <c r="M2747" s="142"/>
      <c r="N2747" s="143"/>
      <c r="O2747" s="142"/>
      <c r="P2747" s="142"/>
      <c r="Q2747" s="145"/>
      <c r="R2747" s="152" t="s">
        <v>1667</v>
      </c>
      <c r="S2747" s="161"/>
      <c r="T2747" s="143"/>
      <c r="U2747" s="151" t="s">
        <v>555</v>
      </c>
      <c r="V2747" s="142"/>
      <c r="W2747" s="145"/>
      <c r="X2747" s="153">
        <f>X2745/1.8225</f>
        <v>1916.54</v>
      </c>
    </row>
    <row r="2748" spans="6:31" ht="24" customHeight="1">
      <c r="F2748" s="142"/>
      <c r="G2748" s="143"/>
      <c r="H2748" s="151" t="s">
        <v>555</v>
      </c>
      <c r="I2748" s="142"/>
      <c r="J2748" s="145"/>
      <c r="K2748" s="153">
        <f>K2746/F2738</f>
        <v>4205.68</v>
      </c>
      <c r="M2748" s="142"/>
      <c r="N2748" s="143"/>
      <c r="O2748" s="151" t="s">
        <v>555</v>
      </c>
      <c r="P2748" s="142"/>
      <c r="Q2748" s="145"/>
      <c r="R2748" s="153">
        <f>R2746/M2738</f>
        <v>3947.53</v>
      </c>
      <c r="S2748" s="161"/>
      <c r="T2748" s="143"/>
      <c r="U2748" s="142"/>
      <c r="V2748" s="142"/>
      <c r="W2748" s="145"/>
      <c r="X2748" s="142"/>
    </row>
    <row r="2749" spans="6:31" ht="24" customHeight="1">
      <c r="F2749" s="142"/>
      <c r="G2749" s="143"/>
      <c r="H2749" s="142"/>
      <c r="I2749" s="142"/>
      <c r="J2749" s="145"/>
      <c r="K2749" s="142"/>
      <c r="S2749" s="161"/>
    </row>
    <row r="2750" spans="6:31" ht="24" customHeight="1">
      <c r="F2750" s="149" t="s">
        <v>567</v>
      </c>
      <c r="G2750" s="150" t="s">
        <v>2338</v>
      </c>
      <c r="H2750" s="151" t="s">
        <v>1851</v>
      </c>
      <c r="I2750" s="142"/>
      <c r="J2750" s="145"/>
      <c r="K2750" s="142"/>
    </row>
    <row r="2751" spans="6:31" ht="24" customHeight="1">
      <c r="F2751" s="142"/>
      <c r="G2751" s="143"/>
      <c r="H2751" s="151" t="s">
        <v>254</v>
      </c>
      <c r="I2751" s="142"/>
      <c r="J2751" s="145"/>
      <c r="K2751" s="142"/>
    </row>
    <row r="2752" spans="6:31" ht="24" customHeight="1">
      <c r="F2752" s="142"/>
      <c r="G2752" s="143"/>
      <c r="H2752" s="151" t="s">
        <v>1533</v>
      </c>
      <c r="I2752" s="142"/>
      <c r="J2752" s="145">
        <f>1.1*2.025</f>
        <v>2.23</v>
      </c>
      <c r="K2752" s="142"/>
    </row>
    <row r="2753" spans="6:18" ht="24" customHeight="1">
      <c r="F2753" s="142"/>
      <c r="G2753" s="143"/>
      <c r="H2753" s="152" t="s">
        <v>1667</v>
      </c>
      <c r="I2753" s="142"/>
      <c r="J2753" s="145"/>
      <c r="K2753" s="142"/>
    </row>
    <row r="2754" spans="6:18" ht="24" customHeight="1">
      <c r="F2754" s="142"/>
      <c r="G2754" s="143"/>
      <c r="H2754" s="151" t="s">
        <v>92</v>
      </c>
      <c r="I2754" s="142"/>
      <c r="J2754" s="145"/>
      <c r="K2754" s="142"/>
      <c r="M2754" s="149" t="s">
        <v>567</v>
      </c>
      <c r="N2754" s="150" t="s">
        <v>2338</v>
      </c>
      <c r="O2754" s="151" t="s">
        <v>253</v>
      </c>
      <c r="P2754" s="142"/>
      <c r="Q2754" s="145"/>
      <c r="R2754" s="142"/>
    </row>
    <row r="2755" spans="6:18" ht="54.75" customHeight="1">
      <c r="F2755" s="161">
        <v>1.823</v>
      </c>
      <c r="G2755" s="150" t="s">
        <v>611</v>
      </c>
      <c r="H2755" s="158" t="s">
        <v>753</v>
      </c>
      <c r="I2755" s="210">
        <v>1936</v>
      </c>
      <c r="J2755" s="149" t="s">
        <v>611</v>
      </c>
      <c r="K2755" s="142">
        <f>F2756*I2755</f>
        <v>3529.33</v>
      </c>
      <c r="M2755" s="142"/>
      <c r="N2755" s="143"/>
      <c r="O2755" s="151" t="s">
        <v>254</v>
      </c>
      <c r="P2755" s="148" t="s">
        <v>3600</v>
      </c>
      <c r="Q2755" s="145"/>
      <c r="R2755" s="142"/>
    </row>
    <row r="2756" spans="6:18" ht="24" customHeight="1">
      <c r="F2756" s="165">
        <v>1.823</v>
      </c>
      <c r="G2756" s="150" t="s">
        <v>611</v>
      </c>
      <c r="H2756" s="151" t="s">
        <v>446</v>
      </c>
      <c r="I2756" s="298">
        <v>80.2</v>
      </c>
      <c r="J2756" s="149" t="s">
        <v>611</v>
      </c>
      <c r="K2756" s="153">
        <f t="shared" ref="K2756:K2762" si="178">(F2756*I2756)</f>
        <v>146.19999999999999</v>
      </c>
      <c r="M2756" s="142"/>
      <c r="N2756" s="143"/>
      <c r="O2756" s="151" t="s">
        <v>716</v>
      </c>
      <c r="P2756" s="148" t="s">
        <v>3599</v>
      </c>
      <c r="Q2756" s="145"/>
      <c r="R2756" s="142"/>
    </row>
    <row r="2757" spans="6:18" ht="24" customHeight="1">
      <c r="F2757" s="153">
        <v>2</v>
      </c>
      <c r="G2757" s="150" t="s">
        <v>781</v>
      </c>
      <c r="H2757" s="151" t="s">
        <v>1526</v>
      </c>
      <c r="I2757" s="153">
        <f t="shared" ref="I2757:I2762" si="179">I943</f>
        <v>50.6</v>
      </c>
      <c r="J2757" s="149" t="s">
        <v>883</v>
      </c>
      <c r="K2757" s="153">
        <f t="shared" si="178"/>
        <v>101.2</v>
      </c>
      <c r="M2757" s="142"/>
      <c r="N2757" s="143"/>
      <c r="O2757" s="152" t="s">
        <v>1667</v>
      </c>
      <c r="Q2757" s="145"/>
      <c r="R2757" s="142"/>
    </row>
    <row r="2758" spans="6:18" ht="24" customHeight="1">
      <c r="F2758" s="153">
        <v>3</v>
      </c>
      <c r="G2758" s="150" t="s">
        <v>883</v>
      </c>
      <c r="H2758" s="151" t="s">
        <v>1527</v>
      </c>
      <c r="I2758" s="153">
        <f t="shared" si="179"/>
        <v>69.849999999999994</v>
      </c>
      <c r="J2758" s="149" t="s">
        <v>883</v>
      </c>
      <c r="K2758" s="153">
        <f t="shared" si="178"/>
        <v>209.55</v>
      </c>
      <c r="M2758" s="142"/>
      <c r="N2758" s="143"/>
      <c r="O2758" s="151" t="s">
        <v>3595</v>
      </c>
      <c r="P2758" s="142"/>
      <c r="Q2758" s="145"/>
      <c r="R2758" s="142"/>
    </row>
    <row r="2759" spans="6:18" ht="24" customHeight="1">
      <c r="F2759" s="153">
        <v>2</v>
      </c>
      <c r="G2759" s="150" t="s">
        <v>883</v>
      </c>
      <c r="H2759" s="151" t="s">
        <v>1528</v>
      </c>
      <c r="I2759" s="153">
        <f t="shared" si="179"/>
        <v>50.6</v>
      </c>
      <c r="J2759" s="149" t="s">
        <v>883</v>
      </c>
      <c r="K2759" s="153">
        <f t="shared" si="178"/>
        <v>101.2</v>
      </c>
      <c r="M2759" s="142"/>
      <c r="N2759" s="143"/>
      <c r="O2759" s="151" t="s">
        <v>3358</v>
      </c>
      <c r="P2759" s="142"/>
      <c r="Q2759" s="145"/>
      <c r="R2759" s="142"/>
    </row>
    <row r="2760" spans="6:18" ht="24" customHeight="1">
      <c r="F2760" s="153">
        <v>1</v>
      </c>
      <c r="G2760" s="150" t="s">
        <v>883</v>
      </c>
      <c r="H2760" s="151" t="s">
        <v>1529</v>
      </c>
      <c r="I2760" s="153">
        <f t="shared" si="179"/>
        <v>158.4</v>
      </c>
      <c r="J2760" s="149" t="s">
        <v>883</v>
      </c>
      <c r="K2760" s="153">
        <f t="shared" si="178"/>
        <v>158.4</v>
      </c>
      <c r="M2760" s="142"/>
      <c r="N2760" s="143"/>
      <c r="O2760" s="142"/>
      <c r="P2760" s="142"/>
      <c r="Q2760" s="149" t="s">
        <v>1667</v>
      </c>
      <c r="R2760" s="142"/>
    </row>
    <row r="2761" spans="6:18" ht="24" customHeight="1">
      <c r="F2761" s="153">
        <v>1</v>
      </c>
      <c r="G2761" s="150" t="s">
        <v>883</v>
      </c>
      <c r="H2761" s="151" t="s">
        <v>1530</v>
      </c>
      <c r="I2761" s="153">
        <f t="shared" si="179"/>
        <v>7.5</v>
      </c>
      <c r="J2761" s="149" t="s">
        <v>883</v>
      </c>
      <c r="K2761" s="153">
        <f t="shared" si="178"/>
        <v>7.5</v>
      </c>
      <c r="M2761" s="142"/>
      <c r="N2761" s="143"/>
      <c r="O2761" s="151" t="s">
        <v>2492</v>
      </c>
      <c r="P2761" s="142"/>
      <c r="Q2761" s="145"/>
      <c r="R2761" s="142"/>
    </row>
    <row r="2762" spans="6:18" ht="24" customHeight="1">
      <c r="F2762" s="153">
        <v>1</v>
      </c>
      <c r="G2762" s="150" t="s">
        <v>883</v>
      </c>
      <c r="H2762" s="151" t="s">
        <v>2058</v>
      </c>
      <c r="I2762" s="153">
        <f t="shared" si="179"/>
        <v>44.4</v>
      </c>
      <c r="J2762" s="149" t="s">
        <v>883</v>
      </c>
      <c r="K2762" s="153">
        <f t="shared" si="178"/>
        <v>44.4</v>
      </c>
      <c r="M2762" s="142"/>
      <c r="N2762" s="143"/>
      <c r="O2762" s="151" t="s">
        <v>2493</v>
      </c>
      <c r="P2762" s="142"/>
      <c r="Q2762" s="145"/>
      <c r="R2762" s="162">
        <v>2.8910000000000002E-2</v>
      </c>
    </row>
    <row r="2763" spans="6:18" ht="24" customHeight="1">
      <c r="F2763" s="142"/>
      <c r="G2763" s="143"/>
      <c r="H2763" s="142"/>
      <c r="I2763" s="142"/>
      <c r="J2763" s="145"/>
      <c r="K2763" s="156">
        <v>0.85</v>
      </c>
      <c r="M2763" s="142"/>
      <c r="N2763" s="143"/>
      <c r="O2763" s="142"/>
      <c r="P2763" s="142"/>
      <c r="Q2763" s="149" t="s">
        <v>995</v>
      </c>
      <c r="R2763" s="152" t="s">
        <v>1667</v>
      </c>
    </row>
    <row r="2764" spans="6:18" ht="24" customHeight="1">
      <c r="F2764" s="142"/>
      <c r="G2764" s="143"/>
      <c r="H2764" s="151" t="s">
        <v>1279</v>
      </c>
      <c r="I2764" s="142"/>
      <c r="J2764" s="145"/>
      <c r="K2764" s="153">
        <f>SUM(K2755:K2763)</f>
        <v>4298.63</v>
      </c>
      <c r="M2764" s="142"/>
      <c r="N2764" s="143"/>
      <c r="O2764" s="151" t="s">
        <v>2494</v>
      </c>
      <c r="P2764" s="142"/>
      <c r="Q2764" s="163" t="s">
        <v>995</v>
      </c>
      <c r="R2764" s="162"/>
    </row>
    <row r="2765" spans="6:18" ht="24" customHeight="1">
      <c r="F2765" s="142"/>
      <c r="G2765" s="143"/>
      <c r="H2765" s="142"/>
      <c r="I2765" s="142"/>
      <c r="J2765" s="145"/>
      <c r="K2765" s="152" t="s">
        <v>1667</v>
      </c>
      <c r="M2765" s="142"/>
      <c r="N2765" s="143"/>
      <c r="O2765" s="151" t="s">
        <v>3596</v>
      </c>
      <c r="P2765" s="142"/>
      <c r="Q2765" s="149" t="s">
        <v>995</v>
      </c>
      <c r="R2765" s="162">
        <v>1.7999999999999999E-2</v>
      </c>
    </row>
    <row r="2766" spans="6:18" ht="24" customHeight="1">
      <c r="F2766" s="142"/>
      <c r="G2766" s="143"/>
      <c r="H2766" s="151" t="s">
        <v>555</v>
      </c>
      <c r="I2766" s="142"/>
      <c r="J2766" s="145"/>
      <c r="K2766" s="153">
        <f>K2764/F2756</f>
        <v>2358</v>
      </c>
      <c r="M2766" s="142"/>
      <c r="N2766" s="143"/>
      <c r="O2766" s="142"/>
      <c r="P2766" s="142"/>
      <c r="Q2766" s="145"/>
      <c r="R2766" s="152" t="s">
        <v>1667</v>
      </c>
    </row>
    <row r="2767" spans="6:18" ht="24" customHeight="1">
      <c r="F2767" s="151" t="s">
        <v>995</v>
      </c>
      <c r="G2767" s="143"/>
      <c r="H2767" s="142"/>
      <c r="I2767" s="142"/>
      <c r="J2767" s="145"/>
      <c r="K2767" s="142"/>
      <c r="M2767" s="162">
        <v>1.9220000000000001E-2</v>
      </c>
      <c r="N2767" s="150" t="s">
        <v>884</v>
      </c>
      <c r="O2767" s="151" t="s">
        <v>313</v>
      </c>
      <c r="P2767" s="153">
        <f>P2734</f>
        <v>102600</v>
      </c>
      <c r="Q2767" s="149" t="s">
        <v>884</v>
      </c>
      <c r="R2767" s="153">
        <f>(M2767*P2767)</f>
        <v>1971.97</v>
      </c>
    </row>
    <row r="2768" spans="6:18" ht="24" customHeight="1">
      <c r="F2768" s="142"/>
      <c r="G2768" s="143"/>
      <c r="H2768" s="142"/>
      <c r="I2768" s="142"/>
      <c r="J2768" s="145"/>
      <c r="K2768" s="142"/>
      <c r="M2768" s="162">
        <f>R2762</f>
        <v>2.8910000000000002E-2</v>
      </c>
      <c r="N2768" s="150" t="s">
        <v>884</v>
      </c>
      <c r="O2768" s="151" t="s">
        <v>314</v>
      </c>
      <c r="P2768" s="153">
        <f t="shared" ref="P2768:P2778" si="180">P2735</f>
        <v>91300</v>
      </c>
      <c r="Q2768" s="149" t="s">
        <v>884</v>
      </c>
      <c r="R2768" s="153">
        <f>(M2768*P2768)</f>
        <v>2639.48</v>
      </c>
    </row>
    <row r="2769" spans="6:18" ht="24" customHeight="1">
      <c r="F2769" s="157" t="s">
        <v>895</v>
      </c>
      <c r="G2769" s="143"/>
      <c r="H2769" s="151" t="s">
        <v>568</v>
      </c>
      <c r="I2769" s="142"/>
      <c r="J2769" s="166"/>
      <c r="K2769" s="142"/>
      <c r="M2769" s="162">
        <f>R2765</f>
        <v>1.7999999999999999E-2</v>
      </c>
      <c r="N2769" s="150" t="s">
        <v>884</v>
      </c>
      <c r="O2769" s="151" t="s">
        <v>315</v>
      </c>
      <c r="P2769" s="153">
        <f t="shared" si="180"/>
        <v>87300</v>
      </c>
      <c r="Q2769" s="149" t="s">
        <v>884</v>
      </c>
      <c r="R2769" s="153">
        <f>(M2769*P2769)</f>
        <v>1571.4</v>
      </c>
    </row>
    <row r="2770" spans="6:18" ht="24" customHeight="1">
      <c r="F2770" s="142"/>
      <c r="G2770" s="143"/>
      <c r="H2770" s="152" t="s">
        <v>1667</v>
      </c>
      <c r="I2770" s="152" t="s">
        <v>1667</v>
      </c>
      <c r="J2770" s="151" t="s">
        <v>1667</v>
      </c>
      <c r="K2770" s="142"/>
      <c r="M2770" s="164"/>
      <c r="N2770" s="143"/>
      <c r="O2770" s="151" t="s">
        <v>2292</v>
      </c>
      <c r="P2770" s="153"/>
      <c r="Q2770" s="145"/>
      <c r="R2770" s="153"/>
    </row>
    <row r="2771" spans="6:18" ht="24" customHeight="1">
      <c r="F2771" s="142"/>
      <c r="G2771" s="143"/>
      <c r="H2771" s="142"/>
      <c r="I2771" s="142"/>
      <c r="J2771" s="166"/>
      <c r="K2771" s="142"/>
      <c r="M2771" s="164">
        <v>2.2549999999999999</v>
      </c>
      <c r="N2771" s="150" t="s">
        <v>611</v>
      </c>
      <c r="O2771" s="151" t="s">
        <v>446</v>
      </c>
      <c r="P2771" s="153">
        <f t="shared" si="180"/>
        <v>666.75</v>
      </c>
      <c r="Q2771" s="149" t="s">
        <v>611</v>
      </c>
      <c r="R2771" s="153">
        <f t="shared" ref="R2771:R2777" si="181">(M2771*P2771)</f>
        <v>1503.52</v>
      </c>
    </row>
    <row r="2772" spans="6:18" ht="24" customHeight="1">
      <c r="F2772" s="142"/>
      <c r="G2772" s="143"/>
      <c r="H2772" s="151" t="s">
        <v>2073</v>
      </c>
      <c r="I2772" s="142"/>
      <c r="J2772" s="166"/>
      <c r="K2772" s="142"/>
      <c r="M2772" s="153">
        <v>1</v>
      </c>
      <c r="N2772" s="150" t="s">
        <v>781</v>
      </c>
      <c r="O2772" s="151" t="s">
        <v>1526</v>
      </c>
      <c r="P2772" s="153">
        <f t="shared" si="180"/>
        <v>50.6</v>
      </c>
      <c r="Q2772" s="149" t="s">
        <v>883</v>
      </c>
      <c r="R2772" s="153">
        <f t="shared" si="181"/>
        <v>50.6</v>
      </c>
    </row>
    <row r="2773" spans="6:18" ht="24" customHeight="1">
      <c r="F2773" s="142"/>
      <c r="G2773" s="143"/>
      <c r="H2773" s="151"/>
      <c r="I2773" s="142"/>
      <c r="J2773" s="166"/>
      <c r="K2773" s="142"/>
      <c r="M2773" s="153">
        <v>3</v>
      </c>
      <c r="N2773" s="150" t="s">
        <v>883</v>
      </c>
      <c r="O2773" s="151" t="s">
        <v>1527</v>
      </c>
      <c r="P2773" s="153">
        <f t="shared" si="180"/>
        <v>69.849999999999994</v>
      </c>
      <c r="Q2773" s="149" t="s">
        <v>883</v>
      </c>
      <c r="R2773" s="153">
        <f t="shared" si="181"/>
        <v>209.55</v>
      </c>
    </row>
    <row r="2774" spans="6:18" ht="24" customHeight="1">
      <c r="F2774" s="142"/>
      <c r="G2774" s="143"/>
      <c r="H2774" s="167" t="s">
        <v>2074</v>
      </c>
      <c r="I2774" s="142"/>
      <c r="J2774" s="166"/>
      <c r="K2774" s="168"/>
      <c r="M2774" s="153">
        <v>2</v>
      </c>
      <c r="N2774" s="150" t="s">
        <v>883</v>
      </c>
      <c r="O2774" s="151" t="s">
        <v>1528</v>
      </c>
      <c r="P2774" s="153">
        <f t="shared" si="180"/>
        <v>50.6</v>
      </c>
      <c r="Q2774" s="149" t="s">
        <v>883</v>
      </c>
      <c r="R2774" s="153">
        <f t="shared" si="181"/>
        <v>101.2</v>
      </c>
    </row>
    <row r="2775" spans="6:18" ht="24" customHeight="1">
      <c r="F2775" s="142"/>
      <c r="G2775" s="143"/>
      <c r="H2775" s="151" t="s">
        <v>454</v>
      </c>
      <c r="I2775" s="169">
        <f>0.0118+0.00675</f>
        <v>1.8550000000000001E-2</v>
      </c>
      <c r="J2775" s="166"/>
      <c r="K2775" s="142"/>
      <c r="M2775" s="153">
        <v>1</v>
      </c>
      <c r="N2775" s="150" t="s">
        <v>883</v>
      </c>
      <c r="O2775" s="151" t="s">
        <v>1529</v>
      </c>
      <c r="P2775" s="153">
        <f t="shared" si="180"/>
        <v>158.4</v>
      </c>
      <c r="Q2775" s="149" t="s">
        <v>883</v>
      </c>
      <c r="R2775" s="153">
        <f t="shared" si="181"/>
        <v>158.4</v>
      </c>
    </row>
    <row r="2776" spans="6:18" ht="24" customHeight="1">
      <c r="F2776" s="142"/>
      <c r="G2776" s="143"/>
      <c r="H2776" s="151" t="s">
        <v>455</v>
      </c>
      <c r="I2776" s="142"/>
      <c r="J2776" s="166"/>
      <c r="K2776" s="142"/>
      <c r="M2776" s="153">
        <v>1</v>
      </c>
      <c r="N2776" s="150" t="s">
        <v>883</v>
      </c>
      <c r="O2776" s="151" t="s">
        <v>1530</v>
      </c>
      <c r="P2776" s="153">
        <f t="shared" si="180"/>
        <v>7.5</v>
      </c>
      <c r="Q2776" s="149" t="s">
        <v>883</v>
      </c>
      <c r="R2776" s="153">
        <f t="shared" si="181"/>
        <v>7.5</v>
      </c>
    </row>
    <row r="2777" spans="6:18" ht="24" customHeight="1">
      <c r="F2777" s="142"/>
      <c r="G2777" s="143"/>
      <c r="H2777" s="151" t="s">
        <v>456</v>
      </c>
      <c r="I2777" s="142"/>
      <c r="J2777" s="166"/>
      <c r="K2777" s="142"/>
      <c r="M2777" s="153">
        <v>1</v>
      </c>
      <c r="N2777" s="150" t="s">
        <v>883</v>
      </c>
      <c r="O2777" s="151" t="s">
        <v>2058</v>
      </c>
      <c r="P2777" s="153">
        <f t="shared" si="180"/>
        <v>44.4</v>
      </c>
      <c r="Q2777" s="149" t="s">
        <v>883</v>
      </c>
      <c r="R2777" s="153">
        <f t="shared" si="181"/>
        <v>44.4</v>
      </c>
    </row>
    <row r="2778" spans="6:18" ht="24" customHeight="1">
      <c r="F2778" s="142"/>
      <c r="G2778" s="143"/>
      <c r="H2778" s="151" t="s">
        <v>896</v>
      </c>
      <c r="I2778" s="142"/>
      <c r="J2778" s="151" t="s">
        <v>995</v>
      </c>
      <c r="K2778" s="162">
        <v>3.7699999999999997E-2</v>
      </c>
      <c r="M2778" s="142"/>
      <c r="N2778" s="143"/>
      <c r="O2778" s="142"/>
      <c r="P2778" s="153">
        <f t="shared" si="180"/>
        <v>2.1</v>
      </c>
      <c r="Q2778" s="145"/>
      <c r="R2778" s="152" t="s">
        <v>1667</v>
      </c>
    </row>
    <row r="2779" spans="6:18" ht="24" customHeight="1">
      <c r="F2779" s="142"/>
      <c r="G2779" s="143"/>
      <c r="H2779" s="151" t="s">
        <v>171</v>
      </c>
      <c r="I2779" s="142"/>
      <c r="J2779" s="167" t="s">
        <v>995</v>
      </c>
      <c r="K2779" s="167" t="s">
        <v>995</v>
      </c>
      <c r="M2779" s="142"/>
      <c r="N2779" s="143"/>
      <c r="O2779" s="151" t="s">
        <v>3597</v>
      </c>
      <c r="P2779" s="142"/>
      <c r="Q2779" s="145"/>
      <c r="R2779" s="153">
        <f>SUM(R2767:R2777)+21.502</f>
        <v>8279.52</v>
      </c>
    </row>
    <row r="2780" spans="6:18" ht="24" customHeight="1">
      <c r="F2780" s="142"/>
      <c r="G2780" s="143"/>
      <c r="H2780" s="151" t="s">
        <v>1907</v>
      </c>
      <c r="I2780" s="142"/>
      <c r="J2780" s="166"/>
      <c r="K2780" s="167" t="s">
        <v>995</v>
      </c>
      <c r="M2780" s="142"/>
      <c r="N2780" s="143"/>
      <c r="O2780" s="142"/>
      <c r="P2780" s="142"/>
      <c r="Q2780" s="145"/>
      <c r="R2780" s="152" t="s">
        <v>1667</v>
      </c>
    </row>
    <row r="2781" spans="6:18" ht="24" customHeight="1">
      <c r="F2781" s="142"/>
      <c r="G2781" s="143"/>
      <c r="H2781" s="151"/>
      <c r="I2781" s="142"/>
      <c r="J2781" s="166"/>
      <c r="K2781" s="167"/>
      <c r="M2781" s="142"/>
      <c r="N2781" s="143"/>
      <c r="O2781" s="151" t="s">
        <v>555</v>
      </c>
      <c r="P2781" s="142"/>
      <c r="Q2781" s="145"/>
      <c r="R2781" s="153">
        <f>R2779/M2771</f>
        <v>3671.63</v>
      </c>
    </row>
    <row r="2782" spans="6:18" ht="24" customHeight="1">
      <c r="F2782" s="142"/>
      <c r="G2782" s="143"/>
      <c r="H2782" s="151"/>
      <c r="I2782" s="142"/>
      <c r="J2782" s="166"/>
      <c r="K2782" s="167"/>
    </row>
    <row r="2783" spans="6:18" ht="24" customHeight="1">
      <c r="F2783" s="142"/>
      <c r="G2783" s="143"/>
      <c r="H2783" s="142"/>
      <c r="I2783" s="142"/>
      <c r="J2783" s="166"/>
      <c r="K2783" s="142"/>
    </row>
    <row r="2784" spans="6:18" ht="24" customHeight="1">
      <c r="F2784" s="170">
        <v>1.18E-2</v>
      </c>
      <c r="G2784" s="150" t="s">
        <v>884</v>
      </c>
      <c r="H2784" s="151" t="s">
        <v>702</v>
      </c>
      <c r="I2784" s="153">
        <f>I2734</f>
        <v>102600</v>
      </c>
      <c r="J2784" s="151" t="s">
        <v>884</v>
      </c>
      <c r="K2784" s="153">
        <f t="shared" ref="K2784:K2793" si="182">(F2784*I2784)</f>
        <v>1210.68</v>
      </c>
    </row>
    <row r="2785" spans="6:11" ht="24" customHeight="1">
      <c r="F2785" s="162">
        <v>6.7499999999999999E-3</v>
      </c>
      <c r="G2785" s="150" t="s">
        <v>884</v>
      </c>
      <c r="H2785" s="151" t="s">
        <v>703</v>
      </c>
      <c r="I2785" s="153">
        <f>I2735</f>
        <v>91300</v>
      </c>
      <c r="J2785" s="151" t="s">
        <v>884</v>
      </c>
      <c r="K2785" s="153">
        <f t="shared" si="182"/>
        <v>616.28</v>
      </c>
    </row>
    <row r="2786" spans="6:11" ht="24" customHeight="1">
      <c r="F2786" s="162">
        <v>1.8550000000000001E-2</v>
      </c>
      <c r="G2786" s="150" t="s">
        <v>884</v>
      </c>
      <c r="H2786" s="151" t="s">
        <v>902</v>
      </c>
      <c r="I2786" s="153">
        <f>C30</f>
        <v>5906.25</v>
      </c>
      <c r="J2786" s="151" t="s">
        <v>884</v>
      </c>
      <c r="K2786" s="153">
        <f t="shared" si="182"/>
        <v>109.56</v>
      </c>
    </row>
    <row r="2787" spans="6:11" ht="24" customHeight="1">
      <c r="F2787" s="162">
        <v>2.0499999999999998</v>
      </c>
      <c r="G2787" s="150" t="s">
        <v>611</v>
      </c>
      <c r="H2787" s="151" t="s">
        <v>1712</v>
      </c>
      <c r="I2787" s="153">
        <v>840</v>
      </c>
      <c r="J2787" s="151" t="s">
        <v>611</v>
      </c>
      <c r="K2787" s="153">
        <f t="shared" si="182"/>
        <v>1722</v>
      </c>
    </row>
    <row r="2788" spans="6:11" ht="24" customHeight="1">
      <c r="F2788" s="162">
        <v>2.0499999999999998</v>
      </c>
      <c r="G2788" s="150" t="s">
        <v>611</v>
      </c>
      <c r="H2788" s="151" t="s">
        <v>1609</v>
      </c>
      <c r="I2788" s="298">
        <v>124.2</v>
      </c>
      <c r="J2788" s="151" t="s">
        <v>611</v>
      </c>
      <c r="K2788" s="153">
        <f t="shared" si="182"/>
        <v>254.61</v>
      </c>
    </row>
    <row r="2789" spans="6:11" ht="24" customHeight="1">
      <c r="F2789" s="153">
        <v>2</v>
      </c>
      <c r="G2789" s="150" t="s">
        <v>883</v>
      </c>
      <c r="H2789" s="151" t="s">
        <v>1449</v>
      </c>
      <c r="I2789" s="153">
        <f>E284</f>
        <v>44.4</v>
      </c>
      <c r="J2789" s="151" t="s">
        <v>883</v>
      </c>
      <c r="K2789" s="153">
        <f t="shared" si="182"/>
        <v>88.8</v>
      </c>
    </row>
    <row r="2790" spans="6:11" ht="24" customHeight="1">
      <c r="F2790" s="153">
        <v>8</v>
      </c>
      <c r="G2790" s="150" t="s">
        <v>883</v>
      </c>
      <c r="H2790" s="151" t="s">
        <v>1404</v>
      </c>
      <c r="I2790" s="153">
        <f>C281</f>
        <v>38.5</v>
      </c>
      <c r="J2790" s="151" t="s">
        <v>883</v>
      </c>
      <c r="K2790" s="153">
        <f t="shared" si="182"/>
        <v>308</v>
      </c>
    </row>
    <row r="2791" spans="6:11" ht="24" customHeight="1">
      <c r="F2791" s="153">
        <v>2</v>
      </c>
      <c r="G2791" s="150" t="s">
        <v>883</v>
      </c>
      <c r="H2791" s="151" t="s">
        <v>1450</v>
      </c>
      <c r="I2791" s="153">
        <f>I1087</f>
        <v>56.1</v>
      </c>
      <c r="J2791" s="151" t="s">
        <v>883</v>
      </c>
      <c r="K2791" s="153">
        <f t="shared" si="182"/>
        <v>112.2</v>
      </c>
    </row>
    <row r="2792" spans="6:11" ht="24" customHeight="1">
      <c r="F2792" s="153">
        <v>1</v>
      </c>
      <c r="G2792" s="150" t="s">
        <v>883</v>
      </c>
      <c r="H2792" s="151" t="s">
        <v>1477</v>
      </c>
      <c r="I2792" s="301">
        <f>I1088</f>
        <v>63</v>
      </c>
      <c r="J2792" s="151" t="s">
        <v>883</v>
      </c>
      <c r="K2792" s="153">
        <f t="shared" si="182"/>
        <v>63</v>
      </c>
    </row>
    <row r="2793" spans="6:11" ht="24" customHeight="1">
      <c r="F2793" s="165">
        <v>0.94499999999999995</v>
      </c>
      <c r="G2793" s="150" t="s">
        <v>611</v>
      </c>
      <c r="H2793" s="151" t="s">
        <v>1792</v>
      </c>
      <c r="I2793" s="153">
        <f>K1119</f>
        <v>105.12</v>
      </c>
      <c r="J2793" s="151" t="s">
        <v>611</v>
      </c>
      <c r="K2793" s="153">
        <f t="shared" si="182"/>
        <v>99.34</v>
      </c>
    </row>
    <row r="2794" spans="6:11" ht="24" customHeight="1">
      <c r="F2794" s="142"/>
      <c r="G2794" s="143"/>
      <c r="H2794" s="151" t="s">
        <v>1474</v>
      </c>
      <c r="I2794" s="149" t="s">
        <v>448</v>
      </c>
      <c r="J2794" s="166"/>
      <c r="K2794" s="153">
        <v>0.6</v>
      </c>
    </row>
    <row r="2795" spans="6:11" ht="24" customHeight="1">
      <c r="F2795" s="142"/>
      <c r="G2795" s="143"/>
      <c r="H2795" s="148"/>
      <c r="I2795" s="148"/>
      <c r="J2795" s="171"/>
      <c r="K2795" s="138" t="s">
        <v>1667</v>
      </c>
    </row>
    <row r="2796" spans="6:11" ht="24" customHeight="1">
      <c r="F2796" s="142"/>
      <c r="G2796" s="143"/>
      <c r="H2796" s="172" t="s">
        <v>1475</v>
      </c>
      <c r="I2796" s="148"/>
      <c r="J2796" s="171"/>
      <c r="K2796" s="140">
        <f>SUM(K2784:K2794)</f>
        <v>4585.07</v>
      </c>
    </row>
    <row r="2797" spans="6:11" ht="24" customHeight="1">
      <c r="F2797" s="142"/>
      <c r="G2797" s="150" t="s">
        <v>995</v>
      </c>
      <c r="H2797" s="148"/>
      <c r="I2797" s="148"/>
      <c r="J2797" s="171"/>
      <c r="K2797" s="138" t="s">
        <v>1667</v>
      </c>
    </row>
    <row r="2798" spans="6:11" ht="24" customHeight="1">
      <c r="F2798" s="142"/>
      <c r="G2798" s="143"/>
      <c r="H2798" s="172" t="s">
        <v>555</v>
      </c>
      <c r="I2798" s="148"/>
      <c r="J2798" s="171"/>
      <c r="K2798" s="140">
        <f>K2796/2.52</f>
        <v>1819.47</v>
      </c>
    </row>
    <row r="2799" spans="6:11" ht="24" customHeight="1">
      <c r="F2799" s="142"/>
      <c r="G2799" s="143"/>
      <c r="H2799" s="148"/>
      <c r="I2799" s="148"/>
      <c r="J2799" s="171"/>
      <c r="K2799" s="138" t="s">
        <v>2130</v>
      </c>
    </row>
    <row r="2800" spans="6:11" ht="24" customHeight="1">
      <c r="F2800" s="142"/>
      <c r="G2800" s="143"/>
      <c r="H2800" s="142"/>
      <c r="I2800" s="142"/>
      <c r="J2800" s="145"/>
      <c r="K2800" s="142"/>
    </row>
    <row r="2801" spans="6:11" ht="24" customHeight="1">
      <c r="F2801" s="142"/>
      <c r="G2801" s="143"/>
      <c r="H2801" s="142" t="s">
        <v>1713</v>
      </c>
      <c r="I2801" s="142"/>
      <c r="J2801" s="145"/>
      <c r="K2801" s="142"/>
    </row>
    <row r="2802" spans="6:11" ht="24" customHeight="1">
      <c r="F2802" s="142"/>
      <c r="G2802" s="143"/>
      <c r="H2802" s="142" t="s">
        <v>1385</v>
      </c>
      <c r="I2802" s="142"/>
      <c r="J2802" s="145"/>
      <c r="K2802" s="142"/>
    </row>
    <row r="2803" spans="6:11" ht="24" customHeight="1">
      <c r="F2803" s="142"/>
      <c r="G2803" s="143"/>
      <c r="H2803" s="142"/>
      <c r="I2803" s="142"/>
      <c r="J2803" s="145"/>
      <c r="K2803" s="142"/>
    </row>
    <row r="2804" spans="6:11" ht="24" customHeight="1">
      <c r="F2804" s="142">
        <v>2</v>
      </c>
      <c r="G2804" s="143" t="s">
        <v>840</v>
      </c>
      <c r="H2804" s="142" t="s">
        <v>1386</v>
      </c>
      <c r="I2804" s="142">
        <v>59.67</v>
      </c>
      <c r="J2804" s="145" t="s">
        <v>840</v>
      </c>
      <c r="K2804" s="142">
        <f>F2804*I2804</f>
        <v>119.34</v>
      </c>
    </row>
    <row r="2805" spans="6:11" ht="24" customHeight="1">
      <c r="F2805" s="142">
        <v>1</v>
      </c>
      <c r="G2805" s="143" t="s">
        <v>563</v>
      </c>
      <c r="H2805" s="142" t="s">
        <v>1387</v>
      </c>
      <c r="I2805" s="142">
        <f>C602</f>
        <v>30.25</v>
      </c>
      <c r="J2805" s="145" t="s">
        <v>1458</v>
      </c>
      <c r="K2805" s="142">
        <f>F2805*I2805</f>
        <v>30.25</v>
      </c>
    </row>
    <row r="2806" spans="6:11" ht="24" customHeight="1">
      <c r="F2806" s="142"/>
      <c r="G2806" s="143"/>
      <c r="H2806" s="142" t="s">
        <v>1407</v>
      </c>
      <c r="I2806" s="142"/>
      <c r="J2806" s="145" t="s">
        <v>448</v>
      </c>
      <c r="K2806" s="142">
        <v>1.4</v>
      </c>
    </row>
    <row r="2807" spans="6:11" ht="24" customHeight="1">
      <c r="F2807" s="142"/>
      <c r="G2807" s="143"/>
      <c r="H2807" s="146" t="s">
        <v>1408</v>
      </c>
      <c r="I2807" s="142"/>
      <c r="J2807" s="145"/>
      <c r="K2807" s="142">
        <f>SUM(K2804:K2806)</f>
        <v>150.99</v>
      </c>
    </row>
    <row r="2808" spans="6:11" ht="24" customHeight="1">
      <c r="F2808" s="142"/>
      <c r="G2808" s="143"/>
      <c r="H2808" s="142"/>
      <c r="I2808" s="142"/>
      <c r="J2808" s="145"/>
      <c r="K2808" s="142"/>
    </row>
    <row r="2809" spans="6:11" ht="24" customHeight="1">
      <c r="F2809" s="142"/>
      <c r="G2809" s="143"/>
      <c r="H2809" s="147" t="s">
        <v>1788</v>
      </c>
      <c r="I2809" s="148"/>
      <c r="J2809" s="154"/>
      <c r="K2809" s="148">
        <f>K2807/2</f>
        <v>75.5</v>
      </c>
    </row>
    <row r="2810" spans="6:11" ht="24" customHeight="1">
      <c r="F2810" s="142"/>
      <c r="G2810" s="143"/>
      <c r="H2810" s="142"/>
      <c r="I2810" s="142"/>
      <c r="J2810" s="145"/>
      <c r="K2810" s="142"/>
    </row>
    <row r="2811" spans="6:11" ht="24" customHeight="1">
      <c r="F2811" s="142"/>
      <c r="G2811" s="143"/>
      <c r="H2811" s="142"/>
      <c r="I2811" s="142"/>
      <c r="J2811" s="145"/>
      <c r="K2811" s="142"/>
    </row>
    <row r="2812" spans="6:11" ht="24" customHeight="1">
      <c r="F2812" s="142"/>
      <c r="G2812" s="143"/>
      <c r="H2812" s="142"/>
      <c r="I2812" s="142"/>
      <c r="J2812" s="145"/>
      <c r="K2812" s="142"/>
    </row>
    <row r="2813" spans="6:11" ht="24" customHeight="1">
      <c r="F2813" s="142"/>
      <c r="G2813" s="143"/>
      <c r="H2813" s="142"/>
      <c r="I2813" s="142"/>
      <c r="J2813" s="145"/>
      <c r="K2813" s="142"/>
    </row>
    <row r="2814" spans="6:11" ht="67.5" customHeight="1">
      <c r="F2814" s="142"/>
      <c r="G2814" s="143"/>
      <c r="H2814" s="173" t="s">
        <v>1201</v>
      </c>
      <c r="I2814" s="142"/>
      <c r="J2814" s="145"/>
      <c r="K2814" s="142"/>
    </row>
    <row r="2815" spans="6:11" ht="24" customHeight="1">
      <c r="F2815" s="149"/>
      <c r="G2815" s="150" t="s">
        <v>2338</v>
      </c>
      <c r="H2815" s="151" t="s">
        <v>1752</v>
      </c>
      <c r="I2815" s="142"/>
      <c r="J2815" s="145"/>
      <c r="K2815" s="142"/>
    </row>
    <row r="2816" spans="6:11" ht="24" customHeight="1">
      <c r="F2816" s="142"/>
      <c r="G2816" s="143"/>
      <c r="H2816" s="151" t="s">
        <v>2356</v>
      </c>
      <c r="I2816" s="142"/>
      <c r="J2816" s="145"/>
      <c r="K2816" s="142"/>
    </row>
    <row r="2817" spans="6:11" ht="24" customHeight="1">
      <c r="F2817" s="142"/>
      <c r="G2817" s="143"/>
      <c r="H2817" s="152" t="s">
        <v>1667</v>
      </c>
      <c r="I2817" s="142"/>
      <c r="J2817" s="145"/>
      <c r="K2817" s="142"/>
    </row>
    <row r="2818" spans="6:11" ht="24" customHeight="1">
      <c r="F2818" s="153">
        <v>9</v>
      </c>
      <c r="G2818" s="150" t="s">
        <v>884</v>
      </c>
      <c r="H2818" s="151" t="s">
        <v>1756</v>
      </c>
      <c r="I2818" s="153">
        <f t="shared" ref="I2818:I2823" si="183">I495</f>
        <v>726.28</v>
      </c>
      <c r="J2818" s="149" t="s">
        <v>884</v>
      </c>
      <c r="K2818" s="153">
        <f t="shared" ref="K2818:K2823" si="184">(F2818*I2818)</f>
        <v>6536.52</v>
      </c>
    </row>
    <row r="2819" spans="6:11" ht="24" customHeight="1">
      <c r="F2819" s="165">
        <v>3.2309999999999999</v>
      </c>
      <c r="G2819" s="150" t="s">
        <v>876</v>
      </c>
      <c r="H2819" s="151" t="s">
        <v>877</v>
      </c>
      <c r="I2819" s="153">
        <f t="shared" si="183"/>
        <v>5600</v>
      </c>
      <c r="J2819" s="149" t="s">
        <v>876</v>
      </c>
      <c r="K2819" s="153">
        <f t="shared" si="184"/>
        <v>18093.599999999999</v>
      </c>
    </row>
    <row r="2820" spans="6:11" ht="24" customHeight="1">
      <c r="F2820" s="153">
        <v>4.5</v>
      </c>
      <c r="G2820" s="150" t="s">
        <v>884</v>
      </c>
      <c r="H2820" s="151" t="s">
        <v>885</v>
      </c>
      <c r="I2820" s="153">
        <f t="shared" si="183"/>
        <v>740.98</v>
      </c>
      <c r="J2820" s="149" t="s">
        <v>884</v>
      </c>
      <c r="K2820" s="153">
        <f t="shared" si="184"/>
        <v>3334.41</v>
      </c>
    </row>
    <row r="2821" spans="6:11" ht="24" customHeight="1">
      <c r="F2821" s="153">
        <v>3.5</v>
      </c>
      <c r="G2821" s="150" t="s">
        <v>883</v>
      </c>
      <c r="H2821" s="151" t="s">
        <v>1791</v>
      </c>
      <c r="I2821" s="153">
        <f t="shared" si="183"/>
        <v>386.4</v>
      </c>
      <c r="J2821" s="149" t="s">
        <v>883</v>
      </c>
      <c r="K2821" s="153">
        <f t="shared" si="184"/>
        <v>1352.4</v>
      </c>
    </row>
    <row r="2822" spans="6:11" ht="24" customHeight="1">
      <c r="F2822" s="153">
        <v>21.2</v>
      </c>
      <c r="G2822" s="150" t="s">
        <v>883</v>
      </c>
      <c r="H2822" s="151" t="s">
        <v>1979</v>
      </c>
      <c r="I2822" s="153">
        <f t="shared" si="183"/>
        <v>269.85000000000002</v>
      </c>
      <c r="J2822" s="149" t="s">
        <v>883</v>
      </c>
      <c r="K2822" s="153">
        <f t="shared" si="184"/>
        <v>5720.82</v>
      </c>
    </row>
    <row r="2823" spans="6:11" ht="24" customHeight="1">
      <c r="F2823" s="153">
        <v>35.299999999999997</v>
      </c>
      <c r="G2823" s="150" t="s">
        <v>883</v>
      </c>
      <c r="H2823" s="151" t="s">
        <v>324</v>
      </c>
      <c r="I2823" s="153">
        <f t="shared" si="183"/>
        <v>243.6</v>
      </c>
      <c r="J2823" s="149" t="s">
        <v>883</v>
      </c>
      <c r="K2823" s="153">
        <f t="shared" si="184"/>
        <v>8599.08</v>
      </c>
    </row>
    <row r="2824" spans="6:11" ht="24" customHeight="1">
      <c r="F2824" s="142"/>
      <c r="G2824" s="150" t="s">
        <v>448</v>
      </c>
      <c r="H2824" s="151" t="s">
        <v>449</v>
      </c>
      <c r="I2824" s="151" t="s">
        <v>995</v>
      </c>
      <c r="J2824" s="149" t="s">
        <v>448</v>
      </c>
      <c r="K2824" s="153">
        <v>0</v>
      </c>
    </row>
    <row r="2825" spans="6:11" ht="24" customHeight="1">
      <c r="F2825" s="142"/>
      <c r="G2825" s="143"/>
      <c r="H2825" s="142"/>
      <c r="I2825" s="142"/>
      <c r="J2825" s="145"/>
      <c r="K2825" s="152" t="s">
        <v>1667</v>
      </c>
    </row>
    <row r="2826" spans="6:11" ht="24" customHeight="1">
      <c r="F2826" s="142"/>
      <c r="G2826" s="143"/>
      <c r="H2826" s="151" t="s">
        <v>2246</v>
      </c>
      <c r="I2826" s="142"/>
      <c r="J2826" s="145"/>
      <c r="K2826" s="153">
        <f>SUM(K2818:K2824)</f>
        <v>43636.83</v>
      </c>
    </row>
    <row r="2827" spans="6:11" ht="24" customHeight="1">
      <c r="F2827" s="142"/>
      <c r="G2827" s="143"/>
      <c r="H2827" s="142"/>
      <c r="I2827" s="142"/>
      <c r="J2827" s="145"/>
      <c r="K2827" s="152" t="s">
        <v>1667</v>
      </c>
    </row>
    <row r="2828" spans="6:11" ht="24" customHeight="1">
      <c r="F2828" s="142"/>
      <c r="G2828" s="143"/>
      <c r="H2828" s="151" t="s">
        <v>785</v>
      </c>
      <c r="I2828" s="142"/>
      <c r="J2828" s="145"/>
      <c r="K2828" s="153">
        <f>(K2826/10)</f>
        <v>4363.68</v>
      </c>
    </row>
    <row r="2829" spans="6:11" ht="24" customHeight="1">
      <c r="F2829" s="142"/>
      <c r="G2829" s="143"/>
      <c r="H2829" s="142"/>
      <c r="I2829" s="142"/>
      <c r="J2829" s="145"/>
      <c r="K2829" s="142"/>
    </row>
    <row r="2830" spans="6:11" ht="24" customHeight="1">
      <c r="F2830" s="153">
        <v>1</v>
      </c>
      <c r="G2830" s="150" t="s">
        <v>884</v>
      </c>
      <c r="H2830" s="151" t="s">
        <v>50</v>
      </c>
      <c r="I2830" s="142"/>
      <c r="J2830" s="145"/>
      <c r="K2830" s="153"/>
    </row>
    <row r="2831" spans="6:11" ht="24" customHeight="1">
      <c r="F2831" s="142"/>
      <c r="G2831" s="143"/>
      <c r="H2831" s="142"/>
      <c r="I2831" s="142"/>
      <c r="J2831" s="145"/>
      <c r="K2831" s="152" t="s">
        <v>1667</v>
      </c>
    </row>
    <row r="2832" spans="6:11" ht="24" customHeight="1">
      <c r="F2832" s="142"/>
      <c r="G2832" s="143"/>
      <c r="H2832" s="151" t="s">
        <v>1358</v>
      </c>
      <c r="I2832" s="142"/>
      <c r="J2832" s="145"/>
      <c r="K2832" s="153">
        <f>SUM(K2828:K2830)</f>
        <v>4363.68</v>
      </c>
    </row>
    <row r="2833" spans="6:16" ht="24" customHeight="1">
      <c r="F2833" s="142"/>
      <c r="G2833" s="143"/>
      <c r="H2833" s="142"/>
      <c r="I2833" s="142"/>
      <c r="J2833" s="145"/>
      <c r="K2833" s="152" t="s">
        <v>1667</v>
      </c>
    </row>
    <row r="2834" spans="6:16" ht="24" customHeight="1">
      <c r="F2834" s="142"/>
      <c r="G2834" s="150" t="s">
        <v>1302</v>
      </c>
      <c r="H2834" s="151" t="s">
        <v>388</v>
      </c>
      <c r="I2834" s="142"/>
      <c r="J2834" s="145"/>
      <c r="K2834" s="153">
        <f>K2832+C22</f>
        <v>4408.33</v>
      </c>
    </row>
    <row r="2835" spans="6:16" ht="24" customHeight="1">
      <c r="F2835" s="142"/>
      <c r="G2835" s="150" t="s">
        <v>1304</v>
      </c>
      <c r="H2835" s="151" t="s">
        <v>390</v>
      </c>
      <c r="I2835" s="142"/>
      <c r="J2835" s="145"/>
      <c r="K2835" s="153">
        <f>K2834+C23</f>
        <v>4497.33</v>
      </c>
    </row>
    <row r="2836" spans="6:16" ht="24" customHeight="1">
      <c r="F2836" s="142"/>
      <c r="G2836" s="150" t="s">
        <v>424</v>
      </c>
      <c r="H2836" s="151" t="s">
        <v>2319</v>
      </c>
      <c r="I2836" s="142"/>
      <c r="J2836" s="145"/>
      <c r="K2836" s="153">
        <f>K2835+C23</f>
        <v>4586.33</v>
      </c>
    </row>
    <row r="2837" spans="6:16" ht="24" customHeight="1">
      <c r="F2837" s="142"/>
      <c r="G2837" s="150" t="s">
        <v>1015</v>
      </c>
      <c r="H2837" s="151" t="s">
        <v>382</v>
      </c>
      <c r="I2837" s="142"/>
      <c r="J2837" s="145"/>
      <c r="K2837" s="153">
        <f>K2836+C23</f>
        <v>4675.33</v>
      </c>
      <c r="P2837">
        <f>0.35*4</f>
        <v>1.4</v>
      </c>
    </row>
    <row r="2838" spans="6:16" ht="24" customHeight="1">
      <c r="F2838" s="142"/>
      <c r="G2838" s="143"/>
      <c r="H2838" s="142"/>
      <c r="I2838" s="142"/>
      <c r="J2838" s="145"/>
      <c r="K2838" s="142"/>
      <c r="P2838">
        <f>0.3*4</f>
        <v>1.2</v>
      </c>
    </row>
    <row r="2839" spans="6:16" ht="24" customHeight="1">
      <c r="F2839" s="142"/>
      <c r="G2839" s="147"/>
      <c r="H2839" s="173"/>
      <c r="I2839" s="142"/>
      <c r="J2839" s="166"/>
      <c r="K2839" s="142"/>
      <c r="P2839">
        <f>1.28*2</f>
        <v>2.56</v>
      </c>
    </row>
    <row r="2840" spans="6:16" ht="24" customHeight="1">
      <c r="F2840" s="142"/>
      <c r="G2840" s="143"/>
      <c r="H2840" s="148" t="s">
        <v>2322</v>
      </c>
      <c r="I2840" s="142"/>
      <c r="J2840" s="166"/>
      <c r="K2840" s="142"/>
      <c r="P2840" t="s">
        <v>3279</v>
      </c>
    </row>
    <row r="2841" spans="6:16" ht="24" customHeight="1">
      <c r="F2841" s="142"/>
      <c r="G2841" s="143"/>
      <c r="H2841" s="142"/>
      <c r="I2841" s="142"/>
      <c r="J2841" s="166"/>
      <c r="K2841" s="142"/>
    </row>
    <row r="2842" spans="6:16" ht="24" customHeight="1">
      <c r="F2842" s="168"/>
      <c r="G2842" s="143"/>
      <c r="H2842" s="142" t="s">
        <v>1445</v>
      </c>
      <c r="I2842" s="142"/>
      <c r="J2842" s="143"/>
      <c r="K2842" s="142"/>
    </row>
    <row r="2843" spans="6:16" ht="24" customHeight="1">
      <c r="F2843" s="161"/>
      <c r="G2843" s="143"/>
      <c r="H2843" s="142" t="s">
        <v>638</v>
      </c>
      <c r="I2843" s="142"/>
      <c r="J2843" s="143"/>
      <c r="K2843" s="142"/>
    </row>
    <row r="2844" spans="6:16" ht="24" customHeight="1">
      <c r="F2844" s="142"/>
      <c r="G2844" s="143"/>
      <c r="H2844" s="166" t="s">
        <v>1763</v>
      </c>
      <c r="I2844" s="142"/>
      <c r="J2844" s="146"/>
      <c r="K2844" s="142"/>
    </row>
    <row r="2845" spans="6:16" ht="24" customHeight="1">
      <c r="F2845" s="142"/>
      <c r="G2845" s="143"/>
      <c r="H2845" s="154" t="s">
        <v>1764</v>
      </c>
      <c r="I2845" s="148"/>
      <c r="J2845" s="147"/>
      <c r="K2845" s="148"/>
    </row>
    <row r="2846" spans="6:16" ht="24" customHeight="1">
      <c r="F2846" s="142"/>
      <c r="G2846" s="143"/>
      <c r="H2846" s="142" t="s">
        <v>1765</v>
      </c>
      <c r="I2846" s="142"/>
      <c r="J2846" s="166"/>
      <c r="K2846" s="142"/>
    </row>
    <row r="2847" spans="6:16" ht="24" customHeight="1">
      <c r="F2847" s="142"/>
      <c r="G2847" s="143"/>
      <c r="H2847" s="148" t="s">
        <v>205</v>
      </c>
      <c r="I2847" s="142"/>
      <c r="J2847" s="166"/>
      <c r="K2847" s="142"/>
    </row>
    <row r="2848" spans="6:16" ht="24" customHeight="1">
      <c r="F2848" s="168">
        <v>3.5999999999999997E-2</v>
      </c>
      <c r="G2848" s="143" t="s">
        <v>2226</v>
      </c>
      <c r="H2848" s="142" t="s">
        <v>1766</v>
      </c>
      <c r="I2848" s="142">
        <f>K2834</f>
        <v>4408.33</v>
      </c>
      <c r="J2848" s="143" t="s">
        <v>2226</v>
      </c>
      <c r="K2848" s="142">
        <f>F2848*I2848</f>
        <v>158.69999999999999</v>
      </c>
    </row>
    <row r="2849" spans="6:11" ht="24" customHeight="1">
      <c r="F2849" s="161">
        <v>3.0649999999999999</v>
      </c>
      <c r="G2849" s="143" t="s">
        <v>929</v>
      </c>
      <c r="H2849" s="174" t="s">
        <v>1767</v>
      </c>
      <c r="I2849" s="142">
        <f>K1511/1000</f>
        <v>62.48</v>
      </c>
      <c r="J2849" s="143" t="s">
        <v>929</v>
      </c>
      <c r="K2849" s="142">
        <f>F2849*I2849</f>
        <v>191.5</v>
      </c>
    </row>
    <row r="2850" spans="6:11" ht="24" customHeight="1">
      <c r="F2850" s="161">
        <v>0.79800000000000004</v>
      </c>
      <c r="G2850" s="143" t="s">
        <v>234</v>
      </c>
      <c r="H2850" s="142" t="s">
        <v>1489</v>
      </c>
      <c r="I2850" s="142">
        <f>I2279</f>
        <v>554.21</v>
      </c>
      <c r="J2850" s="143" t="s">
        <v>234</v>
      </c>
      <c r="K2850" s="142">
        <f>F2850*I2850</f>
        <v>442.26</v>
      </c>
    </row>
    <row r="2851" spans="6:11" ht="24" customHeight="1">
      <c r="F2851" s="142"/>
      <c r="G2851" s="143"/>
      <c r="H2851" s="147" t="s">
        <v>1490</v>
      </c>
      <c r="I2851" s="148"/>
      <c r="J2851" s="147" t="s">
        <v>732</v>
      </c>
      <c r="K2851" s="148">
        <f>SUM(K2848:K2850)</f>
        <v>792.46</v>
      </c>
    </row>
    <row r="2852" spans="6:11" ht="24" customHeight="1">
      <c r="F2852" s="168"/>
      <c r="G2852" s="143"/>
      <c r="H2852" s="147" t="s">
        <v>1902</v>
      </c>
      <c r="I2852" s="142"/>
      <c r="J2852" s="147" t="s">
        <v>732</v>
      </c>
      <c r="K2852" s="148">
        <f>K2851/2.1</f>
        <v>377.36</v>
      </c>
    </row>
    <row r="2853" spans="6:11" ht="24" customHeight="1">
      <c r="F2853" s="161"/>
      <c r="G2853" s="143"/>
      <c r="H2853" s="142"/>
      <c r="I2853" s="142"/>
      <c r="J2853" s="143"/>
      <c r="K2853" s="142"/>
    </row>
    <row r="2854" spans="6:11" ht="24" customHeight="1">
      <c r="F2854" s="142"/>
      <c r="G2854" s="143"/>
      <c r="H2854" s="146"/>
      <c r="I2854" s="142"/>
      <c r="J2854" s="146"/>
      <c r="K2854" s="142"/>
    </row>
    <row r="2855" spans="6:11" ht="24" customHeight="1">
      <c r="F2855" s="142"/>
      <c r="G2855" s="143"/>
      <c r="H2855" s="147"/>
      <c r="I2855" s="148"/>
      <c r="J2855" s="147"/>
      <c r="K2855" s="148"/>
    </row>
    <row r="2856" spans="6:11" ht="24" customHeight="1">
      <c r="F2856" s="142"/>
      <c r="G2856" s="143"/>
      <c r="H2856" s="148" t="s">
        <v>206</v>
      </c>
      <c r="I2856" s="142"/>
      <c r="J2856" s="166"/>
      <c r="K2856" s="142"/>
    </row>
    <row r="2857" spans="6:11" ht="24" customHeight="1">
      <c r="F2857" s="168">
        <v>3.5999999999999997E-2</v>
      </c>
      <c r="G2857" s="143" t="s">
        <v>2226</v>
      </c>
      <c r="H2857" s="142" t="s">
        <v>1766</v>
      </c>
      <c r="I2857" s="142">
        <f>K2835</f>
        <v>4497.33</v>
      </c>
      <c r="J2857" s="143" t="s">
        <v>2226</v>
      </c>
      <c r="K2857" s="142">
        <f>F2857*I2857</f>
        <v>161.9</v>
      </c>
    </row>
    <row r="2858" spans="6:11" ht="24" customHeight="1">
      <c r="F2858" s="161">
        <v>3.0649999999999999</v>
      </c>
      <c r="G2858" s="143" t="s">
        <v>929</v>
      </c>
      <c r="H2858" s="174" t="s">
        <v>1767</v>
      </c>
      <c r="I2858" s="142">
        <f>K1511/1000</f>
        <v>62.48</v>
      </c>
      <c r="J2858" s="143" t="s">
        <v>929</v>
      </c>
      <c r="K2858" s="142">
        <f>F2858*I2858</f>
        <v>191.5</v>
      </c>
    </row>
    <row r="2859" spans="6:11" ht="24" customHeight="1">
      <c r="F2859" s="161">
        <v>0.79800000000000004</v>
      </c>
      <c r="G2859" s="143" t="s">
        <v>234</v>
      </c>
      <c r="H2859" s="142" t="s">
        <v>1489</v>
      </c>
      <c r="I2859" s="142">
        <f>I2279</f>
        <v>554.21</v>
      </c>
      <c r="J2859" s="143" t="s">
        <v>234</v>
      </c>
      <c r="K2859" s="142">
        <f>F2859*I2859</f>
        <v>442.26</v>
      </c>
    </row>
    <row r="2860" spans="6:11" ht="24" customHeight="1">
      <c r="F2860" s="142"/>
      <c r="G2860" s="143"/>
      <c r="H2860" s="147" t="s">
        <v>1490</v>
      </c>
      <c r="I2860" s="148"/>
      <c r="J2860" s="147" t="s">
        <v>732</v>
      </c>
      <c r="K2860" s="148">
        <f>SUM(K2857:K2859)</f>
        <v>795.66</v>
      </c>
    </row>
    <row r="2861" spans="6:11" ht="24" customHeight="1">
      <c r="F2861" s="168"/>
      <c r="G2861" s="143"/>
      <c r="H2861" s="147" t="s">
        <v>1902</v>
      </c>
      <c r="I2861" s="142"/>
      <c r="J2861" s="147" t="s">
        <v>732</v>
      </c>
      <c r="K2861" s="148">
        <f>K2860/2.1</f>
        <v>378.89</v>
      </c>
    </row>
    <row r="2862" spans="6:11" ht="24" customHeight="1">
      <c r="F2862" s="161"/>
      <c r="G2862" s="143"/>
      <c r="H2862" s="142"/>
      <c r="I2862" s="142"/>
      <c r="J2862" s="143"/>
      <c r="K2862" s="142"/>
    </row>
    <row r="2863" spans="6:11" ht="24" customHeight="1">
      <c r="F2863" s="142"/>
      <c r="G2863" s="143"/>
      <c r="H2863" s="142"/>
      <c r="I2863" s="142"/>
      <c r="J2863" s="166"/>
      <c r="K2863" s="142"/>
    </row>
    <row r="2864" spans="6:11" ht="24" customHeight="1">
      <c r="F2864" s="142"/>
      <c r="G2864" s="143"/>
      <c r="H2864" s="142"/>
      <c r="I2864" s="142"/>
      <c r="J2864" s="166"/>
      <c r="K2864" s="142"/>
    </row>
    <row r="2865" spans="6:11" ht="24" customHeight="1">
      <c r="F2865" s="142"/>
      <c r="G2865" s="143"/>
      <c r="H2865" s="142"/>
      <c r="I2865" s="142"/>
      <c r="J2865" s="166"/>
      <c r="K2865" s="142"/>
    </row>
    <row r="2866" spans="6:11" ht="24" customHeight="1">
      <c r="F2866" s="142"/>
      <c r="G2866" s="143"/>
      <c r="H2866" s="148" t="s">
        <v>1685</v>
      </c>
      <c r="I2866" s="142"/>
      <c r="J2866" s="166"/>
      <c r="K2866" s="142"/>
    </row>
    <row r="2867" spans="6:11" ht="24" customHeight="1">
      <c r="F2867" s="168">
        <v>3.5999999999999997E-2</v>
      </c>
      <c r="G2867" s="143" t="s">
        <v>2226</v>
      </c>
      <c r="H2867" s="142" t="s">
        <v>1766</v>
      </c>
      <c r="I2867" s="142">
        <f>K2836</f>
        <v>4586.33</v>
      </c>
      <c r="J2867" s="143" t="s">
        <v>2226</v>
      </c>
      <c r="K2867" s="142">
        <f>F2867*I2867</f>
        <v>165.11</v>
      </c>
    </row>
    <row r="2868" spans="6:11" ht="24" customHeight="1">
      <c r="F2868" s="161">
        <v>3.0649999999999999</v>
      </c>
      <c r="G2868" s="143" t="s">
        <v>929</v>
      </c>
      <c r="H2868" s="174" t="s">
        <v>1767</v>
      </c>
      <c r="I2868" s="142">
        <f>I2849</f>
        <v>62.48</v>
      </c>
      <c r="J2868" s="143" t="s">
        <v>929</v>
      </c>
      <c r="K2868" s="142">
        <f>F2868*I2868</f>
        <v>191.5</v>
      </c>
    </row>
    <row r="2869" spans="6:11" ht="24" customHeight="1">
      <c r="F2869" s="161">
        <v>0.79800000000000004</v>
      </c>
      <c r="G2869" s="143" t="s">
        <v>234</v>
      </c>
      <c r="H2869" s="142" t="s">
        <v>1489</v>
      </c>
      <c r="I2869" s="142">
        <f>I2850</f>
        <v>554.21</v>
      </c>
      <c r="J2869" s="143" t="s">
        <v>234</v>
      </c>
      <c r="K2869" s="142">
        <f>F2869*I2869</f>
        <v>442.26</v>
      </c>
    </row>
    <row r="2870" spans="6:11" ht="24" customHeight="1">
      <c r="F2870" s="142"/>
      <c r="G2870" s="143"/>
      <c r="H2870" s="147" t="s">
        <v>1490</v>
      </c>
      <c r="I2870" s="148"/>
      <c r="J2870" s="147" t="s">
        <v>732</v>
      </c>
      <c r="K2870" s="148">
        <f>SUM(K2867:K2869)</f>
        <v>798.87</v>
      </c>
    </row>
    <row r="2871" spans="6:11" ht="24" customHeight="1">
      <c r="F2871" s="168"/>
      <c r="G2871" s="143"/>
      <c r="H2871" s="147" t="s">
        <v>1902</v>
      </c>
      <c r="I2871" s="142"/>
      <c r="J2871" s="147" t="s">
        <v>732</v>
      </c>
      <c r="K2871" s="148">
        <f>K2870/2.1</f>
        <v>380.41</v>
      </c>
    </row>
    <row r="2872" spans="6:11" ht="24" customHeight="1">
      <c r="F2872" s="161"/>
      <c r="G2872" s="143"/>
      <c r="H2872" s="142"/>
      <c r="I2872" s="142"/>
      <c r="J2872" s="143"/>
      <c r="K2872" s="142"/>
    </row>
    <row r="2873" spans="6:11" ht="24" customHeight="1">
      <c r="F2873" s="142"/>
      <c r="G2873" s="143"/>
      <c r="H2873" s="142"/>
      <c r="I2873" s="142"/>
      <c r="J2873" s="166"/>
      <c r="K2873" s="142"/>
    </row>
    <row r="2874" spans="6:11" ht="24" customHeight="1">
      <c r="F2874" s="142"/>
      <c r="G2874" s="143"/>
      <c r="H2874" s="142"/>
      <c r="I2874" s="142"/>
      <c r="J2874" s="166"/>
      <c r="K2874" s="142"/>
    </row>
    <row r="2875" spans="6:11" ht="24" customHeight="1">
      <c r="F2875" s="142"/>
      <c r="G2875" s="143"/>
      <c r="H2875" s="148" t="s">
        <v>68</v>
      </c>
      <c r="I2875" s="142"/>
      <c r="J2875" s="166"/>
      <c r="K2875" s="142"/>
    </row>
    <row r="2876" spans="6:11" ht="24" customHeight="1">
      <c r="F2876" s="168">
        <v>3.5999999999999997E-2</v>
      </c>
      <c r="G2876" s="143" t="s">
        <v>2226</v>
      </c>
      <c r="H2876" s="142" t="s">
        <v>1766</v>
      </c>
      <c r="I2876" s="142">
        <f>K2837</f>
        <v>4675.33</v>
      </c>
      <c r="J2876" s="143" t="s">
        <v>2226</v>
      </c>
      <c r="K2876" s="142">
        <f>F2876*I2876</f>
        <v>168.31</v>
      </c>
    </row>
    <row r="2877" spans="6:11" ht="24" customHeight="1">
      <c r="F2877" s="161">
        <v>3.0649999999999999</v>
      </c>
      <c r="G2877" s="143" t="s">
        <v>929</v>
      </c>
      <c r="H2877" s="174" t="s">
        <v>1767</v>
      </c>
      <c r="I2877" s="142">
        <f>I2868</f>
        <v>62.48</v>
      </c>
      <c r="J2877" s="143" t="s">
        <v>929</v>
      </c>
      <c r="K2877" s="142">
        <f>F2877*I2877</f>
        <v>191.5</v>
      </c>
    </row>
    <row r="2878" spans="6:11" ht="24" customHeight="1">
      <c r="F2878" s="161">
        <v>0.79800000000000004</v>
      </c>
      <c r="G2878" s="143" t="s">
        <v>234</v>
      </c>
      <c r="H2878" s="142" t="s">
        <v>1489</v>
      </c>
      <c r="I2878" s="142">
        <f>I2869</f>
        <v>554.21</v>
      </c>
      <c r="J2878" s="143" t="s">
        <v>234</v>
      </c>
      <c r="K2878" s="142">
        <f>F2878*I2878</f>
        <v>442.26</v>
      </c>
    </row>
    <row r="2879" spans="6:11" ht="24" customHeight="1">
      <c r="F2879" s="142"/>
      <c r="G2879" s="143"/>
      <c r="H2879" s="147" t="s">
        <v>1490</v>
      </c>
      <c r="I2879" s="148"/>
      <c r="J2879" s="147" t="s">
        <v>732</v>
      </c>
      <c r="K2879" s="148">
        <f>SUM(K2876:K2878)</f>
        <v>802.07</v>
      </c>
    </row>
    <row r="2880" spans="6:11" ht="24" customHeight="1">
      <c r="F2880" s="168"/>
      <c r="G2880" s="143"/>
      <c r="H2880" s="147" t="s">
        <v>1902</v>
      </c>
      <c r="I2880" s="142"/>
      <c r="J2880" s="147" t="s">
        <v>732</v>
      </c>
      <c r="K2880" s="148">
        <f>K2879/2.1</f>
        <v>381.94</v>
      </c>
    </row>
    <row r="2881" spans="6:18" ht="24" customHeight="1">
      <c r="F2881" s="161"/>
      <c r="G2881" s="143"/>
      <c r="H2881" s="142"/>
      <c r="I2881" s="142"/>
      <c r="J2881" s="143"/>
      <c r="K2881" s="142"/>
    </row>
    <row r="2882" spans="6:18" ht="24" customHeight="1">
      <c r="F2882" s="142"/>
      <c r="G2882" s="143"/>
      <c r="H2882" s="142"/>
      <c r="I2882" s="142"/>
      <c r="J2882" s="145"/>
      <c r="K2882" s="142"/>
    </row>
    <row r="2883" spans="6:18" ht="24" customHeight="1">
      <c r="F2883" s="142"/>
      <c r="G2883" s="143"/>
      <c r="H2883" s="142"/>
      <c r="I2883" s="142"/>
      <c r="J2883" s="145"/>
      <c r="K2883" s="142"/>
    </row>
    <row r="2884" spans="6:18" ht="24" customHeight="1">
      <c r="F2884" s="142"/>
      <c r="G2884" s="143"/>
      <c r="H2884" s="142"/>
      <c r="I2884" s="142">
        <f>160*10.76</f>
        <v>1721.6</v>
      </c>
      <c r="J2884" s="145"/>
      <c r="K2884" s="142"/>
    </row>
    <row r="2885" spans="6:18" ht="24" customHeight="1">
      <c r="F2885" s="149" t="s">
        <v>567</v>
      </c>
      <c r="G2885" s="150" t="s">
        <v>2338</v>
      </c>
      <c r="H2885" s="151" t="s">
        <v>1851</v>
      </c>
      <c r="I2885" s="142">
        <f>148*10.76</f>
        <v>1592.48</v>
      </c>
      <c r="J2885" s="145"/>
      <c r="K2885" s="142"/>
      <c r="O2885" s="151" t="s">
        <v>1851</v>
      </c>
    </row>
    <row r="2886" spans="6:18" ht="24" customHeight="1">
      <c r="F2886" s="142"/>
      <c r="G2886" s="143"/>
      <c r="H2886" s="151" t="s">
        <v>254</v>
      </c>
      <c r="I2886" s="142"/>
      <c r="J2886" s="145"/>
      <c r="K2886" s="142"/>
      <c r="O2886" s="151" t="s">
        <v>254</v>
      </c>
    </row>
    <row r="2887" spans="6:18" ht="24" customHeight="1">
      <c r="F2887" s="142"/>
      <c r="G2887" s="143"/>
      <c r="H2887" s="151" t="s">
        <v>1534</v>
      </c>
      <c r="I2887" s="142"/>
      <c r="J2887" s="145"/>
      <c r="K2887" s="142"/>
      <c r="O2887" s="151" t="s">
        <v>2003</v>
      </c>
    </row>
    <row r="2888" spans="6:18" ht="24" customHeight="1">
      <c r="F2888" s="142"/>
      <c r="G2888" s="143"/>
      <c r="H2888" s="152" t="s">
        <v>1667</v>
      </c>
      <c r="I2888" s="168">
        <f>1.4*2.025</f>
        <v>2.835</v>
      </c>
      <c r="J2888" s="145"/>
      <c r="K2888" s="142"/>
      <c r="O2888" s="152" t="s">
        <v>1667</v>
      </c>
    </row>
    <row r="2889" spans="6:18" ht="24" customHeight="1">
      <c r="F2889" s="142"/>
      <c r="G2889" s="143"/>
      <c r="H2889" s="151" t="s">
        <v>2000</v>
      </c>
      <c r="I2889" s="142"/>
      <c r="J2889" s="145"/>
      <c r="K2889" s="142"/>
      <c r="O2889" s="151" t="s">
        <v>2004</v>
      </c>
    </row>
    <row r="2890" spans="6:18" ht="24" customHeight="1">
      <c r="F2890" s="142"/>
      <c r="G2890" s="143"/>
      <c r="H2890" s="142"/>
      <c r="I2890" s="142"/>
      <c r="J2890" s="145"/>
      <c r="K2890" s="142"/>
    </row>
    <row r="2891" spans="6:18" ht="56.25" customHeight="1">
      <c r="F2891" s="161">
        <v>1.64</v>
      </c>
      <c r="G2891" s="150" t="s">
        <v>611</v>
      </c>
      <c r="H2891" s="158" t="s">
        <v>753</v>
      </c>
      <c r="I2891" s="210">
        <f>I2755</f>
        <v>1936</v>
      </c>
      <c r="J2891" s="149" t="s">
        <v>611</v>
      </c>
      <c r="K2891" s="142">
        <f>F2892*I2891</f>
        <v>3175.04</v>
      </c>
      <c r="M2891" s="161">
        <v>2.2549999999999999</v>
      </c>
      <c r="N2891" s="150" t="s">
        <v>611</v>
      </c>
      <c r="O2891" s="158" t="s">
        <v>753</v>
      </c>
      <c r="P2891" s="210">
        <f>I2891</f>
        <v>1936</v>
      </c>
      <c r="Q2891" s="149" t="s">
        <v>611</v>
      </c>
      <c r="R2891" s="142">
        <f>M2892*P2891</f>
        <v>4365.68</v>
      </c>
    </row>
    <row r="2892" spans="6:18" ht="24" customHeight="1">
      <c r="F2892" s="165">
        <v>1.64</v>
      </c>
      <c r="G2892" s="150" t="s">
        <v>611</v>
      </c>
      <c r="H2892" s="151" t="s">
        <v>446</v>
      </c>
      <c r="I2892" s="299">
        <f t="shared" ref="I2892:I2898" si="185">I2756</f>
        <v>80.2</v>
      </c>
      <c r="J2892" s="149" t="s">
        <v>611</v>
      </c>
      <c r="K2892" s="153">
        <f t="shared" ref="K2892:K2898" si="186">(F2892*I2892)</f>
        <v>131.53</v>
      </c>
      <c r="M2892" s="165">
        <v>2.2549999999999999</v>
      </c>
      <c r="N2892" s="150" t="s">
        <v>611</v>
      </c>
      <c r="O2892" s="151" t="s">
        <v>446</v>
      </c>
      <c r="P2892" s="210">
        <f t="shared" ref="P2892:P2898" si="187">I2892</f>
        <v>80.2</v>
      </c>
      <c r="Q2892" s="149" t="s">
        <v>611</v>
      </c>
      <c r="R2892" s="153">
        <f t="shared" ref="R2892:R2898" si="188">(M2892*P2892)</f>
        <v>180.85</v>
      </c>
    </row>
    <row r="2893" spans="6:18" ht="24" customHeight="1">
      <c r="F2893" s="153">
        <v>2</v>
      </c>
      <c r="G2893" s="150" t="s">
        <v>781</v>
      </c>
      <c r="H2893" s="151" t="s">
        <v>1526</v>
      </c>
      <c r="I2893" s="142">
        <f t="shared" si="185"/>
        <v>50.6</v>
      </c>
      <c r="J2893" s="149" t="s">
        <v>883</v>
      </c>
      <c r="K2893" s="153">
        <f t="shared" si="186"/>
        <v>101.2</v>
      </c>
      <c r="M2893" s="153">
        <v>2</v>
      </c>
      <c r="N2893" s="150" t="s">
        <v>781</v>
      </c>
      <c r="O2893" s="151" t="s">
        <v>1526</v>
      </c>
      <c r="P2893" s="210">
        <f t="shared" si="187"/>
        <v>50.6</v>
      </c>
      <c r="Q2893" s="149" t="s">
        <v>883</v>
      </c>
      <c r="R2893" s="153">
        <f t="shared" si="188"/>
        <v>101.2</v>
      </c>
    </row>
    <row r="2894" spans="6:18" ht="24" customHeight="1">
      <c r="F2894" s="153">
        <v>3</v>
      </c>
      <c r="G2894" s="150" t="s">
        <v>883</v>
      </c>
      <c r="H2894" s="151" t="s">
        <v>1527</v>
      </c>
      <c r="I2894" s="142">
        <f t="shared" si="185"/>
        <v>69.849999999999994</v>
      </c>
      <c r="J2894" s="149" t="s">
        <v>883</v>
      </c>
      <c r="K2894" s="153">
        <f t="shared" si="186"/>
        <v>209.55</v>
      </c>
      <c r="M2894" s="153">
        <v>3</v>
      </c>
      <c r="N2894" s="150" t="s">
        <v>883</v>
      </c>
      <c r="O2894" s="151" t="s">
        <v>1527</v>
      </c>
      <c r="P2894" s="210">
        <f t="shared" si="187"/>
        <v>69.849999999999994</v>
      </c>
      <c r="Q2894" s="149" t="s">
        <v>883</v>
      </c>
      <c r="R2894" s="153">
        <f t="shared" si="188"/>
        <v>209.55</v>
      </c>
    </row>
    <row r="2895" spans="6:18" ht="24" customHeight="1">
      <c r="F2895" s="153">
        <v>2</v>
      </c>
      <c r="G2895" s="150" t="s">
        <v>883</v>
      </c>
      <c r="H2895" s="151" t="s">
        <v>1528</v>
      </c>
      <c r="I2895" s="142">
        <f t="shared" si="185"/>
        <v>50.6</v>
      </c>
      <c r="J2895" s="149" t="s">
        <v>883</v>
      </c>
      <c r="K2895" s="153">
        <f t="shared" si="186"/>
        <v>101.2</v>
      </c>
      <c r="M2895" s="153">
        <v>2</v>
      </c>
      <c r="N2895" s="150" t="s">
        <v>883</v>
      </c>
      <c r="O2895" s="151" t="s">
        <v>1528</v>
      </c>
      <c r="P2895" s="210">
        <f t="shared" si="187"/>
        <v>50.6</v>
      </c>
      <c r="Q2895" s="149" t="s">
        <v>883</v>
      </c>
      <c r="R2895" s="153">
        <f t="shared" si="188"/>
        <v>101.2</v>
      </c>
    </row>
    <row r="2896" spans="6:18" ht="24" customHeight="1">
      <c r="F2896" s="153">
        <v>1</v>
      </c>
      <c r="G2896" s="150" t="s">
        <v>883</v>
      </c>
      <c r="H2896" s="151" t="s">
        <v>1529</v>
      </c>
      <c r="I2896" s="142">
        <f t="shared" si="185"/>
        <v>158.4</v>
      </c>
      <c r="J2896" s="149" t="s">
        <v>883</v>
      </c>
      <c r="K2896" s="153">
        <f t="shared" si="186"/>
        <v>158.4</v>
      </c>
      <c r="M2896" s="153">
        <v>1</v>
      </c>
      <c r="N2896" s="150" t="s">
        <v>883</v>
      </c>
      <c r="O2896" s="151" t="s">
        <v>1529</v>
      </c>
      <c r="P2896" s="210">
        <f t="shared" si="187"/>
        <v>158.4</v>
      </c>
      <c r="Q2896" s="149" t="s">
        <v>883</v>
      </c>
      <c r="R2896" s="153">
        <f t="shared" si="188"/>
        <v>158.4</v>
      </c>
    </row>
    <row r="2897" spans="6:18" ht="24" customHeight="1">
      <c r="F2897" s="153">
        <v>1</v>
      </c>
      <c r="G2897" s="150" t="s">
        <v>883</v>
      </c>
      <c r="H2897" s="151" t="s">
        <v>1530</v>
      </c>
      <c r="I2897" s="142">
        <f t="shared" si="185"/>
        <v>7.5</v>
      </c>
      <c r="J2897" s="149" t="s">
        <v>883</v>
      </c>
      <c r="K2897" s="153">
        <f t="shared" si="186"/>
        <v>7.5</v>
      </c>
      <c r="M2897" s="153">
        <v>1</v>
      </c>
      <c r="N2897" s="150" t="s">
        <v>883</v>
      </c>
      <c r="O2897" s="151" t="s">
        <v>1530</v>
      </c>
      <c r="P2897" s="210">
        <f t="shared" si="187"/>
        <v>7.5</v>
      </c>
      <c r="Q2897" s="149" t="s">
        <v>883</v>
      </c>
      <c r="R2897" s="153">
        <f t="shared" si="188"/>
        <v>7.5</v>
      </c>
    </row>
    <row r="2898" spans="6:18" ht="24" customHeight="1">
      <c r="F2898" s="153">
        <v>1</v>
      </c>
      <c r="G2898" s="150" t="s">
        <v>883</v>
      </c>
      <c r="H2898" s="151" t="s">
        <v>2058</v>
      </c>
      <c r="I2898" s="142">
        <f t="shared" si="185"/>
        <v>44.4</v>
      </c>
      <c r="J2898" s="149" t="s">
        <v>883</v>
      </c>
      <c r="K2898" s="153">
        <f t="shared" si="186"/>
        <v>44.4</v>
      </c>
      <c r="M2898" s="153">
        <v>1</v>
      </c>
      <c r="N2898" s="150" t="s">
        <v>883</v>
      </c>
      <c r="O2898" s="151" t="s">
        <v>2058</v>
      </c>
      <c r="P2898" s="210">
        <f t="shared" si="187"/>
        <v>44.4</v>
      </c>
      <c r="Q2898" s="149" t="s">
        <v>883</v>
      </c>
      <c r="R2898" s="153">
        <f t="shared" si="188"/>
        <v>44.4</v>
      </c>
    </row>
    <row r="2899" spans="6:18" ht="24" customHeight="1">
      <c r="F2899" s="142"/>
      <c r="G2899" s="143"/>
      <c r="H2899" s="142"/>
      <c r="I2899" s="142"/>
      <c r="J2899" s="145"/>
      <c r="K2899" s="156">
        <v>0.63</v>
      </c>
      <c r="M2899" s="142"/>
      <c r="N2899" s="143"/>
      <c r="O2899" s="142"/>
      <c r="P2899" s="142"/>
      <c r="Q2899" s="145"/>
      <c r="R2899" s="152" t="s">
        <v>1667</v>
      </c>
    </row>
    <row r="2900" spans="6:18" ht="24" customHeight="1">
      <c r="F2900" s="142"/>
      <c r="G2900" s="143"/>
      <c r="H2900" s="151" t="s">
        <v>2001</v>
      </c>
      <c r="I2900" s="142"/>
      <c r="J2900" s="145"/>
      <c r="K2900" s="153">
        <f>SUM(K2891:K2899)</f>
        <v>3929.45</v>
      </c>
      <c r="M2900" s="142"/>
      <c r="N2900" s="143"/>
      <c r="O2900" s="151" t="s">
        <v>2005</v>
      </c>
      <c r="P2900" s="142"/>
      <c r="Q2900" s="145"/>
      <c r="R2900" s="153">
        <f>SUM(R2891:R2898)+0.17</f>
        <v>5168.95</v>
      </c>
    </row>
    <row r="2901" spans="6:18" ht="24" customHeight="1">
      <c r="F2901" s="142"/>
      <c r="G2901" s="143"/>
      <c r="H2901" s="142"/>
      <c r="I2901" s="142"/>
      <c r="J2901" s="145"/>
      <c r="K2901" s="152" t="s">
        <v>1667</v>
      </c>
      <c r="M2901" s="142"/>
      <c r="N2901" s="143"/>
      <c r="O2901" s="142"/>
      <c r="P2901" s="142"/>
      <c r="Q2901" s="145"/>
      <c r="R2901" s="152" t="s">
        <v>1667</v>
      </c>
    </row>
    <row r="2902" spans="6:18" ht="24" customHeight="1">
      <c r="F2902" s="142"/>
      <c r="G2902" s="143"/>
      <c r="H2902" s="151" t="s">
        <v>555</v>
      </c>
      <c r="I2902" s="142"/>
      <c r="J2902" s="145"/>
      <c r="K2902" s="153">
        <f>K2900/F2892</f>
        <v>2396.0100000000002</v>
      </c>
      <c r="M2902" s="142"/>
      <c r="N2902" s="143"/>
      <c r="O2902" s="151" t="s">
        <v>555</v>
      </c>
      <c r="P2902" s="142"/>
      <c r="Q2902" s="145"/>
      <c r="R2902" s="153">
        <f>R2900/M2892</f>
        <v>2292.2199999999998</v>
      </c>
    </row>
    <row r="2903" spans="6:18" ht="24" customHeight="1">
      <c r="F2903" s="151" t="s">
        <v>995</v>
      </c>
      <c r="G2903" s="143"/>
      <c r="H2903" s="142"/>
      <c r="I2903" s="142"/>
      <c r="J2903" s="145"/>
      <c r="K2903" s="142"/>
    </row>
    <row r="2904" spans="6:18" ht="24" customHeight="1">
      <c r="F2904" s="142"/>
      <c r="G2904" s="143"/>
      <c r="H2904" s="142"/>
      <c r="I2904" s="142"/>
      <c r="J2904" s="145"/>
      <c r="K2904" s="142"/>
    </row>
    <row r="2905" spans="6:18" ht="24" customHeight="1">
      <c r="F2905" s="175" t="s">
        <v>1487</v>
      </c>
      <c r="G2905" s="176"/>
      <c r="H2905" s="175"/>
      <c r="I2905" s="175"/>
      <c r="J2905" s="177"/>
      <c r="K2905" s="175"/>
    </row>
    <row r="2906" spans="6:18" ht="24" customHeight="1">
      <c r="F2906" s="175"/>
      <c r="G2906" s="176"/>
      <c r="H2906" s="175"/>
      <c r="I2906" s="175"/>
      <c r="J2906" s="177"/>
      <c r="K2906" s="175"/>
    </row>
    <row r="2907" spans="6:18" ht="24" customHeight="1">
      <c r="F2907" s="175" t="s">
        <v>1488</v>
      </c>
      <c r="G2907" s="176"/>
      <c r="H2907" s="175"/>
      <c r="I2907" s="175"/>
      <c r="J2907" s="177"/>
      <c r="K2907" s="175"/>
    </row>
    <row r="2908" spans="6:18" ht="24" customHeight="1">
      <c r="F2908" s="175"/>
      <c r="G2908" s="176"/>
      <c r="H2908" s="175"/>
      <c r="I2908" s="175"/>
      <c r="J2908" s="177"/>
      <c r="K2908" s="175"/>
    </row>
    <row r="2909" spans="6:18" ht="24" customHeight="1">
      <c r="F2909" s="175"/>
      <c r="G2909" s="178">
        <v>0.99350000000000005</v>
      </c>
      <c r="H2909" s="175" t="s">
        <v>2226</v>
      </c>
      <c r="I2909" s="175"/>
      <c r="J2909" s="177"/>
      <c r="K2909" s="175"/>
    </row>
    <row r="2910" spans="6:18" ht="24" customHeight="1">
      <c r="F2910" s="175"/>
      <c r="G2910" s="176"/>
      <c r="H2910" s="175"/>
      <c r="I2910" s="175"/>
      <c r="J2910" s="177"/>
      <c r="K2910" s="175"/>
    </row>
    <row r="2911" spans="6:18" ht="24" customHeight="1">
      <c r="F2911" s="179" t="s">
        <v>463</v>
      </c>
      <c r="G2911" s="176"/>
      <c r="H2911" s="175"/>
      <c r="I2911" s="175"/>
      <c r="J2911" s="177"/>
      <c r="K2911" s="175"/>
    </row>
    <row r="2912" spans="6:18" ht="24" customHeight="1">
      <c r="F2912" s="175"/>
      <c r="G2912" s="176"/>
      <c r="H2912" s="175"/>
      <c r="I2912" s="175"/>
      <c r="J2912" s="177"/>
      <c r="K2912" s="175"/>
    </row>
    <row r="2913" spans="6:11" ht="24" customHeight="1">
      <c r="F2913" s="180">
        <v>0.42</v>
      </c>
      <c r="G2913" s="176" t="s">
        <v>2226</v>
      </c>
      <c r="H2913" s="175" t="s">
        <v>464</v>
      </c>
      <c r="I2913" s="175">
        <f>K779</f>
        <v>5426.25</v>
      </c>
      <c r="J2913" s="181" t="s">
        <v>2226</v>
      </c>
      <c r="K2913" s="175">
        <f>F2913*I2913</f>
        <v>2279.0300000000002</v>
      </c>
    </row>
    <row r="2914" spans="6:11" ht="24" customHeight="1">
      <c r="F2914" s="175">
        <v>0.25</v>
      </c>
      <c r="G2914" s="176" t="s">
        <v>1454</v>
      </c>
      <c r="H2914" s="175" t="s">
        <v>465</v>
      </c>
      <c r="I2914" s="175">
        <f>C11</f>
        <v>386.4</v>
      </c>
      <c r="J2914" s="181" t="s">
        <v>1458</v>
      </c>
      <c r="K2914" s="175">
        <f>F2914*I2914</f>
        <v>96.6</v>
      </c>
    </row>
    <row r="2915" spans="6:11" ht="24" customHeight="1">
      <c r="F2915" s="175">
        <v>3.5</v>
      </c>
      <c r="G2915" s="176" t="s">
        <v>1492</v>
      </c>
      <c r="H2915" s="175" t="s">
        <v>353</v>
      </c>
      <c r="I2915" s="175">
        <f>C12</f>
        <v>269.85000000000002</v>
      </c>
      <c r="J2915" s="181" t="s">
        <v>1458</v>
      </c>
      <c r="K2915" s="175">
        <f>F2915*I2915</f>
        <v>944.48</v>
      </c>
    </row>
    <row r="2916" spans="6:11" ht="24" customHeight="1">
      <c r="F2916" s="182">
        <v>32.1</v>
      </c>
      <c r="G2916" s="183" t="s">
        <v>1730</v>
      </c>
      <c r="H2916" s="182" t="s">
        <v>1674</v>
      </c>
      <c r="I2916" s="175"/>
      <c r="J2916" s="181"/>
      <c r="K2916" s="175">
        <f>(F2916*I2916)/1000</f>
        <v>0</v>
      </c>
    </row>
    <row r="2917" spans="6:11" ht="24" customHeight="1">
      <c r="F2917" s="175"/>
      <c r="G2917" s="175" t="s">
        <v>466</v>
      </c>
      <c r="H2917" s="175" t="s">
        <v>969</v>
      </c>
      <c r="I2917" s="175"/>
      <c r="J2917" s="181" t="s">
        <v>72</v>
      </c>
      <c r="K2917" s="175">
        <f>(K2914+K2915)*10%</f>
        <v>104.11</v>
      </c>
    </row>
    <row r="2918" spans="6:11" ht="24" customHeight="1">
      <c r="F2918" s="175"/>
      <c r="G2918" s="176"/>
      <c r="H2918" s="175"/>
      <c r="I2918" s="175"/>
      <c r="J2918" s="177"/>
      <c r="K2918" s="175" t="s">
        <v>970</v>
      </c>
    </row>
    <row r="2919" spans="6:11" ht="24" customHeight="1">
      <c r="F2919" s="175"/>
      <c r="G2919" s="176"/>
      <c r="H2919" s="175"/>
      <c r="I2919" s="175"/>
      <c r="J2919" s="177"/>
      <c r="K2919" s="175"/>
    </row>
    <row r="2920" spans="6:11" ht="24" customHeight="1">
      <c r="F2920" s="175"/>
      <c r="G2920" s="176"/>
      <c r="H2920" s="175"/>
      <c r="I2920" s="175" t="s">
        <v>1081</v>
      </c>
      <c r="J2920" s="177"/>
      <c r="K2920" s="175">
        <f>SUM(K2913:K2917)</f>
        <v>3424.22</v>
      </c>
    </row>
    <row r="2921" spans="6:11" ht="24" customHeight="1">
      <c r="F2921" s="175"/>
      <c r="G2921" s="176"/>
      <c r="H2921" s="175"/>
      <c r="I2921" s="175"/>
      <c r="J2921" s="177"/>
      <c r="K2921" s="175"/>
    </row>
    <row r="2922" spans="6:11" ht="24" customHeight="1">
      <c r="F2922" s="175"/>
      <c r="G2922" s="176"/>
      <c r="H2922" s="175"/>
      <c r="I2922" s="175" t="s">
        <v>1958</v>
      </c>
      <c r="J2922" s="177"/>
      <c r="K2922" s="175">
        <f>K2920/3.5</f>
        <v>978.35</v>
      </c>
    </row>
    <row r="2923" spans="6:11" ht="24" customHeight="1">
      <c r="F2923" s="175"/>
      <c r="G2923" s="184" t="s">
        <v>1082</v>
      </c>
      <c r="H2923" s="175"/>
      <c r="I2923" s="175"/>
      <c r="J2923" s="177"/>
      <c r="K2923" s="175"/>
    </row>
    <row r="2924" spans="6:11" ht="24" customHeight="1">
      <c r="F2924" s="142"/>
      <c r="G2924" s="143"/>
      <c r="H2924" s="142"/>
      <c r="I2924" s="142"/>
      <c r="J2924" s="145"/>
      <c r="K2924" s="142"/>
    </row>
    <row r="2925" spans="6:11" ht="24" customHeight="1">
      <c r="F2925" s="142">
        <v>1</v>
      </c>
      <c r="G2925" s="176" t="s">
        <v>2226</v>
      </c>
      <c r="H2925" s="142" t="s">
        <v>211</v>
      </c>
      <c r="I2925" s="142">
        <f>AA38</f>
        <v>274.54000000000002</v>
      </c>
      <c r="J2925" s="181" t="s">
        <v>2226</v>
      </c>
      <c r="K2925" s="175">
        <f>F2925*I2925</f>
        <v>274.54000000000002</v>
      </c>
    </row>
    <row r="2926" spans="6:11" ht="24" customHeight="1">
      <c r="F2926" s="142">
        <v>1</v>
      </c>
      <c r="G2926" s="176" t="s">
        <v>2226</v>
      </c>
      <c r="H2926" s="142" t="s">
        <v>1083</v>
      </c>
      <c r="I2926" s="142">
        <f>AC28</f>
        <v>16.96</v>
      </c>
      <c r="J2926" s="181" t="s">
        <v>2226</v>
      </c>
      <c r="K2926" s="175">
        <f>F2926*I2926</f>
        <v>16.96</v>
      </c>
    </row>
    <row r="2927" spans="6:11" ht="24" customHeight="1">
      <c r="F2927" s="142"/>
      <c r="G2927" s="143"/>
      <c r="H2927" s="142"/>
      <c r="I2927" s="142"/>
      <c r="J2927" s="145"/>
      <c r="K2927" s="148">
        <f>SUM(K2925:K2926)</f>
        <v>291.5</v>
      </c>
    </row>
    <row r="2929" spans="8:12" ht="24" customHeight="1">
      <c r="H2929" s="3" t="s">
        <v>1982</v>
      </c>
      <c r="I2929" s="29"/>
      <c r="J2929" s="4"/>
    </row>
    <row r="2930" spans="8:12" ht="24" customHeight="1">
      <c r="H2930" s="29" t="s">
        <v>1793</v>
      </c>
      <c r="I2930" s="29">
        <f>C733</f>
        <v>877</v>
      </c>
      <c r="J2930" s="4" t="s">
        <v>1794</v>
      </c>
      <c r="K2930" s="208">
        <f>I2930</f>
        <v>877</v>
      </c>
      <c r="L2930" t="s">
        <v>995</v>
      </c>
    </row>
    <row r="2931" spans="8:12" ht="24" customHeight="1">
      <c r="J2931" s="4"/>
      <c r="K2931" s="208"/>
    </row>
    <row r="2932" spans="8:12" ht="24" customHeight="1">
      <c r="J2932" s="4"/>
      <c r="K2932" s="208"/>
    </row>
    <row r="2933" spans="8:12" ht="24" customHeight="1">
      <c r="H2933" t="s">
        <v>1610</v>
      </c>
      <c r="I2933" s="208">
        <v>449</v>
      </c>
      <c r="J2933" s="4" t="s">
        <v>1794</v>
      </c>
      <c r="K2933" s="208">
        <f>I2933</f>
        <v>449</v>
      </c>
    </row>
    <row r="2934" spans="8:12" ht="24" customHeight="1">
      <c r="J2934" s="4"/>
      <c r="K2934" s="208"/>
    </row>
    <row r="2935" spans="8:12" ht="24" customHeight="1">
      <c r="H2935" t="s">
        <v>1611</v>
      </c>
      <c r="I2935" s="208">
        <v>363</v>
      </c>
      <c r="J2935" s="4" t="s">
        <v>1794</v>
      </c>
      <c r="K2935" s="208">
        <f>I2935</f>
        <v>363</v>
      </c>
    </row>
    <row r="2936" spans="8:12" ht="24" customHeight="1">
      <c r="J2936" s="4"/>
      <c r="K2936" s="208"/>
    </row>
    <row r="2937" spans="8:12" ht="24" customHeight="1">
      <c r="H2937" t="s">
        <v>1349</v>
      </c>
      <c r="J2937" s="4"/>
      <c r="K2937" s="208"/>
    </row>
    <row r="2938" spans="8:12" ht="24" customHeight="1">
      <c r="H2938" t="s">
        <v>1350</v>
      </c>
      <c r="I2938" s="208">
        <v>908</v>
      </c>
      <c r="J2938" s="4" t="s">
        <v>1794</v>
      </c>
      <c r="K2938" s="208">
        <f>I2938</f>
        <v>908</v>
      </c>
    </row>
    <row r="2939" spans="8:12" ht="24" customHeight="1">
      <c r="H2939" s="1" t="s">
        <v>1107</v>
      </c>
      <c r="I2939" s="213">
        <f>K2212</f>
        <v>1591</v>
      </c>
      <c r="J2939" s="4"/>
      <c r="K2939" s="213">
        <f>I2939</f>
        <v>1591</v>
      </c>
    </row>
    <row r="2940" spans="8:12" ht="24" customHeight="1">
      <c r="J2940" s="4"/>
    </row>
    <row r="2941" spans="8:12" ht="24" customHeight="1">
      <c r="J2941" s="4"/>
    </row>
    <row r="2942" spans="8:12" ht="24" customHeight="1">
      <c r="J2942" s="4"/>
    </row>
    <row r="2943" spans="8:12" ht="24" customHeight="1">
      <c r="J2943" s="4"/>
    </row>
    <row r="2944" spans="8:12" ht="24" customHeight="1">
      <c r="I2944" s="208"/>
      <c r="J2944" s="4"/>
    </row>
    <row r="2945" spans="8:11" ht="24" customHeight="1">
      <c r="J2945" s="4"/>
    </row>
    <row r="2946" spans="8:11" ht="24" customHeight="1">
      <c r="H2946" s="34"/>
      <c r="J2946" s="4"/>
    </row>
    <row r="2947" spans="8:11" ht="24" customHeight="1">
      <c r="J2947" s="4"/>
    </row>
    <row r="2948" spans="8:11" ht="24" customHeight="1">
      <c r="H2948" s="97"/>
      <c r="I2948" s="38"/>
      <c r="J2948" s="41"/>
      <c r="K2948" s="38"/>
    </row>
    <row r="2951" spans="8:11" ht="24" customHeight="1">
      <c r="H2951" t="s">
        <v>1032</v>
      </c>
    </row>
    <row r="2952" spans="8:11" ht="24" customHeight="1">
      <c r="H2952" t="s">
        <v>1033</v>
      </c>
      <c r="J2952" s="11" t="s">
        <v>1458</v>
      </c>
      <c r="K2952" s="300">
        <v>130</v>
      </c>
    </row>
    <row r="2953" spans="8:11" ht="24" customHeight="1">
      <c r="K2953" s="300"/>
    </row>
    <row r="2954" spans="8:11" ht="24" customHeight="1">
      <c r="H2954" t="s">
        <v>1034</v>
      </c>
      <c r="J2954" s="11" t="s">
        <v>1458</v>
      </c>
      <c r="K2954" s="300">
        <v>170</v>
      </c>
    </row>
    <row r="2957" spans="8:11" ht="24" customHeight="1">
      <c r="H2957" s="1" t="s">
        <v>1317</v>
      </c>
      <c r="J2957" s="11" t="s">
        <v>1458</v>
      </c>
      <c r="K2957" s="297">
        <v>443</v>
      </c>
    </row>
    <row r="2959" spans="8:11" ht="42" customHeight="1">
      <c r="H2959" s="24" t="s">
        <v>203</v>
      </c>
      <c r="J2959" s="11" t="s">
        <v>1458</v>
      </c>
      <c r="K2959" s="297">
        <f>Elec.Data!K3764</f>
        <v>1499</v>
      </c>
    </row>
    <row r="2962" spans="6:18" ht="24" customHeight="1">
      <c r="H2962" t="s">
        <v>1349</v>
      </c>
      <c r="J2962" s="11" t="s">
        <v>1458</v>
      </c>
      <c r="K2962" s="208">
        <f>K2938</f>
        <v>908</v>
      </c>
    </row>
    <row r="2963" spans="6:18" ht="24" customHeight="1">
      <c r="H2963" t="s">
        <v>1350</v>
      </c>
    </row>
    <row r="2965" spans="6:18" ht="24" customHeight="1">
      <c r="F2965">
        <v>0.5</v>
      </c>
      <c r="H2965" t="s">
        <v>1945</v>
      </c>
      <c r="J2965" s="11">
        <f>C15</f>
        <v>374.85</v>
      </c>
      <c r="K2965">
        <f>J2965*F2965</f>
        <v>187.43</v>
      </c>
    </row>
    <row r="2966" spans="6:18" ht="24" customHeight="1">
      <c r="F2966">
        <v>0.5</v>
      </c>
      <c r="H2966" t="s">
        <v>353</v>
      </c>
      <c r="J2966" s="11">
        <f>C12</f>
        <v>269.85000000000002</v>
      </c>
      <c r="K2966">
        <f>J2966*F2966</f>
        <v>134.93</v>
      </c>
    </row>
    <row r="2967" spans="6:18" ht="24" customHeight="1">
      <c r="I2967" s="1191" t="s">
        <v>1100</v>
      </c>
      <c r="J2967" s="1191"/>
      <c r="K2967" s="38">
        <f>SUM(K2962:K2966)</f>
        <v>1230.3599999999999</v>
      </c>
    </row>
    <row r="2970" spans="6:18" ht="24" customHeight="1">
      <c r="F2970" s="149" t="s">
        <v>567</v>
      </c>
      <c r="G2970" s="150" t="s">
        <v>2338</v>
      </c>
      <c r="H2970" s="151" t="s">
        <v>1851</v>
      </c>
      <c r="I2970" s="142"/>
      <c r="J2970" s="145"/>
      <c r="K2970" s="142"/>
      <c r="M2970" s="149" t="s">
        <v>567</v>
      </c>
      <c r="N2970" s="150" t="s">
        <v>2338</v>
      </c>
      <c r="O2970" s="151" t="s">
        <v>1851</v>
      </c>
      <c r="P2970" s="142"/>
      <c r="Q2970" s="145"/>
      <c r="R2970" s="142"/>
    </row>
    <row r="2971" spans="6:18" ht="24" customHeight="1">
      <c r="F2971" s="142"/>
      <c r="G2971" s="143"/>
      <c r="H2971" s="151" t="s">
        <v>254</v>
      </c>
      <c r="I2971" s="142"/>
      <c r="J2971" s="145"/>
      <c r="K2971" s="142"/>
      <c r="M2971" s="142"/>
      <c r="N2971" s="143"/>
      <c r="O2971" s="151" t="s">
        <v>254</v>
      </c>
      <c r="P2971" s="142"/>
      <c r="Q2971" s="145"/>
      <c r="R2971" s="142"/>
    </row>
    <row r="2972" spans="6:18" ht="24" customHeight="1">
      <c r="F2972" s="142"/>
      <c r="G2972" s="143"/>
      <c r="H2972" s="151" t="s">
        <v>1473</v>
      </c>
      <c r="I2972" s="142"/>
      <c r="J2972" s="145"/>
      <c r="K2972" s="142"/>
      <c r="M2972" s="142"/>
      <c r="N2972" s="143"/>
      <c r="O2972" s="151" t="s">
        <v>86</v>
      </c>
      <c r="P2972" s="142"/>
      <c r="Q2972" s="145"/>
      <c r="R2972" s="142"/>
    </row>
    <row r="2973" spans="6:18" ht="24" customHeight="1">
      <c r="F2973" s="142"/>
      <c r="G2973" s="143"/>
      <c r="H2973" s="152" t="s">
        <v>1667</v>
      </c>
      <c r="I2973" s="142"/>
      <c r="J2973" s="145"/>
      <c r="K2973" s="142"/>
      <c r="M2973" s="142"/>
      <c r="N2973" s="143"/>
      <c r="O2973" s="152" t="s">
        <v>1667</v>
      </c>
      <c r="P2973" s="142"/>
      <c r="Q2973" s="145"/>
      <c r="R2973" s="142"/>
    </row>
    <row r="2974" spans="6:18" ht="24" customHeight="1">
      <c r="F2974" s="142"/>
      <c r="G2974" s="143"/>
      <c r="H2974" s="151" t="s">
        <v>770</v>
      </c>
      <c r="I2974" s="142"/>
      <c r="J2974" s="145"/>
      <c r="K2974" s="142"/>
      <c r="M2974" s="142"/>
      <c r="N2974" s="143"/>
      <c r="O2974" s="151" t="s">
        <v>367</v>
      </c>
      <c r="P2974" s="142"/>
      <c r="Q2974" s="145"/>
      <c r="R2974" s="142"/>
    </row>
    <row r="2975" spans="6:18" ht="44.25" customHeight="1">
      <c r="F2975" s="142"/>
      <c r="G2975" s="143"/>
      <c r="H2975" s="142"/>
      <c r="I2975" s="142"/>
      <c r="J2975" s="145"/>
      <c r="K2975" s="142"/>
      <c r="M2975" s="142"/>
      <c r="N2975" s="143"/>
      <c r="O2975" s="142"/>
      <c r="P2975" s="142"/>
      <c r="Q2975" s="145"/>
      <c r="R2975" s="142"/>
    </row>
    <row r="2976" spans="6:18" ht="68.25" customHeight="1">
      <c r="F2976" s="168">
        <v>2.2275</v>
      </c>
      <c r="G2976" s="150" t="s">
        <v>611</v>
      </c>
      <c r="H2976" s="158" t="s">
        <v>753</v>
      </c>
      <c r="I2976" s="210">
        <f>I2755</f>
        <v>1936</v>
      </c>
      <c r="J2976" s="149" t="s">
        <v>611</v>
      </c>
      <c r="K2976" s="142">
        <f>F2977*I2976</f>
        <v>4312.4399999999996</v>
      </c>
      <c r="M2976" s="161">
        <v>3.29</v>
      </c>
      <c r="N2976" s="150" t="s">
        <v>611</v>
      </c>
      <c r="O2976" s="158" t="s">
        <v>753</v>
      </c>
      <c r="P2976" s="210">
        <f>I2976</f>
        <v>1936</v>
      </c>
      <c r="Q2976" s="149" t="s">
        <v>611</v>
      </c>
      <c r="R2976" s="142">
        <f>M2977*P2976</f>
        <v>6369.44</v>
      </c>
    </row>
    <row r="2977" spans="6:18" ht="24" customHeight="1">
      <c r="F2977" s="164">
        <f>F2976</f>
        <v>2.2275</v>
      </c>
      <c r="G2977" s="150" t="s">
        <v>611</v>
      </c>
      <c r="H2977" s="151" t="s">
        <v>446</v>
      </c>
      <c r="I2977" s="299">
        <f>I2788</f>
        <v>124.2</v>
      </c>
      <c r="J2977" s="149" t="s">
        <v>611</v>
      </c>
      <c r="K2977" s="153">
        <f t="shared" ref="K2977:K2983" si="189">(F2977*I2977)</f>
        <v>276.66000000000003</v>
      </c>
      <c r="M2977" s="165">
        <v>3.29</v>
      </c>
      <c r="N2977" s="150" t="s">
        <v>611</v>
      </c>
      <c r="O2977" s="151" t="s">
        <v>446</v>
      </c>
      <c r="P2977" s="210">
        <f t="shared" ref="P2977:P2983" si="190">I2977</f>
        <v>124.2</v>
      </c>
      <c r="Q2977" s="149" t="s">
        <v>611</v>
      </c>
      <c r="R2977" s="153">
        <f t="shared" ref="R2977:R2983" si="191">(M2977*P2977)</f>
        <v>408.62</v>
      </c>
    </row>
    <row r="2978" spans="6:18" ht="24" customHeight="1">
      <c r="F2978" s="153">
        <v>4</v>
      </c>
      <c r="G2978" s="150" t="s">
        <v>781</v>
      </c>
      <c r="H2978" s="151" t="s">
        <v>1526</v>
      </c>
      <c r="I2978" s="210">
        <f t="shared" ref="I2978:I2983" si="192">I2893</f>
        <v>50.6</v>
      </c>
      <c r="J2978" s="149" t="s">
        <v>883</v>
      </c>
      <c r="K2978" s="153">
        <f t="shared" si="189"/>
        <v>202.4</v>
      </c>
      <c r="M2978" s="153">
        <v>4</v>
      </c>
      <c r="N2978" s="150" t="s">
        <v>781</v>
      </c>
      <c r="O2978" s="151" t="s">
        <v>1526</v>
      </c>
      <c r="P2978" s="210">
        <f t="shared" si="190"/>
        <v>50.6</v>
      </c>
      <c r="Q2978" s="149" t="s">
        <v>883</v>
      </c>
      <c r="R2978" s="153">
        <f t="shared" si="191"/>
        <v>202.4</v>
      </c>
    </row>
    <row r="2979" spans="6:18" ht="24" customHeight="1">
      <c r="F2979" s="153">
        <v>6</v>
      </c>
      <c r="G2979" s="150" t="s">
        <v>883</v>
      </c>
      <c r="H2979" s="151" t="s">
        <v>1527</v>
      </c>
      <c r="I2979" s="210">
        <f t="shared" si="192"/>
        <v>69.849999999999994</v>
      </c>
      <c r="J2979" s="149" t="s">
        <v>883</v>
      </c>
      <c r="K2979" s="153">
        <f t="shared" si="189"/>
        <v>419.1</v>
      </c>
      <c r="M2979" s="153">
        <v>6</v>
      </c>
      <c r="N2979" s="150" t="s">
        <v>883</v>
      </c>
      <c r="O2979" s="151" t="s">
        <v>1527</v>
      </c>
      <c r="P2979" s="210">
        <f t="shared" si="190"/>
        <v>69.849999999999994</v>
      </c>
      <c r="Q2979" s="149" t="s">
        <v>883</v>
      </c>
      <c r="R2979" s="153">
        <f t="shared" si="191"/>
        <v>419.1</v>
      </c>
    </row>
    <row r="2980" spans="6:18" ht="24" customHeight="1">
      <c r="F2980" s="153">
        <v>4</v>
      </c>
      <c r="G2980" s="150" t="s">
        <v>883</v>
      </c>
      <c r="H2980" s="151" t="s">
        <v>1528</v>
      </c>
      <c r="I2980" s="210">
        <f t="shared" si="192"/>
        <v>50.6</v>
      </c>
      <c r="J2980" s="149" t="s">
        <v>883</v>
      </c>
      <c r="K2980" s="153">
        <f t="shared" si="189"/>
        <v>202.4</v>
      </c>
      <c r="M2980" s="153">
        <v>4</v>
      </c>
      <c r="N2980" s="150" t="s">
        <v>883</v>
      </c>
      <c r="O2980" s="151" t="s">
        <v>1528</v>
      </c>
      <c r="P2980" s="210">
        <f t="shared" si="190"/>
        <v>50.6</v>
      </c>
      <c r="Q2980" s="149" t="s">
        <v>883</v>
      </c>
      <c r="R2980" s="153">
        <f t="shared" si="191"/>
        <v>202.4</v>
      </c>
    </row>
    <row r="2981" spans="6:18" ht="24" customHeight="1">
      <c r="F2981" s="153">
        <v>1</v>
      </c>
      <c r="G2981" s="150" t="s">
        <v>883</v>
      </c>
      <c r="H2981" s="151" t="s">
        <v>1529</v>
      </c>
      <c r="I2981" s="210">
        <f t="shared" si="192"/>
        <v>158.4</v>
      </c>
      <c r="J2981" s="149" t="s">
        <v>883</v>
      </c>
      <c r="K2981" s="153">
        <f t="shared" si="189"/>
        <v>158.4</v>
      </c>
      <c r="M2981" s="153">
        <v>1</v>
      </c>
      <c r="N2981" s="150" t="s">
        <v>883</v>
      </c>
      <c r="O2981" s="151" t="s">
        <v>1529</v>
      </c>
      <c r="P2981" s="210">
        <f t="shared" si="190"/>
        <v>158.4</v>
      </c>
      <c r="Q2981" s="149" t="s">
        <v>883</v>
      </c>
      <c r="R2981" s="153">
        <f t="shared" si="191"/>
        <v>158.4</v>
      </c>
    </row>
    <row r="2982" spans="6:18" ht="24" customHeight="1">
      <c r="F2982" s="153">
        <v>2</v>
      </c>
      <c r="G2982" s="150" t="s">
        <v>883</v>
      </c>
      <c r="H2982" s="151" t="s">
        <v>1530</v>
      </c>
      <c r="I2982" s="210">
        <f t="shared" si="192"/>
        <v>7.5</v>
      </c>
      <c r="J2982" s="149" t="s">
        <v>883</v>
      </c>
      <c r="K2982" s="153">
        <f t="shared" si="189"/>
        <v>15</v>
      </c>
      <c r="M2982" s="153">
        <v>2</v>
      </c>
      <c r="N2982" s="150" t="s">
        <v>883</v>
      </c>
      <c r="O2982" s="151" t="s">
        <v>1530</v>
      </c>
      <c r="P2982" s="210">
        <f t="shared" si="190"/>
        <v>7.5</v>
      </c>
      <c r="Q2982" s="149" t="s">
        <v>883</v>
      </c>
      <c r="R2982" s="153">
        <f t="shared" si="191"/>
        <v>15</v>
      </c>
    </row>
    <row r="2983" spans="6:18" ht="24" customHeight="1">
      <c r="F2983" s="153">
        <v>2</v>
      </c>
      <c r="G2983" s="150" t="s">
        <v>883</v>
      </c>
      <c r="H2983" s="151" t="s">
        <v>2058</v>
      </c>
      <c r="I2983" s="210">
        <f t="shared" si="192"/>
        <v>44.4</v>
      </c>
      <c r="J2983" s="149" t="s">
        <v>883</v>
      </c>
      <c r="K2983" s="153">
        <f t="shared" si="189"/>
        <v>88.8</v>
      </c>
      <c r="M2983" s="153">
        <v>2</v>
      </c>
      <c r="N2983" s="150" t="s">
        <v>883</v>
      </c>
      <c r="O2983" s="151" t="s">
        <v>2058</v>
      </c>
      <c r="P2983" s="210">
        <f t="shared" si="190"/>
        <v>44.4</v>
      </c>
      <c r="Q2983" s="149" t="s">
        <v>883</v>
      </c>
      <c r="R2983" s="153">
        <f t="shared" si="191"/>
        <v>88.8</v>
      </c>
    </row>
    <row r="2984" spans="6:18" ht="24" customHeight="1">
      <c r="F2984" s="142"/>
      <c r="G2984" s="143"/>
      <c r="H2984" s="142"/>
      <c r="I2984" s="142"/>
      <c r="J2984" s="145"/>
      <c r="K2984" s="156">
        <v>0.2</v>
      </c>
      <c r="M2984" s="142"/>
      <c r="N2984" s="143"/>
      <c r="O2984" s="142"/>
      <c r="P2984" s="142"/>
      <c r="Q2984" s="145"/>
      <c r="R2984" s="152" t="s">
        <v>1667</v>
      </c>
    </row>
    <row r="2985" spans="6:18" ht="24" customHeight="1">
      <c r="F2985" s="142"/>
      <c r="G2985" s="143"/>
      <c r="H2985" s="151" t="s">
        <v>771</v>
      </c>
      <c r="I2985" s="142"/>
      <c r="J2985" s="145"/>
      <c r="K2985" s="153">
        <f>SUM(K2976:K2984)</f>
        <v>5675.4</v>
      </c>
      <c r="M2985" s="142"/>
      <c r="N2985" s="143"/>
      <c r="O2985" s="151" t="s">
        <v>368</v>
      </c>
      <c r="P2985" s="142"/>
      <c r="Q2985" s="145"/>
      <c r="R2985" s="153">
        <f>SUM(R2976:R2984)+0.5</f>
        <v>7864.66</v>
      </c>
    </row>
    <row r="2986" spans="6:18" ht="24" customHeight="1">
      <c r="F2986" s="142"/>
      <c r="G2986" s="143"/>
      <c r="H2986" s="142"/>
      <c r="I2986" s="142"/>
      <c r="J2986" s="145"/>
      <c r="K2986" s="152" t="s">
        <v>1667</v>
      </c>
      <c r="M2986" s="142"/>
      <c r="N2986" s="143"/>
      <c r="O2986" s="142"/>
      <c r="P2986" s="142"/>
      <c r="Q2986" s="145"/>
      <c r="R2986" s="152" t="s">
        <v>1667</v>
      </c>
    </row>
    <row r="2987" spans="6:18" ht="24" customHeight="1">
      <c r="F2987" s="142"/>
      <c r="G2987" s="143"/>
      <c r="H2987" s="151" t="s">
        <v>555</v>
      </c>
      <c r="I2987" s="142"/>
      <c r="J2987" s="145"/>
      <c r="K2987" s="153">
        <f>K2985/F2977</f>
        <v>2547.88</v>
      </c>
      <c r="M2987" s="142"/>
      <c r="N2987" s="143"/>
      <c r="O2987" s="151" t="s">
        <v>555</v>
      </c>
      <c r="P2987" s="142"/>
      <c r="Q2987" s="145"/>
      <c r="R2987" s="153">
        <f>R2985/M2976</f>
        <v>2390.4699999999998</v>
      </c>
    </row>
    <row r="2988" spans="6:18" ht="24" customHeight="1">
      <c r="N2988" s="3"/>
      <c r="Q2988" s="11"/>
    </row>
    <row r="2989" spans="6:18" ht="24" customHeight="1">
      <c r="F2989" s="149" t="s">
        <v>567</v>
      </c>
      <c r="G2989" s="150" t="s">
        <v>2338</v>
      </c>
      <c r="H2989" s="151" t="s">
        <v>1851</v>
      </c>
      <c r="I2989" s="142"/>
      <c r="J2989" s="145"/>
      <c r="K2989" s="142"/>
    </row>
    <row r="2990" spans="6:18" ht="24" customHeight="1">
      <c r="F2990" s="142"/>
      <c r="G2990" s="143"/>
      <c r="H2990" s="151" t="s">
        <v>254</v>
      </c>
      <c r="I2990" s="142"/>
      <c r="J2990" s="145"/>
      <c r="K2990" s="142"/>
    </row>
    <row r="2991" spans="6:18" ht="24" customHeight="1">
      <c r="F2991" s="142"/>
      <c r="G2991" s="143"/>
      <c r="H2991" s="151" t="s">
        <v>2002</v>
      </c>
      <c r="I2991" s="142"/>
      <c r="J2991" s="145"/>
      <c r="K2991" s="142"/>
    </row>
    <row r="2992" spans="6:18" ht="24" customHeight="1">
      <c r="F2992" s="142"/>
      <c r="G2992" s="143"/>
      <c r="H2992" s="152" t="s">
        <v>1667</v>
      </c>
      <c r="I2992" s="142"/>
      <c r="J2992" s="145"/>
      <c r="K2992" s="142"/>
    </row>
    <row r="2993" spans="6:11" ht="24" customHeight="1">
      <c r="F2993" s="142"/>
      <c r="G2993" s="143"/>
      <c r="H2993" s="151" t="s">
        <v>107</v>
      </c>
      <c r="I2993" s="142"/>
      <c r="J2993" s="145"/>
      <c r="K2993" s="142"/>
    </row>
    <row r="2994" spans="6:11" ht="24" customHeight="1">
      <c r="F2994" s="142"/>
      <c r="G2994" s="143"/>
      <c r="H2994" s="142"/>
      <c r="I2994" s="142"/>
      <c r="J2994" s="145"/>
      <c r="K2994" s="142"/>
    </row>
    <row r="2995" spans="6:11" ht="41.25" customHeight="1">
      <c r="F2995" s="161">
        <v>2.87</v>
      </c>
      <c r="G2995" s="150" t="s">
        <v>611</v>
      </c>
      <c r="H2995" s="158" t="s">
        <v>753</v>
      </c>
      <c r="I2995" s="210">
        <f>I2976</f>
        <v>1936</v>
      </c>
      <c r="J2995" s="149" t="s">
        <v>611</v>
      </c>
      <c r="K2995" s="142">
        <f>F2996*I2995</f>
        <v>5556.32</v>
      </c>
    </row>
    <row r="2996" spans="6:11" ht="24" customHeight="1">
      <c r="F2996" s="165">
        <f>F2995</f>
        <v>2.87</v>
      </c>
      <c r="G2996" s="150" t="s">
        <v>611</v>
      </c>
      <c r="H2996" s="151" t="s">
        <v>446</v>
      </c>
      <c r="I2996" s="299">
        <f t="shared" ref="I2996:I3002" si="193">I2977</f>
        <v>124.2</v>
      </c>
      <c r="J2996" s="149" t="s">
        <v>611</v>
      </c>
      <c r="K2996" s="153">
        <f t="shared" ref="K2996:K3002" si="194">(F2996*I2996)</f>
        <v>356.45</v>
      </c>
    </row>
    <row r="2997" spans="6:11" ht="24" customHeight="1">
      <c r="F2997" s="153">
        <v>4</v>
      </c>
      <c r="G2997" s="150" t="s">
        <v>781</v>
      </c>
      <c r="H2997" s="151" t="s">
        <v>1526</v>
      </c>
      <c r="I2997" s="210">
        <f t="shared" si="193"/>
        <v>50.6</v>
      </c>
      <c r="J2997" s="149" t="s">
        <v>883</v>
      </c>
      <c r="K2997" s="153">
        <f t="shared" si="194"/>
        <v>202.4</v>
      </c>
    </row>
    <row r="2998" spans="6:11" ht="24" customHeight="1">
      <c r="F2998" s="153">
        <v>6</v>
      </c>
      <c r="G2998" s="150" t="s">
        <v>883</v>
      </c>
      <c r="H2998" s="151" t="s">
        <v>1527</v>
      </c>
      <c r="I2998" s="210">
        <f t="shared" si="193"/>
        <v>69.849999999999994</v>
      </c>
      <c r="J2998" s="149" t="s">
        <v>883</v>
      </c>
      <c r="K2998" s="153">
        <f t="shared" si="194"/>
        <v>419.1</v>
      </c>
    </row>
    <row r="2999" spans="6:11" ht="24" customHeight="1">
      <c r="F2999" s="153">
        <v>4</v>
      </c>
      <c r="G2999" s="150" t="s">
        <v>883</v>
      </c>
      <c r="H2999" s="151" t="s">
        <v>1528</v>
      </c>
      <c r="I2999" s="210">
        <f t="shared" si="193"/>
        <v>50.6</v>
      </c>
      <c r="J2999" s="149" t="s">
        <v>883</v>
      </c>
      <c r="K2999" s="153">
        <f t="shared" si="194"/>
        <v>202.4</v>
      </c>
    </row>
    <row r="3000" spans="6:11" ht="24" customHeight="1">
      <c r="F3000" s="153">
        <v>1</v>
      </c>
      <c r="G3000" s="150" t="s">
        <v>883</v>
      </c>
      <c r="H3000" s="151" t="s">
        <v>1529</v>
      </c>
      <c r="I3000" s="210">
        <f t="shared" si="193"/>
        <v>158.4</v>
      </c>
      <c r="J3000" s="149" t="s">
        <v>883</v>
      </c>
      <c r="K3000" s="153">
        <f t="shared" si="194"/>
        <v>158.4</v>
      </c>
    </row>
    <row r="3001" spans="6:11" ht="24" customHeight="1">
      <c r="F3001" s="153">
        <v>2</v>
      </c>
      <c r="G3001" s="150" t="s">
        <v>883</v>
      </c>
      <c r="H3001" s="151" t="s">
        <v>1530</v>
      </c>
      <c r="I3001" s="210">
        <f t="shared" si="193"/>
        <v>7.5</v>
      </c>
      <c r="J3001" s="149" t="s">
        <v>883</v>
      </c>
      <c r="K3001" s="153">
        <f t="shared" si="194"/>
        <v>15</v>
      </c>
    </row>
    <row r="3002" spans="6:11" ht="24" customHeight="1">
      <c r="F3002" s="153">
        <v>2</v>
      </c>
      <c r="G3002" s="150" t="s">
        <v>883</v>
      </c>
      <c r="H3002" s="151" t="s">
        <v>2058</v>
      </c>
      <c r="I3002" s="210">
        <f t="shared" si="193"/>
        <v>44.4</v>
      </c>
      <c r="J3002" s="149" t="s">
        <v>883</v>
      </c>
      <c r="K3002" s="153">
        <f t="shared" si="194"/>
        <v>88.8</v>
      </c>
    </row>
    <row r="3003" spans="6:11" ht="24" customHeight="1">
      <c r="F3003" s="142"/>
      <c r="G3003" s="143"/>
      <c r="H3003" s="142"/>
      <c r="I3003" s="142"/>
      <c r="J3003" s="145"/>
      <c r="K3003" s="156">
        <f>1.19+0.16</f>
        <v>1.35</v>
      </c>
    </row>
    <row r="3004" spans="6:11" ht="24" customHeight="1">
      <c r="F3004" s="142"/>
      <c r="G3004" s="143"/>
      <c r="H3004" s="151" t="s">
        <v>108</v>
      </c>
      <c r="I3004" s="142"/>
      <c r="J3004" s="145"/>
      <c r="K3004" s="153">
        <f>SUM(K2995:K3003)</f>
        <v>7000.22</v>
      </c>
    </row>
    <row r="3005" spans="6:11" ht="24" customHeight="1">
      <c r="F3005" s="142"/>
      <c r="G3005" s="143"/>
      <c r="H3005" s="142"/>
      <c r="I3005" s="142"/>
      <c r="J3005" s="145"/>
      <c r="K3005" s="152" t="s">
        <v>1667</v>
      </c>
    </row>
    <row r="3006" spans="6:11" ht="24" customHeight="1">
      <c r="F3006" s="142"/>
      <c r="G3006" s="143"/>
      <c r="H3006" s="151" t="s">
        <v>555</v>
      </c>
      <c r="I3006" s="142"/>
      <c r="J3006" s="145"/>
      <c r="K3006" s="153">
        <f>K3004/F2996</f>
        <v>2439.1</v>
      </c>
    </row>
    <row r="3008" spans="6:11" ht="24" customHeight="1">
      <c r="F3008" s="83" t="s">
        <v>895</v>
      </c>
      <c r="G3008" s="84"/>
      <c r="H3008" s="85" t="s">
        <v>1289</v>
      </c>
      <c r="I3008" s="51"/>
      <c r="J3008" s="105"/>
      <c r="K3008" s="51"/>
    </row>
    <row r="3009" spans="6:11" ht="24" customHeight="1">
      <c r="F3009" s="51"/>
      <c r="G3009" s="84"/>
      <c r="H3009" s="86" t="s">
        <v>1667</v>
      </c>
      <c r="I3009" s="86" t="s">
        <v>1667</v>
      </c>
      <c r="J3009" s="85" t="s">
        <v>1667</v>
      </c>
      <c r="K3009" s="51"/>
    </row>
    <row r="3010" spans="6:11" ht="24" customHeight="1">
      <c r="F3010" s="51"/>
      <c r="G3010" s="84"/>
      <c r="H3010" s="51"/>
      <c r="I3010" s="51"/>
      <c r="J3010" s="105"/>
      <c r="K3010" s="51"/>
    </row>
    <row r="3011" spans="6:11" ht="24" customHeight="1">
      <c r="F3011" s="51"/>
      <c r="G3011" s="84"/>
      <c r="H3011" s="85" t="s">
        <v>2073</v>
      </c>
      <c r="I3011" s="51"/>
      <c r="J3011" s="105"/>
      <c r="K3011" s="51"/>
    </row>
    <row r="3012" spans="6:11" ht="24" customHeight="1">
      <c r="F3012" s="51"/>
      <c r="G3012" s="84"/>
      <c r="H3012" s="85"/>
      <c r="I3012" s="51"/>
      <c r="J3012" s="105"/>
      <c r="K3012" s="51"/>
    </row>
    <row r="3013" spans="6:11" ht="24" customHeight="1">
      <c r="F3013" s="51"/>
      <c r="G3013" s="84"/>
      <c r="H3013" s="85" t="s">
        <v>2074</v>
      </c>
      <c r="I3013" s="51"/>
      <c r="J3013" s="105"/>
      <c r="K3013" s="51"/>
    </row>
    <row r="3014" spans="6:11" ht="24" customHeight="1">
      <c r="F3014" s="51"/>
      <c r="G3014" s="84"/>
      <c r="H3014" s="85" t="s">
        <v>454</v>
      </c>
      <c r="I3014" s="51"/>
      <c r="J3014" s="105"/>
      <c r="K3014" s="51"/>
    </row>
    <row r="3015" spans="6:11" ht="24" customHeight="1">
      <c r="F3015" s="51"/>
      <c r="G3015" s="84"/>
      <c r="H3015" s="85" t="s">
        <v>455</v>
      </c>
      <c r="I3015" s="51"/>
      <c r="J3015" s="105"/>
      <c r="K3015" s="51"/>
    </row>
    <row r="3016" spans="6:11" ht="24" customHeight="1">
      <c r="F3016" s="51"/>
      <c r="G3016" s="84"/>
      <c r="H3016" s="85" t="s">
        <v>456</v>
      </c>
      <c r="I3016" s="51"/>
      <c r="J3016" s="105"/>
      <c r="K3016" s="51"/>
    </row>
    <row r="3017" spans="6:11" ht="24" customHeight="1">
      <c r="F3017" s="51"/>
      <c r="G3017" s="84"/>
      <c r="H3017" s="85" t="s">
        <v>896</v>
      </c>
      <c r="I3017" s="51"/>
      <c r="J3017" s="85" t="s">
        <v>995</v>
      </c>
      <c r="K3017" s="88">
        <v>3.7699999999999997E-2</v>
      </c>
    </row>
    <row r="3018" spans="6:11" ht="24" customHeight="1">
      <c r="F3018" s="51"/>
      <c r="G3018" s="84"/>
      <c r="H3018" s="284" t="s">
        <v>452</v>
      </c>
      <c r="I3018" s="51"/>
      <c r="J3018" s="89" t="s">
        <v>995</v>
      </c>
      <c r="K3018" s="89" t="s">
        <v>995</v>
      </c>
    </row>
    <row r="3019" spans="6:11" ht="24" customHeight="1">
      <c r="F3019" s="51"/>
      <c r="G3019" s="84"/>
      <c r="H3019" s="85" t="s">
        <v>1907</v>
      </c>
      <c r="I3019" s="51"/>
      <c r="J3019" s="105"/>
      <c r="K3019" s="89" t="s">
        <v>995</v>
      </c>
    </row>
    <row r="3020" spans="6:11" ht="24" customHeight="1">
      <c r="F3020" s="51"/>
      <c r="G3020" s="84"/>
      <c r="H3020" s="51"/>
      <c r="I3020" s="51"/>
      <c r="J3020" s="105"/>
      <c r="K3020" s="51"/>
    </row>
    <row r="3021" spans="6:11" ht="24" customHeight="1">
      <c r="F3021" s="90">
        <v>1.18E-2</v>
      </c>
      <c r="G3021" s="91" t="s">
        <v>884</v>
      </c>
      <c r="H3021" s="85" t="s">
        <v>702</v>
      </c>
      <c r="I3021" s="92">
        <f>I2583</f>
        <v>102600</v>
      </c>
      <c r="J3021" s="85" t="s">
        <v>884</v>
      </c>
      <c r="K3021" s="92">
        <f t="shared" ref="K3021:K3030" si="195">(F3021*I3021)</f>
        <v>1210.68</v>
      </c>
    </row>
    <row r="3022" spans="6:11" ht="24" customHeight="1">
      <c r="F3022" s="90">
        <v>3.7699999999999997E-2</v>
      </c>
      <c r="G3022" s="91" t="s">
        <v>884</v>
      </c>
      <c r="H3022" s="85" t="s">
        <v>703</v>
      </c>
      <c r="I3022" s="92">
        <f t="shared" ref="I3022:I3029" si="196">I2584</f>
        <v>91300</v>
      </c>
      <c r="J3022" s="85" t="s">
        <v>884</v>
      </c>
      <c r="K3022" s="92">
        <f t="shared" si="195"/>
        <v>3442.01</v>
      </c>
    </row>
    <row r="3023" spans="6:11" ht="24" customHeight="1">
      <c r="F3023" s="90">
        <v>1.8550000000000001E-2</v>
      </c>
      <c r="G3023" s="91" t="s">
        <v>884</v>
      </c>
      <c r="H3023" s="85" t="s">
        <v>902</v>
      </c>
      <c r="I3023" s="92">
        <f t="shared" si="196"/>
        <v>5906.25</v>
      </c>
      <c r="J3023" s="85" t="s">
        <v>884</v>
      </c>
      <c r="K3023" s="92">
        <f t="shared" si="195"/>
        <v>109.56</v>
      </c>
    </row>
    <row r="3024" spans="6:11" ht="24" customHeight="1">
      <c r="F3024" s="90">
        <v>1.36</v>
      </c>
      <c r="G3024" s="91" t="s">
        <v>611</v>
      </c>
      <c r="H3024" s="85" t="s">
        <v>1290</v>
      </c>
      <c r="I3024" s="92">
        <f>I1008</f>
        <v>387.5</v>
      </c>
      <c r="J3024" s="85" t="s">
        <v>611</v>
      </c>
      <c r="K3024" s="92">
        <f t="shared" si="195"/>
        <v>527</v>
      </c>
    </row>
    <row r="3025" spans="6:11" ht="24" customHeight="1">
      <c r="F3025" s="90">
        <v>2.0499999999999998</v>
      </c>
      <c r="G3025" s="91" t="s">
        <v>611</v>
      </c>
      <c r="H3025" s="85" t="s">
        <v>1568</v>
      </c>
      <c r="I3025" s="92">
        <f t="shared" si="196"/>
        <v>554.4</v>
      </c>
      <c r="J3025" s="85" t="s">
        <v>611</v>
      </c>
      <c r="K3025" s="92">
        <f t="shared" si="195"/>
        <v>1136.52</v>
      </c>
    </row>
    <row r="3026" spans="6:11" ht="24" customHeight="1">
      <c r="F3026" s="92">
        <v>2</v>
      </c>
      <c r="G3026" s="91" t="s">
        <v>883</v>
      </c>
      <c r="H3026" s="85" t="s">
        <v>1449</v>
      </c>
      <c r="I3026" s="92">
        <v>40.4</v>
      </c>
      <c r="J3026" s="85" t="s">
        <v>883</v>
      </c>
      <c r="K3026" s="92">
        <f t="shared" si="195"/>
        <v>80.8</v>
      </c>
    </row>
    <row r="3027" spans="6:11" ht="24" customHeight="1">
      <c r="F3027" s="92">
        <v>6</v>
      </c>
      <c r="G3027" s="91" t="s">
        <v>883</v>
      </c>
      <c r="H3027" s="85" t="s">
        <v>1404</v>
      </c>
      <c r="I3027" s="92">
        <f t="shared" si="196"/>
        <v>38.5</v>
      </c>
      <c r="J3027" s="85" t="s">
        <v>883</v>
      </c>
      <c r="K3027" s="92">
        <f t="shared" si="195"/>
        <v>231</v>
      </c>
    </row>
    <row r="3028" spans="6:11" ht="24" customHeight="1">
      <c r="F3028" s="92">
        <v>2</v>
      </c>
      <c r="G3028" s="91" t="s">
        <v>883</v>
      </c>
      <c r="H3028" s="85" t="s">
        <v>1450</v>
      </c>
      <c r="I3028" s="92">
        <f t="shared" si="196"/>
        <v>56.1</v>
      </c>
      <c r="J3028" s="85" t="s">
        <v>883</v>
      </c>
      <c r="K3028" s="92">
        <f t="shared" si="195"/>
        <v>112.2</v>
      </c>
    </row>
    <row r="3029" spans="6:11" ht="24" customHeight="1">
      <c r="F3029" s="92">
        <v>1</v>
      </c>
      <c r="G3029" s="91" t="s">
        <v>883</v>
      </c>
      <c r="H3029" s="85" t="s">
        <v>1477</v>
      </c>
      <c r="I3029" s="92">
        <f t="shared" si="196"/>
        <v>63</v>
      </c>
      <c r="J3029" s="85" t="s">
        <v>883</v>
      </c>
      <c r="K3029" s="92">
        <f t="shared" si="195"/>
        <v>63</v>
      </c>
    </row>
    <row r="3030" spans="6:11" ht="24" customHeight="1">
      <c r="F3030" s="92">
        <v>6.55</v>
      </c>
      <c r="G3030" s="91" t="s">
        <v>611</v>
      </c>
      <c r="H3030" s="85" t="s">
        <v>1406</v>
      </c>
      <c r="I3030" s="92">
        <f>K1469</f>
        <v>153.55000000000001</v>
      </c>
      <c r="J3030" s="85" t="s">
        <v>611</v>
      </c>
      <c r="K3030" s="92">
        <f t="shared" si="195"/>
        <v>1005.75</v>
      </c>
    </row>
    <row r="3031" spans="6:11" ht="24" customHeight="1">
      <c r="F3031" s="51"/>
      <c r="G3031" s="84"/>
      <c r="H3031" s="85" t="s">
        <v>1394</v>
      </c>
      <c r="I3031" s="87" t="s">
        <v>448</v>
      </c>
      <c r="J3031" s="105"/>
      <c r="K3031" s="92">
        <v>23.2</v>
      </c>
    </row>
    <row r="3032" spans="6:11" ht="24" customHeight="1">
      <c r="F3032" s="51"/>
      <c r="G3032" s="84"/>
      <c r="H3032" s="93"/>
      <c r="I3032" s="93"/>
      <c r="J3032" s="106"/>
      <c r="K3032" s="94" t="s">
        <v>1667</v>
      </c>
    </row>
    <row r="3033" spans="6:11" ht="24" customHeight="1">
      <c r="F3033" s="51"/>
      <c r="G3033" s="84"/>
      <c r="H3033" s="95" t="s">
        <v>1475</v>
      </c>
      <c r="I3033" s="93"/>
      <c r="J3033" s="106"/>
      <c r="K3033" s="96">
        <f>SUM(K3021:K3031)</f>
        <v>7941.72</v>
      </c>
    </row>
    <row r="3034" spans="6:11" ht="24" customHeight="1">
      <c r="F3034" s="51"/>
      <c r="G3034" s="91" t="s">
        <v>995</v>
      </c>
      <c r="H3034" s="93"/>
      <c r="I3034" s="93"/>
      <c r="J3034" s="106"/>
      <c r="K3034" s="94" t="s">
        <v>1667</v>
      </c>
    </row>
    <row r="3035" spans="6:11" ht="24" customHeight="1">
      <c r="F3035" s="51"/>
      <c r="G3035" s="84"/>
      <c r="H3035" s="95" t="s">
        <v>555</v>
      </c>
      <c r="I3035" s="93"/>
      <c r="J3035" s="106"/>
      <c r="K3035" s="96">
        <f>K3033/2.52</f>
        <v>3151.48</v>
      </c>
    </row>
    <row r="3036" spans="6:11" ht="24" customHeight="1">
      <c r="F3036" s="51"/>
      <c r="G3036" s="84"/>
      <c r="H3036" s="93"/>
      <c r="I3036" s="93"/>
      <c r="J3036" s="106"/>
      <c r="K3036" s="94" t="s">
        <v>2130</v>
      </c>
    </row>
    <row r="3039" spans="6:11" ht="24" customHeight="1">
      <c r="H3039" s="38" t="s">
        <v>1291</v>
      </c>
    </row>
    <row r="3040" spans="6:11" ht="24" customHeight="1">
      <c r="F3040">
        <v>1</v>
      </c>
      <c r="H3040" t="s">
        <v>453</v>
      </c>
      <c r="I3040" s="221">
        <v>143.97999999999999</v>
      </c>
      <c r="J3040" s="11" t="s">
        <v>1458</v>
      </c>
      <c r="K3040">
        <f>I3040</f>
        <v>143.97999999999999</v>
      </c>
    </row>
    <row r="3041" spans="6:17" ht="24" customHeight="1">
      <c r="F3041">
        <v>1</v>
      </c>
      <c r="H3041" s="60" t="s">
        <v>1292</v>
      </c>
      <c r="I3041" s="221">
        <v>41.65</v>
      </c>
      <c r="J3041" s="11" t="s">
        <v>1458</v>
      </c>
      <c r="K3041">
        <f>I3041</f>
        <v>41.65</v>
      </c>
    </row>
    <row r="3042" spans="6:17" ht="24" customHeight="1">
      <c r="F3042" s="56">
        <v>0.125</v>
      </c>
      <c r="H3042" s="60" t="s">
        <v>1293</v>
      </c>
      <c r="I3042">
        <f>C15</f>
        <v>374.85</v>
      </c>
      <c r="J3042" s="11" t="s">
        <v>1458</v>
      </c>
      <c r="K3042">
        <f>F3042*I3042</f>
        <v>46.86</v>
      </c>
    </row>
    <row r="3043" spans="6:17" ht="24" customHeight="1">
      <c r="F3043" s="56"/>
      <c r="H3043" s="60" t="s">
        <v>2359</v>
      </c>
      <c r="K3043">
        <v>0.92</v>
      </c>
    </row>
    <row r="3044" spans="6:17" ht="24" customHeight="1">
      <c r="H3044" s="97" t="s">
        <v>515</v>
      </c>
      <c r="I3044" s="38"/>
      <c r="J3044" s="104"/>
      <c r="K3044" s="38">
        <f>SUM(K3040:K3043)</f>
        <v>233.41</v>
      </c>
    </row>
    <row r="3047" spans="6:17" ht="24" customHeight="1">
      <c r="F3047" s="2" t="s">
        <v>462</v>
      </c>
      <c r="G3047" s="7" t="s">
        <v>2338</v>
      </c>
      <c r="H3047" s="1" t="s">
        <v>2253</v>
      </c>
      <c r="M3047" s="2" t="s">
        <v>462</v>
      </c>
      <c r="N3047" s="7" t="s">
        <v>2338</v>
      </c>
      <c r="O3047" s="1" t="s">
        <v>2253</v>
      </c>
      <c r="Q3047" s="11"/>
    </row>
    <row r="3048" spans="6:17" ht="24" customHeight="1">
      <c r="H3048" s="1" t="s">
        <v>2255</v>
      </c>
      <c r="N3048" s="3"/>
      <c r="O3048" s="1" t="s">
        <v>2255</v>
      </c>
      <c r="Q3048" s="11"/>
    </row>
    <row r="3049" spans="6:17" ht="24" customHeight="1">
      <c r="H3049" s="1" t="s">
        <v>2256</v>
      </c>
      <c r="N3049" s="3"/>
      <c r="O3049" s="1" t="s">
        <v>2256</v>
      </c>
      <c r="Q3049" s="11"/>
    </row>
    <row r="3050" spans="6:17" ht="24" customHeight="1">
      <c r="H3050" s="1" t="s">
        <v>2257</v>
      </c>
      <c r="N3050" s="3"/>
      <c r="O3050" s="1" t="s">
        <v>2257</v>
      </c>
      <c r="Q3050" s="11"/>
    </row>
    <row r="3051" spans="6:17" ht="24" customHeight="1">
      <c r="H3051" s="1" t="s">
        <v>2258</v>
      </c>
      <c r="N3051" s="3"/>
      <c r="O3051" s="1" t="s">
        <v>2258</v>
      </c>
      <c r="Q3051" s="11"/>
    </row>
    <row r="3052" spans="6:17" ht="24" customHeight="1">
      <c r="H3052" s="1" t="s">
        <v>2259</v>
      </c>
      <c r="N3052" s="3"/>
      <c r="O3052" s="1" t="s">
        <v>2259</v>
      </c>
      <c r="Q3052" s="11"/>
    </row>
    <row r="3053" spans="6:17" ht="24" customHeight="1">
      <c r="H3053" s="5" t="s">
        <v>1667</v>
      </c>
      <c r="N3053" s="3"/>
      <c r="O3053" s="43" t="s">
        <v>2552</v>
      </c>
      <c r="Q3053" s="11"/>
    </row>
    <row r="3054" spans="6:17" ht="24" customHeight="1">
      <c r="H3054" s="1" t="s">
        <v>1880</v>
      </c>
      <c r="N3054" s="3"/>
      <c r="O3054" s="1" t="s">
        <v>2554</v>
      </c>
      <c r="P3054" s="506">
        <f>1.1*2.05</f>
        <v>2.2549999999999999</v>
      </c>
      <c r="Q3054" s="11" t="s">
        <v>234</v>
      </c>
    </row>
    <row r="3055" spans="6:17" ht="24" customHeight="1">
      <c r="H3055" s="1" t="s">
        <v>2260</v>
      </c>
      <c r="N3055" s="3"/>
      <c r="O3055" s="1" t="s">
        <v>2553</v>
      </c>
      <c r="P3055" s="218">
        <f>4*2.05*0.075*0.0375</f>
        <v>2.3060000000000001E-2</v>
      </c>
      <c r="Q3055" s="11" t="s">
        <v>1402</v>
      </c>
    </row>
    <row r="3056" spans="6:17" ht="24" customHeight="1">
      <c r="J3056" s="1" t="s">
        <v>1667</v>
      </c>
      <c r="N3056" s="3"/>
      <c r="Q3056" s="1" t="s">
        <v>1667</v>
      </c>
    </row>
    <row r="3057" spans="6:18" ht="24" customHeight="1">
      <c r="H3057" s="1" t="s">
        <v>1316</v>
      </c>
      <c r="N3057" s="3"/>
      <c r="O3057" s="1" t="s">
        <v>2556</v>
      </c>
      <c r="P3057" s="218">
        <f>2*3*0.55*0.15*0.0375</f>
        <v>1.856E-2</v>
      </c>
      <c r="Q3057" s="11" t="s">
        <v>1402</v>
      </c>
    </row>
    <row r="3058" spans="6:18" ht="24" customHeight="1">
      <c r="H3058" s="1" t="s">
        <v>995</v>
      </c>
      <c r="I3058" s="1" t="s">
        <v>995</v>
      </c>
      <c r="K3058" s="19" t="s">
        <v>995</v>
      </c>
      <c r="N3058" s="3"/>
      <c r="O3058" s="1" t="s">
        <v>995</v>
      </c>
      <c r="P3058" s="1" t="s">
        <v>995</v>
      </c>
      <c r="Q3058" s="11"/>
      <c r="R3058" s="19" t="s">
        <v>995</v>
      </c>
    </row>
    <row r="3059" spans="6:18" ht="24" customHeight="1">
      <c r="J3059" s="1" t="s">
        <v>995</v>
      </c>
      <c r="K3059" s="1" t="s">
        <v>995</v>
      </c>
      <c r="N3059" s="3"/>
      <c r="Q3059" s="1" t="s">
        <v>995</v>
      </c>
      <c r="R3059" s="1" t="s">
        <v>995</v>
      </c>
    </row>
    <row r="3060" spans="6:18" ht="24" customHeight="1">
      <c r="H3060" s="1" t="s">
        <v>3211</v>
      </c>
      <c r="J3060" s="19" t="s">
        <v>995</v>
      </c>
      <c r="K3060" s="19" t="s">
        <v>995</v>
      </c>
      <c r="N3060" s="3"/>
      <c r="O3060" s="1" t="s">
        <v>2555</v>
      </c>
      <c r="P3060">
        <f>2*0.625*0.425</f>
        <v>0.53</v>
      </c>
      <c r="Q3060" s="19" t="s">
        <v>995</v>
      </c>
      <c r="R3060" s="19" t="s">
        <v>995</v>
      </c>
    </row>
    <row r="3061" spans="6:18" ht="24" customHeight="1">
      <c r="H3061" s="1" t="s">
        <v>3212</v>
      </c>
      <c r="K3061" s="19">
        <v>1.26</v>
      </c>
      <c r="N3061" s="3"/>
      <c r="O3061" s="1" t="s">
        <v>2557</v>
      </c>
      <c r="P3061">
        <f>2*0.425*1.025</f>
        <v>0.87</v>
      </c>
      <c r="Q3061" s="11"/>
      <c r="R3061" s="19">
        <v>1.26</v>
      </c>
    </row>
    <row r="3062" spans="6:18" ht="24" customHeight="1">
      <c r="K3062" s="1" t="s">
        <v>995</v>
      </c>
      <c r="N3062" s="3"/>
      <c r="P3062" s="38">
        <f>SUM(P3060:P3061)</f>
        <v>1.4</v>
      </c>
      <c r="Q3062" s="11" t="s">
        <v>234</v>
      </c>
      <c r="R3062" s="1" t="s">
        <v>995</v>
      </c>
    </row>
    <row r="3063" spans="6:18" ht="24" customHeight="1">
      <c r="K3063" s="19" t="s">
        <v>995</v>
      </c>
      <c r="N3063" s="3"/>
      <c r="Q3063" s="11"/>
      <c r="R3063" s="19" t="s">
        <v>995</v>
      </c>
    </row>
    <row r="3064" spans="6:18" ht="24" customHeight="1">
      <c r="K3064" s="1" t="s">
        <v>995</v>
      </c>
      <c r="N3064" s="3"/>
      <c r="Q3064" s="11"/>
      <c r="R3064" s="1" t="s">
        <v>995</v>
      </c>
    </row>
    <row r="3065" spans="6:18" ht="24" customHeight="1">
      <c r="F3065" s="2" t="s">
        <v>1536</v>
      </c>
      <c r="G3065" s="7"/>
      <c r="H3065" s="1" t="s">
        <v>1892</v>
      </c>
      <c r="K3065" s="1" t="s">
        <v>995</v>
      </c>
      <c r="M3065" s="2" t="s">
        <v>1536</v>
      </c>
      <c r="N3065" s="7"/>
      <c r="O3065" s="1" t="s">
        <v>2558</v>
      </c>
      <c r="Q3065" s="11"/>
      <c r="R3065" s="1" t="s">
        <v>995</v>
      </c>
    </row>
    <row r="3066" spans="6:18" ht="24" customHeight="1">
      <c r="H3066" s="5" t="s">
        <v>1667</v>
      </c>
      <c r="N3066" s="3"/>
      <c r="O3066" s="5" t="s">
        <v>1667</v>
      </c>
      <c r="Q3066" s="11"/>
    </row>
    <row r="3067" spans="6:18" ht="24" customHeight="1">
      <c r="F3067" s="16">
        <v>1.153E-2</v>
      </c>
      <c r="G3067" s="7" t="s">
        <v>884</v>
      </c>
      <c r="H3067" s="1" t="s">
        <v>702</v>
      </c>
      <c r="I3067" s="8">
        <f>AA26</f>
        <v>102600</v>
      </c>
      <c r="J3067" s="1" t="s">
        <v>884</v>
      </c>
      <c r="K3067" s="8">
        <f>I3067*F3067</f>
        <v>1182.98</v>
      </c>
      <c r="M3067" s="16">
        <f>P3055</f>
        <v>2.3060000000000001E-2</v>
      </c>
      <c r="N3067" s="7" t="s">
        <v>884</v>
      </c>
      <c r="O3067" s="1" t="s">
        <v>702</v>
      </c>
      <c r="P3067" s="8">
        <f>I3067</f>
        <v>102600</v>
      </c>
      <c r="Q3067" s="1" t="s">
        <v>884</v>
      </c>
      <c r="R3067" s="8">
        <f>P3067*M3067</f>
        <v>2365.96</v>
      </c>
    </row>
    <row r="3068" spans="6:18" ht="24" customHeight="1">
      <c r="F3068" s="17">
        <v>1.52E-2</v>
      </c>
      <c r="G3068" s="7" t="s">
        <v>884</v>
      </c>
      <c r="H3068" s="1" t="s">
        <v>703</v>
      </c>
      <c r="I3068" s="8">
        <f>AA27</f>
        <v>91300</v>
      </c>
      <c r="J3068" s="1" t="s">
        <v>884</v>
      </c>
      <c r="K3068" s="8">
        <f t="shared" ref="K3068:K3076" si="197">I3068*F3068</f>
        <v>1387.76</v>
      </c>
      <c r="M3068" s="16">
        <f>P3057</f>
        <v>1.856E-2</v>
      </c>
      <c r="N3068" s="7" t="s">
        <v>884</v>
      </c>
      <c r="O3068" s="1" t="s">
        <v>703</v>
      </c>
      <c r="P3068" s="8">
        <f t="shared" ref="P3068:P3076" si="198">I3068</f>
        <v>91300</v>
      </c>
      <c r="Q3068" s="1" t="s">
        <v>884</v>
      </c>
      <c r="R3068" s="8">
        <f t="shared" ref="R3068:R3076" si="199">P3068*M3068</f>
        <v>1694.53</v>
      </c>
    </row>
    <row r="3069" spans="6:18" ht="24" customHeight="1">
      <c r="F3069" s="17">
        <f>K3061</f>
        <v>1.26</v>
      </c>
      <c r="G3069" s="7" t="s">
        <v>611</v>
      </c>
      <c r="H3069" s="1" t="s">
        <v>2163</v>
      </c>
      <c r="I3069" s="8">
        <f>C752</f>
        <v>387.5</v>
      </c>
      <c r="J3069" s="1" t="s">
        <v>611</v>
      </c>
      <c r="K3069" s="8">
        <f t="shared" si="197"/>
        <v>488.25</v>
      </c>
      <c r="M3069" s="17">
        <f>P3062</f>
        <v>1.4</v>
      </c>
      <c r="N3069" s="7" t="s">
        <v>611</v>
      </c>
      <c r="O3069" s="1" t="s">
        <v>2163</v>
      </c>
      <c r="P3069" s="8">
        <f t="shared" si="198"/>
        <v>387.5</v>
      </c>
      <c r="Q3069" s="1" t="s">
        <v>611</v>
      </c>
      <c r="R3069" s="8">
        <f t="shared" si="199"/>
        <v>542.5</v>
      </c>
    </row>
    <row r="3070" spans="6:18" ht="24" customHeight="1">
      <c r="F3070" s="17">
        <v>1.845</v>
      </c>
      <c r="G3070" s="7" t="s">
        <v>611</v>
      </c>
      <c r="H3070" s="1" t="s">
        <v>2164</v>
      </c>
      <c r="I3070" s="8">
        <f>D30</f>
        <v>554.4</v>
      </c>
      <c r="J3070" s="1" t="s">
        <v>611</v>
      </c>
      <c r="K3070" s="8">
        <f t="shared" si="197"/>
        <v>1022.87</v>
      </c>
      <c r="M3070" s="17">
        <f>P3054</f>
        <v>2.2549999999999999</v>
      </c>
      <c r="N3070" s="7" t="s">
        <v>611</v>
      </c>
      <c r="O3070" s="1" t="s">
        <v>2164</v>
      </c>
      <c r="P3070" s="8">
        <f t="shared" si="198"/>
        <v>554.4</v>
      </c>
      <c r="Q3070" s="1" t="s">
        <v>611</v>
      </c>
      <c r="R3070" s="8">
        <f t="shared" si="199"/>
        <v>1250.17</v>
      </c>
    </row>
    <row r="3071" spans="6:18" ht="24" customHeight="1">
      <c r="F3071" s="8">
        <v>2</v>
      </c>
      <c r="G3071" s="7" t="s">
        <v>883</v>
      </c>
      <c r="H3071" s="1" t="s">
        <v>2165</v>
      </c>
      <c r="I3071" s="8">
        <f>C283</f>
        <v>50.6</v>
      </c>
      <c r="J3071" s="1" t="s">
        <v>883</v>
      </c>
      <c r="K3071" s="8">
        <f t="shared" si="197"/>
        <v>101.2</v>
      </c>
      <c r="M3071" s="8">
        <v>4</v>
      </c>
      <c r="N3071" s="7" t="s">
        <v>883</v>
      </c>
      <c r="O3071" s="1" t="s">
        <v>2165</v>
      </c>
      <c r="P3071" s="8">
        <f t="shared" si="198"/>
        <v>50.6</v>
      </c>
      <c r="Q3071" s="1" t="s">
        <v>883</v>
      </c>
      <c r="R3071" s="8">
        <f t="shared" si="199"/>
        <v>202.4</v>
      </c>
    </row>
    <row r="3072" spans="6:18" ht="24" customHeight="1">
      <c r="F3072" s="8">
        <v>3</v>
      </c>
      <c r="G3072" s="7" t="s">
        <v>883</v>
      </c>
      <c r="H3072" s="1" t="s">
        <v>1579</v>
      </c>
      <c r="I3072" s="8">
        <f>C278</f>
        <v>69.849999999999994</v>
      </c>
      <c r="J3072" s="1" t="s">
        <v>883</v>
      </c>
      <c r="K3072" s="8">
        <f t="shared" si="197"/>
        <v>209.55</v>
      </c>
      <c r="M3072" s="8">
        <v>6</v>
      </c>
      <c r="N3072" s="7" t="s">
        <v>883</v>
      </c>
      <c r="O3072" s="1" t="s">
        <v>1579</v>
      </c>
      <c r="P3072" s="8">
        <f t="shared" si="198"/>
        <v>69.849999999999994</v>
      </c>
      <c r="Q3072" s="1" t="s">
        <v>883</v>
      </c>
      <c r="R3072" s="8">
        <f t="shared" si="199"/>
        <v>419.1</v>
      </c>
    </row>
    <row r="3073" spans="6:18" ht="24" customHeight="1">
      <c r="F3073" s="8">
        <v>1</v>
      </c>
      <c r="G3073" s="7" t="s">
        <v>883</v>
      </c>
      <c r="H3073" s="1" t="s">
        <v>2055</v>
      </c>
      <c r="I3073" s="8">
        <f>C285</f>
        <v>158.4</v>
      </c>
      <c r="J3073" s="1" t="s">
        <v>883</v>
      </c>
      <c r="K3073" s="8">
        <f t="shared" si="197"/>
        <v>158.4</v>
      </c>
      <c r="M3073" s="8">
        <v>1</v>
      </c>
      <c r="N3073" s="7" t="s">
        <v>883</v>
      </c>
      <c r="O3073" s="1" t="s">
        <v>2055</v>
      </c>
      <c r="P3073" s="8">
        <f t="shared" si="198"/>
        <v>158.4</v>
      </c>
      <c r="Q3073" s="1" t="s">
        <v>883</v>
      </c>
      <c r="R3073" s="8">
        <f t="shared" si="199"/>
        <v>158.4</v>
      </c>
    </row>
    <row r="3074" spans="6:18" ht="24" customHeight="1">
      <c r="F3074" s="8">
        <v>1</v>
      </c>
      <c r="G3074" s="7" t="s">
        <v>883</v>
      </c>
      <c r="H3074" s="1" t="s">
        <v>2056</v>
      </c>
      <c r="I3074" s="8">
        <f>C287</f>
        <v>7.5</v>
      </c>
      <c r="J3074" s="1" t="s">
        <v>883</v>
      </c>
      <c r="K3074" s="8">
        <f t="shared" si="197"/>
        <v>7.5</v>
      </c>
      <c r="M3074" s="8">
        <v>2</v>
      </c>
      <c r="N3074" s="7" t="s">
        <v>883</v>
      </c>
      <c r="O3074" s="1" t="s">
        <v>2056</v>
      </c>
      <c r="P3074" s="8">
        <f t="shared" si="198"/>
        <v>7.5</v>
      </c>
      <c r="Q3074" s="1" t="s">
        <v>883</v>
      </c>
      <c r="R3074" s="8">
        <f t="shared" si="199"/>
        <v>15</v>
      </c>
    </row>
    <row r="3075" spans="6:18" ht="24" customHeight="1">
      <c r="F3075" s="8">
        <v>1</v>
      </c>
      <c r="G3075" s="7" t="s">
        <v>883</v>
      </c>
      <c r="H3075" s="1" t="s">
        <v>2057</v>
      </c>
      <c r="I3075" s="8">
        <f>C575</f>
        <v>50.6</v>
      </c>
      <c r="J3075" s="1" t="s">
        <v>883</v>
      </c>
      <c r="K3075" s="8">
        <f t="shared" si="197"/>
        <v>50.6</v>
      </c>
      <c r="M3075" s="8">
        <v>2</v>
      </c>
      <c r="N3075" s="7" t="s">
        <v>883</v>
      </c>
      <c r="O3075" s="1" t="s">
        <v>2057</v>
      </c>
      <c r="P3075" s="8">
        <f t="shared" si="198"/>
        <v>50.6</v>
      </c>
      <c r="Q3075" s="1" t="s">
        <v>883</v>
      </c>
      <c r="R3075" s="8">
        <f t="shared" si="199"/>
        <v>101.2</v>
      </c>
    </row>
    <row r="3076" spans="6:18" ht="24" customHeight="1">
      <c r="F3076" s="8">
        <v>1</v>
      </c>
      <c r="G3076" s="7" t="s">
        <v>883</v>
      </c>
      <c r="H3076" s="1" t="s">
        <v>2058</v>
      </c>
      <c r="I3076" s="8">
        <f>D575</f>
        <v>44.4</v>
      </c>
      <c r="J3076" s="1" t="s">
        <v>883</v>
      </c>
      <c r="K3076" s="8">
        <f t="shared" si="197"/>
        <v>44.4</v>
      </c>
      <c r="M3076" s="8">
        <v>2</v>
      </c>
      <c r="N3076" s="7" t="s">
        <v>883</v>
      </c>
      <c r="O3076" s="1" t="s">
        <v>2058</v>
      </c>
      <c r="P3076" s="8">
        <f t="shared" si="198"/>
        <v>44.4</v>
      </c>
      <c r="Q3076" s="1" t="s">
        <v>883</v>
      </c>
      <c r="R3076" s="8">
        <f t="shared" si="199"/>
        <v>88.8</v>
      </c>
    </row>
    <row r="3077" spans="6:18" ht="24" customHeight="1">
      <c r="H3077" s="142" t="s">
        <v>1395</v>
      </c>
      <c r="K3077" s="6">
        <v>23.13</v>
      </c>
      <c r="M3077" s="8">
        <v>10</v>
      </c>
      <c r="N3077" s="3"/>
      <c r="O3077" s="142" t="s">
        <v>1395</v>
      </c>
      <c r="P3077">
        <v>2.1</v>
      </c>
      <c r="Q3077" s="11"/>
      <c r="R3077" s="8">
        <v>21.12</v>
      </c>
    </row>
    <row r="3078" spans="6:18" ht="24" customHeight="1">
      <c r="H3078" s="2" t="s">
        <v>457</v>
      </c>
      <c r="K3078" s="8">
        <f>SUM(K3067:K3077)</f>
        <v>4676.6400000000003</v>
      </c>
      <c r="N3078" s="3"/>
      <c r="O3078" s="2" t="s">
        <v>3597</v>
      </c>
      <c r="Q3078" s="11"/>
      <c r="R3078" s="8">
        <f>SUM(R3067:R3077)</f>
        <v>6859.18</v>
      </c>
    </row>
    <row r="3079" spans="6:18" ht="24" customHeight="1">
      <c r="G3079" s="7" t="s">
        <v>995</v>
      </c>
      <c r="K3079" s="5" t="s">
        <v>1667</v>
      </c>
      <c r="N3079" s="7" t="s">
        <v>995</v>
      </c>
      <c r="Q3079" s="11"/>
      <c r="R3079" s="5" t="s">
        <v>1667</v>
      </c>
    </row>
    <row r="3080" spans="6:18" ht="24" customHeight="1">
      <c r="H3080" s="64" t="s">
        <v>555</v>
      </c>
      <c r="K3080" s="40">
        <f>K3078/F3070</f>
        <v>2534.7600000000002</v>
      </c>
      <c r="N3080" s="3"/>
      <c r="O3080" s="64" t="s">
        <v>555</v>
      </c>
      <c r="Q3080" s="11"/>
      <c r="R3080" s="40">
        <f>R3078/M3070</f>
        <v>3041.76</v>
      </c>
    </row>
    <row r="3081" spans="6:18" ht="24" customHeight="1">
      <c r="K3081" s="5" t="s">
        <v>2130</v>
      </c>
      <c r="N3081" s="3"/>
      <c r="Q3081" s="11"/>
      <c r="R3081" s="5" t="s">
        <v>2130</v>
      </c>
    </row>
    <row r="3084" spans="6:18" ht="24" customHeight="1">
      <c r="M3084" s="149"/>
      <c r="N3084" s="150" t="s">
        <v>2338</v>
      </c>
      <c r="O3084" s="151" t="s">
        <v>2963</v>
      </c>
      <c r="P3084" s="142"/>
      <c r="Q3084" s="145"/>
      <c r="R3084" s="142"/>
    </row>
    <row r="3085" spans="6:18" ht="24" customHeight="1">
      <c r="M3085" s="142"/>
      <c r="N3085" s="143"/>
      <c r="O3085" s="151" t="s">
        <v>254</v>
      </c>
      <c r="P3085" s="142"/>
      <c r="Q3085" s="145"/>
      <c r="R3085" s="142"/>
    </row>
    <row r="3086" spans="6:18" ht="24" customHeight="1">
      <c r="M3086" s="142"/>
      <c r="N3086" s="143"/>
      <c r="O3086" s="507" t="s">
        <v>2964</v>
      </c>
      <c r="P3086" s="142"/>
      <c r="Q3086" s="145"/>
      <c r="R3086" s="142"/>
    </row>
    <row r="3087" spans="6:18" ht="24" customHeight="1">
      <c r="H3087" t="s">
        <v>3213</v>
      </c>
      <c r="J3087"/>
      <c r="M3087" s="142"/>
      <c r="N3087" s="143"/>
      <c r="O3087" s="152" t="s">
        <v>1667</v>
      </c>
      <c r="P3087" s="142"/>
      <c r="Q3087" s="145"/>
      <c r="R3087" s="142"/>
    </row>
    <row r="3088" spans="6:18" ht="24" customHeight="1">
      <c r="J3088"/>
      <c r="M3088" s="142"/>
      <c r="N3088" s="143"/>
      <c r="O3088" s="151" t="s">
        <v>3452</v>
      </c>
      <c r="P3088" s="146" t="s">
        <v>2130</v>
      </c>
      <c r="Q3088" s="508">
        <v>3.1219999999999999</v>
      </c>
      <c r="R3088" s="142" t="s">
        <v>2371</v>
      </c>
    </row>
    <row r="3089" spans="6:18" ht="24" customHeight="1">
      <c r="F3089">
        <v>3.23</v>
      </c>
      <c r="G3089" s="3" t="s">
        <v>929</v>
      </c>
      <c r="H3089" t="s">
        <v>3214</v>
      </c>
      <c r="I3089">
        <f>I1434</f>
        <v>53.1</v>
      </c>
      <c r="J3089" s="3" t="s">
        <v>929</v>
      </c>
      <c r="K3089">
        <f>I3089*F3089</f>
        <v>171.51</v>
      </c>
      <c r="M3089" s="142"/>
      <c r="N3089" s="143"/>
      <c r="O3089" s="151"/>
      <c r="P3089" s="146"/>
      <c r="Q3089" s="508"/>
      <c r="R3089" s="142"/>
    </row>
    <row r="3090" spans="6:18" ht="24" customHeight="1">
      <c r="F3090">
        <v>0.5</v>
      </c>
      <c r="G3090" s="3" t="s">
        <v>257</v>
      </c>
      <c r="H3090" t="s">
        <v>3215</v>
      </c>
      <c r="I3090">
        <f>I1435</f>
        <v>347.55</v>
      </c>
      <c r="J3090" s="3" t="s">
        <v>257</v>
      </c>
      <c r="K3090">
        <f>I3090*F3090</f>
        <v>173.78</v>
      </c>
      <c r="M3090" s="142"/>
      <c r="N3090" s="143"/>
      <c r="O3090" s="151" t="s">
        <v>2966</v>
      </c>
      <c r="P3090" s="146" t="s">
        <v>2130</v>
      </c>
      <c r="Q3090" s="509">
        <v>5.1999999999999998E-2</v>
      </c>
      <c r="R3090" s="142" t="s">
        <v>2226</v>
      </c>
    </row>
    <row r="3091" spans="6:18" ht="24" customHeight="1">
      <c r="F3091">
        <v>0.5</v>
      </c>
      <c r="G3091" s="3" t="s">
        <v>257</v>
      </c>
      <c r="H3091" s="1" t="s">
        <v>1979</v>
      </c>
      <c r="I3091">
        <f>I1436</f>
        <v>269.85000000000002</v>
      </c>
      <c r="J3091" s="3" t="s">
        <v>257</v>
      </c>
      <c r="K3091">
        <f>I3091*F3091</f>
        <v>134.93</v>
      </c>
      <c r="M3091" s="142"/>
      <c r="N3091" s="143"/>
      <c r="O3091" s="151" t="s">
        <v>3453</v>
      </c>
      <c r="Q3091" s="510"/>
      <c r="R3091" s="142"/>
    </row>
    <row r="3092" spans="6:18" ht="24" customHeight="1">
      <c r="F3092">
        <v>0.8</v>
      </c>
      <c r="G3092" s="3" t="s">
        <v>257</v>
      </c>
      <c r="H3092" s="1" t="s">
        <v>324</v>
      </c>
      <c r="I3092">
        <f>I1437</f>
        <v>243.6</v>
      </c>
      <c r="J3092" s="3" t="s">
        <v>257</v>
      </c>
      <c r="K3092">
        <f>I3092*F3092</f>
        <v>194.88</v>
      </c>
      <c r="M3092" s="142"/>
      <c r="N3092" s="143"/>
      <c r="O3092" s="151" t="s">
        <v>3454</v>
      </c>
      <c r="P3092" s="146" t="s">
        <v>2130</v>
      </c>
      <c r="Q3092" s="511">
        <v>2.2780000000000002E-2</v>
      </c>
      <c r="R3092" s="142"/>
    </row>
    <row r="3093" spans="6:18" ht="24" customHeight="1">
      <c r="F3093">
        <v>10</v>
      </c>
      <c r="G3093" s="3" t="s">
        <v>2371</v>
      </c>
      <c r="H3093" s="1" t="s">
        <v>3216</v>
      </c>
      <c r="I3093">
        <v>1.35</v>
      </c>
      <c r="J3093" s="3" t="s">
        <v>2371</v>
      </c>
      <c r="K3093">
        <f>I3093*F3093</f>
        <v>13.5</v>
      </c>
      <c r="M3093" s="142"/>
      <c r="N3093" s="143"/>
      <c r="O3093" s="151" t="s">
        <v>2965</v>
      </c>
      <c r="P3093" s="146" t="s">
        <v>2130</v>
      </c>
      <c r="Q3093" s="511">
        <v>1.013E-2</v>
      </c>
      <c r="R3093" s="162"/>
    </row>
    <row r="3094" spans="6:18" ht="24" customHeight="1">
      <c r="H3094" s="1" t="s">
        <v>3217</v>
      </c>
      <c r="I3094" s="34" t="s">
        <v>667</v>
      </c>
      <c r="J3094" s="4"/>
      <c r="K3094">
        <v>1.75</v>
      </c>
      <c r="M3094" s="142"/>
      <c r="N3094" s="143"/>
      <c r="O3094" s="142"/>
      <c r="P3094" s="142"/>
      <c r="Q3094" s="152" t="s">
        <v>1667</v>
      </c>
    </row>
    <row r="3095" spans="6:18" ht="24" customHeight="1">
      <c r="J3095" s="4"/>
      <c r="K3095">
        <f>SUM(K3089:K3094)</f>
        <v>690.35</v>
      </c>
      <c r="M3095" s="142"/>
      <c r="N3095" s="143"/>
      <c r="O3095" s="142"/>
      <c r="P3095" s="142"/>
      <c r="Q3095" s="513">
        <v>3.2910000000000002E-2</v>
      </c>
      <c r="R3095" t="s">
        <v>2226</v>
      </c>
    </row>
    <row r="3096" spans="6:18" ht="24" customHeight="1">
      <c r="J3096" s="4"/>
      <c r="K3096">
        <f>K3095/10</f>
        <v>69.040000000000006</v>
      </c>
      <c r="M3096" s="142"/>
      <c r="N3096" s="143"/>
      <c r="O3096" s="142"/>
      <c r="P3096" s="142"/>
      <c r="Q3096" s="152" t="s">
        <v>1667</v>
      </c>
    </row>
    <row r="3097" spans="6:18" ht="24" customHeight="1">
      <c r="G3097"/>
      <c r="J3097"/>
      <c r="M3097" s="142"/>
      <c r="N3097" s="143"/>
      <c r="O3097" s="151" t="s">
        <v>3455</v>
      </c>
      <c r="P3097" s="142"/>
      <c r="Q3097" s="514">
        <v>1.7600000000000001E-2</v>
      </c>
      <c r="R3097" s="162"/>
    </row>
    <row r="3098" spans="6:18" ht="24" customHeight="1">
      <c r="G3098"/>
      <c r="J3098"/>
      <c r="M3098" s="142"/>
      <c r="N3098" s="143"/>
      <c r="O3098" s="151" t="s">
        <v>3456</v>
      </c>
      <c r="P3098" s="142"/>
      <c r="Q3098" s="515">
        <v>8.3999999999999995E-3</v>
      </c>
      <c r="R3098" s="162"/>
    </row>
    <row r="3099" spans="6:18" ht="24" customHeight="1">
      <c r="G3099"/>
      <c r="J3099"/>
      <c r="M3099" s="142"/>
      <c r="N3099" s="143"/>
      <c r="O3099" s="151"/>
      <c r="P3099" s="142"/>
      <c r="Q3099" s="152" t="s">
        <v>1667</v>
      </c>
      <c r="R3099" s="162"/>
    </row>
    <row r="3100" spans="6:18" ht="24" customHeight="1">
      <c r="H3100" t="s">
        <v>3218</v>
      </c>
      <c r="J3100"/>
      <c r="M3100" s="142"/>
      <c r="N3100" s="143"/>
      <c r="O3100" s="151"/>
      <c r="P3100" s="142"/>
      <c r="Q3100" s="516">
        <v>2.5999999999999999E-2</v>
      </c>
      <c r="R3100" s="162" t="s">
        <v>2226</v>
      </c>
    </row>
    <row r="3101" spans="6:18" ht="24" customHeight="1">
      <c r="J3101"/>
      <c r="M3101" s="142"/>
      <c r="N3101" s="143"/>
      <c r="O3101" s="142"/>
      <c r="P3101" s="142"/>
      <c r="Q3101" s="152" t="s">
        <v>1667</v>
      </c>
      <c r="R3101" s="152"/>
    </row>
    <row r="3102" spans="6:18" ht="24" customHeight="1">
      <c r="F3102">
        <v>1.8</v>
      </c>
      <c r="G3102" s="3" t="s">
        <v>929</v>
      </c>
      <c r="H3102" t="s">
        <v>3214</v>
      </c>
      <c r="I3102">
        <f>I3089</f>
        <v>53.1</v>
      </c>
      <c r="J3102" s="3" t="s">
        <v>929</v>
      </c>
      <c r="K3102">
        <f>I3102*F3102</f>
        <v>95.58</v>
      </c>
      <c r="M3102" s="162">
        <v>5.1999999999999998E-2</v>
      </c>
      <c r="N3102" s="150" t="s">
        <v>884</v>
      </c>
      <c r="O3102" s="151" t="s">
        <v>313</v>
      </c>
      <c r="P3102" s="153">
        <f>AA26</f>
        <v>102600</v>
      </c>
      <c r="Q3102" s="149" t="s">
        <v>884</v>
      </c>
      <c r="R3102" s="153">
        <f>P3102*M3102</f>
        <v>5335.2</v>
      </c>
    </row>
    <row r="3103" spans="6:18" ht="24" customHeight="1">
      <c r="F3103">
        <v>0.25</v>
      </c>
      <c r="G3103" s="3" t="s">
        <v>257</v>
      </c>
      <c r="H3103" t="s">
        <v>3215</v>
      </c>
      <c r="I3103">
        <f>I3090</f>
        <v>347.55</v>
      </c>
      <c r="J3103" s="3" t="s">
        <v>257</v>
      </c>
      <c r="K3103">
        <f>I3103*F3103</f>
        <v>86.89</v>
      </c>
      <c r="M3103" s="162">
        <v>3.2910000000000002E-2</v>
      </c>
      <c r="N3103" s="150" t="s">
        <v>884</v>
      </c>
      <c r="O3103" s="151" t="s">
        <v>314</v>
      </c>
      <c r="P3103" s="153">
        <f>AA27</f>
        <v>91300</v>
      </c>
      <c r="Q3103" s="149" t="s">
        <v>884</v>
      </c>
      <c r="R3103" s="153">
        <f t="shared" ref="R3103:R3112" si="200">P3103*M3103</f>
        <v>3004.68</v>
      </c>
    </row>
    <row r="3104" spans="6:18" ht="24" customHeight="1">
      <c r="F3104">
        <v>0.25</v>
      </c>
      <c r="G3104" s="3" t="s">
        <v>257</v>
      </c>
      <c r="H3104" s="1" t="s">
        <v>1979</v>
      </c>
      <c r="I3104">
        <f>I3091</f>
        <v>269.85000000000002</v>
      </c>
      <c r="J3104" s="3" t="s">
        <v>257</v>
      </c>
      <c r="K3104">
        <f>I3104*F3104</f>
        <v>67.459999999999994</v>
      </c>
      <c r="M3104" s="162">
        <v>2.5999999999999999E-2</v>
      </c>
      <c r="N3104" s="150" t="s">
        <v>884</v>
      </c>
      <c r="O3104" s="151" t="s">
        <v>3457</v>
      </c>
      <c r="P3104" s="153">
        <f>73900+'lead  charge'!Q12</f>
        <v>73900</v>
      </c>
      <c r="Q3104" s="149" t="s">
        <v>884</v>
      </c>
      <c r="R3104" s="153">
        <f t="shared" si="200"/>
        <v>1921.4</v>
      </c>
    </row>
    <row r="3105" spans="6:18" ht="24" customHeight="1">
      <c r="F3105">
        <v>0.4</v>
      </c>
      <c r="G3105" s="3" t="s">
        <v>257</v>
      </c>
      <c r="H3105" s="1" t="s">
        <v>324</v>
      </c>
      <c r="I3105">
        <f>I3092</f>
        <v>243.6</v>
      </c>
      <c r="J3105" s="3" t="s">
        <v>257</v>
      </c>
      <c r="K3105">
        <f>I3105*F3105</f>
        <v>97.44</v>
      </c>
      <c r="M3105" s="164"/>
      <c r="N3105" s="143"/>
      <c r="O3105" s="151" t="s">
        <v>963</v>
      </c>
      <c r="P3105" s="153"/>
      <c r="Q3105" s="145"/>
      <c r="R3105" s="153">
        <f t="shared" si="200"/>
        <v>0</v>
      </c>
    </row>
    <row r="3106" spans="6:18" ht="24" customHeight="1">
      <c r="F3106">
        <v>10</v>
      </c>
      <c r="G3106" s="3" t="s">
        <v>2371</v>
      </c>
      <c r="H3106" s="1" t="s">
        <v>3216</v>
      </c>
      <c r="I3106">
        <f>I3093</f>
        <v>1.35</v>
      </c>
      <c r="J3106" s="3" t="s">
        <v>2371</v>
      </c>
      <c r="K3106">
        <f>I3106*F3106</f>
        <v>13.5</v>
      </c>
      <c r="M3106" s="164">
        <v>3.1219999999999999</v>
      </c>
      <c r="N3106" s="150" t="s">
        <v>611</v>
      </c>
      <c r="O3106" s="151" t="s">
        <v>446</v>
      </c>
      <c r="P3106" s="153">
        <f>I907</f>
        <v>666.75</v>
      </c>
      <c r="Q3106" s="149" t="s">
        <v>611</v>
      </c>
      <c r="R3106" s="153">
        <f t="shared" si="200"/>
        <v>2081.59</v>
      </c>
    </row>
    <row r="3107" spans="6:18" ht="24" customHeight="1">
      <c r="H3107" s="1" t="s">
        <v>3217</v>
      </c>
      <c r="I3107" s="34" t="s">
        <v>3219</v>
      </c>
      <c r="J3107" s="4"/>
      <c r="K3107">
        <v>1.6</v>
      </c>
      <c r="M3107" s="153">
        <v>4</v>
      </c>
      <c r="N3107" s="150" t="s">
        <v>781</v>
      </c>
      <c r="O3107" s="151" t="s">
        <v>3458</v>
      </c>
      <c r="P3107" s="153">
        <f>I2558</f>
        <v>50.6</v>
      </c>
      <c r="Q3107" s="149" t="s">
        <v>883</v>
      </c>
      <c r="R3107" s="153">
        <f t="shared" si="200"/>
        <v>202.4</v>
      </c>
    </row>
    <row r="3108" spans="6:18" ht="24" customHeight="1">
      <c r="J3108" s="4"/>
      <c r="K3108">
        <f>SUM(K3102:K3107)</f>
        <v>362.47</v>
      </c>
      <c r="M3108" s="153">
        <v>8</v>
      </c>
      <c r="N3108" s="150" t="s">
        <v>883</v>
      </c>
      <c r="O3108" s="151" t="s">
        <v>1527</v>
      </c>
      <c r="P3108" s="153">
        <f>I2559</f>
        <v>69.849999999999994</v>
      </c>
      <c r="Q3108" s="149" t="s">
        <v>883</v>
      </c>
      <c r="R3108" s="153">
        <f t="shared" si="200"/>
        <v>558.79999999999995</v>
      </c>
    </row>
    <row r="3109" spans="6:18" ht="24" customHeight="1">
      <c r="J3109" s="4"/>
      <c r="K3109">
        <f>K3108/10</f>
        <v>36.25</v>
      </c>
      <c r="M3109" s="153">
        <v>4</v>
      </c>
      <c r="N3109" s="150" t="s">
        <v>883</v>
      </c>
      <c r="O3109" s="151" t="s">
        <v>3459</v>
      </c>
      <c r="P3109" s="215">
        <v>69.3</v>
      </c>
      <c r="Q3109" s="149" t="s">
        <v>883</v>
      </c>
      <c r="R3109" s="153">
        <f t="shared" si="200"/>
        <v>277.2</v>
      </c>
    </row>
    <row r="3110" spans="6:18" ht="24" customHeight="1">
      <c r="G3110"/>
      <c r="J3110"/>
      <c r="M3110" s="153">
        <v>1</v>
      </c>
      <c r="N3110" s="150" t="s">
        <v>883</v>
      </c>
      <c r="O3110" s="151" t="s">
        <v>3460</v>
      </c>
      <c r="P3110" s="153">
        <v>159.5</v>
      </c>
      <c r="Q3110" s="149" t="s">
        <v>883</v>
      </c>
      <c r="R3110" s="153">
        <f t="shared" si="200"/>
        <v>159.5</v>
      </c>
    </row>
    <row r="3111" spans="6:18" ht="24" customHeight="1">
      <c r="G3111"/>
      <c r="J3111"/>
      <c r="M3111" s="153">
        <v>2</v>
      </c>
      <c r="N3111" s="150" t="s">
        <v>883</v>
      </c>
      <c r="O3111" s="151" t="s">
        <v>3461</v>
      </c>
      <c r="P3111" s="153">
        <v>21</v>
      </c>
      <c r="Q3111" s="149" t="s">
        <v>883</v>
      </c>
      <c r="R3111" s="153">
        <f t="shared" si="200"/>
        <v>42</v>
      </c>
    </row>
    <row r="3112" spans="6:18" ht="24" customHeight="1">
      <c r="G3112"/>
      <c r="J3112"/>
      <c r="M3112" s="153">
        <v>2</v>
      </c>
      <c r="N3112" s="150" t="s">
        <v>883</v>
      </c>
      <c r="O3112" s="151" t="s">
        <v>3462</v>
      </c>
      <c r="P3112" s="153">
        <f>I2563</f>
        <v>44.4</v>
      </c>
      <c r="Q3112" s="149" t="s">
        <v>883</v>
      </c>
      <c r="R3112" s="153">
        <f t="shared" si="200"/>
        <v>88.8</v>
      </c>
    </row>
    <row r="3113" spans="6:18" ht="24" customHeight="1">
      <c r="H3113" t="s">
        <v>3220</v>
      </c>
      <c r="J3113"/>
      <c r="M3113" s="142"/>
      <c r="N3113" s="143"/>
      <c r="O3113" s="142" t="s">
        <v>1395</v>
      </c>
      <c r="P3113" s="142"/>
      <c r="Q3113" s="145"/>
      <c r="R3113" s="153">
        <v>21.1</v>
      </c>
    </row>
    <row r="3114" spans="6:18" ht="24" customHeight="1">
      <c r="H3114" t="s">
        <v>1079</v>
      </c>
      <c r="J3114"/>
      <c r="M3114" s="142"/>
      <c r="N3114" s="143"/>
      <c r="O3114" s="142"/>
      <c r="P3114" s="142"/>
      <c r="Q3114" s="145"/>
      <c r="R3114" s="152" t="s">
        <v>1667</v>
      </c>
    </row>
    <row r="3115" spans="6:18" ht="24" customHeight="1">
      <c r="H3115" t="s">
        <v>1296</v>
      </c>
      <c r="J3115"/>
      <c r="M3115" s="142"/>
      <c r="N3115" s="143"/>
      <c r="O3115" s="151" t="s">
        <v>3463</v>
      </c>
      <c r="P3115" s="142"/>
      <c r="Q3115" s="145"/>
      <c r="R3115" s="153">
        <f>SUM(R3102:R3113)</f>
        <v>13692.67</v>
      </c>
    </row>
    <row r="3116" spans="6:18" ht="24" customHeight="1">
      <c r="J3116"/>
      <c r="M3116" s="142"/>
      <c r="N3116" s="143"/>
      <c r="O3116" s="142"/>
      <c r="P3116" s="142"/>
      <c r="Q3116" s="145"/>
      <c r="R3116" s="152" t="s">
        <v>1667</v>
      </c>
    </row>
    <row r="3117" spans="6:18" ht="24" customHeight="1">
      <c r="F3117">
        <v>1.1100000000000001</v>
      </c>
      <c r="G3117" s="3" t="s">
        <v>2695</v>
      </c>
      <c r="H3117" t="s">
        <v>1230</v>
      </c>
      <c r="I3117">
        <f>I1476</f>
        <v>242.55</v>
      </c>
      <c r="J3117" s="3" t="s">
        <v>2695</v>
      </c>
      <c r="K3117">
        <f>I3117*F3117</f>
        <v>269.23</v>
      </c>
      <c r="M3117" s="142"/>
      <c r="N3117" s="143"/>
      <c r="O3117" s="139" t="s">
        <v>555</v>
      </c>
      <c r="P3117" s="142"/>
      <c r="Q3117" s="147" t="s">
        <v>732</v>
      </c>
      <c r="R3117" s="140">
        <f>R3115/M3106</f>
        <v>4385.8599999999997</v>
      </c>
    </row>
    <row r="3118" spans="6:18" ht="24" customHeight="1">
      <c r="F3118">
        <v>0.7</v>
      </c>
      <c r="G3118" s="3" t="s">
        <v>257</v>
      </c>
      <c r="H3118" t="s">
        <v>1229</v>
      </c>
      <c r="I3118">
        <f>I3103</f>
        <v>347.55</v>
      </c>
      <c r="J3118" s="3" t="s">
        <v>257</v>
      </c>
      <c r="K3118">
        <f>I3118*F3118</f>
        <v>243.29</v>
      </c>
      <c r="M3118" s="149"/>
      <c r="N3118" s="150" t="s">
        <v>2338</v>
      </c>
      <c r="O3118" s="151" t="s">
        <v>3464</v>
      </c>
      <c r="P3118" s="142"/>
      <c r="Q3118" s="145"/>
      <c r="R3118" s="142"/>
    </row>
    <row r="3119" spans="6:18" ht="24" customHeight="1">
      <c r="F3119">
        <v>10</v>
      </c>
      <c r="G3119" s="3" t="s">
        <v>2371</v>
      </c>
      <c r="H3119" s="1" t="s">
        <v>1612</v>
      </c>
      <c r="I3119" s="130">
        <v>3.9</v>
      </c>
      <c r="J3119" s="3" t="s">
        <v>2371</v>
      </c>
      <c r="K3119">
        <f>I3119*F3119</f>
        <v>39</v>
      </c>
      <c r="M3119" s="142"/>
      <c r="N3119" s="143"/>
      <c r="O3119" s="151" t="s">
        <v>254</v>
      </c>
      <c r="P3119" s="142"/>
      <c r="Q3119" s="145"/>
      <c r="R3119" s="142"/>
    </row>
    <row r="3120" spans="6:18" ht="24" customHeight="1">
      <c r="H3120" s="1" t="s">
        <v>3217</v>
      </c>
      <c r="I3120" t="s">
        <v>667</v>
      </c>
      <c r="J3120" s="4"/>
      <c r="K3120">
        <v>1.9</v>
      </c>
      <c r="M3120" s="142"/>
      <c r="N3120" s="143"/>
      <c r="O3120" s="507" t="s">
        <v>2964</v>
      </c>
      <c r="P3120" s="142"/>
      <c r="Q3120" s="145"/>
      <c r="R3120" s="142"/>
    </row>
    <row r="3121" spans="6:18" ht="24" customHeight="1">
      <c r="H3121" t="s">
        <v>440</v>
      </c>
      <c r="J3121" s="4"/>
      <c r="K3121">
        <f>SUM(K3117:K3120)</f>
        <v>553.41999999999996</v>
      </c>
      <c r="M3121" s="142"/>
      <c r="N3121" s="143"/>
      <c r="O3121" s="152" t="s">
        <v>1667</v>
      </c>
      <c r="P3121" s="142"/>
      <c r="Q3121" s="145"/>
      <c r="R3121" s="142"/>
    </row>
    <row r="3122" spans="6:18" ht="24" customHeight="1">
      <c r="J3122" s="4"/>
      <c r="M3122" s="142"/>
      <c r="N3122" s="143"/>
      <c r="O3122" s="151" t="s">
        <v>3452</v>
      </c>
      <c r="P3122" s="146" t="s">
        <v>2130</v>
      </c>
      <c r="Q3122" s="508">
        <v>3.1219999999999999</v>
      </c>
      <c r="R3122" s="166" t="s">
        <v>2371</v>
      </c>
    </row>
    <row r="3123" spans="6:18" ht="24" customHeight="1">
      <c r="H3123" t="s">
        <v>555</v>
      </c>
      <c r="J3123" s="4"/>
      <c r="K3123">
        <f>K3121/10</f>
        <v>55.34</v>
      </c>
      <c r="M3123" s="142"/>
      <c r="N3123" s="143"/>
      <c r="O3123" s="151"/>
      <c r="P3123" s="146"/>
      <c r="Q3123" s="508"/>
      <c r="R3123" s="166"/>
    </row>
    <row r="3124" spans="6:18" ht="24" customHeight="1">
      <c r="J3124" s="4"/>
      <c r="M3124" s="142"/>
      <c r="N3124" s="143"/>
      <c r="O3124" s="151" t="s">
        <v>2966</v>
      </c>
      <c r="P3124" s="146" t="s">
        <v>2130</v>
      </c>
      <c r="Q3124" s="509">
        <v>5.1999999999999998E-2</v>
      </c>
      <c r="R3124" s="166" t="s">
        <v>2226</v>
      </c>
    </row>
    <row r="3125" spans="6:18" ht="24" customHeight="1">
      <c r="J3125" s="4"/>
      <c r="M3125" s="142"/>
      <c r="N3125" s="143"/>
      <c r="O3125" s="151" t="s">
        <v>3453</v>
      </c>
      <c r="Q3125" s="510"/>
      <c r="R3125" s="166"/>
    </row>
    <row r="3126" spans="6:18" ht="24" customHeight="1">
      <c r="J3126" s="4"/>
      <c r="M3126" s="142"/>
      <c r="N3126" s="143"/>
      <c r="O3126" s="151" t="s">
        <v>3586</v>
      </c>
      <c r="P3126" s="146" t="s">
        <v>2130</v>
      </c>
      <c r="Q3126" s="511">
        <v>2.2780000000000002E-2</v>
      </c>
      <c r="R3126" s="166"/>
    </row>
    <row r="3127" spans="6:18" ht="24" customHeight="1">
      <c r="H3127" t="s">
        <v>3220</v>
      </c>
      <c r="J3127" s="4"/>
      <c r="M3127" s="142"/>
      <c r="N3127" s="143"/>
      <c r="O3127" s="151" t="s">
        <v>2965</v>
      </c>
      <c r="P3127" s="146" t="s">
        <v>2130</v>
      </c>
      <c r="Q3127" s="511">
        <v>1.013E-2</v>
      </c>
      <c r="R3127" s="167"/>
    </row>
    <row r="3128" spans="6:18" ht="24" customHeight="1">
      <c r="H3128" t="s">
        <v>1436</v>
      </c>
      <c r="J3128" s="4"/>
      <c r="M3128" s="142"/>
      <c r="N3128" s="143"/>
      <c r="O3128" s="142"/>
      <c r="P3128" s="142"/>
      <c r="Q3128" s="518" t="s">
        <v>3235</v>
      </c>
      <c r="R3128" s="11"/>
    </row>
    <row r="3129" spans="6:18" ht="24" customHeight="1">
      <c r="H3129" t="s">
        <v>1296</v>
      </c>
      <c r="J3129" s="4"/>
      <c r="M3129" s="142"/>
      <c r="N3129" s="143"/>
      <c r="O3129" s="142"/>
      <c r="P3129" s="142"/>
      <c r="Q3129" s="513">
        <v>3.2910000000000002E-2</v>
      </c>
      <c r="R3129" s="11" t="s">
        <v>2226</v>
      </c>
    </row>
    <row r="3130" spans="6:18" ht="24" customHeight="1">
      <c r="J3130" s="4"/>
      <c r="M3130" s="142"/>
      <c r="N3130" s="143"/>
      <c r="O3130" s="142"/>
      <c r="P3130" s="142"/>
      <c r="Q3130" s="518" t="s">
        <v>3235</v>
      </c>
      <c r="R3130" s="11"/>
    </row>
    <row r="3131" spans="6:18" ht="24" customHeight="1">
      <c r="F3131">
        <v>1.33</v>
      </c>
      <c r="G3131" s="3" t="s">
        <v>2695</v>
      </c>
      <c r="H3131" t="s">
        <v>1230</v>
      </c>
      <c r="I3131">
        <f>I1463</f>
        <v>254.1</v>
      </c>
      <c r="J3131" s="3" t="s">
        <v>2695</v>
      </c>
      <c r="K3131">
        <f>I3131*F3131</f>
        <v>337.95</v>
      </c>
      <c r="L3131">
        <f>K3131</f>
        <v>337.95</v>
      </c>
      <c r="M3131" s="142"/>
      <c r="N3131" s="143"/>
      <c r="O3131" s="151" t="s">
        <v>3466</v>
      </c>
      <c r="P3131" s="142"/>
      <c r="Q3131" s="201">
        <v>0.94</v>
      </c>
      <c r="R3131" s="167" t="s">
        <v>2371</v>
      </c>
    </row>
    <row r="3132" spans="6:18" ht="24" customHeight="1">
      <c r="F3132">
        <v>0.7</v>
      </c>
      <c r="G3132" s="3" t="s">
        <v>257</v>
      </c>
      <c r="H3132" t="s">
        <v>1229</v>
      </c>
      <c r="I3132">
        <f>I3118</f>
        <v>347.55</v>
      </c>
      <c r="J3132" s="3" t="s">
        <v>257</v>
      </c>
      <c r="K3132">
        <f>I3132*F3132</f>
        <v>243.29</v>
      </c>
      <c r="L3132">
        <f>K3132</f>
        <v>243.29</v>
      </c>
      <c r="M3132" s="142"/>
      <c r="N3132" s="143"/>
      <c r="O3132" s="151" t="s">
        <v>3465</v>
      </c>
      <c r="P3132" s="142"/>
      <c r="Q3132" s="516">
        <v>8.3999999999999995E-3</v>
      </c>
      <c r="R3132" s="167" t="s">
        <v>2226</v>
      </c>
    </row>
    <row r="3133" spans="6:18" ht="24" customHeight="1">
      <c r="F3133">
        <v>10</v>
      </c>
      <c r="G3133" s="3" t="s">
        <v>2371</v>
      </c>
      <c r="H3133" t="s">
        <v>1613</v>
      </c>
      <c r="I3133" s="130">
        <v>4.1500000000000004</v>
      </c>
      <c r="J3133" s="3" t="s">
        <v>2371</v>
      </c>
      <c r="K3133">
        <f>I3133*F3133</f>
        <v>41.5</v>
      </c>
      <c r="M3133" s="142"/>
      <c r="N3133" s="143"/>
      <c r="O3133" s="151" t="s">
        <v>3468</v>
      </c>
      <c r="P3133" s="142"/>
      <c r="Q3133" s="516">
        <v>7.9</v>
      </c>
      <c r="R3133" s="167" t="s">
        <v>840</v>
      </c>
    </row>
    <row r="3134" spans="6:18" ht="24" customHeight="1">
      <c r="H3134" t="s">
        <v>3217</v>
      </c>
      <c r="I3134" t="s">
        <v>667</v>
      </c>
      <c r="J3134" s="4"/>
      <c r="K3134">
        <v>1.5</v>
      </c>
      <c r="L3134">
        <v>1.5</v>
      </c>
      <c r="M3134" s="142"/>
      <c r="N3134" s="143"/>
      <c r="O3134" s="142"/>
      <c r="P3134" s="142"/>
      <c r="Q3134" s="152"/>
      <c r="R3134" s="152"/>
    </row>
    <row r="3135" spans="6:18" ht="24" customHeight="1">
      <c r="H3135" t="s">
        <v>440</v>
      </c>
      <c r="J3135" s="4"/>
      <c r="K3135">
        <f>SUM(K3131:K3134)</f>
        <v>624.24</v>
      </c>
      <c r="L3135">
        <f>SUM(L3131:L3134)</f>
        <v>582.74</v>
      </c>
      <c r="M3135" s="162">
        <v>5.1999999999999998E-2</v>
      </c>
      <c r="N3135" s="150" t="s">
        <v>884</v>
      </c>
      <c r="O3135" s="151" t="s">
        <v>313</v>
      </c>
      <c r="P3135" s="153">
        <f>P3102</f>
        <v>102600</v>
      </c>
      <c r="Q3135" s="149" t="s">
        <v>884</v>
      </c>
      <c r="R3135" s="153">
        <f>P3135*M3135</f>
        <v>5335.2</v>
      </c>
    </row>
    <row r="3136" spans="6:18" ht="24" customHeight="1">
      <c r="J3136" s="4"/>
      <c r="M3136" s="162">
        <v>3.2910000000000002E-2</v>
      </c>
      <c r="N3136" s="150" t="s">
        <v>884</v>
      </c>
      <c r="O3136" s="151" t="s">
        <v>314</v>
      </c>
      <c r="P3136" s="153">
        <f>P3103</f>
        <v>91300</v>
      </c>
      <c r="Q3136" s="149" t="s">
        <v>884</v>
      </c>
      <c r="R3136" s="153">
        <f t="shared" ref="R3136:R3147" si="201">P3136*M3136</f>
        <v>3004.68</v>
      </c>
    </row>
    <row r="3137" spans="6:18" ht="24" customHeight="1">
      <c r="H3137" t="s">
        <v>555</v>
      </c>
      <c r="J3137" s="4"/>
      <c r="K3137">
        <f>K3135/10</f>
        <v>62.42</v>
      </c>
      <c r="L3137">
        <f>L3135/10</f>
        <v>58.27</v>
      </c>
      <c r="M3137" s="162">
        <v>8.3999999999999995E-3</v>
      </c>
      <c r="N3137" s="150" t="s">
        <v>884</v>
      </c>
      <c r="O3137" s="151" t="s">
        <v>3457</v>
      </c>
      <c r="P3137" s="215">
        <f>81290+'lead  charge'!Q12</f>
        <v>81290</v>
      </c>
      <c r="Q3137" s="149" t="s">
        <v>884</v>
      </c>
      <c r="R3137" s="153">
        <f t="shared" si="201"/>
        <v>682.84</v>
      </c>
    </row>
    <row r="3138" spans="6:18" ht="24" customHeight="1">
      <c r="J3138" s="4"/>
      <c r="M3138" s="164"/>
      <c r="N3138" s="143"/>
      <c r="O3138" s="151" t="s">
        <v>963</v>
      </c>
      <c r="P3138" s="153"/>
      <c r="Q3138" s="145"/>
      <c r="R3138" s="153">
        <f t="shared" si="201"/>
        <v>0</v>
      </c>
    </row>
    <row r="3139" spans="6:18" ht="24" customHeight="1">
      <c r="J3139" s="4"/>
      <c r="M3139" s="164">
        <v>0.94</v>
      </c>
      <c r="N3139" s="150" t="s">
        <v>611</v>
      </c>
      <c r="O3139" s="151" t="s">
        <v>3467</v>
      </c>
      <c r="P3139" s="215">
        <v>352</v>
      </c>
      <c r="Q3139" s="145" t="s">
        <v>611</v>
      </c>
      <c r="R3139" s="153">
        <f t="shared" si="201"/>
        <v>330.88</v>
      </c>
    </row>
    <row r="3140" spans="6:18" ht="24" customHeight="1">
      <c r="J3140" s="4"/>
      <c r="M3140" s="164">
        <v>7.9</v>
      </c>
      <c r="N3140" s="150" t="s">
        <v>1854</v>
      </c>
      <c r="O3140" s="151" t="s">
        <v>3469</v>
      </c>
      <c r="P3140" s="215">
        <v>13.1</v>
      </c>
      <c r="Q3140" s="145" t="s">
        <v>840</v>
      </c>
      <c r="R3140" s="153">
        <f t="shared" si="201"/>
        <v>103.49</v>
      </c>
    </row>
    <row r="3141" spans="6:18" ht="24" customHeight="1">
      <c r="J3141" s="4"/>
      <c r="M3141" s="164">
        <v>3.1219999999999999</v>
      </c>
      <c r="N3141" s="150" t="s">
        <v>611</v>
      </c>
      <c r="O3141" s="151" t="s">
        <v>446</v>
      </c>
      <c r="P3141" s="215">
        <v>467</v>
      </c>
      <c r="Q3141" s="149" t="s">
        <v>611</v>
      </c>
      <c r="R3141" s="153">
        <f t="shared" si="201"/>
        <v>1457.97</v>
      </c>
    </row>
    <row r="3142" spans="6:18" ht="24" customHeight="1">
      <c r="H3142" t="s">
        <v>2696</v>
      </c>
      <c r="J3142" s="4"/>
      <c r="M3142" s="153">
        <v>4</v>
      </c>
      <c r="N3142" s="150" t="s">
        <v>781</v>
      </c>
      <c r="O3142" s="151" t="s">
        <v>3458</v>
      </c>
      <c r="P3142" s="153">
        <f>P2558</f>
        <v>50.6</v>
      </c>
      <c r="Q3142" s="149" t="s">
        <v>883</v>
      </c>
      <c r="R3142" s="153">
        <f t="shared" si="201"/>
        <v>202.4</v>
      </c>
    </row>
    <row r="3143" spans="6:18" ht="24" customHeight="1">
      <c r="H3143" t="s">
        <v>1436</v>
      </c>
      <c r="J3143" s="4"/>
      <c r="M3143" s="153">
        <v>8</v>
      </c>
      <c r="N3143" s="150" t="s">
        <v>883</v>
      </c>
      <c r="O3143" s="151" t="s">
        <v>1527</v>
      </c>
      <c r="P3143" s="153">
        <f>P2559</f>
        <v>69.849999999999994</v>
      </c>
      <c r="Q3143" s="149" t="s">
        <v>883</v>
      </c>
      <c r="R3143" s="153">
        <f t="shared" si="201"/>
        <v>558.79999999999995</v>
      </c>
    </row>
    <row r="3144" spans="6:18" ht="24" customHeight="1">
      <c r="H3144" t="s">
        <v>1296</v>
      </c>
      <c r="J3144" s="4"/>
      <c r="M3144" s="153">
        <v>4</v>
      </c>
      <c r="N3144" s="150" t="s">
        <v>883</v>
      </c>
      <c r="O3144" s="151" t="s">
        <v>3459</v>
      </c>
      <c r="P3144" s="153">
        <f>P3109</f>
        <v>69.3</v>
      </c>
      <c r="Q3144" s="149" t="s">
        <v>883</v>
      </c>
      <c r="R3144" s="153">
        <f t="shared" si="201"/>
        <v>277.2</v>
      </c>
    </row>
    <row r="3145" spans="6:18" ht="24" customHeight="1">
      <c r="J3145" s="4"/>
      <c r="M3145" s="153">
        <v>1</v>
      </c>
      <c r="N3145" s="150" t="s">
        <v>883</v>
      </c>
      <c r="O3145" s="151" t="s">
        <v>3460</v>
      </c>
      <c r="P3145" s="153">
        <f>P3110</f>
        <v>159.5</v>
      </c>
      <c r="Q3145" s="149" t="s">
        <v>883</v>
      </c>
      <c r="R3145" s="153">
        <f t="shared" si="201"/>
        <v>159.5</v>
      </c>
    </row>
    <row r="3146" spans="6:18" ht="24" customHeight="1">
      <c r="F3146">
        <v>2.2200000000000002</v>
      </c>
      <c r="G3146" s="3" t="s">
        <v>2695</v>
      </c>
      <c r="H3146" t="s">
        <v>1230</v>
      </c>
      <c r="I3146">
        <f>I3131</f>
        <v>254.1</v>
      </c>
      <c r="J3146" s="3" t="s">
        <v>2695</v>
      </c>
      <c r="K3146">
        <f>I3146*F3146</f>
        <v>564.1</v>
      </c>
      <c r="L3146">
        <f>K3146</f>
        <v>564.1</v>
      </c>
      <c r="M3146" s="153">
        <v>2</v>
      </c>
      <c r="N3146" s="150" t="s">
        <v>883</v>
      </c>
      <c r="O3146" s="151" t="s">
        <v>3461</v>
      </c>
      <c r="P3146" s="153">
        <f>P3111</f>
        <v>21</v>
      </c>
      <c r="Q3146" s="149" t="s">
        <v>883</v>
      </c>
      <c r="R3146" s="153">
        <f t="shared" si="201"/>
        <v>42</v>
      </c>
    </row>
    <row r="3147" spans="6:18" ht="24" customHeight="1">
      <c r="F3147">
        <v>1.2</v>
      </c>
      <c r="G3147" s="3" t="s">
        <v>257</v>
      </c>
      <c r="H3147" t="s">
        <v>1229</v>
      </c>
      <c r="I3147">
        <f>I3132</f>
        <v>347.55</v>
      </c>
      <c r="J3147" s="3" t="s">
        <v>257</v>
      </c>
      <c r="K3147">
        <f>I3147*F3147</f>
        <v>417.06</v>
      </c>
      <c r="L3147">
        <f>K3147</f>
        <v>417.06</v>
      </c>
      <c r="M3147" s="153">
        <v>2</v>
      </c>
      <c r="N3147" s="150" t="s">
        <v>883</v>
      </c>
      <c r="O3147" s="151" t="s">
        <v>3462</v>
      </c>
      <c r="P3147" s="153">
        <f>P3112</f>
        <v>44.4</v>
      </c>
      <c r="Q3147" s="149" t="s">
        <v>883</v>
      </c>
      <c r="R3147" s="153">
        <f t="shared" si="201"/>
        <v>88.8</v>
      </c>
    </row>
    <row r="3148" spans="6:18" ht="24" customHeight="1">
      <c r="F3148">
        <v>10</v>
      </c>
      <c r="G3148" s="3" t="s">
        <v>2371</v>
      </c>
      <c r="H3148" t="s">
        <v>3216</v>
      </c>
      <c r="I3148">
        <f>I3133</f>
        <v>4.1500000000000004</v>
      </c>
      <c r="J3148" s="3" t="s">
        <v>2371</v>
      </c>
      <c r="K3148">
        <f>I3148*F3148</f>
        <v>41.5</v>
      </c>
      <c r="M3148" s="142"/>
      <c r="N3148" s="143"/>
      <c r="O3148" s="142" t="s">
        <v>1395</v>
      </c>
      <c r="P3148" s="142"/>
      <c r="Q3148" s="145"/>
      <c r="R3148" s="153">
        <v>20.45</v>
      </c>
    </row>
    <row r="3149" spans="6:18" ht="24" customHeight="1">
      <c r="H3149" t="s">
        <v>3217</v>
      </c>
      <c r="I3149" t="s">
        <v>667</v>
      </c>
      <c r="J3149" s="4"/>
      <c r="K3149">
        <v>1.5</v>
      </c>
      <c r="L3149">
        <f>K3149</f>
        <v>1.5</v>
      </c>
      <c r="M3149" s="142"/>
      <c r="N3149" s="143"/>
      <c r="O3149" s="142"/>
      <c r="P3149" s="142"/>
      <c r="Q3149" s="145"/>
      <c r="R3149" s="152" t="s">
        <v>1667</v>
      </c>
    </row>
    <row r="3150" spans="6:18" ht="24" customHeight="1">
      <c r="H3150" t="s">
        <v>440</v>
      </c>
      <c r="J3150" s="4"/>
      <c r="K3150">
        <f>SUM(K3146:K3149)</f>
        <v>1024.1600000000001</v>
      </c>
      <c r="L3150">
        <f>SUM(L3146:L3149)</f>
        <v>982.66</v>
      </c>
      <c r="M3150" s="142"/>
      <c r="N3150" s="143"/>
      <c r="O3150" s="151" t="s">
        <v>3463</v>
      </c>
      <c r="P3150" s="142"/>
      <c r="Q3150" s="145"/>
      <c r="R3150" s="153">
        <f>SUM(R3135:R3148)</f>
        <v>12264.21</v>
      </c>
    </row>
    <row r="3151" spans="6:18" ht="24" customHeight="1">
      <c r="J3151" s="4"/>
      <c r="M3151" s="142"/>
      <c r="N3151" s="143"/>
      <c r="O3151" s="142"/>
      <c r="P3151" s="142"/>
      <c r="Q3151" s="145"/>
      <c r="R3151" s="152" t="s">
        <v>1667</v>
      </c>
    </row>
    <row r="3152" spans="6:18" ht="24" customHeight="1">
      <c r="H3152" t="s">
        <v>555</v>
      </c>
      <c r="J3152" s="4"/>
      <c r="K3152">
        <f>K3150/10</f>
        <v>102.42</v>
      </c>
      <c r="L3152">
        <f>L3150/10</f>
        <v>98.27</v>
      </c>
      <c r="M3152" s="142"/>
      <c r="N3152" s="143"/>
      <c r="O3152" s="139" t="s">
        <v>555</v>
      </c>
      <c r="P3152" s="142"/>
      <c r="Q3152" s="147" t="s">
        <v>732</v>
      </c>
      <c r="R3152" s="140">
        <f>R3150/M3141</f>
        <v>3928.32</v>
      </c>
    </row>
    <row r="3153" spans="6:18" ht="24" customHeight="1">
      <c r="J3153" s="4"/>
      <c r="M3153" s="149"/>
      <c r="N3153" s="150" t="s">
        <v>2338</v>
      </c>
      <c r="O3153" s="151" t="s">
        <v>2963</v>
      </c>
      <c r="P3153" s="142"/>
      <c r="Q3153" s="145"/>
      <c r="R3153" s="142"/>
    </row>
    <row r="3154" spans="6:18" ht="24" customHeight="1">
      <c r="J3154" s="4"/>
      <c r="M3154" s="142"/>
      <c r="N3154" s="143"/>
      <c r="O3154" s="151" t="s">
        <v>254</v>
      </c>
      <c r="P3154" s="142"/>
      <c r="Q3154" s="145"/>
      <c r="R3154" s="142"/>
    </row>
    <row r="3155" spans="6:18" ht="24" customHeight="1">
      <c r="J3155" s="4"/>
      <c r="M3155" s="142"/>
      <c r="N3155" s="143"/>
      <c r="O3155" s="507" t="s">
        <v>3470</v>
      </c>
      <c r="P3155" s="142"/>
      <c r="Q3155" s="145"/>
      <c r="R3155" s="142"/>
    </row>
    <row r="3156" spans="6:18" ht="24" customHeight="1">
      <c r="J3156" s="4"/>
      <c r="M3156" s="142"/>
      <c r="N3156" s="143"/>
      <c r="O3156" s="152" t="s">
        <v>1667</v>
      </c>
      <c r="P3156" s="142"/>
      <c r="Q3156" s="145"/>
      <c r="R3156" s="142"/>
    </row>
    <row r="3157" spans="6:18" ht="24" customHeight="1">
      <c r="J3157" s="4"/>
      <c r="M3157" s="142"/>
      <c r="N3157" s="143"/>
      <c r="O3157" s="151" t="s">
        <v>3471</v>
      </c>
      <c r="P3157" s="146" t="s">
        <v>2130</v>
      </c>
      <c r="Q3157" s="508">
        <v>2.4279999999999999</v>
      </c>
      <c r="R3157" s="142" t="s">
        <v>2371</v>
      </c>
    </row>
    <row r="3158" spans="6:18" ht="24" customHeight="1">
      <c r="H3158" t="s">
        <v>2696</v>
      </c>
      <c r="J3158" s="4"/>
      <c r="M3158" s="142"/>
      <c r="N3158" s="143"/>
      <c r="O3158" s="151"/>
      <c r="P3158" s="146"/>
      <c r="Q3158" s="508"/>
      <c r="R3158" s="142"/>
    </row>
    <row r="3159" spans="6:18" ht="24" customHeight="1">
      <c r="H3159" t="s">
        <v>1079</v>
      </c>
      <c r="J3159" s="4"/>
      <c r="M3159" s="142"/>
      <c r="N3159" s="143"/>
      <c r="O3159" s="151" t="s">
        <v>2966</v>
      </c>
      <c r="P3159" s="146" t="s">
        <v>2130</v>
      </c>
      <c r="Q3159" s="509">
        <v>5.1999999999999998E-2</v>
      </c>
      <c r="R3159" s="142" t="s">
        <v>2226</v>
      </c>
    </row>
    <row r="3160" spans="6:18" ht="24" customHeight="1">
      <c r="H3160" t="s">
        <v>1296</v>
      </c>
      <c r="J3160" s="4"/>
      <c r="M3160" s="142"/>
      <c r="N3160" s="143"/>
      <c r="O3160" s="151" t="s">
        <v>3453</v>
      </c>
      <c r="Q3160" s="510"/>
      <c r="R3160" s="142"/>
    </row>
    <row r="3161" spans="6:18" ht="24" customHeight="1">
      <c r="J3161" s="4"/>
      <c r="M3161" s="142"/>
      <c r="N3161" s="143"/>
      <c r="O3161" s="151" t="s">
        <v>3472</v>
      </c>
      <c r="P3161" s="146" t="s">
        <v>2130</v>
      </c>
      <c r="Q3161" s="512">
        <v>1.7718999999999999E-2</v>
      </c>
      <c r="R3161" s="142"/>
    </row>
    <row r="3162" spans="6:18" ht="24" customHeight="1">
      <c r="F3162">
        <v>1.89</v>
      </c>
      <c r="G3162" s="3" t="s">
        <v>2695</v>
      </c>
      <c r="H3162" t="s">
        <v>1230</v>
      </c>
      <c r="I3162">
        <f>I3117</f>
        <v>242.55</v>
      </c>
      <c r="J3162" s="3" t="s">
        <v>2695</v>
      </c>
      <c r="K3162">
        <f>I3162*F3162</f>
        <v>458.42</v>
      </c>
      <c r="L3162">
        <f>K3162</f>
        <v>458.42</v>
      </c>
      <c r="M3162" s="142"/>
      <c r="N3162" s="143"/>
      <c r="O3162" s="151" t="s">
        <v>3473</v>
      </c>
      <c r="P3162" s="146" t="s">
        <v>2130</v>
      </c>
      <c r="Q3162" s="512">
        <v>7.8750000000000001E-3</v>
      </c>
      <c r="R3162" s="162"/>
    </row>
    <row r="3163" spans="6:18" ht="24" customHeight="1">
      <c r="F3163">
        <v>1.1000000000000001</v>
      </c>
      <c r="G3163" s="3" t="s">
        <v>257</v>
      </c>
      <c r="H3163" t="s">
        <v>1229</v>
      </c>
      <c r="I3163">
        <f>I3118</f>
        <v>347.55</v>
      </c>
      <c r="J3163" s="3" t="s">
        <v>257</v>
      </c>
      <c r="K3163">
        <f>I3163*F3163</f>
        <v>382.31</v>
      </c>
      <c r="L3163">
        <f>K3163</f>
        <v>382.31</v>
      </c>
      <c r="M3163" s="142"/>
      <c r="N3163" s="143"/>
      <c r="O3163" s="142"/>
      <c r="P3163" s="142"/>
      <c r="Q3163" s="152" t="s">
        <v>1667</v>
      </c>
    </row>
    <row r="3164" spans="6:18" ht="24" customHeight="1">
      <c r="F3164">
        <v>10</v>
      </c>
      <c r="G3164" s="3" t="s">
        <v>2371</v>
      </c>
      <c r="H3164" s="1" t="s">
        <v>3216</v>
      </c>
      <c r="I3164" s="130">
        <f>I3119</f>
        <v>3.9</v>
      </c>
      <c r="J3164" s="3" t="s">
        <v>2371</v>
      </c>
      <c r="K3164">
        <f>I3164*F3164</f>
        <v>39</v>
      </c>
      <c r="M3164" s="142"/>
      <c r="N3164" s="143"/>
      <c r="O3164" s="142"/>
      <c r="P3164" s="142"/>
      <c r="Q3164" s="513">
        <v>2.5590000000000002E-2</v>
      </c>
      <c r="R3164" t="s">
        <v>2226</v>
      </c>
    </row>
    <row r="3165" spans="6:18" ht="24" customHeight="1">
      <c r="H3165" s="1" t="s">
        <v>3217</v>
      </c>
      <c r="I3165" t="s">
        <v>667</v>
      </c>
      <c r="J3165" s="4"/>
      <c r="K3165">
        <v>1.9</v>
      </c>
      <c r="L3165">
        <f>K3165</f>
        <v>1.9</v>
      </c>
      <c r="M3165" s="142"/>
      <c r="N3165" s="143"/>
      <c r="O3165" s="142"/>
      <c r="P3165" s="142"/>
      <c r="Q3165" s="152" t="s">
        <v>1667</v>
      </c>
    </row>
    <row r="3166" spans="6:18" ht="24" customHeight="1">
      <c r="H3166" t="s">
        <v>440</v>
      </c>
      <c r="J3166" s="4"/>
      <c r="K3166">
        <f>SUM(K3162:K3165)</f>
        <v>881.63</v>
      </c>
      <c r="L3166">
        <f>SUM(L3162:L3165)</f>
        <v>842.63</v>
      </c>
      <c r="M3166" s="142"/>
      <c r="N3166" s="143"/>
      <c r="O3166" s="151" t="s">
        <v>3474</v>
      </c>
      <c r="P3166" s="142"/>
      <c r="Q3166" s="514">
        <v>1.0999999999999999E-2</v>
      </c>
      <c r="R3166" s="162"/>
    </row>
    <row r="3167" spans="6:18" ht="24" customHeight="1">
      <c r="J3167" s="4"/>
      <c r="M3167" s="142"/>
      <c r="N3167" s="143"/>
      <c r="O3167" s="151" t="s">
        <v>3475</v>
      </c>
      <c r="P3167" s="142"/>
      <c r="Q3167" s="515">
        <v>5.3E-3</v>
      </c>
      <c r="R3167" s="162"/>
    </row>
    <row r="3168" spans="6:18" ht="24" customHeight="1">
      <c r="H3168" t="s">
        <v>555</v>
      </c>
      <c r="J3168" s="4"/>
      <c r="K3168">
        <f>K3166/10</f>
        <v>88.16</v>
      </c>
      <c r="M3168" s="142"/>
      <c r="N3168" s="143"/>
      <c r="O3168" s="151"/>
      <c r="P3168" s="142"/>
      <c r="Q3168" s="152" t="s">
        <v>1667</v>
      </c>
      <c r="R3168" s="162"/>
    </row>
    <row r="3169" spans="6:18" ht="24" customHeight="1">
      <c r="G3169"/>
      <c r="J3169"/>
      <c r="M3169" s="142"/>
      <c r="N3169" s="143"/>
      <c r="O3169" s="151"/>
      <c r="P3169" s="142"/>
      <c r="Q3169" s="516">
        <v>1.6299999999999999E-2</v>
      </c>
      <c r="R3169" s="162" t="s">
        <v>2226</v>
      </c>
    </row>
    <row r="3170" spans="6:18" ht="24" customHeight="1">
      <c r="G3170"/>
      <c r="H3170" s="1" t="s">
        <v>1998</v>
      </c>
      <c r="J3170"/>
      <c r="M3170" s="142"/>
      <c r="N3170" s="143"/>
      <c r="O3170" s="142"/>
      <c r="P3170" s="142"/>
      <c r="Q3170" s="152" t="s">
        <v>1667</v>
      </c>
      <c r="R3170" s="152"/>
    </row>
    <row r="3171" spans="6:18" ht="24" customHeight="1">
      <c r="G3171"/>
      <c r="H3171" s="1" t="s">
        <v>2697</v>
      </c>
      <c r="J3171"/>
      <c r="M3171" s="162">
        <v>5.1999999999999998E-2</v>
      </c>
      <c r="N3171" s="150" t="s">
        <v>884</v>
      </c>
      <c r="O3171" s="151" t="s">
        <v>313</v>
      </c>
      <c r="P3171" s="153">
        <f>P3102</f>
        <v>102600</v>
      </c>
      <c r="Q3171" s="149" t="s">
        <v>884</v>
      </c>
      <c r="R3171" s="153">
        <f>P3171*M3171</f>
        <v>5335.2</v>
      </c>
    </row>
    <row r="3172" spans="6:18" ht="24" customHeight="1">
      <c r="G3172"/>
      <c r="J3172"/>
      <c r="M3172" s="162">
        <v>2.5590000000000002E-2</v>
      </c>
      <c r="N3172" s="150" t="s">
        <v>884</v>
      </c>
      <c r="O3172" s="151" t="s">
        <v>314</v>
      </c>
      <c r="P3172" s="153">
        <f>P3103</f>
        <v>91300</v>
      </c>
      <c r="Q3172" s="149" t="s">
        <v>884</v>
      </c>
      <c r="R3172" s="153">
        <f t="shared" ref="R3172:R3181" si="202">P3172*M3172</f>
        <v>2336.37</v>
      </c>
    </row>
    <row r="3173" spans="6:18" ht="24" customHeight="1">
      <c r="F3173" s="8">
        <v>0.22</v>
      </c>
      <c r="G3173" s="7" t="s">
        <v>884</v>
      </c>
      <c r="H3173" s="1" t="s">
        <v>1710</v>
      </c>
      <c r="I3173" s="8">
        <f>K49</f>
        <v>2403.81</v>
      </c>
      <c r="J3173" s="2" t="s">
        <v>884</v>
      </c>
      <c r="K3173" s="8">
        <f>(F3173*I3173)</f>
        <v>528.84</v>
      </c>
      <c r="M3173" s="162">
        <v>1.6299999999999999E-2</v>
      </c>
      <c r="N3173" s="150" t="s">
        <v>884</v>
      </c>
      <c r="O3173" s="151" t="s">
        <v>3476</v>
      </c>
      <c r="P3173" s="215">
        <f>AA28</f>
        <v>87300</v>
      </c>
      <c r="Q3173" s="149" t="s">
        <v>884</v>
      </c>
      <c r="R3173" s="153">
        <f t="shared" si="202"/>
        <v>1422.99</v>
      </c>
    </row>
    <row r="3174" spans="6:18" ht="24" customHeight="1">
      <c r="F3174" s="8">
        <v>2.2000000000000002</v>
      </c>
      <c r="G3174" s="7" t="s">
        <v>781</v>
      </c>
      <c r="H3174" s="1" t="s">
        <v>2082</v>
      </c>
      <c r="I3174" s="8">
        <f>AC9</f>
        <v>430.5</v>
      </c>
      <c r="J3174" s="2" t="s">
        <v>781</v>
      </c>
      <c r="K3174" s="8">
        <f>(F3174*I3174)</f>
        <v>947.1</v>
      </c>
      <c r="M3174" s="164"/>
      <c r="N3174" s="143"/>
      <c r="O3174" s="151" t="s">
        <v>963</v>
      </c>
      <c r="P3174" s="153"/>
      <c r="Q3174" s="145"/>
      <c r="R3174" s="153">
        <f t="shared" si="202"/>
        <v>0</v>
      </c>
    </row>
    <row r="3175" spans="6:18" ht="24" customHeight="1">
      <c r="F3175" s="8">
        <v>0.5</v>
      </c>
      <c r="G3175" s="7" t="s">
        <v>781</v>
      </c>
      <c r="H3175" s="1" t="s">
        <v>949</v>
      </c>
      <c r="I3175" s="8">
        <f>I3104</f>
        <v>269.85000000000002</v>
      </c>
      <c r="J3175" s="2" t="s">
        <v>781</v>
      </c>
      <c r="K3175" s="8">
        <f>(F3175*I3175)</f>
        <v>134.93</v>
      </c>
      <c r="M3175" s="164">
        <v>2.4279999999999999</v>
      </c>
      <c r="N3175" s="150" t="s">
        <v>611</v>
      </c>
      <c r="O3175" s="151" t="s">
        <v>446</v>
      </c>
      <c r="P3175" s="153">
        <f t="shared" ref="P3175:P3181" si="203">P3106</f>
        <v>666.75</v>
      </c>
      <c r="Q3175" s="149" t="s">
        <v>611</v>
      </c>
      <c r="R3175" s="153">
        <f t="shared" si="202"/>
        <v>1618.87</v>
      </c>
    </row>
    <row r="3176" spans="6:18" ht="24" customHeight="1">
      <c r="F3176" s="8">
        <v>3.2</v>
      </c>
      <c r="G3176" s="7" t="s">
        <v>781</v>
      </c>
      <c r="H3176" s="1" t="s">
        <v>324</v>
      </c>
      <c r="I3176" s="8">
        <f>I3105</f>
        <v>243.6</v>
      </c>
      <c r="J3176" s="2" t="s">
        <v>781</v>
      </c>
      <c r="K3176" s="8">
        <f>(F3176*I3176)</f>
        <v>779.52</v>
      </c>
      <c r="M3176" s="153">
        <v>4</v>
      </c>
      <c r="N3176" s="150" t="s">
        <v>781</v>
      </c>
      <c r="O3176" s="151" t="s">
        <v>3458</v>
      </c>
      <c r="P3176" s="153">
        <f t="shared" si="203"/>
        <v>50.6</v>
      </c>
      <c r="Q3176" s="149" t="s">
        <v>883</v>
      </c>
      <c r="R3176" s="153">
        <f t="shared" si="202"/>
        <v>202.4</v>
      </c>
    </row>
    <row r="3177" spans="6:18" ht="24" customHeight="1">
      <c r="F3177" s="8">
        <v>10</v>
      </c>
      <c r="G3177" s="7" t="s">
        <v>234</v>
      </c>
      <c r="H3177" s="1" t="s">
        <v>2698</v>
      </c>
      <c r="I3177" s="6">
        <v>2.5499999999999998</v>
      </c>
      <c r="J3177" s="2" t="s">
        <v>234</v>
      </c>
      <c r="K3177" s="8">
        <f>(F3177*I3177)</f>
        <v>25.5</v>
      </c>
      <c r="M3177" s="153">
        <v>8</v>
      </c>
      <c r="N3177" s="150" t="s">
        <v>883</v>
      </c>
      <c r="O3177" s="151" t="s">
        <v>1527</v>
      </c>
      <c r="P3177" s="153">
        <f t="shared" si="203"/>
        <v>69.849999999999994</v>
      </c>
      <c r="Q3177" s="149" t="s">
        <v>883</v>
      </c>
      <c r="R3177" s="153">
        <f t="shared" si="202"/>
        <v>558.79999999999995</v>
      </c>
    </row>
    <row r="3178" spans="6:18" ht="24" customHeight="1">
      <c r="J3178" s="4"/>
      <c r="K3178" s="5" t="s">
        <v>1667</v>
      </c>
      <c r="M3178" s="153">
        <v>4</v>
      </c>
      <c r="N3178" s="150" t="s">
        <v>883</v>
      </c>
      <c r="O3178" s="151" t="s">
        <v>3459</v>
      </c>
      <c r="P3178" s="153">
        <f t="shared" si="203"/>
        <v>69.3</v>
      </c>
      <c r="Q3178" s="149" t="s">
        <v>883</v>
      </c>
      <c r="R3178" s="153">
        <f t="shared" si="202"/>
        <v>277.2</v>
      </c>
    </row>
    <row r="3179" spans="6:18" ht="24" customHeight="1">
      <c r="H3179" s="1" t="s">
        <v>440</v>
      </c>
      <c r="J3179" s="4"/>
      <c r="K3179" s="8">
        <f>SUM(K3173:K3178)</f>
        <v>2415.89</v>
      </c>
      <c r="M3179" s="153">
        <v>1</v>
      </c>
      <c r="N3179" s="150" t="s">
        <v>883</v>
      </c>
      <c r="O3179" s="151" t="s">
        <v>3460</v>
      </c>
      <c r="P3179" s="153">
        <f t="shared" si="203"/>
        <v>159.5</v>
      </c>
      <c r="Q3179" s="149" t="s">
        <v>883</v>
      </c>
      <c r="R3179" s="153">
        <f t="shared" si="202"/>
        <v>159.5</v>
      </c>
    </row>
    <row r="3180" spans="6:18" ht="24" customHeight="1">
      <c r="J3180" s="4"/>
      <c r="K3180" s="5" t="s">
        <v>1667</v>
      </c>
      <c r="M3180" s="153">
        <v>2</v>
      </c>
      <c r="N3180" s="150" t="s">
        <v>883</v>
      </c>
      <c r="O3180" s="151" t="s">
        <v>3461</v>
      </c>
      <c r="P3180" s="153">
        <f t="shared" si="203"/>
        <v>21</v>
      </c>
      <c r="Q3180" s="149" t="s">
        <v>883</v>
      </c>
      <c r="R3180" s="153">
        <f t="shared" si="202"/>
        <v>42</v>
      </c>
    </row>
    <row r="3181" spans="6:18" ht="24" customHeight="1">
      <c r="H3181" s="1" t="s">
        <v>555</v>
      </c>
      <c r="J3181" s="4"/>
      <c r="K3181" s="8">
        <f>(K3179/10)</f>
        <v>241.59</v>
      </c>
      <c r="M3181" s="153">
        <v>2</v>
      </c>
      <c r="N3181" s="150" t="s">
        <v>883</v>
      </c>
      <c r="O3181" s="151" t="s">
        <v>3462</v>
      </c>
      <c r="P3181" s="153">
        <f t="shared" si="203"/>
        <v>44.4</v>
      </c>
      <c r="Q3181" s="149" t="s">
        <v>883</v>
      </c>
      <c r="R3181" s="153">
        <f t="shared" si="202"/>
        <v>88.8</v>
      </c>
    </row>
    <row r="3182" spans="6:18" ht="24" customHeight="1">
      <c r="J3182" s="4"/>
      <c r="K3182" s="5" t="s">
        <v>2130</v>
      </c>
      <c r="M3182" s="142"/>
      <c r="N3182" s="143"/>
      <c r="O3182" s="142" t="s">
        <v>1395</v>
      </c>
      <c r="P3182" s="142"/>
      <c r="Q3182" s="145"/>
      <c r="R3182" s="517">
        <v>21.24</v>
      </c>
    </row>
    <row r="3183" spans="6:18" ht="24" customHeight="1">
      <c r="G3183"/>
      <c r="J3183"/>
      <c r="M3183" s="142"/>
      <c r="N3183" s="143"/>
      <c r="O3183" s="142"/>
      <c r="P3183" s="142"/>
      <c r="Q3183" s="145"/>
      <c r="R3183" s="152" t="s">
        <v>1667</v>
      </c>
    </row>
    <row r="3184" spans="6:18" ht="24" customHeight="1">
      <c r="G3184"/>
      <c r="J3184"/>
      <c r="M3184" s="142"/>
      <c r="N3184" s="143"/>
      <c r="O3184" s="151" t="s">
        <v>3477</v>
      </c>
      <c r="P3184" s="142"/>
      <c r="Q3184" s="145"/>
      <c r="R3184" s="153">
        <f>SUM(R3171:R3182)</f>
        <v>12063.37</v>
      </c>
    </row>
    <row r="3185" spans="6:24" ht="24" customHeight="1">
      <c r="F3185" s="2" t="s">
        <v>36</v>
      </c>
      <c r="G3185" s="7" t="s">
        <v>2338</v>
      </c>
      <c r="H3185" s="2" t="s">
        <v>3593</v>
      </c>
      <c r="J3185" s="4"/>
      <c r="M3185" s="142"/>
      <c r="N3185" s="143"/>
      <c r="O3185" s="142"/>
      <c r="P3185" s="142"/>
      <c r="Q3185" s="145"/>
      <c r="R3185" s="152" t="s">
        <v>1667</v>
      </c>
    </row>
    <row r="3186" spans="6:24" ht="24" customHeight="1">
      <c r="H3186" s="2" t="s">
        <v>38</v>
      </c>
      <c r="J3186" s="4"/>
      <c r="M3186" s="142"/>
      <c r="N3186" s="143"/>
      <c r="O3186" s="139" t="s">
        <v>555</v>
      </c>
      <c r="P3186" s="142"/>
      <c r="Q3186" s="147" t="s">
        <v>732</v>
      </c>
      <c r="R3186" s="140">
        <f>R3184/M3175</f>
        <v>4968.4399999999996</v>
      </c>
    </row>
    <row r="3187" spans="6:24" ht="24" customHeight="1">
      <c r="F3187" s="8">
        <v>1.8</v>
      </c>
      <c r="G3187" s="7" t="s">
        <v>1430</v>
      </c>
      <c r="H3187" s="1" t="s">
        <v>37</v>
      </c>
      <c r="I3187" s="8">
        <f>E270</f>
        <v>169</v>
      </c>
      <c r="J3187" s="2" t="s">
        <v>1430</v>
      </c>
      <c r="K3187" s="8">
        <f>(F3187*I3187)</f>
        <v>304.2</v>
      </c>
      <c r="L3187">
        <f>K3187</f>
        <v>304.2</v>
      </c>
      <c r="M3187" s="149"/>
      <c r="N3187" s="150" t="s">
        <v>2338</v>
      </c>
      <c r="O3187" s="151" t="s">
        <v>3480</v>
      </c>
      <c r="P3187" s="142"/>
      <c r="Q3187" s="145"/>
      <c r="R3187" s="142"/>
    </row>
    <row r="3188" spans="6:24" ht="24" customHeight="1">
      <c r="F3188" s="8">
        <v>0.25</v>
      </c>
      <c r="G3188" s="7" t="s">
        <v>563</v>
      </c>
      <c r="H3188" s="1" t="s">
        <v>1431</v>
      </c>
      <c r="I3188" s="8">
        <f>I3163</f>
        <v>347.55</v>
      </c>
      <c r="J3188" s="2" t="s">
        <v>563</v>
      </c>
      <c r="K3188" s="8">
        <f>(F3188*I3188)</f>
        <v>86.89</v>
      </c>
      <c r="L3188">
        <f>K3188</f>
        <v>86.89</v>
      </c>
      <c r="M3188" s="142"/>
      <c r="N3188" s="143"/>
      <c r="O3188" s="151" t="s">
        <v>254</v>
      </c>
      <c r="P3188" s="142"/>
      <c r="Q3188" s="145"/>
      <c r="R3188" s="142"/>
    </row>
    <row r="3189" spans="6:24" ht="24" customHeight="1">
      <c r="F3189" s="8">
        <v>0.25</v>
      </c>
      <c r="G3189" s="7" t="s">
        <v>563</v>
      </c>
      <c r="H3189" s="1" t="s">
        <v>838</v>
      </c>
      <c r="I3189" s="8">
        <f>I3104</f>
        <v>269.85000000000002</v>
      </c>
      <c r="J3189" s="2" t="s">
        <v>563</v>
      </c>
      <c r="K3189" s="8">
        <f>(F3189*I3189)</f>
        <v>67.459999999999994</v>
      </c>
      <c r="L3189">
        <f>K3189</f>
        <v>67.459999999999994</v>
      </c>
      <c r="M3189" s="142"/>
      <c r="N3189" s="143"/>
      <c r="O3189" s="507" t="s">
        <v>3470</v>
      </c>
      <c r="P3189" s="142"/>
      <c r="Q3189" s="145"/>
      <c r="R3189" s="142"/>
    </row>
    <row r="3190" spans="6:24" ht="24" customHeight="1">
      <c r="F3190" s="8">
        <v>0.4</v>
      </c>
      <c r="G3190" s="7" t="s">
        <v>563</v>
      </c>
      <c r="H3190" s="1" t="s">
        <v>1432</v>
      </c>
      <c r="I3190" s="8">
        <f>I3105</f>
        <v>243.6</v>
      </c>
      <c r="J3190" s="2" t="s">
        <v>563</v>
      </c>
      <c r="K3190" s="8">
        <f>(F3190*I3190)</f>
        <v>97.44</v>
      </c>
      <c r="L3190">
        <f>K3190</f>
        <v>97.44</v>
      </c>
      <c r="M3190" s="142"/>
      <c r="N3190" s="143"/>
      <c r="O3190" s="152" t="s">
        <v>1667</v>
      </c>
      <c r="P3190" s="142"/>
      <c r="Q3190" s="145"/>
      <c r="R3190" s="142"/>
    </row>
    <row r="3191" spans="6:24" ht="24" customHeight="1">
      <c r="G3191" s="7" t="s">
        <v>448</v>
      </c>
      <c r="H3191" s="1" t="s">
        <v>1913</v>
      </c>
      <c r="J3191" s="2" t="s">
        <v>448</v>
      </c>
      <c r="K3191" s="8">
        <v>1.65</v>
      </c>
      <c r="L3191">
        <f>K3191</f>
        <v>1.65</v>
      </c>
      <c r="M3191" s="142"/>
      <c r="N3191" s="143"/>
      <c r="O3191" s="151" t="s">
        <v>3471</v>
      </c>
      <c r="P3191" s="146" t="s">
        <v>2130</v>
      </c>
      <c r="Q3191" s="508">
        <v>2.4279999999999999</v>
      </c>
      <c r="R3191" s="142" t="s">
        <v>2371</v>
      </c>
    </row>
    <row r="3192" spans="6:24" ht="24" customHeight="1">
      <c r="F3192">
        <v>10</v>
      </c>
      <c r="H3192" s="1" t="s">
        <v>3594</v>
      </c>
      <c r="I3192">
        <f>I3093</f>
        <v>1.35</v>
      </c>
      <c r="J3192" s="4" t="s">
        <v>234</v>
      </c>
      <c r="K3192" s="8">
        <f>I3192*F3192</f>
        <v>13.5</v>
      </c>
      <c r="M3192" s="142"/>
      <c r="N3192" s="143"/>
      <c r="O3192" s="151"/>
      <c r="P3192" s="146"/>
      <c r="Q3192" s="508"/>
      <c r="R3192" s="142"/>
    </row>
    <row r="3193" spans="6:24" ht="24" customHeight="1">
      <c r="J3193" s="4"/>
      <c r="K3193" s="5" t="s">
        <v>1667</v>
      </c>
      <c r="M3193" s="142"/>
      <c r="N3193" s="143"/>
      <c r="O3193" s="151" t="s">
        <v>2966</v>
      </c>
      <c r="P3193" s="146" t="s">
        <v>2130</v>
      </c>
      <c r="Q3193" s="509">
        <v>5.1999999999999998E-2</v>
      </c>
      <c r="R3193" s="142" t="s">
        <v>2226</v>
      </c>
    </row>
    <row r="3194" spans="6:24" ht="24" customHeight="1">
      <c r="H3194" s="2" t="s">
        <v>1433</v>
      </c>
      <c r="J3194" s="4"/>
      <c r="K3194" s="8">
        <f>SUM(K3187:K3193)</f>
        <v>571.14</v>
      </c>
      <c r="L3194">
        <f>SUM(L3187:L3193)</f>
        <v>557.64</v>
      </c>
      <c r="M3194" s="142"/>
      <c r="N3194" s="143"/>
      <c r="O3194" s="151" t="s">
        <v>3453</v>
      </c>
      <c r="Q3194" s="510"/>
      <c r="R3194" s="142"/>
    </row>
    <row r="3195" spans="6:24" ht="24" customHeight="1">
      <c r="J3195" s="4"/>
      <c r="K3195" s="5" t="s">
        <v>1667</v>
      </c>
      <c r="M3195" s="142"/>
      <c r="N3195" s="143"/>
      <c r="O3195" s="151" t="s">
        <v>3472</v>
      </c>
      <c r="P3195" s="146" t="s">
        <v>2130</v>
      </c>
      <c r="Q3195" s="512">
        <v>1.7718999999999999E-2</v>
      </c>
      <c r="R3195" s="142"/>
    </row>
    <row r="3196" spans="6:24" ht="24" customHeight="1">
      <c r="F3196" s="1" t="s">
        <v>995</v>
      </c>
      <c r="G3196" s="7" t="s">
        <v>995</v>
      </c>
      <c r="H3196" s="2" t="s">
        <v>1779</v>
      </c>
      <c r="I3196" s="1" t="s">
        <v>995</v>
      </c>
      <c r="J3196" s="2" t="s">
        <v>995</v>
      </c>
      <c r="K3196" s="8">
        <f>K3194/10</f>
        <v>57.11</v>
      </c>
      <c r="L3196">
        <f>L3194/10</f>
        <v>55.76</v>
      </c>
      <c r="M3196" s="142"/>
      <c r="N3196" s="143"/>
      <c r="O3196" s="151" t="s">
        <v>3473</v>
      </c>
      <c r="P3196" s="146" t="s">
        <v>2130</v>
      </c>
      <c r="Q3196" s="512">
        <v>7.8750000000000001E-3</v>
      </c>
      <c r="R3196" s="162"/>
    </row>
    <row r="3197" spans="6:24" ht="24" customHeight="1">
      <c r="J3197" s="4"/>
      <c r="K3197" s="5" t="s">
        <v>2130</v>
      </c>
      <c r="M3197" s="142"/>
      <c r="N3197" s="143"/>
      <c r="O3197" s="142"/>
      <c r="P3197" s="142"/>
      <c r="Q3197" s="152" t="s">
        <v>1667</v>
      </c>
      <c r="T3197" s="38" t="s">
        <v>688</v>
      </c>
    </row>
    <row r="3198" spans="6:24" ht="30" customHeight="1">
      <c r="G3198" s="38" t="s">
        <v>1963</v>
      </c>
      <c r="J3198"/>
      <c r="M3198" s="142"/>
      <c r="N3198" s="143"/>
      <c r="O3198" s="142"/>
      <c r="P3198" s="142"/>
      <c r="Q3198" s="513">
        <v>2.5590000000000002E-2</v>
      </c>
      <c r="R3198" t="s">
        <v>2226</v>
      </c>
      <c r="T3198" s="38" t="s">
        <v>1964</v>
      </c>
    </row>
    <row r="3199" spans="6:24" ht="30" customHeight="1">
      <c r="G3199" s="38" t="s">
        <v>1964</v>
      </c>
      <c r="J3199"/>
      <c r="M3199" s="142"/>
      <c r="N3199" s="143"/>
      <c r="O3199" s="142"/>
      <c r="P3199" s="142"/>
      <c r="Q3199" s="152" t="s">
        <v>1667</v>
      </c>
      <c r="T3199" s="78" t="s">
        <v>884</v>
      </c>
      <c r="U3199" s="38" t="s">
        <v>3311</v>
      </c>
      <c r="V3199" s="38">
        <f>P3205</f>
        <v>102600</v>
      </c>
      <c r="W3199" s="104" t="s">
        <v>884</v>
      </c>
      <c r="X3199" s="38">
        <f t="shared" ref="X3199:X3210" si="204">V3199*S3200</f>
        <v>6463.8</v>
      </c>
    </row>
    <row r="3200" spans="6:24" ht="30" customHeight="1">
      <c r="G3200"/>
      <c r="J3200"/>
      <c r="M3200" s="142"/>
      <c r="N3200" s="143"/>
      <c r="O3200" s="151" t="s">
        <v>3478</v>
      </c>
      <c r="P3200" s="142"/>
      <c r="Q3200" s="514">
        <v>0.58750000000000002</v>
      </c>
      <c r="R3200" s="162"/>
      <c r="S3200" s="611">
        <v>6.3E-2</v>
      </c>
      <c r="T3200" s="78" t="s">
        <v>884</v>
      </c>
      <c r="U3200" s="38" t="s">
        <v>2571</v>
      </c>
      <c r="V3200" s="38">
        <f>I3201</f>
        <v>91300</v>
      </c>
      <c r="W3200" s="104" t="s">
        <v>884</v>
      </c>
      <c r="X3200" s="38">
        <f t="shared" si="204"/>
        <v>4382.3999999999996</v>
      </c>
    </row>
    <row r="3201" spans="6:24" ht="30" customHeight="1">
      <c r="F3201" s="594">
        <v>0.10299999999999999</v>
      </c>
      <c r="G3201" s="78" t="s">
        <v>884</v>
      </c>
      <c r="H3201" s="38" t="s">
        <v>2571</v>
      </c>
      <c r="I3201" s="38">
        <f>I1055</f>
        <v>91300</v>
      </c>
      <c r="J3201" s="104" t="s">
        <v>884</v>
      </c>
      <c r="K3201" s="38">
        <f>I3201*F3201</f>
        <v>9403.9</v>
      </c>
      <c r="M3201" s="142"/>
      <c r="N3201" s="143"/>
      <c r="O3201" s="151" t="s">
        <v>3479</v>
      </c>
      <c r="P3201" s="142"/>
      <c r="Q3201" s="515">
        <v>0.28129999999999999</v>
      </c>
      <c r="R3201" s="162"/>
      <c r="S3201" s="611">
        <v>4.8000000000000001E-2</v>
      </c>
      <c r="T3201" s="78" t="s">
        <v>611</v>
      </c>
      <c r="U3201" s="38" t="s">
        <v>1965</v>
      </c>
      <c r="V3201" s="38">
        <f t="shared" ref="V3201:V3210" si="205">I3202</f>
        <v>2152</v>
      </c>
      <c r="W3201" s="104" t="s">
        <v>2371</v>
      </c>
      <c r="X3201" s="38">
        <f t="shared" si="204"/>
        <v>3314.08</v>
      </c>
    </row>
    <row r="3202" spans="6:24" ht="30" customHeight="1">
      <c r="F3202" s="594">
        <v>1.32</v>
      </c>
      <c r="G3202" s="78" t="s">
        <v>611</v>
      </c>
      <c r="H3202" s="38" t="s">
        <v>1965</v>
      </c>
      <c r="I3202" s="38">
        <v>2152</v>
      </c>
      <c r="J3202" s="104" t="s">
        <v>2371</v>
      </c>
      <c r="K3202" s="38">
        <f t="shared" ref="K3202:K3211" si="206">I3202*F3202</f>
        <v>2840.64</v>
      </c>
      <c r="M3202" s="142"/>
      <c r="N3202" s="143"/>
      <c r="O3202" s="151"/>
      <c r="P3202" s="142"/>
      <c r="Q3202" s="152" t="s">
        <v>1667</v>
      </c>
      <c r="R3202" s="162"/>
      <c r="S3202" s="611">
        <v>1.54</v>
      </c>
      <c r="T3202" s="78" t="s">
        <v>884</v>
      </c>
      <c r="U3202" s="597" t="s">
        <v>952</v>
      </c>
      <c r="V3202" s="38">
        <f t="shared" si="205"/>
        <v>87300</v>
      </c>
      <c r="W3202" s="104" t="s">
        <v>884</v>
      </c>
      <c r="X3202" s="38">
        <f t="shared" si="204"/>
        <v>3404.7</v>
      </c>
    </row>
    <row r="3203" spans="6:24" ht="30" customHeight="1">
      <c r="F3203" s="595">
        <v>3.3000000000000002E-2</v>
      </c>
      <c r="G3203" s="78" t="s">
        <v>884</v>
      </c>
      <c r="H3203" s="597" t="s">
        <v>952</v>
      </c>
      <c r="I3203" s="38">
        <f>AA28</f>
        <v>87300</v>
      </c>
      <c r="J3203" s="104" t="s">
        <v>884</v>
      </c>
      <c r="K3203" s="38">
        <f t="shared" si="206"/>
        <v>2880.9</v>
      </c>
      <c r="M3203" s="142"/>
      <c r="N3203" s="143"/>
      <c r="O3203" s="151"/>
      <c r="P3203" s="142"/>
      <c r="Q3203" s="515">
        <v>0.86880000000000002</v>
      </c>
      <c r="R3203" s="148" t="s">
        <v>2371</v>
      </c>
      <c r="S3203" s="611">
        <v>3.9E-2</v>
      </c>
      <c r="T3203" s="78" t="s">
        <v>611</v>
      </c>
      <c r="U3203" s="597" t="s">
        <v>898</v>
      </c>
      <c r="V3203" s="38">
        <f t="shared" si="205"/>
        <v>666.75</v>
      </c>
      <c r="W3203" s="104" t="s">
        <v>611</v>
      </c>
      <c r="X3203" s="38">
        <f t="shared" si="204"/>
        <v>2325.62</v>
      </c>
    </row>
    <row r="3204" spans="6:24" ht="30" customHeight="1">
      <c r="F3204" s="595">
        <v>3.0225</v>
      </c>
      <c r="G3204" s="78" t="s">
        <v>611</v>
      </c>
      <c r="H3204" s="597" t="s">
        <v>898</v>
      </c>
      <c r="I3204" s="38">
        <f>AC30</f>
        <v>666.75</v>
      </c>
      <c r="J3204" s="104" t="s">
        <v>611</v>
      </c>
      <c r="K3204" s="38">
        <f t="shared" si="206"/>
        <v>2015.25</v>
      </c>
      <c r="M3204" s="142"/>
      <c r="N3204" s="143"/>
      <c r="O3204" s="142"/>
      <c r="P3204" s="142"/>
      <c r="Q3204" s="152" t="s">
        <v>1667</v>
      </c>
      <c r="R3204" s="152"/>
      <c r="S3204" s="611">
        <v>3.488</v>
      </c>
      <c r="T3204" s="78" t="s">
        <v>1950</v>
      </c>
      <c r="U3204" s="38" t="s">
        <v>1966</v>
      </c>
      <c r="V3204" s="38">
        <f t="shared" si="205"/>
        <v>79</v>
      </c>
      <c r="W3204" s="104" t="s">
        <v>1458</v>
      </c>
      <c r="X3204" s="38">
        <f t="shared" si="204"/>
        <v>474</v>
      </c>
    </row>
    <row r="3205" spans="6:24" ht="30" customHeight="1">
      <c r="F3205" s="38">
        <v>6</v>
      </c>
      <c r="G3205" s="78" t="s">
        <v>1950</v>
      </c>
      <c r="H3205" s="38" t="s">
        <v>1966</v>
      </c>
      <c r="I3205" s="38">
        <v>79</v>
      </c>
      <c r="J3205" s="104" t="s">
        <v>1458</v>
      </c>
      <c r="K3205" s="38">
        <f t="shared" si="206"/>
        <v>474</v>
      </c>
      <c r="M3205" s="162">
        <v>5.1999999999999998E-2</v>
      </c>
      <c r="N3205" s="150" t="s">
        <v>884</v>
      </c>
      <c r="O3205" s="151" t="s">
        <v>313</v>
      </c>
      <c r="P3205" s="153">
        <f>P3102</f>
        <v>102600</v>
      </c>
      <c r="Q3205" s="149" t="s">
        <v>884</v>
      </c>
      <c r="R3205" s="153">
        <f>P3205*M3205</f>
        <v>5335.2</v>
      </c>
      <c r="S3205" s="611">
        <v>6</v>
      </c>
      <c r="T3205" s="78" t="s">
        <v>1950</v>
      </c>
      <c r="U3205" s="38" t="s">
        <v>1967</v>
      </c>
      <c r="V3205" s="38">
        <f t="shared" si="205"/>
        <v>260</v>
      </c>
      <c r="W3205" s="104" t="s">
        <v>1458</v>
      </c>
      <c r="X3205" s="38">
        <f t="shared" si="204"/>
        <v>260</v>
      </c>
    </row>
    <row r="3206" spans="6:24" ht="30" customHeight="1">
      <c r="F3206" s="38">
        <v>1</v>
      </c>
      <c r="G3206" s="78" t="s">
        <v>1950</v>
      </c>
      <c r="H3206" s="38" t="s">
        <v>1967</v>
      </c>
      <c r="I3206" s="38">
        <v>260</v>
      </c>
      <c r="J3206" s="104" t="s">
        <v>1458</v>
      </c>
      <c r="K3206" s="38">
        <f t="shared" si="206"/>
        <v>260</v>
      </c>
      <c r="M3206" s="162">
        <v>2.5590000000000002E-2</v>
      </c>
      <c r="N3206" s="150" t="s">
        <v>884</v>
      </c>
      <c r="O3206" s="151" t="s">
        <v>314</v>
      </c>
      <c r="P3206" s="153">
        <f>P3103</f>
        <v>91300</v>
      </c>
      <c r="Q3206" s="149" t="s">
        <v>884</v>
      </c>
      <c r="R3206" s="153">
        <f t="shared" ref="R3206:R3214" si="207">P3206*M3206</f>
        <v>2336.37</v>
      </c>
      <c r="S3206" s="611">
        <v>1</v>
      </c>
      <c r="T3206" s="78" t="s">
        <v>1950</v>
      </c>
      <c r="U3206" s="38" t="s">
        <v>1968</v>
      </c>
      <c r="V3206" s="38">
        <f t="shared" si="205"/>
        <v>130</v>
      </c>
      <c r="W3206" s="104" t="s">
        <v>1458</v>
      </c>
      <c r="X3206" s="38">
        <f t="shared" si="204"/>
        <v>260</v>
      </c>
    </row>
    <row r="3207" spans="6:24" ht="30" customHeight="1">
      <c r="F3207" s="38">
        <v>2</v>
      </c>
      <c r="G3207" s="78" t="s">
        <v>1950</v>
      </c>
      <c r="H3207" s="38" t="s">
        <v>1968</v>
      </c>
      <c r="I3207" s="38">
        <v>130</v>
      </c>
      <c r="J3207" s="104" t="s">
        <v>1458</v>
      </c>
      <c r="K3207" s="38">
        <f t="shared" si="206"/>
        <v>260</v>
      </c>
      <c r="M3207" s="153">
        <v>0.87</v>
      </c>
      <c r="N3207" s="150" t="s">
        <v>611</v>
      </c>
      <c r="O3207" s="1" t="s">
        <v>2163</v>
      </c>
      <c r="P3207" s="153">
        <f>C752</f>
        <v>387.5</v>
      </c>
      <c r="Q3207" s="149" t="s">
        <v>884</v>
      </c>
      <c r="R3207" s="153">
        <f t="shared" si="207"/>
        <v>337.13</v>
      </c>
      <c r="S3207" s="611">
        <v>2</v>
      </c>
      <c r="T3207" s="78" t="s">
        <v>1950</v>
      </c>
      <c r="U3207" s="38" t="s">
        <v>1969</v>
      </c>
      <c r="V3207" s="38">
        <f t="shared" si="205"/>
        <v>165</v>
      </c>
      <c r="W3207" s="104" t="s">
        <v>1458</v>
      </c>
      <c r="X3207" s="38">
        <f t="shared" si="204"/>
        <v>330</v>
      </c>
    </row>
    <row r="3208" spans="6:24" ht="30" customHeight="1">
      <c r="F3208" s="38">
        <v>2</v>
      </c>
      <c r="G3208" s="78" t="s">
        <v>1950</v>
      </c>
      <c r="H3208" s="38" t="s">
        <v>1969</v>
      </c>
      <c r="I3208" s="38">
        <v>165</v>
      </c>
      <c r="J3208" s="104" t="s">
        <v>1458</v>
      </c>
      <c r="K3208" s="38">
        <f t="shared" si="206"/>
        <v>330</v>
      </c>
      <c r="M3208" s="164">
        <v>2.4279999999999999</v>
      </c>
      <c r="N3208" s="150" t="s">
        <v>611</v>
      </c>
      <c r="O3208" s="151" t="s">
        <v>446</v>
      </c>
      <c r="P3208" s="153">
        <f>D30</f>
        <v>554.4</v>
      </c>
      <c r="Q3208" s="149" t="s">
        <v>611</v>
      </c>
      <c r="R3208" s="153">
        <f t="shared" si="207"/>
        <v>1346.08</v>
      </c>
      <c r="S3208" s="611">
        <v>2</v>
      </c>
      <c r="T3208" s="78" t="s">
        <v>1950</v>
      </c>
      <c r="U3208" s="38" t="s">
        <v>1970</v>
      </c>
      <c r="V3208" s="38">
        <f t="shared" si="205"/>
        <v>985</v>
      </c>
      <c r="W3208" s="104" t="s">
        <v>1458</v>
      </c>
      <c r="X3208" s="38">
        <f t="shared" si="204"/>
        <v>985</v>
      </c>
    </row>
    <row r="3209" spans="6:24" ht="30" customHeight="1">
      <c r="F3209" s="38">
        <v>1</v>
      </c>
      <c r="G3209" s="78" t="s">
        <v>1950</v>
      </c>
      <c r="H3209" s="38" t="s">
        <v>1970</v>
      </c>
      <c r="I3209" s="38">
        <v>985</v>
      </c>
      <c r="J3209" s="104" t="s">
        <v>1458</v>
      </c>
      <c r="K3209" s="38">
        <f t="shared" si="206"/>
        <v>985</v>
      </c>
      <c r="M3209" s="153">
        <v>4</v>
      </c>
      <c r="N3209" s="150" t="s">
        <v>781</v>
      </c>
      <c r="O3209" s="151" t="s">
        <v>3458</v>
      </c>
      <c r="P3209" s="153">
        <f t="shared" ref="P3209:P3214" si="208">P3142</f>
        <v>50.6</v>
      </c>
      <c r="Q3209" s="149" t="s">
        <v>883</v>
      </c>
      <c r="R3209" s="153">
        <f t="shared" si="207"/>
        <v>202.4</v>
      </c>
      <c r="S3209" s="611">
        <v>1</v>
      </c>
      <c r="T3209" s="78" t="s">
        <v>1950</v>
      </c>
      <c r="U3209" s="38" t="s">
        <v>1971</v>
      </c>
      <c r="V3209" s="38">
        <f t="shared" si="205"/>
        <v>450</v>
      </c>
      <c r="W3209" s="104" t="s">
        <v>1458</v>
      </c>
      <c r="X3209" s="38">
        <f t="shared" si="204"/>
        <v>900</v>
      </c>
    </row>
    <row r="3210" spans="6:24" ht="30" customHeight="1">
      <c r="F3210" s="38">
        <v>2</v>
      </c>
      <c r="G3210" s="78" t="s">
        <v>1950</v>
      </c>
      <c r="H3210" s="38" t="s">
        <v>1971</v>
      </c>
      <c r="I3210" s="38">
        <v>450</v>
      </c>
      <c r="J3210" s="104" t="s">
        <v>1458</v>
      </c>
      <c r="K3210" s="38">
        <f t="shared" si="206"/>
        <v>900</v>
      </c>
      <c r="M3210" s="153">
        <v>8</v>
      </c>
      <c r="N3210" s="150" t="s">
        <v>883</v>
      </c>
      <c r="O3210" s="151" t="s">
        <v>1527</v>
      </c>
      <c r="P3210" s="153">
        <f t="shared" si="208"/>
        <v>69.849999999999994</v>
      </c>
      <c r="Q3210" s="149" t="s">
        <v>883</v>
      </c>
      <c r="R3210" s="153">
        <f t="shared" si="207"/>
        <v>558.79999999999995</v>
      </c>
      <c r="S3210" s="611">
        <v>2</v>
      </c>
      <c r="T3210" s="78" t="s">
        <v>1492</v>
      </c>
      <c r="U3210" s="38" t="s">
        <v>687</v>
      </c>
      <c r="V3210" s="38">
        <f t="shared" si="205"/>
        <v>2.1</v>
      </c>
      <c r="W3210" s="104" t="s">
        <v>1458</v>
      </c>
      <c r="X3210" s="596">
        <f t="shared" si="204"/>
        <v>0</v>
      </c>
    </row>
    <row r="3211" spans="6:24" ht="30" customHeight="1">
      <c r="F3211" s="38">
        <v>0</v>
      </c>
      <c r="G3211" s="78" t="s">
        <v>1492</v>
      </c>
      <c r="H3211" s="38" t="s">
        <v>687</v>
      </c>
      <c r="I3211" s="38">
        <v>2.1</v>
      </c>
      <c r="J3211" s="104" t="s">
        <v>1458</v>
      </c>
      <c r="K3211" s="596">
        <f t="shared" si="206"/>
        <v>0</v>
      </c>
      <c r="M3211" s="153">
        <v>4</v>
      </c>
      <c r="N3211" s="150" t="s">
        <v>883</v>
      </c>
      <c r="O3211" s="151" t="s">
        <v>3459</v>
      </c>
      <c r="P3211" s="153">
        <f t="shared" si="208"/>
        <v>69.3</v>
      </c>
      <c r="Q3211" s="149" t="s">
        <v>883</v>
      </c>
      <c r="R3211" s="153">
        <f t="shared" si="207"/>
        <v>277.2</v>
      </c>
      <c r="S3211" s="611">
        <v>0</v>
      </c>
      <c r="T3211" s="78"/>
      <c r="U3211" s="38" t="s">
        <v>1972</v>
      </c>
      <c r="V3211" s="38"/>
      <c r="W3211" s="104"/>
      <c r="X3211" s="38">
        <f>SUM(X3199:X3210)</f>
        <v>23099.599999999999</v>
      </c>
    </row>
    <row r="3212" spans="6:24" ht="30" customHeight="1">
      <c r="F3212" s="38"/>
      <c r="G3212" s="78"/>
      <c r="H3212" s="38" t="s">
        <v>1972</v>
      </c>
      <c r="I3212" s="38"/>
      <c r="J3212" s="104"/>
      <c r="K3212" s="38">
        <f>SUM(K3201:K3211)</f>
        <v>20349.689999999999</v>
      </c>
      <c r="M3212" s="153">
        <v>1</v>
      </c>
      <c r="N3212" s="150" t="s">
        <v>883</v>
      </c>
      <c r="O3212" s="151" t="s">
        <v>3460</v>
      </c>
      <c r="P3212" s="153">
        <f t="shared" si="208"/>
        <v>159.5</v>
      </c>
      <c r="Q3212" s="149" t="s">
        <v>883</v>
      </c>
      <c r="R3212" s="153">
        <f t="shared" si="207"/>
        <v>159.5</v>
      </c>
      <c r="S3212" s="611"/>
      <c r="T3212" s="78"/>
      <c r="U3212" s="38"/>
      <c r="V3212" s="38"/>
      <c r="W3212" s="104"/>
      <c r="X3212" s="596" t="s">
        <v>152</v>
      </c>
    </row>
    <row r="3213" spans="6:24" ht="30" customHeight="1">
      <c r="F3213" s="38"/>
      <c r="G3213" s="78"/>
      <c r="H3213" s="38"/>
      <c r="I3213" s="38"/>
      <c r="J3213" s="104"/>
      <c r="K3213" s="596" t="s">
        <v>152</v>
      </c>
      <c r="M3213" s="153">
        <v>2</v>
      </c>
      <c r="N3213" s="150" t="s">
        <v>883</v>
      </c>
      <c r="O3213" s="151" t="s">
        <v>3461</v>
      </c>
      <c r="P3213" s="153">
        <f t="shared" si="208"/>
        <v>21</v>
      </c>
      <c r="Q3213" s="149" t="s">
        <v>883</v>
      </c>
      <c r="R3213" s="153">
        <f t="shared" si="207"/>
        <v>42</v>
      </c>
      <c r="S3213" s="611"/>
      <c r="T3213" s="78"/>
      <c r="U3213" s="38" t="s">
        <v>1973</v>
      </c>
      <c r="V3213" s="38"/>
      <c r="W3213" s="104"/>
      <c r="X3213" s="38">
        <f>X3211/S3204</f>
        <v>6622.59</v>
      </c>
    </row>
    <row r="3214" spans="6:24" ht="30" customHeight="1">
      <c r="F3214" s="38"/>
      <c r="G3214" s="78"/>
      <c r="H3214" s="38" t="s">
        <v>1973</v>
      </c>
      <c r="I3214" s="38"/>
      <c r="J3214" s="104"/>
      <c r="K3214" s="38">
        <f>K3212/F3204</f>
        <v>6732.73</v>
      </c>
      <c r="M3214" s="153">
        <v>2</v>
      </c>
      <c r="N3214" s="150" t="s">
        <v>883</v>
      </c>
      <c r="O3214" s="151" t="s">
        <v>3462</v>
      </c>
      <c r="P3214" s="153">
        <f t="shared" si="208"/>
        <v>44.4</v>
      </c>
      <c r="Q3214" s="149" t="s">
        <v>883</v>
      </c>
      <c r="R3214" s="153">
        <f t="shared" si="207"/>
        <v>88.8</v>
      </c>
      <c r="S3214" s="611"/>
      <c r="T3214" s="78"/>
      <c r="U3214" s="38"/>
      <c r="V3214" s="38"/>
      <c r="W3214" s="104"/>
      <c r="X3214" s="596" t="s">
        <v>152</v>
      </c>
    </row>
    <row r="3215" spans="6:24" ht="30" customHeight="1">
      <c r="F3215" s="38"/>
      <c r="G3215" s="78"/>
      <c r="H3215" s="38"/>
      <c r="I3215" s="38"/>
      <c r="J3215" s="104"/>
      <c r="K3215" s="596" t="s">
        <v>152</v>
      </c>
      <c r="M3215" s="142"/>
      <c r="N3215" s="143"/>
      <c r="O3215" s="142" t="s">
        <v>1395</v>
      </c>
      <c r="P3215" s="142"/>
      <c r="Q3215" s="145"/>
      <c r="R3215" s="517">
        <v>21.45</v>
      </c>
      <c r="S3215" s="611"/>
    </row>
    <row r="3216" spans="6:24" ht="24" customHeight="1">
      <c r="G3216"/>
      <c r="J3216"/>
      <c r="M3216" s="142"/>
      <c r="N3216" s="143"/>
      <c r="O3216" s="142"/>
      <c r="P3216" s="142"/>
      <c r="Q3216" s="145"/>
      <c r="R3216" s="152" t="s">
        <v>1667</v>
      </c>
    </row>
    <row r="3217" spans="6:18" ht="24" customHeight="1">
      <c r="G3217"/>
      <c r="J3217"/>
      <c r="M3217" s="142"/>
      <c r="N3217" s="143"/>
      <c r="O3217" s="151" t="s">
        <v>3477</v>
      </c>
      <c r="P3217" s="142"/>
      <c r="Q3217" s="145"/>
      <c r="R3217" s="153">
        <f>SUM(R3205:R3215)</f>
        <v>10704.93</v>
      </c>
    </row>
    <row r="3218" spans="6:18" ht="24" customHeight="1">
      <c r="G3218" s="7" t="s">
        <v>321</v>
      </c>
      <c r="H3218" s="2" t="s">
        <v>1826</v>
      </c>
      <c r="M3218" s="142"/>
      <c r="N3218" s="143"/>
      <c r="O3218" s="142"/>
      <c r="P3218" s="142"/>
      <c r="Q3218" s="145"/>
      <c r="R3218" s="152" t="s">
        <v>1667</v>
      </c>
    </row>
    <row r="3219" spans="6:18" ht="24" customHeight="1">
      <c r="H3219" s="2" t="s">
        <v>1864</v>
      </c>
      <c r="M3219" s="142"/>
      <c r="N3219" s="143"/>
      <c r="O3219" s="139" t="s">
        <v>555</v>
      </c>
      <c r="P3219" s="142"/>
      <c r="Q3219" s="147" t="s">
        <v>732</v>
      </c>
      <c r="R3219" s="140">
        <f>R3217/M3208</f>
        <v>4408.95</v>
      </c>
    </row>
    <row r="3220" spans="6:18" ht="24" customHeight="1">
      <c r="F3220" s="16">
        <v>6.5000000000000002E-2</v>
      </c>
      <c r="G3220" s="7" t="s">
        <v>884</v>
      </c>
      <c r="H3220" s="1" t="s">
        <v>2146</v>
      </c>
      <c r="I3220" s="8">
        <f>I812</f>
        <v>5426.25</v>
      </c>
      <c r="J3220" s="1" t="s">
        <v>884</v>
      </c>
      <c r="K3220" s="8">
        <f>I3220*F3220</f>
        <v>352.71</v>
      </c>
      <c r="M3220" s="149"/>
      <c r="N3220" s="150" t="s">
        <v>2338</v>
      </c>
      <c r="O3220" s="151" t="s">
        <v>2486</v>
      </c>
      <c r="P3220" s="142"/>
      <c r="Q3220" s="145"/>
      <c r="R3220" s="142"/>
    </row>
    <row r="3221" spans="6:18" ht="24" customHeight="1">
      <c r="F3221" s="592">
        <v>8.4499999999999993</v>
      </c>
      <c r="G3221" s="7" t="s">
        <v>1730</v>
      </c>
      <c r="H3221" s="1" t="s">
        <v>2147</v>
      </c>
      <c r="I3221" s="8">
        <f t="shared" ref="I3221:I3231" si="209">I813</f>
        <v>62475.9</v>
      </c>
      <c r="J3221" s="1" t="s">
        <v>876</v>
      </c>
      <c r="K3221" s="8">
        <f>I3221*F3221/1000</f>
        <v>527.91999999999996</v>
      </c>
      <c r="M3221" s="142"/>
      <c r="N3221" s="143"/>
      <c r="O3221" s="151" t="s">
        <v>254</v>
      </c>
      <c r="P3221" s="142"/>
      <c r="Q3221" s="145"/>
      <c r="R3221" s="142"/>
    </row>
    <row r="3222" spans="6:18" ht="24" customHeight="1">
      <c r="F3222" s="8">
        <v>3</v>
      </c>
      <c r="G3222" s="7" t="s">
        <v>883</v>
      </c>
      <c r="H3222" s="1" t="s">
        <v>1235</v>
      </c>
      <c r="I3222" s="8">
        <f t="shared" si="209"/>
        <v>15</v>
      </c>
      <c r="J3222" s="1" t="s">
        <v>883</v>
      </c>
      <c r="K3222" s="8">
        <f t="shared" ref="K3222:K3229" si="210">I3222*F3222</f>
        <v>45</v>
      </c>
      <c r="M3222" s="142"/>
      <c r="N3222" s="143"/>
      <c r="O3222" s="507" t="s">
        <v>2964</v>
      </c>
      <c r="P3222" s="142"/>
      <c r="Q3222" s="145"/>
      <c r="R3222" s="142"/>
    </row>
    <row r="3223" spans="6:18" ht="24" customHeight="1">
      <c r="F3223" s="8">
        <v>12</v>
      </c>
      <c r="G3223" s="7" t="s">
        <v>883</v>
      </c>
      <c r="H3223" s="1" t="s">
        <v>1236</v>
      </c>
      <c r="I3223" s="8">
        <f t="shared" si="209"/>
        <v>2</v>
      </c>
      <c r="J3223" s="1" t="s">
        <v>883</v>
      </c>
      <c r="K3223" s="8">
        <f t="shared" si="210"/>
        <v>24</v>
      </c>
      <c r="M3223" s="142"/>
      <c r="N3223" s="143"/>
      <c r="O3223" s="152" t="s">
        <v>1667</v>
      </c>
      <c r="P3223" s="142"/>
      <c r="Q3223" s="145"/>
      <c r="R3223" s="142"/>
    </row>
    <row r="3224" spans="6:18" ht="24" customHeight="1">
      <c r="F3224" s="8">
        <v>2</v>
      </c>
      <c r="G3224" s="7" t="s">
        <v>883</v>
      </c>
      <c r="H3224" s="1" t="s">
        <v>1237</v>
      </c>
      <c r="I3224" s="8">
        <f t="shared" si="209"/>
        <v>5</v>
      </c>
      <c r="J3224" s="1" t="s">
        <v>883</v>
      </c>
      <c r="K3224" s="8">
        <f t="shared" si="210"/>
        <v>10</v>
      </c>
      <c r="M3224" s="142"/>
      <c r="N3224" s="143"/>
      <c r="O3224" s="151" t="s">
        <v>3452</v>
      </c>
      <c r="P3224" s="146" t="s">
        <v>2130</v>
      </c>
      <c r="Q3224" s="508">
        <v>3.1219999999999999</v>
      </c>
      <c r="R3224" s="166" t="s">
        <v>2371</v>
      </c>
    </row>
    <row r="3225" spans="6:18" ht="24" customHeight="1">
      <c r="F3225" s="8">
        <v>6</v>
      </c>
      <c r="G3225" s="7" t="s">
        <v>883</v>
      </c>
      <c r="H3225" s="1" t="s">
        <v>2300</v>
      </c>
      <c r="I3225" s="8">
        <f t="shared" si="209"/>
        <v>4.5</v>
      </c>
      <c r="J3225" s="1" t="s">
        <v>883</v>
      </c>
      <c r="K3225" s="8">
        <f t="shared" si="210"/>
        <v>27</v>
      </c>
      <c r="M3225" s="142"/>
      <c r="N3225" s="143"/>
      <c r="O3225" s="151"/>
      <c r="P3225" s="146"/>
      <c r="Q3225" s="508"/>
      <c r="R3225" s="166"/>
    </row>
    <row r="3226" spans="6:18" ht="24" customHeight="1">
      <c r="F3226" s="8">
        <v>1</v>
      </c>
      <c r="G3226" s="7" t="s">
        <v>883</v>
      </c>
      <c r="H3226" s="1" t="s">
        <v>1241</v>
      </c>
      <c r="I3226" s="8">
        <f t="shared" si="209"/>
        <v>430.5</v>
      </c>
      <c r="J3226" s="1" t="s">
        <v>883</v>
      </c>
      <c r="K3226" s="8">
        <f t="shared" si="210"/>
        <v>430.5</v>
      </c>
      <c r="M3226" s="142"/>
      <c r="N3226" s="143"/>
      <c r="O3226" s="151" t="s">
        <v>2966</v>
      </c>
      <c r="P3226" s="146" t="s">
        <v>2130</v>
      </c>
      <c r="Q3226" s="509">
        <v>5.1999999999999998E-2</v>
      </c>
      <c r="R3226" s="166" t="s">
        <v>2226</v>
      </c>
    </row>
    <row r="3227" spans="6:18" ht="24" customHeight="1">
      <c r="F3227" s="8">
        <v>1</v>
      </c>
      <c r="G3227" s="7" t="s">
        <v>883</v>
      </c>
      <c r="H3227" s="1" t="s">
        <v>1242</v>
      </c>
      <c r="I3227" s="8">
        <f t="shared" si="209"/>
        <v>269.85000000000002</v>
      </c>
      <c r="J3227" s="1" t="s">
        <v>883</v>
      </c>
      <c r="K3227" s="8">
        <f t="shared" si="210"/>
        <v>269.85000000000002</v>
      </c>
      <c r="M3227" s="142"/>
      <c r="N3227" s="143"/>
      <c r="O3227" s="151" t="s">
        <v>3453</v>
      </c>
      <c r="Q3227" s="510"/>
      <c r="R3227" s="166"/>
    </row>
    <row r="3228" spans="6:18" ht="24" customHeight="1">
      <c r="F3228" s="8">
        <v>1</v>
      </c>
      <c r="G3228" s="7" t="s">
        <v>883</v>
      </c>
      <c r="H3228" s="1" t="s">
        <v>1243</v>
      </c>
      <c r="I3228" s="8">
        <f t="shared" si="209"/>
        <v>25</v>
      </c>
      <c r="J3228" s="1" t="s">
        <v>883</v>
      </c>
      <c r="K3228" s="8">
        <f t="shared" si="210"/>
        <v>25</v>
      </c>
      <c r="M3228" s="142"/>
      <c r="N3228" s="143"/>
      <c r="O3228" s="151" t="s">
        <v>3454</v>
      </c>
      <c r="P3228" s="146" t="s">
        <v>2130</v>
      </c>
      <c r="Q3228" s="511">
        <v>2.2780000000000002E-2</v>
      </c>
      <c r="R3228" s="166"/>
    </row>
    <row r="3229" spans="6:18" ht="24" customHeight="1">
      <c r="F3229" s="8">
        <v>0.5</v>
      </c>
      <c r="G3229" s="7" t="s">
        <v>883</v>
      </c>
      <c r="H3229" s="1" t="s">
        <v>1244</v>
      </c>
      <c r="I3229" s="8">
        <f t="shared" si="209"/>
        <v>243.6</v>
      </c>
      <c r="J3229" s="1" t="s">
        <v>883</v>
      </c>
      <c r="K3229" s="8">
        <f t="shared" si="210"/>
        <v>121.8</v>
      </c>
      <c r="M3229" s="142"/>
      <c r="N3229" s="143"/>
      <c r="O3229" s="151" t="s">
        <v>2965</v>
      </c>
      <c r="P3229" s="146" t="s">
        <v>2130</v>
      </c>
      <c r="Q3229" s="512">
        <v>1.0125E-2</v>
      </c>
      <c r="R3229" s="167"/>
    </row>
    <row r="3230" spans="6:18" ht="24" customHeight="1">
      <c r="G3230" s="7" t="s">
        <v>448</v>
      </c>
      <c r="H3230" s="1" t="s">
        <v>2213</v>
      </c>
      <c r="I3230" s="8">
        <f t="shared" si="209"/>
        <v>0</v>
      </c>
      <c r="J3230" s="1" t="s">
        <v>448</v>
      </c>
      <c r="K3230" s="8">
        <v>2.1</v>
      </c>
      <c r="M3230" s="142"/>
      <c r="N3230" s="143"/>
      <c r="O3230" s="142"/>
      <c r="P3230" s="142"/>
      <c r="Q3230" s="518" t="s">
        <v>3235</v>
      </c>
      <c r="R3230" s="11"/>
    </row>
    <row r="3231" spans="6:18" ht="24" customHeight="1">
      <c r="I3231" s="8">
        <f t="shared" si="209"/>
        <v>0</v>
      </c>
      <c r="K3231" s="5" t="s">
        <v>1667</v>
      </c>
      <c r="M3231" s="142"/>
      <c r="N3231" s="143"/>
      <c r="O3231" s="142"/>
      <c r="P3231" s="142"/>
      <c r="Q3231" s="513">
        <v>3.2910000000000002E-2</v>
      </c>
      <c r="R3231" s="11" t="s">
        <v>2226</v>
      </c>
    </row>
    <row r="3232" spans="6:18" ht="24" customHeight="1">
      <c r="H3232" s="64" t="s">
        <v>286</v>
      </c>
      <c r="K3232" s="593">
        <f>SUM(K3220:K3231)</f>
        <v>1835.88</v>
      </c>
      <c r="M3232" s="142"/>
      <c r="N3232" s="143"/>
      <c r="O3232" s="142"/>
      <c r="P3232" s="142"/>
      <c r="Q3232" s="518" t="s">
        <v>3235</v>
      </c>
      <c r="R3232" s="11"/>
    </row>
    <row r="3233" spans="6:18" ht="24" customHeight="1">
      <c r="K3233" s="5" t="s">
        <v>1667</v>
      </c>
      <c r="M3233" s="142"/>
      <c r="N3233" s="143"/>
      <c r="O3233" s="151" t="s">
        <v>3466</v>
      </c>
      <c r="P3233" s="142"/>
      <c r="Q3233" s="201">
        <v>0.94</v>
      </c>
      <c r="R3233" s="167" t="s">
        <v>2371</v>
      </c>
    </row>
    <row r="3234" spans="6:18" ht="24" customHeight="1">
      <c r="G3234"/>
      <c r="J3234"/>
      <c r="M3234" s="142"/>
      <c r="N3234" s="143"/>
      <c r="O3234" s="151" t="s">
        <v>3481</v>
      </c>
      <c r="P3234" s="142"/>
      <c r="Q3234" s="516">
        <v>0.45</v>
      </c>
      <c r="R3234" s="167" t="s">
        <v>2226</v>
      </c>
    </row>
    <row r="3235" spans="6:18" ht="24" customHeight="1">
      <c r="G3235"/>
      <c r="J3235"/>
      <c r="M3235" s="142"/>
      <c r="N3235" s="143"/>
      <c r="O3235" s="151" t="s">
        <v>3468</v>
      </c>
      <c r="P3235" s="142"/>
      <c r="Q3235" s="516">
        <v>7.9</v>
      </c>
      <c r="R3235" s="167" t="s">
        <v>840</v>
      </c>
    </row>
    <row r="3236" spans="6:18" ht="24" customHeight="1">
      <c r="G3236" s="38" t="s">
        <v>1827</v>
      </c>
      <c r="J3236"/>
      <c r="M3236" s="142"/>
      <c r="N3236" s="143"/>
      <c r="O3236" s="142"/>
      <c r="P3236" s="142"/>
      <c r="Q3236" s="152"/>
      <c r="R3236" s="152"/>
    </row>
    <row r="3237" spans="6:18" ht="24" customHeight="1">
      <c r="G3237" s="38" t="s">
        <v>1828</v>
      </c>
      <c r="J3237"/>
      <c r="M3237" s="162">
        <v>5.1999999999999998E-2</v>
      </c>
      <c r="N3237" s="150" t="s">
        <v>884</v>
      </c>
      <c r="O3237" s="151" t="s">
        <v>313</v>
      </c>
      <c r="P3237" s="153">
        <f>P3135</f>
        <v>102600</v>
      </c>
      <c r="Q3237" s="149" t="s">
        <v>884</v>
      </c>
      <c r="R3237" s="153">
        <f>P3237*M3237</f>
        <v>5335.2</v>
      </c>
    </row>
    <row r="3238" spans="6:18" ht="24" customHeight="1">
      <c r="G3238"/>
      <c r="J3238"/>
      <c r="M3238" s="162">
        <v>3.2910000000000002E-2</v>
      </c>
      <c r="N3238" s="150" t="s">
        <v>884</v>
      </c>
      <c r="O3238" s="151" t="s">
        <v>314</v>
      </c>
      <c r="P3238" s="153">
        <f>P3136</f>
        <v>91300</v>
      </c>
      <c r="Q3238" s="149" t="s">
        <v>884</v>
      </c>
      <c r="R3238" s="153">
        <f t="shared" ref="R3238:R3248" si="211">P3238*M3238</f>
        <v>3004.68</v>
      </c>
    </row>
    <row r="3239" spans="6:18" ht="24" customHeight="1">
      <c r="F3239" s="595">
        <v>2.6159999999999999E-2</v>
      </c>
      <c r="G3239" s="78" t="s">
        <v>884</v>
      </c>
      <c r="H3239" s="38" t="s">
        <v>3311</v>
      </c>
      <c r="I3239" s="38">
        <f>AA26</f>
        <v>102600</v>
      </c>
      <c r="J3239" s="104" t="s">
        <v>884</v>
      </c>
      <c r="K3239" s="38">
        <f>I3239*F3239</f>
        <v>2684.02</v>
      </c>
      <c r="M3239" s="162">
        <v>0.45</v>
      </c>
      <c r="N3239" s="150" t="s">
        <v>611</v>
      </c>
      <c r="O3239" s="1" t="s">
        <v>2163</v>
      </c>
      <c r="P3239" s="153">
        <f>P3207</f>
        <v>387.5</v>
      </c>
      <c r="Q3239" s="149" t="s">
        <v>884</v>
      </c>
      <c r="R3239" s="153">
        <f t="shared" si="211"/>
        <v>174.38</v>
      </c>
    </row>
    <row r="3240" spans="6:18" ht="24" customHeight="1">
      <c r="F3240" s="595">
        <v>4.7809999999999998E-2</v>
      </c>
      <c r="G3240" s="78" t="s">
        <v>884</v>
      </c>
      <c r="H3240" s="38" t="s">
        <v>2610</v>
      </c>
      <c r="I3240" s="38">
        <f>AA27</f>
        <v>91300</v>
      </c>
      <c r="J3240" s="104" t="s">
        <v>884</v>
      </c>
      <c r="K3240" s="38">
        <f t="shared" ref="K3240:K3248" si="212">I3240*F3240</f>
        <v>4365.05</v>
      </c>
      <c r="M3240" s="164">
        <v>0.94</v>
      </c>
      <c r="N3240" s="150" t="s">
        <v>611</v>
      </c>
      <c r="O3240" s="151" t="s">
        <v>3467</v>
      </c>
      <c r="P3240" s="153">
        <f t="shared" ref="P3240:P3248" si="213">P3139</f>
        <v>352</v>
      </c>
      <c r="Q3240" s="145" t="s">
        <v>611</v>
      </c>
      <c r="R3240" s="153">
        <f t="shared" si="211"/>
        <v>330.88</v>
      </c>
    </row>
    <row r="3241" spans="6:18" ht="24" customHeight="1">
      <c r="F3241" s="595">
        <v>4.5879999999999997E-2</v>
      </c>
      <c r="G3241" s="78" t="s">
        <v>884</v>
      </c>
      <c r="H3241" s="38" t="s">
        <v>1975</v>
      </c>
      <c r="I3241" s="38">
        <v>81290</v>
      </c>
      <c r="J3241" s="104" t="s">
        <v>884</v>
      </c>
      <c r="K3241" s="38">
        <f t="shared" si="212"/>
        <v>3729.59</v>
      </c>
      <c r="M3241" s="164">
        <v>7.9</v>
      </c>
      <c r="N3241" s="150" t="s">
        <v>1854</v>
      </c>
      <c r="O3241" s="151" t="s">
        <v>3469</v>
      </c>
      <c r="P3241" s="153">
        <f t="shared" si="213"/>
        <v>13.1</v>
      </c>
      <c r="Q3241" s="145"/>
      <c r="R3241" s="153">
        <f t="shared" si="211"/>
        <v>103.49</v>
      </c>
    </row>
    <row r="3242" spans="6:18" ht="24" customHeight="1">
      <c r="F3242" s="595">
        <v>3.95</v>
      </c>
      <c r="G3242" s="78" t="s">
        <v>611</v>
      </c>
      <c r="H3242" s="38" t="s">
        <v>898</v>
      </c>
      <c r="I3242" s="38">
        <f>P3175</f>
        <v>666.75</v>
      </c>
      <c r="J3242" s="104" t="s">
        <v>611</v>
      </c>
      <c r="K3242" s="38">
        <f t="shared" si="212"/>
        <v>2633.66</v>
      </c>
      <c r="M3242" s="164">
        <v>3.1219999999999999</v>
      </c>
      <c r="N3242" s="150" t="s">
        <v>611</v>
      </c>
      <c r="O3242" s="151" t="s">
        <v>446</v>
      </c>
      <c r="P3242" s="153">
        <f t="shared" si="213"/>
        <v>467</v>
      </c>
      <c r="Q3242" s="149" t="s">
        <v>611</v>
      </c>
      <c r="R3242" s="153">
        <f t="shared" si="211"/>
        <v>1457.97</v>
      </c>
    </row>
    <row r="3243" spans="6:18" ht="24" customHeight="1">
      <c r="F3243" s="38">
        <v>2</v>
      </c>
      <c r="G3243" s="78" t="s">
        <v>1950</v>
      </c>
      <c r="H3243" s="38" t="s">
        <v>2197</v>
      </c>
      <c r="I3243" s="38">
        <f t="shared" ref="I3243:I3248" si="214">P3176</f>
        <v>50.6</v>
      </c>
      <c r="J3243" s="104" t="s">
        <v>1458</v>
      </c>
      <c r="K3243" s="38">
        <f t="shared" si="212"/>
        <v>101.2</v>
      </c>
      <c r="M3243" s="153">
        <v>4</v>
      </c>
      <c r="N3243" s="150" t="s">
        <v>781</v>
      </c>
      <c r="O3243" s="151" t="s">
        <v>3458</v>
      </c>
      <c r="P3243" s="153">
        <f t="shared" si="213"/>
        <v>50.6</v>
      </c>
      <c r="Q3243" s="149" t="s">
        <v>883</v>
      </c>
      <c r="R3243" s="153">
        <f t="shared" si="211"/>
        <v>202.4</v>
      </c>
    </row>
    <row r="3244" spans="6:18" ht="24" customHeight="1">
      <c r="F3244" s="38">
        <v>6</v>
      </c>
      <c r="G3244" s="78" t="s">
        <v>1950</v>
      </c>
      <c r="H3244" s="38" t="s">
        <v>1135</v>
      </c>
      <c r="I3244" s="38">
        <f t="shared" si="214"/>
        <v>69.849999999999994</v>
      </c>
      <c r="J3244" s="104" t="s">
        <v>1458</v>
      </c>
      <c r="K3244" s="38">
        <f t="shared" si="212"/>
        <v>419.1</v>
      </c>
      <c r="M3244" s="153">
        <v>8</v>
      </c>
      <c r="N3244" s="150" t="s">
        <v>883</v>
      </c>
      <c r="O3244" s="151" t="s">
        <v>1527</v>
      </c>
      <c r="P3244" s="153">
        <f t="shared" si="213"/>
        <v>69.849999999999994</v>
      </c>
      <c r="Q3244" s="149" t="s">
        <v>883</v>
      </c>
      <c r="R3244" s="153">
        <f t="shared" si="211"/>
        <v>558.79999999999995</v>
      </c>
    </row>
    <row r="3245" spans="6:18" ht="24" customHeight="1">
      <c r="F3245" s="38">
        <v>4</v>
      </c>
      <c r="G3245" s="78" t="s">
        <v>1950</v>
      </c>
      <c r="H3245" s="38" t="s">
        <v>1409</v>
      </c>
      <c r="I3245" s="38">
        <f t="shared" si="214"/>
        <v>69.3</v>
      </c>
      <c r="J3245" s="104" t="s">
        <v>1458</v>
      </c>
      <c r="K3245" s="38">
        <f t="shared" si="212"/>
        <v>277.2</v>
      </c>
      <c r="M3245" s="153">
        <v>4</v>
      </c>
      <c r="N3245" s="150" t="s">
        <v>883</v>
      </c>
      <c r="O3245" s="151" t="s">
        <v>3459</v>
      </c>
      <c r="P3245" s="153">
        <f t="shared" si="213"/>
        <v>69.3</v>
      </c>
      <c r="Q3245" s="149" t="s">
        <v>883</v>
      </c>
      <c r="R3245" s="153">
        <f t="shared" si="211"/>
        <v>277.2</v>
      </c>
    </row>
    <row r="3246" spans="6:18" ht="24" customHeight="1">
      <c r="F3246" s="38">
        <v>1</v>
      </c>
      <c r="G3246" s="78" t="s">
        <v>1950</v>
      </c>
      <c r="H3246" s="38" t="s">
        <v>1410</v>
      </c>
      <c r="I3246" s="38">
        <f t="shared" si="214"/>
        <v>159.5</v>
      </c>
      <c r="J3246" s="104" t="s">
        <v>1458</v>
      </c>
      <c r="K3246" s="38">
        <f t="shared" si="212"/>
        <v>159.5</v>
      </c>
      <c r="M3246" s="153">
        <v>1</v>
      </c>
      <c r="N3246" s="150" t="s">
        <v>883</v>
      </c>
      <c r="O3246" s="151" t="s">
        <v>3460</v>
      </c>
      <c r="P3246" s="153">
        <f t="shared" si="213"/>
        <v>159.5</v>
      </c>
      <c r="Q3246" s="149" t="s">
        <v>883</v>
      </c>
      <c r="R3246" s="153">
        <f t="shared" si="211"/>
        <v>159.5</v>
      </c>
    </row>
    <row r="3247" spans="6:18" ht="24" customHeight="1">
      <c r="F3247" s="38">
        <v>2</v>
      </c>
      <c r="G3247" s="78" t="s">
        <v>1950</v>
      </c>
      <c r="H3247" s="38" t="s">
        <v>2056</v>
      </c>
      <c r="I3247" s="38">
        <f t="shared" si="214"/>
        <v>21</v>
      </c>
      <c r="J3247" s="104" t="s">
        <v>1458</v>
      </c>
      <c r="K3247" s="38">
        <f t="shared" si="212"/>
        <v>42</v>
      </c>
      <c r="M3247" s="153">
        <v>2</v>
      </c>
      <c r="N3247" s="150" t="s">
        <v>883</v>
      </c>
      <c r="O3247" s="151" t="s">
        <v>3461</v>
      </c>
      <c r="P3247" s="153">
        <f t="shared" si="213"/>
        <v>21</v>
      </c>
      <c r="Q3247" s="149" t="s">
        <v>883</v>
      </c>
      <c r="R3247" s="153">
        <f t="shared" si="211"/>
        <v>42</v>
      </c>
    </row>
    <row r="3248" spans="6:18" ht="24" customHeight="1">
      <c r="F3248" s="38">
        <v>2</v>
      </c>
      <c r="G3248" s="78" t="s">
        <v>1950</v>
      </c>
      <c r="H3248" s="38" t="s">
        <v>2058</v>
      </c>
      <c r="I3248" s="38">
        <f t="shared" si="214"/>
        <v>44.4</v>
      </c>
      <c r="J3248" s="104" t="s">
        <v>1458</v>
      </c>
      <c r="K3248" s="38">
        <f t="shared" si="212"/>
        <v>88.8</v>
      </c>
      <c r="M3248" s="153">
        <v>2</v>
      </c>
      <c r="N3248" s="150" t="s">
        <v>883</v>
      </c>
      <c r="O3248" s="151" t="s">
        <v>3462</v>
      </c>
      <c r="P3248" s="153">
        <f t="shared" si="213"/>
        <v>44.4</v>
      </c>
      <c r="Q3248" s="149" t="s">
        <v>883</v>
      </c>
      <c r="R3248" s="153">
        <f t="shared" si="211"/>
        <v>88.8</v>
      </c>
    </row>
    <row r="3249" spans="6:18" ht="24" customHeight="1">
      <c r="F3249" s="38">
        <v>10</v>
      </c>
      <c r="G3249" s="78"/>
      <c r="H3249" s="38" t="s">
        <v>1976</v>
      </c>
      <c r="I3249" s="38">
        <v>2.2999999999999998</v>
      </c>
      <c r="J3249" s="104"/>
      <c r="K3249" s="38">
        <v>24.3</v>
      </c>
      <c r="M3249" s="142"/>
      <c r="N3249" s="143"/>
      <c r="O3249" s="142" t="s">
        <v>1395</v>
      </c>
      <c r="P3249" s="142"/>
      <c r="Q3249" s="145"/>
      <c r="R3249" s="517">
        <v>21.55</v>
      </c>
    </row>
    <row r="3250" spans="6:18" ht="24" customHeight="1">
      <c r="F3250" s="38"/>
      <c r="G3250" s="78"/>
      <c r="H3250" s="38" t="s">
        <v>555</v>
      </c>
      <c r="I3250" s="38"/>
      <c r="J3250" s="104"/>
      <c r="K3250" s="38">
        <f>SUM(K3239:K3249)</f>
        <v>14524.42</v>
      </c>
      <c r="M3250" s="142"/>
      <c r="N3250" s="143"/>
      <c r="O3250" s="142"/>
      <c r="P3250" s="142"/>
      <c r="Q3250" s="145"/>
      <c r="R3250" s="152" t="s">
        <v>1667</v>
      </c>
    </row>
    <row r="3251" spans="6:18" ht="24" customHeight="1">
      <c r="F3251" s="38"/>
      <c r="G3251" s="78"/>
      <c r="H3251" s="38"/>
      <c r="I3251" s="38"/>
      <c r="J3251" s="104"/>
      <c r="K3251" s="596" t="s">
        <v>152</v>
      </c>
      <c r="M3251" s="142"/>
      <c r="N3251" s="143"/>
      <c r="O3251" s="151" t="s">
        <v>3463</v>
      </c>
      <c r="P3251" s="142"/>
      <c r="Q3251" s="145"/>
      <c r="R3251" s="153">
        <f>SUM(R3237:R3249)</f>
        <v>11756.85</v>
      </c>
    </row>
    <row r="3252" spans="6:18" ht="24" customHeight="1">
      <c r="F3252" s="38"/>
      <c r="G3252" s="78"/>
      <c r="H3252" s="38" t="s">
        <v>555</v>
      </c>
      <c r="I3252" s="38"/>
      <c r="J3252" s="104"/>
      <c r="K3252" s="38">
        <f>K3250/F3242</f>
        <v>3677.07</v>
      </c>
      <c r="M3252" s="142"/>
      <c r="N3252" s="143"/>
      <c r="O3252" s="142"/>
      <c r="P3252" s="142"/>
      <c r="Q3252" s="145"/>
      <c r="R3252" s="152" t="s">
        <v>1667</v>
      </c>
    </row>
    <row r="3253" spans="6:18" ht="24" customHeight="1">
      <c r="F3253" s="38"/>
      <c r="G3253" s="78"/>
      <c r="H3253" s="38"/>
      <c r="I3253" s="38"/>
      <c r="J3253" s="104"/>
      <c r="K3253" s="596" t="s">
        <v>152</v>
      </c>
      <c r="M3253" s="142"/>
      <c r="N3253" s="143"/>
      <c r="O3253" s="139" t="s">
        <v>555</v>
      </c>
      <c r="P3253" s="142"/>
      <c r="Q3253" s="147" t="s">
        <v>732</v>
      </c>
      <c r="R3253" s="140">
        <f>R3251/M3242</f>
        <v>3765.81</v>
      </c>
    </row>
    <row r="3254" spans="6:18" ht="24" customHeight="1">
      <c r="G3254"/>
      <c r="J3254"/>
    </row>
    <row r="3255" spans="6:18" ht="24" customHeight="1">
      <c r="G3255"/>
      <c r="J3255"/>
    </row>
    <row r="3256" spans="6:18" ht="24" customHeight="1">
      <c r="G3256"/>
      <c r="J3256"/>
      <c r="M3256" s="149"/>
      <c r="N3256" s="150" t="s">
        <v>2338</v>
      </c>
      <c r="O3256" s="151" t="s">
        <v>3483</v>
      </c>
      <c r="P3256" s="142"/>
      <c r="Q3256" s="145"/>
      <c r="R3256" s="142"/>
    </row>
    <row r="3257" spans="6:18" ht="24" customHeight="1">
      <c r="F3257" s="2"/>
      <c r="G3257" s="7" t="s">
        <v>2338</v>
      </c>
      <c r="H3257" s="1" t="s">
        <v>4097</v>
      </c>
      <c r="J3257" s="4"/>
      <c r="M3257" s="142"/>
      <c r="N3257" s="143"/>
      <c r="O3257" s="151" t="s">
        <v>254</v>
      </c>
      <c r="P3257" s="142"/>
      <c r="Q3257" s="145"/>
      <c r="R3257" s="142"/>
    </row>
    <row r="3258" spans="6:18" ht="24" customHeight="1">
      <c r="H3258" s="1" t="s">
        <v>4098</v>
      </c>
      <c r="J3258" s="4"/>
      <c r="M3258" s="142"/>
      <c r="N3258" s="143"/>
      <c r="O3258" s="507" t="s">
        <v>3482</v>
      </c>
      <c r="P3258" s="142"/>
      <c r="Q3258" s="145"/>
      <c r="R3258" s="142"/>
    </row>
    <row r="3259" spans="6:18" ht="24" customHeight="1">
      <c r="H3259" s="35" t="s">
        <v>1974</v>
      </c>
      <c r="J3259" s="4"/>
      <c r="M3259" s="142"/>
      <c r="N3259" s="143"/>
      <c r="O3259" s="152" t="s">
        <v>1667</v>
      </c>
      <c r="P3259" s="142"/>
      <c r="Q3259" s="145"/>
      <c r="R3259" s="142"/>
    </row>
    <row r="3260" spans="6:18" ht="24" customHeight="1">
      <c r="H3260" s="5" t="s">
        <v>1667</v>
      </c>
      <c r="J3260" s="4"/>
      <c r="M3260" s="142"/>
      <c r="N3260" s="143"/>
      <c r="O3260" s="151" t="s">
        <v>3587</v>
      </c>
      <c r="P3260" s="146" t="s">
        <v>2130</v>
      </c>
      <c r="Q3260" s="508">
        <v>1.734</v>
      </c>
      <c r="R3260" s="142" t="s">
        <v>2371</v>
      </c>
    </row>
    <row r="3261" spans="6:18" ht="24" customHeight="1">
      <c r="F3261" s="8">
        <v>1.34</v>
      </c>
      <c r="G3261" s="7" t="s">
        <v>1730</v>
      </c>
      <c r="H3261" s="1" t="s">
        <v>1974</v>
      </c>
      <c r="I3261" s="8">
        <v>78.5</v>
      </c>
      <c r="J3261" s="1" t="s">
        <v>1730</v>
      </c>
      <c r="K3261" s="8">
        <f>(F3261*I3261)</f>
        <v>105.19</v>
      </c>
      <c r="M3261" s="142"/>
      <c r="N3261" s="143"/>
      <c r="O3261" s="151"/>
      <c r="P3261" s="146"/>
      <c r="Q3261" s="508"/>
      <c r="R3261" s="142"/>
    </row>
    <row r="3262" spans="6:18" ht="24" customHeight="1">
      <c r="F3262" s="8">
        <v>0.5</v>
      </c>
      <c r="G3262" s="7" t="s">
        <v>781</v>
      </c>
      <c r="H3262" s="1" t="s">
        <v>1229</v>
      </c>
      <c r="I3262" s="8">
        <f>AC13</f>
        <v>347.55</v>
      </c>
      <c r="J3262" s="7" t="s">
        <v>781</v>
      </c>
      <c r="K3262" s="8">
        <f>(F3262*I3262)</f>
        <v>173.78</v>
      </c>
      <c r="M3262" s="142"/>
      <c r="N3262" s="143"/>
      <c r="O3262" s="151" t="s">
        <v>2907</v>
      </c>
      <c r="P3262" s="146" t="s">
        <v>2130</v>
      </c>
      <c r="Q3262" s="509">
        <v>3.9E-2</v>
      </c>
      <c r="R3262" s="142" t="s">
        <v>2226</v>
      </c>
    </row>
    <row r="3263" spans="6:18" ht="24" customHeight="1">
      <c r="F3263" s="8">
        <v>0.5</v>
      </c>
      <c r="G3263" s="7" t="s">
        <v>781</v>
      </c>
      <c r="H3263" s="1" t="s">
        <v>1979</v>
      </c>
      <c r="I3263" s="8">
        <f>AC11</f>
        <v>269.85000000000002</v>
      </c>
      <c r="J3263" s="7" t="s">
        <v>781</v>
      </c>
      <c r="K3263" s="8">
        <f>(F3263*I3263)</f>
        <v>134.93</v>
      </c>
      <c r="M3263" s="142"/>
      <c r="N3263" s="143"/>
      <c r="O3263" s="151" t="s">
        <v>3453</v>
      </c>
      <c r="Q3263" s="510"/>
      <c r="R3263" s="142"/>
    </row>
    <row r="3264" spans="6:18" ht="24" customHeight="1">
      <c r="F3264" s="8">
        <v>0.8</v>
      </c>
      <c r="G3264" s="7" t="s">
        <v>781</v>
      </c>
      <c r="H3264" s="1" t="s">
        <v>324</v>
      </c>
      <c r="I3264" s="8">
        <f>AC12</f>
        <v>243.6</v>
      </c>
      <c r="J3264" s="7" t="s">
        <v>781</v>
      </c>
      <c r="K3264" s="8">
        <f>(F3264*I3264)</f>
        <v>194.88</v>
      </c>
      <c r="M3264" s="142"/>
      <c r="N3264" s="143"/>
      <c r="O3264" s="151" t="s">
        <v>2908</v>
      </c>
      <c r="P3264" s="146" t="s">
        <v>2130</v>
      </c>
      <c r="Q3264" s="511">
        <v>1.2659999999999999E-2</v>
      </c>
      <c r="R3264" s="142"/>
    </row>
    <row r="3265" spans="6:18" ht="24" customHeight="1">
      <c r="G3265" s="7" t="s">
        <v>448</v>
      </c>
      <c r="H3265" s="1" t="s">
        <v>1231</v>
      </c>
      <c r="I3265" s="1" t="s">
        <v>995</v>
      </c>
      <c r="J3265" s="2" t="s">
        <v>448</v>
      </c>
      <c r="K3265" s="8">
        <v>2.6</v>
      </c>
      <c r="M3265" s="142"/>
      <c r="N3265" s="143"/>
      <c r="O3265" s="151" t="s">
        <v>2915</v>
      </c>
      <c r="P3265" s="146" t="s">
        <v>2130</v>
      </c>
      <c r="Q3265" s="512">
        <v>5.6249999999999998E-3</v>
      </c>
      <c r="R3265" s="162"/>
    </row>
    <row r="3266" spans="6:18" ht="24" customHeight="1">
      <c r="J3266" s="4"/>
      <c r="K3266" s="5" t="s">
        <v>1667</v>
      </c>
      <c r="M3266" s="142"/>
      <c r="N3266" s="143"/>
      <c r="O3266" s="142"/>
      <c r="P3266" s="142"/>
      <c r="Q3266" s="152" t="s">
        <v>1667</v>
      </c>
    </row>
    <row r="3267" spans="6:18" ht="24" customHeight="1">
      <c r="H3267" s="1" t="s">
        <v>440</v>
      </c>
      <c r="J3267" s="4"/>
      <c r="K3267" s="8">
        <f>SUM(K3261:K3266)</f>
        <v>611.38</v>
      </c>
      <c r="M3267" s="142"/>
      <c r="N3267" s="143"/>
      <c r="O3267" s="142"/>
      <c r="P3267" s="142"/>
      <c r="Q3267" s="513">
        <v>1.8290000000000001E-2</v>
      </c>
      <c r="R3267" t="s">
        <v>2226</v>
      </c>
    </row>
    <row r="3268" spans="6:18" ht="24" customHeight="1">
      <c r="J3268" s="4"/>
      <c r="K3268" s="5" t="s">
        <v>1667</v>
      </c>
      <c r="M3268" s="142"/>
      <c r="N3268" s="143"/>
      <c r="O3268" s="142"/>
      <c r="P3268" s="142"/>
      <c r="Q3268" s="152" t="s">
        <v>1667</v>
      </c>
    </row>
    <row r="3269" spans="6:18" ht="24" customHeight="1">
      <c r="H3269" s="35" t="s">
        <v>555</v>
      </c>
      <c r="J3269" s="4"/>
      <c r="K3269" s="40">
        <f>(K3267/10)</f>
        <v>61.14</v>
      </c>
      <c r="M3269" s="142"/>
      <c r="N3269" s="143"/>
      <c r="O3269" s="151" t="s">
        <v>2909</v>
      </c>
      <c r="P3269" s="142"/>
      <c r="Q3269" s="514">
        <v>0.4113</v>
      </c>
      <c r="R3269" s="162"/>
    </row>
    <row r="3270" spans="6:18" ht="24" hidden="1" customHeight="1">
      <c r="F3270" s="1" t="s">
        <v>995</v>
      </c>
      <c r="J3270" s="4"/>
      <c r="M3270" s="142"/>
      <c r="N3270" s="143"/>
      <c r="O3270" s="151" t="s">
        <v>2910</v>
      </c>
      <c r="P3270" s="142"/>
      <c r="Q3270" s="515">
        <v>0.19689999999999999</v>
      </c>
      <c r="R3270" s="162"/>
    </row>
    <row r="3271" spans="6:18" ht="24" hidden="1" customHeight="1">
      <c r="G3271"/>
      <c r="J3271"/>
      <c r="M3271" s="142"/>
      <c r="N3271" s="143"/>
      <c r="O3271" s="151"/>
      <c r="P3271" s="142"/>
      <c r="Q3271" s="152" t="s">
        <v>1667</v>
      </c>
      <c r="R3271" s="162"/>
    </row>
    <row r="3272" spans="6:18" ht="24" hidden="1" customHeight="1">
      <c r="M3272" s="142"/>
      <c r="N3272" s="143"/>
      <c r="O3272" s="151"/>
      <c r="P3272" s="142"/>
      <c r="Q3272" s="516">
        <v>0.60819999999999996</v>
      </c>
      <c r="R3272" s="148"/>
    </row>
    <row r="3273" spans="6:18" ht="24" hidden="1" customHeight="1">
      <c r="M3273" s="142"/>
      <c r="N3273" s="143"/>
      <c r="O3273" s="142"/>
      <c r="P3273" s="142"/>
      <c r="Q3273" s="152" t="s">
        <v>1667</v>
      </c>
      <c r="R3273" s="152"/>
    </row>
    <row r="3274" spans="6:18" ht="24" hidden="1" customHeight="1">
      <c r="M3274" s="162">
        <v>3.9E-2</v>
      </c>
      <c r="N3274" s="150" t="s">
        <v>884</v>
      </c>
      <c r="O3274" s="151" t="s">
        <v>313</v>
      </c>
      <c r="P3274" s="153">
        <f>P3205</f>
        <v>102600</v>
      </c>
      <c r="Q3274" s="149" t="s">
        <v>884</v>
      </c>
      <c r="R3274" s="153">
        <f>P3274*M3274</f>
        <v>4001.4</v>
      </c>
    </row>
    <row r="3275" spans="6:18" ht="24" hidden="1" customHeight="1">
      <c r="M3275" s="162">
        <v>1.8290000000000001E-2</v>
      </c>
      <c r="N3275" s="150" t="s">
        <v>884</v>
      </c>
      <c r="O3275" s="151" t="s">
        <v>314</v>
      </c>
      <c r="P3275" s="153">
        <f>P3206</f>
        <v>91300</v>
      </c>
      <c r="Q3275" s="149" t="s">
        <v>884</v>
      </c>
      <c r="R3275" s="153">
        <f t="shared" ref="R3275:R3283" si="215">P3275*M3275</f>
        <v>1669.88</v>
      </c>
    </row>
    <row r="3276" spans="6:18" ht="24" hidden="1" customHeight="1">
      <c r="M3276" s="162">
        <v>0.60819999999999996</v>
      </c>
      <c r="N3276" s="150" t="s">
        <v>611</v>
      </c>
      <c r="O3276" s="1" t="s">
        <v>2163</v>
      </c>
      <c r="P3276" s="153">
        <f>P3239</f>
        <v>387.5</v>
      </c>
      <c r="Q3276" s="149" t="s">
        <v>884</v>
      </c>
      <c r="R3276" s="153">
        <f t="shared" si="215"/>
        <v>235.68</v>
      </c>
    </row>
    <row r="3277" spans="6:18" ht="24" hidden="1" customHeight="1">
      <c r="M3277" s="164">
        <v>1.734</v>
      </c>
      <c r="N3277" s="150" t="s">
        <v>611</v>
      </c>
      <c r="O3277" s="151" t="s">
        <v>446</v>
      </c>
      <c r="P3277" s="153">
        <f>P3208</f>
        <v>554.4</v>
      </c>
      <c r="Q3277" s="149" t="s">
        <v>611</v>
      </c>
      <c r="R3277" s="153">
        <f t="shared" si="215"/>
        <v>961.33</v>
      </c>
    </row>
    <row r="3278" spans="6:18" ht="24" hidden="1" customHeight="1">
      <c r="M3278" s="153">
        <v>2</v>
      </c>
      <c r="N3278" s="150" t="s">
        <v>781</v>
      </c>
      <c r="O3278" s="151" t="s">
        <v>3458</v>
      </c>
      <c r="P3278" s="153">
        <f t="shared" ref="P3278:P3283" si="216">P3209</f>
        <v>50.6</v>
      </c>
      <c r="Q3278" s="149" t="s">
        <v>883</v>
      </c>
      <c r="R3278" s="153">
        <f t="shared" si="215"/>
        <v>101.2</v>
      </c>
    </row>
    <row r="3279" spans="6:18" ht="24" hidden="1" customHeight="1">
      <c r="M3279" s="153">
        <v>4</v>
      </c>
      <c r="N3279" s="150" t="s">
        <v>883</v>
      </c>
      <c r="O3279" s="151" t="s">
        <v>1527</v>
      </c>
      <c r="P3279" s="153">
        <f t="shared" si="216"/>
        <v>69.849999999999994</v>
      </c>
      <c r="Q3279" s="149" t="s">
        <v>883</v>
      </c>
      <c r="R3279" s="153">
        <f t="shared" si="215"/>
        <v>279.39999999999998</v>
      </c>
    </row>
    <row r="3280" spans="6:18" ht="24" hidden="1" customHeight="1">
      <c r="M3280" s="153">
        <v>2</v>
      </c>
      <c r="N3280" s="150" t="s">
        <v>883</v>
      </c>
      <c r="O3280" s="151" t="s">
        <v>3459</v>
      </c>
      <c r="P3280" s="153">
        <f t="shared" si="216"/>
        <v>69.3</v>
      </c>
      <c r="Q3280" s="149" t="s">
        <v>883</v>
      </c>
      <c r="R3280" s="153">
        <f t="shared" si="215"/>
        <v>138.6</v>
      </c>
    </row>
    <row r="3281" spans="6:18" ht="24" hidden="1" customHeight="1">
      <c r="M3281" s="153">
        <v>1</v>
      </c>
      <c r="N3281" s="150" t="s">
        <v>883</v>
      </c>
      <c r="O3281" s="151" t="s">
        <v>3460</v>
      </c>
      <c r="P3281" s="153">
        <f t="shared" si="216"/>
        <v>159.5</v>
      </c>
      <c r="Q3281" s="149" t="s">
        <v>883</v>
      </c>
      <c r="R3281" s="153">
        <f t="shared" si="215"/>
        <v>159.5</v>
      </c>
    </row>
    <row r="3282" spans="6:18" ht="24" hidden="1" customHeight="1">
      <c r="M3282" s="153">
        <v>1</v>
      </c>
      <c r="N3282" s="150" t="s">
        <v>883</v>
      </c>
      <c r="O3282" s="151" t="s">
        <v>3461</v>
      </c>
      <c r="P3282" s="153">
        <f t="shared" si="216"/>
        <v>21</v>
      </c>
      <c r="Q3282" s="149" t="s">
        <v>883</v>
      </c>
      <c r="R3282" s="153">
        <f t="shared" si="215"/>
        <v>21</v>
      </c>
    </row>
    <row r="3283" spans="6:18" ht="24" hidden="1" customHeight="1">
      <c r="M3283" s="153">
        <v>1</v>
      </c>
      <c r="N3283" s="150" t="s">
        <v>883</v>
      </c>
      <c r="O3283" s="151" t="s">
        <v>3462</v>
      </c>
      <c r="P3283" s="153">
        <f t="shared" si="216"/>
        <v>44.4</v>
      </c>
      <c r="Q3283" s="149" t="s">
        <v>883</v>
      </c>
      <c r="R3283" s="153">
        <f t="shared" si="215"/>
        <v>44.4</v>
      </c>
    </row>
    <row r="3284" spans="6:18" ht="24" hidden="1" customHeight="1">
      <c r="M3284" s="142"/>
      <c r="N3284" s="143"/>
      <c r="O3284" s="142" t="s">
        <v>1395</v>
      </c>
      <c r="P3284" s="142"/>
      <c r="Q3284" s="145"/>
      <c r="R3284" s="517">
        <v>21.14</v>
      </c>
    </row>
    <row r="3285" spans="6:18" ht="24" hidden="1" customHeight="1">
      <c r="M3285" s="142"/>
      <c r="N3285" s="143"/>
      <c r="O3285" s="142"/>
      <c r="P3285" s="142"/>
      <c r="Q3285" s="145"/>
      <c r="R3285" s="152" t="s">
        <v>1667</v>
      </c>
    </row>
    <row r="3286" spans="6:18" ht="24" hidden="1" customHeight="1">
      <c r="M3286" s="142"/>
      <c r="N3286" s="143"/>
      <c r="O3286" s="151" t="s">
        <v>2911</v>
      </c>
      <c r="P3286" s="142"/>
      <c r="Q3286" s="145"/>
      <c r="R3286" s="153">
        <f>SUM(R3274:R3284)</f>
        <v>7633.53</v>
      </c>
    </row>
    <row r="3287" spans="6:18" ht="24" hidden="1" customHeight="1">
      <c r="M3287" s="142"/>
      <c r="N3287" s="143"/>
      <c r="O3287" s="142"/>
      <c r="P3287" s="142"/>
      <c r="Q3287" s="145"/>
      <c r="R3287" s="152" t="s">
        <v>1667</v>
      </c>
    </row>
    <row r="3288" spans="6:18" ht="24" hidden="1" customHeight="1">
      <c r="M3288" s="142"/>
      <c r="N3288" s="143"/>
      <c r="O3288" s="139" t="s">
        <v>555</v>
      </c>
      <c r="P3288" s="142"/>
      <c r="Q3288" s="147" t="s">
        <v>732</v>
      </c>
      <c r="R3288" s="140">
        <f>R3286/M3277</f>
        <v>4402.2700000000004</v>
      </c>
    </row>
    <row r="3289" spans="6:18" ht="24" hidden="1" customHeight="1">
      <c r="N3289" s="3"/>
      <c r="Q3289" s="11"/>
      <c r="R3289" s="5" t="s">
        <v>2130</v>
      </c>
    </row>
    <row r="3290" spans="6:18" ht="24" customHeight="1">
      <c r="F3290" s="149"/>
      <c r="G3290" s="150" t="s">
        <v>2338</v>
      </c>
      <c r="H3290" s="151" t="s">
        <v>3483</v>
      </c>
      <c r="I3290" s="142"/>
      <c r="J3290" s="145"/>
      <c r="K3290" s="142"/>
      <c r="M3290" s="149"/>
      <c r="N3290" s="150" t="s">
        <v>2338</v>
      </c>
      <c r="O3290" s="151" t="s">
        <v>3483</v>
      </c>
      <c r="P3290" s="142"/>
      <c r="Q3290" s="145"/>
      <c r="R3290" s="142"/>
    </row>
    <row r="3291" spans="6:18" ht="24" customHeight="1">
      <c r="F3291" s="142"/>
      <c r="G3291" s="143"/>
      <c r="H3291" s="151" t="s">
        <v>254</v>
      </c>
      <c r="I3291" s="142"/>
      <c r="J3291" s="145"/>
      <c r="K3291" s="142"/>
      <c r="M3291" s="142"/>
      <c r="N3291" s="143"/>
      <c r="O3291" s="151" t="s">
        <v>254</v>
      </c>
      <c r="P3291" s="142"/>
      <c r="Q3291" s="145"/>
      <c r="R3291" s="142"/>
    </row>
    <row r="3292" spans="6:18" ht="24" customHeight="1">
      <c r="F3292" s="142"/>
      <c r="G3292" s="143"/>
      <c r="H3292" s="507" t="s">
        <v>2912</v>
      </c>
      <c r="I3292" s="142"/>
      <c r="J3292" s="145"/>
      <c r="K3292" s="142"/>
      <c r="M3292" s="142"/>
      <c r="N3292" s="143"/>
      <c r="O3292" s="507" t="s">
        <v>2912</v>
      </c>
      <c r="P3292" s="142"/>
      <c r="Q3292" s="145"/>
      <c r="R3292" s="142"/>
    </row>
    <row r="3293" spans="6:18" ht="24" customHeight="1">
      <c r="F3293" s="142"/>
      <c r="G3293" s="143"/>
      <c r="H3293" s="152" t="s">
        <v>1667</v>
      </c>
      <c r="I3293" s="142"/>
      <c r="J3293" s="145"/>
      <c r="K3293" s="142"/>
      <c r="M3293" s="142"/>
      <c r="N3293" s="143"/>
      <c r="O3293" s="152" t="s">
        <v>1667</v>
      </c>
      <c r="P3293" s="142"/>
      <c r="Q3293" s="145"/>
      <c r="R3293" s="142"/>
    </row>
    <row r="3294" spans="6:18" ht="24" customHeight="1">
      <c r="F3294" s="142"/>
      <c r="G3294" s="143"/>
      <c r="H3294" s="151" t="s">
        <v>2913</v>
      </c>
      <c r="I3294" s="146" t="s">
        <v>2130</v>
      </c>
      <c r="J3294" s="508">
        <v>2.081</v>
      </c>
      <c r="K3294" s="142" t="s">
        <v>2371</v>
      </c>
      <c r="M3294" s="142"/>
      <c r="N3294" s="143"/>
      <c r="O3294" s="151" t="s">
        <v>2913</v>
      </c>
      <c r="P3294" s="146" t="s">
        <v>2130</v>
      </c>
      <c r="Q3294" s="508">
        <v>2.081</v>
      </c>
      <c r="R3294" s="142" t="s">
        <v>2371</v>
      </c>
    </row>
    <row r="3295" spans="6:18" ht="24" customHeight="1">
      <c r="F3295" s="142"/>
      <c r="G3295" s="143"/>
      <c r="H3295" s="151"/>
      <c r="I3295" s="146"/>
      <c r="J3295" s="508"/>
      <c r="K3295" s="142"/>
      <c r="M3295" s="142"/>
      <c r="N3295" s="143"/>
      <c r="O3295" s="151"/>
      <c r="P3295" s="146"/>
      <c r="Q3295" s="508"/>
      <c r="R3295" s="142"/>
    </row>
    <row r="3296" spans="6:18" ht="24" customHeight="1">
      <c r="F3296" s="142"/>
      <c r="G3296" s="143"/>
      <c r="H3296" s="151" t="s">
        <v>2907</v>
      </c>
      <c r="I3296" s="146" t="s">
        <v>2130</v>
      </c>
      <c r="J3296" s="509">
        <v>3.9E-2</v>
      </c>
      <c r="K3296" s="142" t="s">
        <v>2226</v>
      </c>
      <c r="M3296" s="142"/>
      <c r="N3296" s="143"/>
      <c r="O3296" s="151" t="s">
        <v>2907</v>
      </c>
      <c r="P3296" s="146" t="s">
        <v>2130</v>
      </c>
      <c r="Q3296" s="509">
        <v>3.9E-2</v>
      </c>
      <c r="R3296" s="142" t="s">
        <v>2226</v>
      </c>
    </row>
    <row r="3297" spans="6:18" ht="24" customHeight="1">
      <c r="F3297" s="142"/>
      <c r="G3297" s="143"/>
      <c r="H3297" s="151" t="s">
        <v>3453</v>
      </c>
      <c r="J3297" s="510"/>
      <c r="K3297" s="142"/>
      <c r="M3297" s="142"/>
      <c r="N3297" s="143"/>
      <c r="O3297" s="151" t="s">
        <v>3453</v>
      </c>
      <c r="Q3297" s="510"/>
      <c r="R3297" s="142"/>
    </row>
    <row r="3298" spans="6:18" ht="24" customHeight="1">
      <c r="F3298" s="142"/>
      <c r="G3298" s="143"/>
      <c r="H3298" s="151" t="s">
        <v>2914</v>
      </c>
      <c r="I3298" s="146" t="s">
        <v>2130</v>
      </c>
      <c r="J3298" s="511">
        <v>1.519E-2</v>
      </c>
      <c r="K3298" s="142"/>
      <c r="M3298" s="142"/>
      <c r="N3298" s="143"/>
      <c r="O3298" s="151" t="s">
        <v>2914</v>
      </c>
      <c r="P3298" s="146" t="s">
        <v>2130</v>
      </c>
      <c r="Q3298" s="511">
        <v>1.519E-2</v>
      </c>
      <c r="R3298" s="142"/>
    </row>
    <row r="3299" spans="6:18" ht="24" customHeight="1">
      <c r="F3299" s="142"/>
      <c r="G3299" s="143"/>
      <c r="H3299" s="151" t="s">
        <v>2916</v>
      </c>
      <c r="I3299" s="146" t="s">
        <v>2130</v>
      </c>
      <c r="J3299" s="512">
        <v>6.7499999999999999E-3</v>
      </c>
      <c r="K3299" s="162"/>
      <c r="M3299" s="142"/>
      <c r="N3299" s="143"/>
      <c r="O3299" s="151" t="s">
        <v>2916</v>
      </c>
      <c r="P3299" s="146" t="s">
        <v>2130</v>
      </c>
      <c r="Q3299" s="512">
        <v>6.7499999999999999E-3</v>
      </c>
      <c r="R3299" s="162"/>
    </row>
    <row r="3300" spans="6:18" ht="24" customHeight="1">
      <c r="F3300" s="142"/>
      <c r="G3300" s="143"/>
      <c r="H3300" s="142"/>
      <c r="I3300" s="142"/>
      <c r="J3300" s="152" t="s">
        <v>1667</v>
      </c>
      <c r="M3300" s="142"/>
      <c r="N3300" s="143"/>
      <c r="O3300" s="142"/>
      <c r="P3300" s="142"/>
      <c r="Q3300" s="152" t="s">
        <v>1667</v>
      </c>
    </row>
    <row r="3301" spans="6:18" ht="24" customHeight="1">
      <c r="F3301" s="142"/>
      <c r="G3301" s="143"/>
      <c r="H3301" s="142"/>
      <c r="I3301" s="142"/>
      <c r="J3301" s="513">
        <v>2.1940000000000001E-2</v>
      </c>
      <c r="K3301" t="s">
        <v>2226</v>
      </c>
      <c r="M3301" s="142"/>
      <c r="N3301" s="143"/>
      <c r="O3301" s="142"/>
      <c r="P3301" s="142"/>
      <c r="Q3301" s="513">
        <v>2.1940000000000001E-2</v>
      </c>
      <c r="R3301" t="s">
        <v>2226</v>
      </c>
    </row>
    <row r="3302" spans="6:18" ht="24" customHeight="1">
      <c r="F3302" s="142"/>
      <c r="G3302" s="143"/>
      <c r="H3302" s="142"/>
      <c r="I3302" s="142"/>
      <c r="J3302" s="152" t="s">
        <v>1667</v>
      </c>
      <c r="M3302" s="142"/>
      <c r="N3302" s="143"/>
      <c r="O3302" s="142"/>
      <c r="P3302" s="142"/>
      <c r="Q3302" s="152" t="s">
        <v>1667</v>
      </c>
    </row>
    <row r="3303" spans="6:18" ht="24" customHeight="1">
      <c r="F3303" s="142"/>
      <c r="G3303" s="143"/>
      <c r="H3303" s="151" t="s">
        <v>3478</v>
      </c>
      <c r="I3303" s="142"/>
      <c r="J3303" s="514">
        <v>0.58750000000000002</v>
      </c>
      <c r="K3303" s="162"/>
      <c r="M3303" s="142"/>
      <c r="N3303" s="143"/>
      <c r="O3303" s="151" t="s">
        <v>3478</v>
      </c>
      <c r="P3303" s="142"/>
      <c r="Q3303" s="514">
        <v>0.58750000000000002</v>
      </c>
      <c r="R3303" s="162"/>
    </row>
    <row r="3304" spans="6:18" ht="24" customHeight="1">
      <c r="F3304" s="142"/>
      <c r="G3304" s="143"/>
      <c r="H3304" s="151" t="s">
        <v>3479</v>
      </c>
      <c r="I3304" s="142"/>
      <c r="J3304" s="515">
        <v>0.28129999999999999</v>
      </c>
      <c r="K3304" s="162"/>
      <c r="M3304" s="142"/>
      <c r="N3304" s="143"/>
      <c r="O3304" s="151" t="s">
        <v>3479</v>
      </c>
      <c r="P3304" s="142"/>
      <c r="Q3304" s="515">
        <v>0.28129999999999999</v>
      </c>
      <c r="R3304" s="162"/>
    </row>
    <row r="3305" spans="6:18" ht="24" customHeight="1">
      <c r="F3305" s="142"/>
      <c r="G3305" s="143"/>
      <c r="H3305" s="151"/>
      <c r="I3305" s="142"/>
      <c r="J3305" s="152" t="s">
        <v>1667</v>
      </c>
      <c r="K3305" s="162"/>
      <c r="M3305" s="142"/>
      <c r="N3305" s="143"/>
      <c r="O3305" s="151"/>
      <c r="P3305" s="142"/>
      <c r="Q3305" s="152" t="s">
        <v>1667</v>
      </c>
      <c r="R3305" s="162"/>
    </row>
    <row r="3306" spans="6:18" ht="24" customHeight="1">
      <c r="F3306" s="142"/>
      <c r="G3306" s="143"/>
      <c r="H3306" s="151"/>
      <c r="I3306" s="142"/>
      <c r="J3306" s="516">
        <v>0.86880000000000002</v>
      </c>
      <c r="K3306" s="148"/>
      <c r="M3306" s="142"/>
      <c r="N3306" s="143"/>
      <c r="O3306" s="151"/>
      <c r="P3306" s="142"/>
      <c r="Q3306" s="516">
        <v>0.86880000000000002</v>
      </c>
      <c r="R3306" s="148"/>
    </row>
    <row r="3307" spans="6:18" ht="24" customHeight="1">
      <c r="F3307" s="142"/>
      <c r="G3307" s="143"/>
      <c r="H3307" s="142"/>
      <c r="I3307" s="142"/>
      <c r="J3307" s="152" t="s">
        <v>1667</v>
      </c>
      <c r="K3307" s="152"/>
      <c r="M3307" s="142"/>
      <c r="N3307" s="143"/>
      <c r="O3307" s="142"/>
      <c r="P3307" s="142"/>
      <c r="Q3307" s="152" t="s">
        <v>1667</v>
      </c>
      <c r="R3307" s="152"/>
    </row>
    <row r="3308" spans="6:18" ht="24" customHeight="1">
      <c r="F3308" s="162">
        <v>3.9E-2</v>
      </c>
      <c r="G3308" s="150" t="s">
        <v>884</v>
      </c>
      <c r="H3308" s="151" t="s">
        <v>313</v>
      </c>
      <c r="I3308" s="153">
        <f>C88</f>
        <v>102600</v>
      </c>
      <c r="J3308" s="149" t="s">
        <v>884</v>
      </c>
      <c r="K3308" s="153">
        <v>2868.26</v>
      </c>
      <c r="M3308" s="162">
        <v>3.9E-2</v>
      </c>
      <c r="N3308" s="150" t="s">
        <v>884</v>
      </c>
      <c r="O3308" s="151" t="s">
        <v>313</v>
      </c>
      <c r="P3308" s="153">
        <f>P3205</f>
        <v>102600</v>
      </c>
      <c r="Q3308" s="149" t="s">
        <v>884</v>
      </c>
      <c r="R3308" s="153">
        <f>P3308*M3308</f>
        <v>4001.4</v>
      </c>
    </row>
    <row r="3309" spans="6:18" ht="24" customHeight="1">
      <c r="F3309" s="162">
        <v>2.1940000000000001E-2</v>
      </c>
      <c r="G3309" s="150" t="s">
        <v>884</v>
      </c>
      <c r="H3309" s="151" t="s">
        <v>314</v>
      </c>
      <c r="I3309" s="153">
        <f>C89</f>
        <v>91300</v>
      </c>
      <c r="J3309" s="149" t="s">
        <v>884</v>
      </c>
      <c r="K3309" s="153">
        <v>1435.86</v>
      </c>
      <c r="M3309" s="162">
        <v>2.1940000000000001E-2</v>
      </c>
      <c r="N3309" s="150" t="s">
        <v>884</v>
      </c>
      <c r="O3309" s="151" t="s">
        <v>314</v>
      </c>
      <c r="P3309" s="153">
        <f>P3206</f>
        <v>91300</v>
      </c>
      <c r="Q3309" s="149" t="s">
        <v>884</v>
      </c>
      <c r="R3309" s="153">
        <f t="shared" ref="R3309:R3317" si="217">P3309*M3309</f>
        <v>2003.12</v>
      </c>
    </row>
    <row r="3310" spans="6:18" ht="24" customHeight="1">
      <c r="F3310" s="162">
        <v>0.86880000000000002</v>
      </c>
      <c r="G3310" s="150" t="s">
        <v>611</v>
      </c>
      <c r="H3310" s="1" t="s">
        <v>2163</v>
      </c>
      <c r="I3310" s="153">
        <f>C753</f>
        <v>0</v>
      </c>
      <c r="J3310" s="149" t="s">
        <v>884</v>
      </c>
      <c r="K3310" s="153">
        <v>336.66</v>
      </c>
      <c r="M3310" s="162">
        <v>0.86880000000000002</v>
      </c>
      <c r="N3310" s="150" t="s">
        <v>611</v>
      </c>
      <c r="O3310" s="1" t="s">
        <v>2163</v>
      </c>
      <c r="P3310" s="153">
        <f>P3276</f>
        <v>387.5</v>
      </c>
      <c r="Q3310" s="149" t="s">
        <v>884</v>
      </c>
      <c r="R3310" s="153">
        <f t="shared" si="217"/>
        <v>336.66</v>
      </c>
    </row>
    <row r="3311" spans="6:18" ht="24" customHeight="1">
      <c r="F3311" s="164">
        <v>2.081</v>
      </c>
      <c r="G3311" s="150" t="s">
        <v>611</v>
      </c>
      <c r="H3311" s="151" t="s">
        <v>446</v>
      </c>
      <c r="I3311" s="153">
        <v>363</v>
      </c>
      <c r="J3311" s="149" t="s">
        <v>611</v>
      </c>
      <c r="K3311" s="153">
        <v>755.4</v>
      </c>
      <c r="M3311" s="164">
        <v>2.081</v>
      </c>
      <c r="N3311" s="150" t="s">
        <v>611</v>
      </c>
      <c r="O3311" s="151" t="s">
        <v>446</v>
      </c>
      <c r="P3311" s="153">
        <f t="shared" ref="P3311:P3317" si="218">P3208</f>
        <v>554.4</v>
      </c>
      <c r="Q3311" s="149" t="s">
        <v>611</v>
      </c>
      <c r="R3311" s="153">
        <f t="shared" si="217"/>
        <v>1153.71</v>
      </c>
    </row>
    <row r="3312" spans="6:18" ht="24" customHeight="1">
      <c r="F3312" s="153">
        <v>2</v>
      </c>
      <c r="G3312" s="150" t="s">
        <v>781</v>
      </c>
      <c r="H3312" s="151" t="s">
        <v>3458</v>
      </c>
      <c r="I3312" s="153">
        <v>42</v>
      </c>
      <c r="J3312" s="149" t="s">
        <v>883</v>
      </c>
      <c r="K3312" s="153">
        <v>84</v>
      </c>
      <c r="M3312" s="153">
        <v>2</v>
      </c>
      <c r="N3312" s="150" t="s">
        <v>781</v>
      </c>
      <c r="O3312" s="151" t="s">
        <v>3458</v>
      </c>
      <c r="P3312" s="153">
        <f t="shared" si="218"/>
        <v>50.6</v>
      </c>
      <c r="Q3312" s="149" t="s">
        <v>883</v>
      </c>
      <c r="R3312" s="153">
        <f t="shared" si="217"/>
        <v>101.2</v>
      </c>
    </row>
    <row r="3313" spans="6:18" ht="24" customHeight="1">
      <c r="F3313" s="153">
        <v>4</v>
      </c>
      <c r="G3313" s="150" t="s">
        <v>883</v>
      </c>
      <c r="H3313" s="151" t="s">
        <v>1527</v>
      </c>
      <c r="I3313" s="153">
        <v>58</v>
      </c>
      <c r="J3313" s="149" t="s">
        <v>883</v>
      </c>
      <c r="K3313" s="153">
        <v>232</v>
      </c>
      <c r="M3313" s="153">
        <v>4</v>
      </c>
      <c r="N3313" s="150" t="s">
        <v>883</v>
      </c>
      <c r="O3313" s="151" t="s">
        <v>1527</v>
      </c>
      <c r="P3313" s="153">
        <f t="shared" si="218"/>
        <v>69.849999999999994</v>
      </c>
      <c r="Q3313" s="149" t="s">
        <v>883</v>
      </c>
      <c r="R3313" s="153">
        <f t="shared" si="217"/>
        <v>279.39999999999998</v>
      </c>
    </row>
    <row r="3314" spans="6:18" ht="24" customHeight="1">
      <c r="F3314" s="153">
        <v>2</v>
      </c>
      <c r="G3314" s="150" t="s">
        <v>883</v>
      </c>
      <c r="H3314" s="151" t="s">
        <v>3459</v>
      </c>
      <c r="I3314" s="153">
        <v>63</v>
      </c>
      <c r="J3314" s="149" t="s">
        <v>883</v>
      </c>
      <c r="K3314" s="153">
        <v>126</v>
      </c>
      <c r="M3314" s="153">
        <v>2</v>
      </c>
      <c r="N3314" s="150" t="s">
        <v>883</v>
      </c>
      <c r="O3314" s="151" t="s">
        <v>3459</v>
      </c>
      <c r="P3314" s="153">
        <f t="shared" si="218"/>
        <v>69.3</v>
      </c>
      <c r="Q3314" s="149" t="s">
        <v>883</v>
      </c>
      <c r="R3314" s="153">
        <f t="shared" si="217"/>
        <v>138.6</v>
      </c>
    </row>
    <row r="3315" spans="6:18" ht="24" customHeight="1">
      <c r="F3315" s="153">
        <v>1</v>
      </c>
      <c r="G3315" s="150" t="s">
        <v>883</v>
      </c>
      <c r="H3315" s="151" t="s">
        <v>3460</v>
      </c>
      <c r="I3315" s="153">
        <v>152</v>
      </c>
      <c r="J3315" s="149" t="s">
        <v>883</v>
      </c>
      <c r="K3315" s="153">
        <v>152</v>
      </c>
      <c r="M3315" s="153">
        <v>1</v>
      </c>
      <c r="N3315" s="150" t="s">
        <v>883</v>
      </c>
      <c r="O3315" s="151" t="s">
        <v>3460</v>
      </c>
      <c r="P3315" s="153">
        <f t="shared" si="218"/>
        <v>159.5</v>
      </c>
      <c r="Q3315" s="149" t="s">
        <v>883</v>
      </c>
      <c r="R3315" s="153">
        <f t="shared" si="217"/>
        <v>159.5</v>
      </c>
    </row>
    <row r="3316" spans="6:18" ht="24" customHeight="1">
      <c r="F3316" s="153">
        <v>1</v>
      </c>
      <c r="G3316" s="150" t="s">
        <v>883</v>
      </c>
      <c r="H3316" s="151" t="s">
        <v>3461</v>
      </c>
      <c r="I3316" s="153">
        <v>20</v>
      </c>
      <c r="J3316" s="149" t="s">
        <v>883</v>
      </c>
      <c r="K3316" s="153">
        <v>20</v>
      </c>
      <c r="M3316" s="153">
        <v>1</v>
      </c>
      <c r="N3316" s="150" t="s">
        <v>883</v>
      </c>
      <c r="O3316" s="151" t="s">
        <v>3461</v>
      </c>
      <c r="P3316" s="153">
        <f t="shared" si="218"/>
        <v>21</v>
      </c>
      <c r="Q3316" s="149" t="s">
        <v>883</v>
      </c>
      <c r="R3316" s="153">
        <f t="shared" si="217"/>
        <v>21</v>
      </c>
    </row>
    <row r="3317" spans="6:18" ht="24" customHeight="1">
      <c r="F3317" s="153">
        <v>1</v>
      </c>
      <c r="G3317" s="150" t="s">
        <v>883</v>
      </c>
      <c r="H3317" s="151" t="s">
        <v>3462</v>
      </c>
      <c r="I3317" s="153">
        <v>37</v>
      </c>
      <c r="J3317" s="149" t="s">
        <v>883</v>
      </c>
      <c r="K3317" s="153">
        <v>37</v>
      </c>
      <c r="M3317" s="153">
        <v>1</v>
      </c>
      <c r="N3317" s="150" t="s">
        <v>883</v>
      </c>
      <c r="O3317" s="151" t="s">
        <v>3462</v>
      </c>
      <c r="P3317" s="153">
        <f t="shared" si="218"/>
        <v>44.4</v>
      </c>
      <c r="Q3317" s="149" t="s">
        <v>883</v>
      </c>
      <c r="R3317" s="153">
        <f t="shared" si="217"/>
        <v>44.4</v>
      </c>
    </row>
    <row r="3318" spans="6:18" ht="24" customHeight="1">
      <c r="F3318" s="142"/>
      <c r="G3318" s="143"/>
      <c r="H3318" s="142" t="s">
        <v>1395</v>
      </c>
      <c r="I3318" s="142"/>
      <c r="J3318" s="145"/>
      <c r="K3318" s="517"/>
      <c r="M3318" s="142"/>
      <c r="N3318" s="143"/>
      <c r="O3318" s="142" t="s">
        <v>1395</v>
      </c>
      <c r="P3318" s="142"/>
      <c r="Q3318" s="145"/>
      <c r="R3318" s="517">
        <v>21.24</v>
      </c>
    </row>
    <row r="3319" spans="6:18" ht="24" customHeight="1">
      <c r="F3319" s="142"/>
      <c r="G3319" s="143"/>
      <c r="H3319" s="142"/>
      <c r="I3319" s="142"/>
      <c r="J3319" s="145"/>
      <c r="K3319" s="152" t="s">
        <v>1667</v>
      </c>
      <c r="M3319" s="142"/>
      <c r="N3319" s="143"/>
      <c r="O3319" s="142"/>
      <c r="P3319" s="142"/>
      <c r="Q3319" s="145"/>
      <c r="R3319" s="152" t="s">
        <v>1667</v>
      </c>
    </row>
    <row r="3320" spans="6:18" ht="24" customHeight="1">
      <c r="F3320" s="142"/>
      <c r="G3320" s="143"/>
      <c r="H3320" s="151" t="s">
        <v>2917</v>
      </c>
      <c r="I3320" s="142"/>
      <c r="J3320" s="145"/>
      <c r="K3320" s="153">
        <v>6067.81</v>
      </c>
      <c r="M3320" s="142"/>
      <c r="N3320" s="143"/>
      <c r="O3320" s="151" t="s">
        <v>2917</v>
      </c>
      <c r="P3320" s="142"/>
      <c r="Q3320" s="145"/>
      <c r="R3320" s="153">
        <f>SUM(R3308:R3318)</f>
        <v>8260.23</v>
      </c>
    </row>
    <row r="3321" spans="6:18" ht="24" customHeight="1">
      <c r="F3321" s="142"/>
      <c r="G3321" s="143"/>
      <c r="H3321" s="142"/>
      <c r="I3321" s="142"/>
      <c r="J3321" s="145"/>
      <c r="K3321" s="152" t="s">
        <v>1667</v>
      </c>
      <c r="M3321" s="142"/>
      <c r="N3321" s="143"/>
      <c r="O3321" s="142"/>
      <c r="P3321" s="142"/>
      <c r="Q3321" s="145"/>
      <c r="R3321" s="152" t="s">
        <v>1667</v>
      </c>
    </row>
    <row r="3322" spans="6:18" ht="24" customHeight="1">
      <c r="F3322" s="142"/>
      <c r="G3322" s="143"/>
      <c r="H3322" s="139" t="s">
        <v>555</v>
      </c>
      <c r="I3322" s="142"/>
      <c r="J3322" s="147" t="s">
        <v>732</v>
      </c>
      <c r="K3322" s="140">
        <v>2915.81</v>
      </c>
      <c r="M3322" s="142"/>
      <c r="N3322" s="143"/>
      <c r="O3322" s="139" t="s">
        <v>555</v>
      </c>
      <c r="P3322" s="142"/>
      <c r="Q3322" s="147" t="s">
        <v>732</v>
      </c>
      <c r="R3322" s="140">
        <f>R3320/M3311</f>
        <v>3969.36</v>
      </c>
    </row>
    <row r="3323" spans="6:18" ht="24" customHeight="1">
      <c r="K3323" s="5" t="s">
        <v>2130</v>
      </c>
      <c r="N3323" s="3"/>
      <c r="Q3323" s="11"/>
      <c r="R3323" s="5" t="s">
        <v>2130</v>
      </c>
    </row>
    <row r="3324" spans="6:18" ht="24" hidden="1" customHeight="1"/>
    <row r="3325" spans="6:18" ht="24" hidden="1" customHeight="1">
      <c r="N3325" s="3"/>
      <c r="O3325" s="38"/>
      <c r="Q3325" s="11"/>
    </row>
    <row r="3326" spans="6:18" ht="24" hidden="1" customHeight="1"/>
    <row r="3327" spans="6:18" ht="24" hidden="1" customHeight="1"/>
    <row r="3328" spans="6:18" ht="24" hidden="1" customHeight="1"/>
    <row r="3329" spans="13:18" ht="24" hidden="1" customHeight="1"/>
    <row r="3330" spans="13:18" ht="24" hidden="1" customHeight="1"/>
    <row r="3331" spans="13:18" ht="24" hidden="1" customHeight="1"/>
    <row r="3332" spans="13:18" ht="24" hidden="1" customHeight="1">
      <c r="M3332" s="149"/>
      <c r="N3332" s="150" t="s">
        <v>2338</v>
      </c>
      <c r="O3332" s="151" t="s">
        <v>3464</v>
      </c>
      <c r="P3332" s="142"/>
      <c r="Q3332" s="145"/>
      <c r="R3332" s="142"/>
    </row>
    <row r="3333" spans="13:18" ht="24" hidden="1" customHeight="1">
      <c r="M3333" s="142"/>
      <c r="N3333" s="143"/>
      <c r="O3333" s="151" t="s">
        <v>254</v>
      </c>
      <c r="P3333" s="142"/>
      <c r="Q3333" s="145"/>
      <c r="R3333" s="142"/>
    </row>
    <row r="3334" spans="13:18" ht="24" hidden="1" customHeight="1">
      <c r="M3334" s="142"/>
      <c r="N3334" s="143"/>
      <c r="O3334" s="507" t="s">
        <v>3470</v>
      </c>
      <c r="P3334" s="142"/>
      <c r="Q3334" s="145"/>
      <c r="R3334" s="142"/>
    </row>
    <row r="3335" spans="13:18" ht="24" hidden="1" customHeight="1">
      <c r="M3335" s="142"/>
      <c r="N3335" s="143"/>
      <c r="O3335" s="152" t="s">
        <v>1667</v>
      </c>
      <c r="P3335" s="142"/>
      <c r="Q3335" s="145"/>
      <c r="R3335" s="142"/>
    </row>
    <row r="3336" spans="13:18" ht="24" hidden="1" customHeight="1">
      <c r="M3336" s="142"/>
      <c r="N3336" s="143"/>
      <c r="O3336" s="151" t="s">
        <v>3471</v>
      </c>
      <c r="P3336" s="146" t="s">
        <v>2130</v>
      </c>
      <c r="Q3336" s="508">
        <v>2.4279999999999999</v>
      </c>
      <c r="R3336" s="142" t="s">
        <v>2371</v>
      </c>
    </row>
    <row r="3337" spans="13:18" ht="24" hidden="1" customHeight="1">
      <c r="M3337" s="142"/>
      <c r="N3337" s="143"/>
      <c r="O3337" s="151"/>
      <c r="P3337" s="146"/>
      <c r="Q3337" s="508"/>
      <c r="R3337" s="142"/>
    </row>
    <row r="3338" spans="13:18" ht="24" hidden="1" customHeight="1">
      <c r="M3338" s="142"/>
      <c r="N3338" s="143"/>
      <c r="O3338" s="151" t="s">
        <v>2966</v>
      </c>
      <c r="P3338" s="146" t="s">
        <v>2130</v>
      </c>
      <c r="Q3338" s="509">
        <v>5.1999999999999998E-2</v>
      </c>
      <c r="R3338" s="142" t="s">
        <v>2226</v>
      </c>
    </row>
    <row r="3339" spans="13:18" ht="24" hidden="1" customHeight="1">
      <c r="M3339" s="142"/>
      <c r="N3339" s="143"/>
      <c r="O3339" s="151" t="s">
        <v>3453</v>
      </c>
      <c r="Q3339" s="510"/>
      <c r="R3339" s="142"/>
    </row>
    <row r="3340" spans="13:18" ht="24" hidden="1" customHeight="1">
      <c r="M3340" s="142"/>
      <c r="N3340" s="143"/>
      <c r="O3340" s="151" t="s">
        <v>3472</v>
      </c>
      <c r="P3340" s="146" t="s">
        <v>2130</v>
      </c>
      <c r="Q3340" s="511">
        <v>1.772E-2</v>
      </c>
      <c r="R3340" s="142"/>
    </row>
    <row r="3341" spans="13:18" ht="24" hidden="1" customHeight="1">
      <c r="M3341" s="142"/>
      <c r="N3341" s="143"/>
      <c r="O3341" s="151" t="s">
        <v>3473</v>
      </c>
      <c r="P3341" s="146" t="s">
        <v>2130</v>
      </c>
      <c r="Q3341" s="512">
        <v>7.8750000000000001E-3</v>
      </c>
      <c r="R3341" s="162"/>
    </row>
    <row r="3342" spans="13:18" ht="24" hidden="1" customHeight="1">
      <c r="M3342" s="142"/>
      <c r="N3342" s="143"/>
      <c r="O3342" s="142"/>
      <c r="P3342" s="142"/>
      <c r="Q3342" s="152" t="s">
        <v>1667</v>
      </c>
    </row>
    <row r="3343" spans="13:18" ht="24" hidden="1" customHeight="1">
      <c r="M3343" s="142"/>
      <c r="N3343" s="143"/>
      <c r="O3343" s="142"/>
      <c r="P3343" s="142"/>
      <c r="Q3343" s="513">
        <v>2.5600000000000001E-2</v>
      </c>
      <c r="R3343" t="s">
        <v>2226</v>
      </c>
    </row>
    <row r="3344" spans="13:18" ht="24" hidden="1" customHeight="1">
      <c r="M3344" s="142"/>
      <c r="N3344" s="143"/>
      <c r="O3344" s="142"/>
      <c r="P3344" s="142"/>
      <c r="Q3344" s="152" t="s">
        <v>1667</v>
      </c>
    </row>
    <row r="3345" spans="13:18" ht="24" hidden="1" customHeight="1">
      <c r="M3345" s="142"/>
      <c r="N3345" s="143"/>
      <c r="O3345" s="151" t="s">
        <v>2487</v>
      </c>
      <c r="P3345" s="142"/>
      <c r="Q3345" s="201">
        <v>0.58750000000000002</v>
      </c>
      <c r="R3345" s="167" t="s">
        <v>2371</v>
      </c>
    </row>
    <row r="3346" spans="13:18" ht="24" hidden="1" customHeight="1">
      <c r="M3346" s="142"/>
      <c r="N3346" s="143"/>
      <c r="O3346" s="151" t="s">
        <v>2488</v>
      </c>
      <c r="P3346" s="142"/>
      <c r="Q3346" s="516">
        <v>5.3E-3</v>
      </c>
      <c r="R3346" s="167" t="s">
        <v>2226</v>
      </c>
    </row>
    <row r="3347" spans="13:18" ht="24" hidden="1" customHeight="1">
      <c r="M3347" s="142"/>
      <c r="N3347" s="143"/>
      <c r="O3347" s="151" t="s">
        <v>2489</v>
      </c>
      <c r="P3347" s="142"/>
      <c r="Q3347" s="516">
        <v>6.7</v>
      </c>
      <c r="R3347" s="167" t="s">
        <v>840</v>
      </c>
    </row>
    <row r="3348" spans="13:18" ht="24" hidden="1" customHeight="1">
      <c r="M3348" s="142"/>
      <c r="N3348" s="143"/>
      <c r="O3348" s="142"/>
      <c r="P3348" s="142"/>
      <c r="Q3348" s="152"/>
      <c r="R3348" s="152"/>
    </row>
    <row r="3349" spans="13:18" ht="24" hidden="1" customHeight="1">
      <c r="M3349" s="162">
        <v>5.1999999999999998E-2</v>
      </c>
      <c r="N3349" s="150" t="s">
        <v>884</v>
      </c>
      <c r="O3349" s="151" t="s">
        <v>313</v>
      </c>
      <c r="P3349" s="153">
        <f>P3135</f>
        <v>102600</v>
      </c>
      <c r="Q3349" s="149" t="s">
        <v>884</v>
      </c>
      <c r="R3349" s="153">
        <v>3824.34</v>
      </c>
    </row>
    <row r="3350" spans="13:18" ht="24" hidden="1" customHeight="1">
      <c r="M3350" s="162">
        <v>2.5600000000000001E-2</v>
      </c>
      <c r="N3350" s="150" t="s">
        <v>884</v>
      </c>
      <c r="O3350" s="151" t="s">
        <v>314</v>
      </c>
      <c r="P3350" s="153">
        <f>P3136</f>
        <v>91300</v>
      </c>
      <c r="Q3350" s="149" t="s">
        <v>884</v>
      </c>
      <c r="R3350" s="153">
        <v>1675.39</v>
      </c>
    </row>
    <row r="3351" spans="13:18" ht="24" hidden="1" customHeight="1">
      <c r="M3351" s="162">
        <v>5.3E-3</v>
      </c>
      <c r="N3351" s="150" t="s">
        <v>884</v>
      </c>
      <c r="O3351" s="151" t="s">
        <v>3457</v>
      </c>
      <c r="P3351" s="153">
        <f>P3137</f>
        <v>81290</v>
      </c>
      <c r="Q3351" s="149" t="s">
        <v>884</v>
      </c>
      <c r="R3351" s="153">
        <v>331.49</v>
      </c>
    </row>
    <row r="3352" spans="13:18" ht="24" hidden="1" customHeight="1">
      <c r="M3352" s="164"/>
      <c r="N3352" s="143"/>
      <c r="O3352" s="151" t="s">
        <v>963</v>
      </c>
      <c r="P3352" s="153"/>
      <c r="Q3352" s="145"/>
      <c r="R3352" s="153">
        <v>0</v>
      </c>
    </row>
    <row r="3353" spans="13:18" ht="24" hidden="1" customHeight="1">
      <c r="M3353" s="164">
        <v>0.58750000000000002</v>
      </c>
      <c r="N3353" s="150" t="s">
        <v>611</v>
      </c>
      <c r="O3353" s="151" t="s">
        <v>3467</v>
      </c>
      <c r="P3353" s="153">
        <f t="shared" ref="P3353:P3361" si="219">P3139</f>
        <v>352</v>
      </c>
      <c r="Q3353" s="145" t="s">
        <v>611</v>
      </c>
      <c r="R3353" s="153">
        <v>188</v>
      </c>
    </row>
    <row r="3354" spans="13:18" ht="24" hidden="1" customHeight="1">
      <c r="M3354" s="164">
        <v>6.7</v>
      </c>
      <c r="N3354" s="150" t="s">
        <v>1854</v>
      </c>
      <c r="O3354" s="151" t="s">
        <v>3469</v>
      </c>
      <c r="P3354" s="153">
        <f t="shared" si="219"/>
        <v>13.1</v>
      </c>
      <c r="Q3354" s="145" t="s">
        <v>840</v>
      </c>
      <c r="R3354" s="153">
        <v>80.400000000000006</v>
      </c>
    </row>
    <row r="3355" spans="13:18" ht="24" hidden="1" customHeight="1">
      <c r="M3355" s="164">
        <v>2.4279999999999999</v>
      </c>
      <c r="N3355" s="150" t="s">
        <v>611</v>
      </c>
      <c r="O3355" s="151" t="s">
        <v>446</v>
      </c>
      <c r="P3355" s="153">
        <f t="shared" si="219"/>
        <v>467</v>
      </c>
      <c r="Q3355" s="149" t="s">
        <v>611</v>
      </c>
      <c r="R3355" s="153">
        <v>984.19</v>
      </c>
    </row>
    <row r="3356" spans="13:18" ht="24" hidden="1" customHeight="1">
      <c r="M3356" s="153">
        <v>4</v>
      </c>
      <c r="N3356" s="150" t="s">
        <v>781</v>
      </c>
      <c r="O3356" s="151" t="s">
        <v>3458</v>
      </c>
      <c r="P3356" s="153">
        <f t="shared" si="219"/>
        <v>50.6</v>
      </c>
      <c r="Q3356" s="149" t="s">
        <v>883</v>
      </c>
      <c r="R3356" s="153">
        <v>168</v>
      </c>
    </row>
    <row r="3357" spans="13:18" ht="24" hidden="1" customHeight="1">
      <c r="M3357" s="153">
        <v>8</v>
      </c>
      <c r="N3357" s="150" t="s">
        <v>883</v>
      </c>
      <c r="O3357" s="151" t="s">
        <v>1527</v>
      </c>
      <c r="P3357" s="153">
        <f t="shared" si="219"/>
        <v>69.849999999999994</v>
      </c>
      <c r="Q3357" s="149" t="s">
        <v>883</v>
      </c>
      <c r="R3357" s="153">
        <v>464</v>
      </c>
    </row>
    <row r="3358" spans="13:18" ht="24" hidden="1" customHeight="1">
      <c r="M3358" s="153">
        <v>4</v>
      </c>
      <c r="N3358" s="150" t="s">
        <v>883</v>
      </c>
      <c r="O3358" s="151" t="s">
        <v>3459</v>
      </c>
      <c r="P3358" s="153">
        <f t="shared" si="219"/>
        <v>69.3</v>
      </c>
      <c r="Q3358" s="149" t="s">
        <v>883</v>
      </c>
      <c r="R3358" s="153">
        <v>252</v>
      </c>
    </row>
    <row r="3359" spans="13:18" ht="24" hidden="1" customHeight="1">
      <c r="M3359" s="153">
        <v>1</v>
      </c>
      <c r="N3359" s="150" t="s">
        <v>883</v>
      </c>
      <c r="O3359" s="151" t="s">
        <v>3460</v>
      </c>
      <c r="P3359" s="153">
        <f t="shared" si="219"/>
        <v>159.5</v>
      </c>
      <c r="Q3359" s="149" t="s">
        <v>883</v>
      </c>
      <c r="R3359" s="153">
        <v>152</v>
      </c>
    </row>
    <row r="3360" spans="13:18" ht="24" hidden="1" customHeight="1">
      <c r="M3360" s="153">
        <v>2</v>
      </c>
      <c r="N3360" s="150" t="s">
        <v>883</v>
      </c>
      <c r="O3360" s="151" t="s">
        <v>3461</v>
      </c>
      <c r="P3360" s="153">
        <f t="shared" si="219"/>
        <v>21</v>
      </c>
      <c r="Q3360" s="149" t="s">
        <v>883</v>
      </c>
      <c r="R3360" s="153">
        <v>40</v>
      </c>
    </row>
    <row r="3361" spans="6:18" ht="24" hidden="1" customHeight="1">
      <c r="M3361" s="153">
        <v>2</v>
      </c>
      <c r="N3361" s="150" t="s">
        <v>883</v>
      </c>
      <c r="O3361" s="151" t="s">
        <v>3462</v>
      </c>
      <c r="P3361" s="153">
        <f t="shared" si="219"/>
        <v>44.4</v>
      </c>
      <c r="Q3361" s="149" t="s">
        <v>883</v>
      </c>
      <c r="R3361" s="153">
        <v>74</v>
      </c>
    </row>
    <row r="3362" spans="6:18" ht="24" hidden="1" customHeight="1">
      <c r="M3362" s="142"/>
      <c r="N3362" s="143"/>
      <c r="O3362" s="142" t="s">
        <v>1395</v>
      </c>
      <c r="P3362" s="142"/>
      <c r="Q3362" s="145"/>
      <c r="R3362" s="517">
        <v>21.4</v>
      </c>
    </row>
    <row r="3363" spans="6:18" ht="24" hidden="1" customHeight="1">
      <c r="M3363" s="142"/>
      <c r="N3363" s="143"/>
      <c r="O3363" s="142"/>
      <c r="P3363" s="142"/>
      <c r="Q3363" s="145"/>
      <c r="R3363" s="152" t="s">
        <v>1667</v>
      </c>
    </row>
    <row r="3364" spans="6:18" ht="24" hidden="1" customHeight="1">
      <c r="M3364" s="142"/>
      <c r="N3364" s="143"/>
      <c r="O3364" s="151" t="s">
        <v>3477</v>
      </c>
      <c r="P3364" s="142"/>
      <c r="Q3364" s="145"/>
      <c r="R3364" s="153">
        <f>SUM(R3349:R3363)</f>
        <v>8255.2099999999991</v>
      </c>
    </row>
    <row r="3365" spans="6:18" ht="24" hidden="1" customHeight="1">
      <c r="M3365" s="142"/>
      <c r="N3365" s="143"/>
      <c r="O3365" s="142"/>
      <c r="P3365" s="142"/>
      <c r="Q3365" s="145"/>
      <c r="R3365" s="152" t="s">
        <v>1667</v>
      </c>
    </row>
    <row r="3366" spans="6:18" ht="24" hidden="1" customHeight="1">
      <c r="M3366" s="142"/>
      <c r="N3366" s="143"/>
      <c r="O3366" s="139" t="s">
        <v>555</v>
      </c>
      <c r="P3366" s="142"/>
      <c r="Q3366" s="147" t="s">
        <v>732</v>
      </c>
      <c r="R3366" s="140">
        <f>R3364/M3355</f>
        <v>3400</v>
      </c>
    </row>
    <row r="3367" spans="6:18" ht="24" hidden="1" customHeight="1"/>
    <row r="3368" spans="6:18" ht="24" hidden="1" customHeight="1"/>
    <row r="3369" spans="6:18" ht="24" hidden="1" customHeight="1"/>
    <row r="3370" spans="6:18" ht="24" hidden="1" customHeight="1">
      <c r="M3370" s="26">
        <v>29.5</v>
      </c>
      <c r="N3370" s="7" t="s">
        <v>2338</v>
      </c>
      <c r="O3370" s="1" t="s">
        <v>3287</v>
      </c>
      <c r="Q3370" s="4"/>
    </row>
    <row r="3371" spans="6:18" ht="24" customHeight="1">
      <c r="F3371" s="26">
        <v>29.5</v>
      </c>
      <c r="G3371" s="7" t="s">
        <v>2338</v>
      </c>
      <c r="H3371" s="1" t="s">
        <v>3287</v>
      </c>
      <c r="J3371" s="4"/>
      <c r="N3371" s="3"/>
      <c r="O3371" s="1" t="s">
        <v>3288</v>
      </c>
      <c r="Q3371" s="4"/>
    </row>
    <row r="3372" spans="6:18" ht="24" customHeight="1">
      <c r="H3372" s="1" t="s">
        <v>3288</v>
      </c>
      <c r="J3372" s="4"/>
      <c r="N3372" s="3"/>
      <c r="O3372" s="1" t="s">
        <v>2012</v>
      </c>
      <c r="Q3372" s="4"/>
    </row>
    <row r="3373" spans="6:18" ht="24" customHeight="1">
      <c r="H3373" s="1" t="s">
        <v>2012</v>
      </c>
      <c r="J3373" s="4"/>
      <c r="N3373" s="3"/>
      <c r="O3373" s="5" t="s">
        <v>1667</v>
      </c>
      <c r="P3373" s="5" t="s">
        <v>1667</v>
      </c>
      <c r="Q3373" s="4"/>
      <c r="R3373" s="8"/>
    </row>
    <row r="3374" spans="6:18" ht="24" customHeight="1">
      <c r="H3374" s="5" t="s">
        <v>1667</v>
      </c>
      <c r="I3374" s="5" t="s">
        <v>1667</v>
      </c>
      <c r="J3374" s="4"/>
      <c r="K3374" s="8"/>
      <c r="M3374" s="8">
        <v>10</v>
      </c>
      <c r="N3374" s="7" t="s">
        <v>611</v>
      </c>
      <c r="O3374" s="35" t="s">
        <v>3637</v>
      </c>
      <c r="P3374" s="544">
        <f>I3375</f>
        <v>412</v>
      </c>
      <c r="Q3374" s="2" t="s">
        <v>611</v>
      </c>
      <c r="R3374" s="8">
        <f>P3374*M3374</f>
        <v>4120</v>
      </c>
    </row>
    <row r="3375" spans="6:18" ht="24" customHeight="1">
      <c r="F3375" s="8">
        <v>10</v>
      </c>
      <c r="G3375" s="7" t="s">
        <v>611</v>
      </c>
      <c r="H3375" s="35" t="s">
        <v>3637</v>
      </c>
      <c r="I3375" s="43">
        <v>412</v>
      </c>
      <c r="J3375" s="2" t="s">
        <v>611</v>
      </c>
      <c r="K3375" s="8">
        <f>F3375*I3375</f>
        <v>4120</v>
      </c>
      <c r="M3375" s="8">
        <v>0.21</v>
      </c>
      <c r="N3375" s="7" t="s">
        <v>884</v>
      </c>
      <c r="O3375" s="1" t="s">
        <v>1953</v>
      </c>
      <c r="P3375" s="544">
        <f t="shared" ref="P3375:P3385" si="220">I3376</f>
        <v>3479.01</v>
      </c>
      <c r="Q3375" s="2" t="s">
        <v>884</v>
      </c>
      <c r="R3375" s="8">
        <f t="shared" ref="R3375:R3385" si="221">P3375*M3375</f>
        <v>730.59</v>
      </c>
    </row>
    <row r="3376" spans="6:18" ht="24" customHeight="1">
      <c r="F3376" s="8">
        <v>0.21</v>
      </c>
      <c r="G3376" s="7" t="s">
        <v>884</v>
      </c>
      <c r="H3376" s="1" t="s">
        <v>1953</v>
      </c>
      <c r="I3376" s="8">
        <f>K32</f>
        <v>3479.01</v>
      </c>
      <c r="J3376" s="2" t="s">
        <v>884</v>
      </c>
      <c r="K3376" s="8">
        <f>(F3376*I3376)</f>
        <v>730.59</v>
      </c>
      <c r="N3376" s="3"/>
      <c r="O3376" s="1" t="s">
        <v>1954</v>
      </c>
      <c r="P3376" s="544">
        <f t="shared" si="220"/>
        <v>0</v>
      </c>
      <c r="Q3376" s="4"/>
      <c r="R3376" s="8">
        <f t="shared" si="221"/>
        <v>0</v>
      </c>
    </row>
    <row r="3377" spans="6:18" ht="24" customHeight="1">
      <c r="H3377" s="1" t="s">
        <v>1954</v>
      </c>
      <c r="I3377" s="8"/>
      <c r="J3377" s="4"/>
      <c r="K3377" s="1" t="s">
        <v>995</v>
      </c>
      <c r="M3377" s="8">
        <v>1.1000000000000001</v>
      </c>
      <c r="N3377" s="7" t="s">
        <v>781</v>
      </c>
      <c r="O3377" s="1" t="s">
        <v>2082</v>
      </c>
      <c r="P3377" s="544">
        <f t="shared" si="220"/>
        <v>430.5</v>
      </c>
      <c r="Q3377" s="2" t="s">
        <v>781</v>
      </c>
      <c r="R3377" s="8">
        <f t="shared" si="221"/>
        <v>473.55</v>
      </c>
    </row>
    <row r="3378" spans="6:18" ht="24" customHeight="1">
      <c r="F3378" s="8">
        <v>1.1000000000000001</v>
      </c>
      <c r="G3378" s="7" t="s">
        <v>781</v>
      </c>
      <c r="H3378" s="1" t="s">
        <v>2082</v>
      </c>
      <c r="I3378" s="8">
        <f>C10</f>
        <v>430.5</v>
      </c>
      <c r="J3378" s="2" t="s">
        <v>781</v>
      </c>
      <c r="K3378" s="8">
        <f>(F3378*I3378)</f>
        <v>473.55</v>
      </c>
      <c r="M3378" s="8">
        <v>1.1000000000000001</v>
      </c>
      <c r="N3378" s="7" t="s">
        <v>781</v>
      </c>
      <c r="O3378" s="1" t="s">
        <v>1791</v>
      </c>
      <c r="P3378" s="544">
        <f t="shared" si="220"/>
        <v>386.4</v>
      </c>
      <c r="Q3378" s="2" t="s">
        <v>781</v>
      </c>
      <c r="R3378" s="8">
        <f t="shared" si="221"/>
        <v>425.04</v>
      </c>
    </row>
    <row r="3379" spans="6:18" ht="24" customHeight="1">
      <c r="F3379" s="8">
        <v>1.1000000000000001</v>
      </c>
      <c r="G3379" s="7" t="s">
        <v>781</v>
      </c>
      <c r="H3379" s="1" t="s">
        <v>1791</v>
      </c>
      <c r="I3379" s="8">
        <f>C11</f>
        <v>386.4</v>
      </c>
      <c r="J3379" s="2" t="s">
        <v>781</v>
      </c>
      <c r="K3379" s="8">
        <f>(F3379*I3379)</f>
        <v>425.04</v>
      </c>
      <c r="M3379" s="8">
        <v>2.2000000000000002</v>
      </c>
      <c r="N3379" s="7" t="s">
        <v>781</v>
      </c>
      <c r="O3379" s="1" t="s">
        <v>1979</v>
      </c>
      <c r="P3379" s="544">
        <f t="shared" si="220"/>
        <v>269.85000000000002</v>
      </c>
      <c r="Q3379" s="2" t="s">
        <v>781</v>
      </c>
      <c r="R3379" s="8">
        <f t="shared" si="221"/>
        <v>593.66999999999996</v>
      </c>
    </row>
    <row r="3380" spans="6:18" ht="24" customHeight="1">
      <c r="F3380" s="8">
        <v>2.2000000000000002</v>
      </c>
      <c r="G3380" s="7" t="s">
        <v>781</v>
      </c>
      <c r="H3380" s="1" t="s">
        <v>1979</v>
      </c>
      <c r="I3380" s="8">
        <f>C12</f>
        <v>269.85000000000002</v>
      </c>
      <c r="J3380" s="2" t="s">
        <v>781</v>
      </c>
      <c r="K3380" s="8">
        <f>(F3380*I3380)</f>
        <v>593.66999999999996</v>
      </c>
      <c r="M3380" s="8">
        <v>2.2000000000000002</v>
      </c>
      <c r="N3380" s="7" t="s">
        <v>781</v>
      </c>
      <c r="O3380" s="1" t="s">
        <v>324</v>
      </c>
      <c r="P3380" s="544">
        <f t="shared" si="220"/>
        <v>243.6</v>
      </c>
      <c r="Q3380" s="2" t="s">
        <v>781</v>
      </c>
      <c r="R3380" s="8">
        <f t="shared" si="221"/>
        <v>535.91999999999996</v>
      </c>
    </row>
    <row r="3381" spans="6:18" ht="24" customHeight="1">
      <c r="F3381" s="8">
        <v>2.2000000000000002</v>
      </c>
      <c r="G3381" s="7" t="s">
        <v>781</v>
      </c>
      <c r="H3381" s="1" t="s">
        <v>324</v>
      </c>
      <c r="I3381" s="8">
        <f>C13</f>
        <v>243.6</v>
      </c>
      <c r="J3381" s="2" t="s">
        <v>781</v>
      </c>
      <c r="K3381" s="8">
        <f>(F3381*I3381)</f>
        <v>535.91999999999996</v>
      </c>
      <c r="M3381" s="14">
        <v>20</v>
      </c>
      <c r="N3381" s="7" t="s">
        <v>1730</v>
      </c>
      <c r="O3381" s="1" t="s">
        <v>877</v>
      </c>
      <c r="P3381" s="544">
        <f t="shared" si="220"/>
        <v>5600</v>
      </c>
      <c r="Q3381" s="2" t="s">
        <v>876</v>
      </c>
      <c r="R3381" s="8">
        <f>P3381*M3381/1000</f>
        <v>112</v>
      </c>
    </row>
    <row r="3382" spans="6:18" ht="24" customHeight="1">
      <c r="F3382" s="14">
        <v>20</v>
      </c>
      <c r="G3382" s="7" t="s">
        <v>1730</v>
      </c>
      <c r="H3382" s="1" t="s">
        <v>877</v>
      </c>
      <c r="I3382" s="8">
        <f>AA31</f>
        <v>5600</v>
      </c>
      <c r="J3382" s="2" t="s">
        <v>876</v>
      </c>
      <c r="K3382" s="8">
        <f>(F3382*I3382)/1000</f>
        <v>112</v>
      </c>
      <c r="M3382" s="14">
        <v>2</v>
      </c>
      <c r="N3382" s="7" t="s">
        <v>1730</v>
      </c>
      <c r="O3382" s="1" t="s">
        <v>3071</v>
      </c>
      <c r="P3382" s="544">
        <f>P1176</f>
        <v>24.83</v>
      </c>
      <c r="Q3382" s="2" t="s">
        <v>1730</v>
      </c>
      <c r="R3382" s="8">
        <f t="shared" si="221"/>
        <v>49.66</v>
      </c>
    </row>
    <row r="3383" spans="6:18" ht="24" customHeight="1">
      <c r="F3383" s="14">
        <v>2</v>
      </c>
      <c r="G3383" s="7" t="s">
        <v>1730</v>
      </c>
      <c r="H3383" s="1" t="s">
        <v>2154</v>
      </c>
      <c r="I3383" s="8">
        <f>I1203</f>
        <v>35</v>
      </c>
      <c r="J3383" s="2" t="s">
        <v>1730</v>
      </c>
      <c r="K3383" s="8">
        <f>(F3383*I3383)</f>
        <v>70</v>
      </c>
      <c r="M3383" s="8">
        <v>1.6</v>
      </c>
      <c r="N3383" s="7" t="s">
        <v>781</v>
      </c>
      <c r="O3383" s="1" t="s">
        <v>1791</v>
      </c>
      <c r="P3383" s="544">
        <f t="shared" si="220"/>
        <v>386.4</v>
      </c>
      <c r="Q3383" s="2" t="s">
        <v>781</v>
      </c>
      <c r="R3383" s="8">
        <f t="shared" si="221"/>
        <v>618.24</v>
      </c>
    </row>
    <row r="3384" spans="6:18" ht="24" customHeight="1">
      <c r="F3384" s="8">
        <v>1.6</v>
      </c>
      <c r="G3384" s="7" t="s">
        <v>781</v>
      </c>
      <c r="H3384" s="1" t="s">
        <v>1791</v>
      </c>
      <c r="I3384" s="8">
        <f>I3379</f>
        <v>386.4</v>
      </c>
      <c r="J3384" s="2" t="s">
        <v>781</v>
      </c>
      <c r="K3384" s="8">
        <f>(F3384*I3384)</f>
        <v>618.24</v>
      </c>
      <c r="M3384" s="8">
        <v>0.5</v>
      </c>
      <c r="N3384" s="7" t="s">
        <v>781</v>
      </c>
      <c r="O3384" s="1" t="s">
        <v>1979</v>
      </c>
      <c r="P3384" s="544">
        <f t="shared" si="220"/>
        <v>269.85000000000002</v>
      </c>
      <c r="Q3384" s="2" t="s">
        <v>781</v>
      </c>
      <c r="R3384" s="8">
        <f t="shared" si="221"/>
        <v>134.93</v>
      </c>
    </row>
    <row r="3385" spans="6:18" ht="24" customHeight="1">
      <c r="F3385" s="8">
        <v>0.5</v>
      </c>
      <c r="G3385" s="7" t="s">
        <v>781</v>
      </c>
      <c r="H3385" s="1" t="s">
        <v>1979</v>
      </c>
      <c r="I3385" s="8">
        <f>I3380</f>
        <v>269.85000000000002</v>
      </c>
      <c r="J3385" s="2" t="s">
        <v>781</v>
      </c>
      <c r="K3385" s="8">
        <f>(F3385*I3385)</f>
        <v>134.93</v>
      </c>
      <c r="M3385" s="8">
        <v>1.1000000000000001</v>
      </c>
      <c r="N3385" s="7" t="s">
        <v>781</v>
      </c>
      <c r="O3385" s="1" t="s">
        <v>324</v>
      </c>
      <c r="P3385" s="544">
        <f t="shared" si="220"/>
        <v>243.6</v>
      </c>
      <c r="Q3385" s="2" t="s">
        <v>781</v>
      </c>
      <c r="R3385" s="8">
        <f t="shared" si="221"/>
        <v>267.95999999999998</v>
      </c>
    </row>
    <row r="3386" spans="6:18" ht="24" customHeight="1">
      <c r="F3386" s="8">
        <v>1.1000000000000001</v>
      </c>
      <c r="G3386" s="7" t="s">
        <v>781</v>
      </c>
      <c r="H3386" s="1" t="s">
        <v>324</v>
      </c>
      <c r="I3386" s="8">
        <f>I3381</f>
        <v>243.6</v>
      </c>
      <c r="J3386" s="2" t="s">
        <v>781</v>
      </c>
      <c r="K3386" s="8">
        <f>(F3386*I3386)</f>
        <v>267.95999999999998</v>
      </c>
      <c r="N3386" s="7" t="s">
        <v>448</v>
      </c>
      <c r="O3386" s="1" t="s">
        <v>449</v>
      </c>
      <c r="P3386" s="8">
        <v>0</v>
      </c>
      <c r="Q3386" s="2" t="s">
        <v>448</v>
      </c>
      <c r="R3386" s="8">
        <v>0</v>
      </c>
    </row>
    <row r="3387" spans="6:18" ht="24" customHeight="1">
      <c r="G3387" s="7" t="s">
        <v>448</v>
      </c>
      <c r="H3387" s="1" t="s">
        <v>449</v>
      </c>
      <c r="I3387" s="8">
        <f>I1209</f>
        <v>0</v>
      </c>
      <c r="J3387" s="2" t="s">
        <v>448</v>
      </c>
      <c r="K3387" s="8">
        <v>0</v>
      </c>
      <c r="N3387" s="3"/>
      <c r="Q3387" s="4"/>
      <c r="R3387" s="5" t="s">
        <v>1667</v>
      </c>
    </row>
    <row r="3388" spans="6:18" ht="24" customHeight="1">
      <c r="J3388" s="4"/>
      <c r="K3388" s="5" t="s">
        <v>1667</v>
      </c>
      <c r="N3388" s="3"/>
      <c r="O3388" s="1" t="s">
        <v>440</v>
      </c>
      <c r="Q3388" s="4"/>
      <c r="R3388" s="8">
        <f>SUM(R3374:R3387)</f>
        <v>8061.56</v>
      </c>
    </row>
    <row r="3389" spans="6:18" ht="24" customHeight="1">
      <c r="H3389" s="1" t="s">
        <v>440</v>
      </c>
      <c r="J3389" s="4"/>
      <c r="K3389" s="8">
        <f>SUM(K3375:K3387)</f>
        <v>8081.9</v>
      </c>
      <c r="N3389" s="3"/>
      <c r="Q3389" s="4"/>
      <c r="R3389" s="5" t="s">
        <v>1667</v>
      </c>
    </row>
    <row r="3390" spans="6:18" ht="24" customHeight="1">
      <c r="J3390" s="4"/>
      <c r="K3390" s="5" t="s">
        <v>1667</v>
      </c>
      <c r="N3390" s="3"/>
      <c r="O3390" s="1" t="s">
        <v>555</v>
      </c>
      <c r="Q3390" s="4"/>
      <c r="R3390" s="40">
        <f>R3388/10</f>
        <v>806.16</v>
      </c>
    </row>
    <row r="3391" spans="6:18" ht="24" customHeight="1">
      <c r="H3391" s="1" t="s">
        <v>555</v>
      </c>
      <c r="J3391" s="4"/>
      <c r="K3391" s="40">
        <f>(K3389/10)</f>
        <v>808.19</v>
      </c>
      <c r="N3391" s="3"/>
      <c r="Q3391" s="4"/>
      <c r="R3391" s="5" t="s">
        <v>2130</v>
      </c>
    </row>
    <row r="3392" spans="6:18" ht="24" customHeight="1">
      <c r="J3392" s="4"/>
      <c r="K3392" s="5" t="s">
        <v>2130</v>
      </c>
    </row>
    <row r="3397" spans="6:11" ht="45.75" customHeight="1">
      <c r="G3397" s="524">
        <v>90</v>
      </c>
      <c r="H3397" s="188" t="s">
        <v>2569</v>
      </c>
    </row>
    <row r="3398" spans="6:11" ht="24" customHeight="1">
      <c r="F3398" s="506">
        <v>3.8100000000000002E-2</v>
      </c>
      <c r="G3398" s="59" t="s">
        <v>884</v>
      </c>
      <c r="H3398" s="60" t="s">
        <v>2570</v>
      </c>
      <c r="I3398">
        <f>I3308</f>
        <v>102600</v>
      </c>
      <c r="J3398">
        <f>J2200</f>
        <v>0</v>
      </c>
      <c r="K3398">
        <f>F3398*I3398</f>
        <v>3909.06</v>
      </c>
    </row>
    <row r="3399" spans="6:11" ht="24" customHeight="1">
      <c r="F3399" s="56">
        <v>2.4E-2</v>
      </c>
      <c r="G3399" s="59" t="s">
        <v>884</v>
      </c>
      <c r="H3399" s="60" t="s">
        <v>2571</v>
      </c>
      <c r="I3399">
        <f>I3309</f>
        <v>91300</v>
      </c>
      <c r="J3399">
        <f>J2201</f>
        <v>0</v>
      </c>
      <c r="K3399">
        <f t="shared" ref="K3399:K3412" si="222">F3399*I3399</f>
        <v>2191.1999999999998</v>
      </c>
    </row>
    <row r="3400" spans="6:11" ht="24" customHeight="1">
      <c r="F3400">
        <v>0.01</v>
      </c>
      <c r="G3400" s="59" t="s">
        <v>884</v>
      </c>
      <c r="H3400" s="1" t="s">
        <v>315</v>
      </c>
      <c r="I3400">
        <f>I2736</f>
        <v>87300</v>
      </c>
      <c r="J3400">
        <f>J2202</f>
        <v>0</v>
      </c>
      <c r="K3400">
        <f t="shared" si="222"/>
        <v>873</v>
      </c>
    </row>
    <row r="3401" spans="6:11" ht="24" customHeight="1">
      <c r="H3401" s="1" t="s">
        <v>445</v>
      </c>
    </row>
    <row r="3402" spans="6:11" ht="24" customHeight="1">
      <c r="F3402">
        <v>1.05</v>
      </c>
      <c r="G3402" s="7" t="s">
        <v>611</v>
      </c>
      <c r="H3402" t="s">
        <v>2578</v>
      </c>
      <c r="I3402">
        <v>336</v>
      </c>
      <c r="J3402" s="11" t="s">
        <v>611</v>
      </c>
      <c r="K3402">
        <f t="shared" si="222"/>
        <v>352.8</v>
      </c>
    </row>
    <row r="3403" spans="6:11" ht="24" customHeight="1">
      <c r="F3403">
        <v>12</v>
      </c>
      <c r="G3403" s="7" t="s">
        <v>364</v>
      </c>
      <c r="H3403" t="s">
        <v>2572</v>
      </c>
      <c r="I3403">
        <f>I2458</f>
        <v>65</v>
      </c>
      <c r="J3403" s="11" t="s">
        <v>364</v>
      </c>
      <c r="K3403">
        <f t="shared" si="222"/>
        <v>780</v>
      </c>
    </row>
    <row r="3404" spans="6:11" ht="24" customHeight="1">
      <c r="F3404">
        <v>2.85</v>
      </c>
      <c r="G3404" s="7" t="s">
        <v>611</v>
      </c>
      <c r="H3404" t="s">
        <v>2573</v>
      </c>
      <c r="I3404">
        <f>D31</f>
        <v>619.5</v>
      </c>
      <c r="J3404" s="11" t="s">
        <v>611</v>
      </c>
      <c r="K3404">
        <f t="shared" si="222"/>
        <v>1765.58</v>
      </c>
    </row>
    <row r="3405" spans="6:11" ht="24" customHeight="1">
      <c r="F3405">
        <v>6</v>
      </c>
      <c r="G3405" s="7" t="s">
        <v>1454</v>
      </c>
      <c r="H3405" s="1" t="s">
        <v>1527</v>
      </c>
      <c r="I3405">
        <f>I2740</f>
        <v>69.849999999999994</v>
      </c>
      <c r="J3405" s="11" t="s">
        <v>781</v>
      </c>
      <c r="K3405">
        <f t="shared" si="222"/>
        <v>419.1</v>
      </c>
    </row>
    <row r="3406" spans="6:11" ht="24" customHeight="1">
      <c r="F3406">
        <v>1</v>
      </c>
      <c r="G3406" s="7" t="s">
        <v>1454</v>
      </c>
      <c r="H3406" t="s">
        <v>2574</v>
      </c>
      <c r="I3406">
        <f>I2742</f>
        <v>158.4</v>
      </c>
      <c r="J3406" s="11" t="s">
        <v>781</v>
      </c>
      <c r="K3406">
        <f t="shared" si="222"/>
        <v>158.4</v>
      </c>
    </row>
    <row r="3407" spans="6:11" ht="24" customHeight="1">
      <c r="F3407">
        <v>3</v>
      </c>
      <c r="G3407" s="7" t="s">
        <v>1454</v>
      </c>
      <c r="H3407" s="1" t="s">
        <v>1528</v>
      </c>
      <c r="I3407">
        <f>I2741</f>
        <v>50.6</v>
      </c>
      <c r="J3407" s="11" t="s">
        <v>781</v>
      </c>
      <c r="K3407">
        <f t="shared" si="222"/>
        <v>151.80000000000001</v>
      </c>
    </row>
    <row r="3408" spans="6:11" ht="24" customHeight="1">
      <c r="F3408">
        <v>2</v>
      </c>
      <c r="G3408" s="7" t="s">
        <v>1454</v>
      </c>
      <c r="H3408" s="1" t="s">
        <v>2579</v>
      </c>
      <c r="I3408">
        <f>I2741</f>
        <v>50.6</v>
      </c>
      <c r="J3408" s="11" t="s">
        <v>781</v>
      </c>
      <c r="K3408">
        <f t="shared" si="222"/>
        <v>101.2</v>
      </c>
    </row>
    <row r="3409" spans="6:18" ht="24" customHeight="1">
      <c r="F3409">
        <v>2</v>
      </c>
      <c r="G3409" s="7" t="s">
        <v>1454</v>
      </c>
      <c r="H3409" s="1" t="s">
        <v>2058</v>
      </c>
      <c r="I3409">
        <f>I2744</f>
        <v>44.4</v>
      </c>
      <c r="J3409" s="11" t="s">
        <v>781</v>
      </c>
      <c r="K3409">
        <f t="shared" si="222"/>
        <v>88.8</v>
      </c>
    </row>
    <row r="3410" spans="6:18" ht="24" customHeight="1">
      <c r="F3410">
        <v>2</v>
      </c>
      <c r="G3410" s="7" t="s">
        <v>1454</v>
      </c>
      <c r="H3410" s="1" t="s">
        <v>1530</v>
      </c>
      <c r="I3410">
        <f>I2743</f>
        <v>7.5</v>
      </c>
      <c r="J3410" s="11" t="s">
        <v>781</v>
      </c>
      <c r="K3410">
        <f t="shared" si="222"/>
        <v>15</v>
      </c>
    </row>
    <row r="3411" spans="6:18" ht="24" customHeight="1">
      <c r="F3411">
        <v>1.05</v>
      </c>
      <c r="G3411" s="7" t="s">
        <v>611</v>
      </c>
      <c r="H3411" s="1" t="s">
        <v>2575</v>
      </c>
      <c r="I3411">
        <f>K1482</f>
        <v>92.23</v>
      </c>
      <c r="J3411" s="11" t="s">
        <v>611</v>
      </c>
      <c r="K3411">
        <f t="shared" si="222"/>
        <v>96.84</v>
      </c>
    </row>
    <row r="3412" spans="6:18" ht="24" customHeight="1">
      <c r="F3412" s="525">
        <v>3.15</v>
      </c>
      <c r="G3412" s="7" t="s">
        <v>611</v>
      </c>
      <c r="H3412" s="1" t="s">
        <v>2576</v>
      </c>
      <c r="I3412">
        <f>K1119</f>
        <v>105.12</v>
      </c>
      <c r="J3412" s="11" t="s">
        <v>611</v>
      </c>
      <c r="K3412">
        <f t="shared" si="222"/>
        <v>331.13</v>
      </c>
    </row>
    <row r="3413" spans="6:18" ht="24" customHeight="1">
      <c r="G3413" s="7"/>
      <c r="H3413" s="1" t="s">
        <v>2359</v>
      </c>
      <c r="I3413" s="1184" t="s">
        <v>448</v>
      </c>
      <c r="J3413" s="1184"/>
      <c r="K3413">
        <v>1.49</v>
      </c>
    </row>
    <row r="3414" spans="6:18" ht="24" customHeight="1">
      <c r="K3414" s="449" t="s">
        <v>2130</v>
      </c>
    </row>
    <row r="3415" spans="6:18" ht="24" customHeight="1">
      <c r="H3415" s="35" t="s">
        <v>2577</v>
      </c>
      <c r="I3415" s="38"/>
      <c r="J3415" s="104"/>
      <c r="K3415" s="38">
        <f>SUM(K3398:K3414)</f>
        <v>11235.4</v>
      </c>
    </row>
    <row r="3416" spans="6:18" ht="24" customHeight="1">
      <c r="K3416" s="449" t="s">
        <v>2130</v>
      </c>
    </row>
    <row r="3418" spans="6:18" ht="24" customHeight="1">
      <c r="J3418" s="4"/>
      <c r="O3418" s="38" t="s">
        <v>3700</v>
      </c>
    </row>
    <row r="3419" spans="6:18" ht="24" customHeight="1">
      <c r="G3419" s="11" t="s">
        <v>3711</v>
      </c>
      <c r="J3419" s="4"/>
    </row>
    <row r="3420" spans="6:18" ht="24" customHeight="1">
      <c r="J3420" s="4"/>
    </row>
    <row r="3421" spans="6:18" ht="24" customHeight="1">
      <c r="F3421" s="506">
        <v>1.8</v>
      </c>
      <c r="G3421" s="3" t="s">
        <v>884</v>
      </c>
      <c r="H3421" t="s">
        <v>3713</v>
      </c>
      <c r="I3421">
        <v>451.25</v>
      </c>
      <c r="J3421" s="4" t="s">
        <v>884</v>
      </c>
      <c r="K3421" s="34">
        <f>I3421*F3421</f>
        <v>812.25</v>
      </c>
      <c r="M3421">
        <f>(1.08/8)</f>
        <v>0.14000000000000001</v>
      </c>
      <c r="N3421" t="s">
        <v>884</v>
      </c>
      <c r="O3421" t="s">
        <v>1979</v>
      </c>
      <c r="P3421">
        <f>P3429</f>
        <v>269.85000000000002</v>
      </c>
      <c r="Q3421" t="s">
        <v>884</v>
      </c>
      <c r="R3421">
        <f>P3421*M3421</f>
        <v>37.78</v>
      </c>
    </row>
    <row r="3422" spans="6:18" ht="24" customHeight="1">
      <c r="J3422" s="4"/>
      <c r="K3422" s="34"/>
    </row>
    <row r="3423" spans="6:18" ht="24" customHeight="1">
      <c r="F3423" s="506">
        <v>1.2</v>
      </c>
      <c r="G3423" s="3" t="s">
        <v>884</v>
      </c>
      <c r="H3423" t="s">
        <v>3714</v>
      </c>
      <c r="I3423">
        <v>842.15</v>
      </c>
      <c r="J3423" s="4" t="s">
        <v>884</v>
      </c>
      <c r="K3423" s="34">
        <f t="shared" ref="K3423:K3431" si="223">I3423*F3423</f>
        <v>1010.58</v>
      </c>
      <c r="O3423" s="34" t="s">
        <v>3701</v>
      </c>
      <c r="R3423">
        <f>R3421</f>
        <v>37.78</v>
      </c>
    </row>
    <row r="3424" spans="6:18" ht="24" customHeight="1">
      <c r="J3424" s="4"/>
      <c r="K3424" s="34"/>
      <c r="O3424" s="34" t="s">
        <v>3702</v>
      </c>
      <c r="R3424">
        <f>R3423/0.75</f>
        <v>50.37</v>
      </c>
    </row>
    <row r="3425" spans="6:19" ht="24" customHeight="1">
      <c r="F3425" s="506">
        <v>0.6</v>
      </c>
      <c r="G3425" s="3" t="s">
        <v>884</v>
      </c>
      <c r="H3425" t="s">
        <v>3715</v>
      </c>
      <c r="I3425">
        <f>AA16</f>
        <v>740.98</v>
      </c>
      <c r="J3425" s="4" t="s">
        <v>884</v>
      </c>
      <c r="K3425" s="34">
        <f t="shared" si="223"/>
        <v>444.59</v>
      </c>
    </row>
    <row r="3426" spans="6:19" ht="24" customHeight="1">
      <c r="J3426" s="4"/>
      <c r="K3426" s="34"/>
      <c r="O3426" s="38" t="s">
        <v>3703</v>
      </c>
    </row>
    <row r="3427" spans="6:19" ht="24" customHeight="1">
      <c r="F3427" s="506">
        <v>3</v>
      </c>
      <c r="G3427" s="3" t="s">
        <v>884</v>
      </c>
      <c r="H3427" t="s">
        <v>3704</v>
      </c>
      <c r="I3427">
        <f>R3433</f>
        <v>890.66</v>
      </c>
      <c r="J3427" s="4" t="s">
        <v>884</v>
      </c>
      <c r="K3427" s="34">
        <f t="shared" si="223"/>
        <v>2671.98</v>
      </c>
    </row>
    <row r="3428" spans="6:19" ht="24" customHeight="1">
      <c r="F3428" s="506"/>
      <c r="J3428" s="4"/>
      <c r="K3428" s="34"/>
      <c r="M3428">
        <v>1.8</v>
      </c>
      <c r="N3428" t="s">
        <v>1492</v>
      </c>
      <c r="O3428" t="s">
        <v>3705</v>
      </c>
      <c r="P3428">
        <f>AC10</f>
        <v>386.4</v>
      </c>
      <c r="Q3428" t="s">
        <v>1458</v>
      </c>
      <c r="R3428">
        <f>P3428*M3428</f>
        <v>695.52</v>
      </c>
    </row>
    <row r="3429" spans="6:19" ht="24" customHeight="1">
      <c r="F3429" s="506">
        <v>3</v>
      </c>
      <c r="G3429" s="3" t="s">
        <v>884</v>
      </c>
      <c r="H3429" t="s">
        <v>3712</v>
      </c>
      <c r="I3429">
        <f>R3435</f>
        <v>12.8</v>
      </c>
      <c r="J3429" s="4" t="s">
        <v>884</v>
      </c>
      <c r="K3429" s="34">
        <f t="shared" si="223"/>
        <v>38.4</v>
      </c>
      <c r="M3429">
        <v>17.7</v>
      </c>
      <c r="N3429" t="s">
        <v>1492</v>
      </c>
      <c r="O3429" t="s">
        <v>2923</v>
      </c>
      <c r="P3429">
        <f>AC11</f>
        <v>269.85000000000002</v>
      </c>
      <c r="Q3429" t="s">
        <v>1458</v>
      </c>
      <c r="R3429">
        <f>P3429*M3429</f>
        <v>4776.3500000000004</v>
      </c>
    </row>
    <row r="3430" spans="6:19" ht="24" customHeight="1">
      <c r="F3430" s="506"/>
      <c r="J3430" s="4"/>
      <c r="K3430" s="34"/>
      <c r="M3430">
        <v>14.1</v>
      </c>
      <c r="N3430" t="s">
        <v>1492</v>
      </c>
      <c r="O3430" t="s">
        <v>2924</v>
      </c>
      <c r="P3430">
        <f>AC12</f>
        <v>243.6</v>
      </c>
      <c r="Q3430" t="s">
        <v>1458</v>
      </c>
      <c r="R3430">
        <f>P3430*M3430</f>
        <v>3434.76</v>
      </c>
    </row>
    <row r="3431" spans="6:19" ht="24" customHeight="1">
      <c r="F3431" s="506">
        <v>3</v>
      </c>
      <c r="G3431" s="3" t="s">
        <v>884</v>
      </c>
      <c r="H3431" t="s">
        <v>3706</v>
      </c>
      <c r="I3431">
        <v>22.8</v>
      </c>
      <c r="J3431" s="4" t="s">
        <v>884</v>
      </c>
      <c r="K3431" s="34">
        <f t="shared" si="223"/>
        <v>68.400000000000006</v>
      </c>
    </row>
    <row r="3432" spans="6:19" ht="24" customHeight="1">
      <c r="J3432" s="4"/>
      <c r="K3432" s="34"/>
      <c r="O3432" s="34" t="s">
        <v>3707</v>
      </c>
      <c r="R3432">
        <f>SUM(R3428:R3431)</f>
        <v>8906.6299999999992</v>
      </c>
    </row>
    <row r="3433" spans="6:19" ht="24" customHeight="1">
      <c r="H3433" t="s">
        <v>3708</v>
      </c>
      <c r="J3433" s="4" t="s">
        <v>448</v>
      </c>
      <c r="K3433" s="34">
        <v>0.3</v>
      </c>
      <c r="O3433" s="34" t="s">
        <v>3702</v>
      </c>
      <c r="R3433">
        <f>R3432/10</f>
        <v>890.66</v>
      </c>
    </row>
    <row r="3434" spans="6:19" ht="24" customHeight="1">
      <c r="J3434" s="4"/>
      <c r="K3434" s="34"/>
      <c r="O3434" s="34"/>
    </row>
    <row r="3435" spans="6:19" ht="24" customHeight="1">
      <c r="H3435" s="34" t="s">
        <v>3716</v>
      </c>
      <c r="J3435" s="4"/>
      <c r="K3435" s="97">
        <f>SUM(K3421:K3434)</f>
        <v>5046.5</v>
      </c>
      <c r="O3435" s="38" t="s">
        <v>3709</v>
      </c>
      <c r="R3435" s="38">
        <v>12.8</v>
      </c>
      <c r="S3435" s="611" t="s">
        <v>3710</v>
      </c>
    </row>
    <row r="3436" spans="6:19" ht="24" customHeight="1">
      <c r="H3436" s="34" t="s">
        <v>3717</v>
      </c>
      <c r="J3436" s="4"/>
      <c r="K3436" s="38">
        <f>K3435/F3427</f>
        <v>1682.17</v>
      </c>
    </row>
    <row r="3437" spans="6:19" ht="24" customHeight="1">
      <c r="J3437" s="4"/>
      <c r="K3437" s="449" t="s">
        <v>2130</v>
      </c>
    </row>
    <row r="3439" spans="6:19" ht="24" customHeight="1">
      <c r="F3439" s="11" t="s">
        <v>3910</v>
      </c>
      <c r="G3439"/>
      <c r="I3439" s="4"/>
      <c r="J3439"/>
    </row>
    <row r="3440" spans="6:19" ht="24" customHeight="1">
      <c r="H3440" t="s">
        <v>3911</v>
      </c>
    </row>
    <row r="3442" spans="6:11" ht="39" customHeight="1">
      <c r="F3442">
        <v>3</v>
      </c>
      <c r="G3442" s="3" t="s">
        <v>1854</v>
      </c>
      <c r="H3442" s="29" t="s">
        <v>3912</v>
      </c>
      <c r="I3442" s="29">
        <v>250</v>
      </c>
      <c r="J3442" s="65" t="s">
        <v>840</v>
      </c>
      <c r="K3442" s="29">
        <f>F3442*I3442</f>
        <v>750</v>
      </c>
    </row>
    <row r="3443" spans="6:11" ht="15.75">
      <c r="F3443" s="506">
        <v>0.2112</v>
      </c>
      <c r="G3443" s="3" t="s">
        <v>3902</v>
      </c>
      <c r="H3443" t="s">
        <v>3913</v>
      </c>
      <c r="I3443">
        <v>4499.45</v>
      </c>
      <c r="J3443" s="11" t="s">
        <v>3902</v>
      </c>
      <c r="K3443" s="29">
        <f>F3443*I3443</f>
        <v>950.28</v>
      </c>
    </row>
    <row r="3444" spans="6:11" ht="24" customHeight="1">
      <c r="I3444" s="1186" t="s">
        <v>3914</v>
      </c>
      <c r="J3444" s="1186"/>
      <c r="K3444">
        <f>SUM(K3442:K3443)</f>
        <v>1700.28</v>
      </c>
    </row>
    <row r="3445" spans="6:11" ht="24" customHeight="1">
      <c r="I3445" s="1186" t="s">
        <v>3915</v>
      </c>
      <c r="J3445" s="1186"/>
      <c r="K3445" s="38">
        <f>K3444/3</f>
        <v>566.76</v>
      </c>
    </row>
    <row r="3448" spans="6:11" ht="51" customHeight="1">
      <c r="G3448" s="243"/>
      <c r="H3448" s="814" t="s">
        <v>3904</v>
      </c>
      <c r="I3448" s="245"/>
    </row>
    <row r="3449" spans="6:11" ht="20.25" customHeight="1">
      <c r="F3449" s="1181">
        <v>1</v>
      </c>
      <c r="G3449" s="1182" t="s">
        <v>929</v>
      </c>
      <c r="H3449" s="1180" t="s">
        <v>3917</v>
      </c>
      <c r="I3449" s="816">
        <v>65</v>
      </c>
      <c r="J3449" s="1181" t="s">
        <v>929</v>
      </c>
      <c r="K3449" s="1181">
        <f>F3449*I3449</f>
        <v>65</v>
      </c>
    </row>
    <row r="3450" spans="6:11" ht="24" customHeight="1">
      <c r="F3450" s="1181"/>
      <c r="G3450" s="1182"/>
      <c r="H3450" s="1180"/>
      <c r="I3450" s="815" t="s">
        <v>3918</v>
      </c>
      <c r="J3450" s="1181"/>
      <c r="K3450" s="1181"/>
    </row>
    <row r="3451" spans="6:11" ht="24" customHeight="1">
      <c r="F3451" s="1181">
        <v>1</v>
      </c>
      <c r="G3451" s="1181" t="s">
        <v>1843</v>
      </c>
      <c r="H3451" s="1183" t="s">
        <v>3919</v>
      </c>
      <c r="I3451" s="4">
        <v>12.6</v>
      </c>
      <c r="J3451" s="1181" t="s">
        <v>1843</v>
      </c>
      <c r="K3451" s="1181">
        <f>F3451*I3451</f>
        <v>12.6</v>
      </c>
    </row>
    <row r="3452" spans="6:11" ht="24" customHeight="1">
      <c r="F3452" s="1181"/>
      <c r="G3452" s="1181"/>
      <c r="H3452" s="1183"/>
      <c r="I3452" s="815" t="s">
        <v>3920</v>
      </c>
      <c r="J3452" s="1181"/>
      <c r="K3452" s="1181"/>
    </row>
    <row r="3453" spans="6:11" ht="24" customHeight="1">
      <c r="I3453" s="1179" t="s">
        <v>3921</v>
      </c>
      <c r="J3453" s="1179"/>
      <c r="K3453" s="817">
        <f>SUM(K3449:K3452)</f>
        <v>77.599999999999994</v>
      </c>
    </row>
    <row r="3454" spans="6:11" ht="24" customHeight="1">
      <c r="I3454" s="814"/>
    </row>
    <row r="3455" spans="6:11" ht="24" customHeight="1">
      <c r="F3455" s="2" t="s">
        <v>230</v>
      </c>
      <c r="G3455" s="7" t="s">
        <v>2338</v>
      </c>
      <c r="H3455" s="1" t="s">
        <v>4100</v>
      </c>
    </row>
    <row r="3456" spans="6:11" ht="24" customHeight="1">
      <c r="H3456" s="1"/>
    </row>
    <row r="3457" spans="6:11" ht="24" customHeight="1">
      <c r="H3457" s="5" t="s">
        <v>1667</v>
      </c>
    </row>
    <row r="3458" spans="6:11" ht="24" customHeight="1">
      <c r="F3458" s="8">
        <v>0.22</v>
      </c>
      <c r="G3458" s="7" t="s">
        <v>884</v>
      </c>
      <c r="H3458" s="1" t="s">
        <v>1710</v>
      </c>
      <c r="I3458" s="8">
        <f>K49</f>
        <v>2403.81</v>
      </c>
      <c r="J3458" s="1" t="s">
        <v>884</v>
      </c>
      <c r="K3458" s="8">
        <f>(F3458*I3458)</f>
        <v>528.84</v>
      </c>
    </row>
    <row r="3459" spans="6:11" ht="24" customHeight="1">
      <c r="F3459" s="8">
        <v>2.2000000000000002</v>
      </c>
      <c r="G3459" s="7" t="s">
        <v>781</v>
      </c>
      <c r="H3459" s="1" t="s">
        <v>2082</v>
      </c>
      <c r="I3459" s="8">
        <f>AC9</f>
        <v>430.5</v>
      </c>
      <c r="J3459" s="1" t="s">
        <v>781</v>
      </c>
      <c r="K3459" s="8">
        <f>(F3459*I3459)</f>
        <v>947.1</v>
      </c>
    </row>
    <row r="3460" spans="6:11" ht="24" customHeight="1">
      <c r="F3460" s="8">
        <v>0.5</v>
      </c>
      <c r="G3460" s="7" t="s">
        <v>781</v>
      </c>
      <c r="H3460" s="1" t="s">
        <v>949</v>
      </c>
      <c r="I3460" s="8">
        <f>AC11</f>
        <v>269.85000000000002</v>
      </c>
      <c r="J3460" s="1" t="s">
        <v>781</v>
      </c>
      <c r="K3460" s="8">
        <f>(F3460*I3460)</f>
        <v>134.93</v>
      </c>
    </row>
    <row r="3461" spans="6:11" ht="24" customHeight="1">
      <c r="F3461" s="8">
        <v>3.2</v>
      </c>
      <c r="G3461" s="7" t="s">
        <v>781</v>
      </c>
      <c r="H3461" s="1" t="s">
        <v>324</v>
      </c>
      <c r="I3461" s="8">
        <f>AC12</f>
        <v>243.6</v>
      </c>
      <c r="J3461" s="1" t="s">
        <v>781</v>
      </c>
      <c r="K3461" s="8">
        <f>(F3461*I3461)</f>
        <v>779.52</v>
      </c>
    </row>
    <row r="3462" spans="6:11" ht="24" customHeight="1">
      <c r="F3462" s="8">
        <v>10</v>
      </c>
      <c r="G3462" s="7" t="s">
        <v>234</v>
      </c>
      <c r="H3462" s="1" t="s">
        <v>2698</v>
      </c>
      <c r="I3462" s="641">
        <v>4.3499999999999996</v>
      </c>
      <c r="J3462" s="2" t="s">
        <v>234</v>
      </c>
      <c r="K3462" s="8">
        <f>(F3462*I3462)</f>
        <v>43.5</v>
      </c>
    </row>
    <row r="3463" spans="6:11" ht="24" customHeight="1">
      <c r="K3463" s="5" t="s">
        <v>1667</v>
      </c>
    </row>
    <row r="3464" spans="6:11" ht="24" customHeight="1">
      <c r="H3464" s="1" t="s">
        <v>440</v>
      </c>
      <c r="K3464" s="8">
        <f>SUM(K3458:K3463)</f>
        <v>2433.89</v>
      </c>
    </row>
    <row r="3465" spans="6:11" ht="24" customHeight="1">
      <c r="F3465" t="s">
        <v>995</v>
      </c>
      <c r="K3465" s="5" t="s">
        <v>1667</v>
      </c>
    </row>
    <row r="3466" spans="6:11" ht="24" customHeight="1">
      <c r="H3466" s="64" t="s">
        <v>555</v>
      </c>
      <c r="K3466" s="40">
        <f>(K3464/10)</f>
        <v>243.39</v>
      </c>
    </row>
    <row r="3467" spans="6:11" ht="24" customHeight="1">
      <c r="K3467" s="5" t="s">
        <v>2130</v>
      </c>
    </row>
    <row r="3469" spans="6:11" ht="24" customHeight="1">
      <c r="H3469" s="1" t="s">
        <v>3994</v>
      </c>
    </row>
    <row r="3470" spans="6:11" ht="24" customHeight="1">
      <c r="F3470">
        <v>10</v>
      </c>
      <c r="G3470" s="3" t="s">
        <v>611</v>
      </c>
      <c r="H3470" t="s">
        <v>4020</v>
      </c>
      <c r="I3470">
        <v>990</v>
      </c>
      <c r="J3470" s="3" t="s">
        <v>611</v>
      </c>
      <c r="K3470">
        <f>I3470*F3470</f>
        <v>9900</v>
      </c>
    </row>
    <row r="3471" spans="6:11" ht="24" customHeight="1">
      <c r="F3471">
        <v>0.21</v>
      </c>
      <c r="G3471" s="3" t="s">
        <v>884</v>
      </c>
      <c r="H3471" t="s">
        <v>3995</v>
      </c>
      <c r="I3471">
        <f>K32</f>
        <v>3479.01</v>
      </c>
      <c r="J3471" s="3" t="s">
        <v>884</v>
      </c>
      <c r="K3471">
        <f t="shared" ref="K3471:K3479" si="224">I3471*F3471</f>
        <v>730.59</v>
      </c>
    </row>
    <row r="3472" spans="6:11" ht="24" customHeight="1">
      <c r="F3472">
        <v>3</v>
      </c>
      <c r="G3472" s="3" t="s">
        <v>364</v>
      </c>
      <c r="H3472" t="s">
        <v>3996</v>
      </c>
      <c r="I3472">
        <v>26.65</v>
      </c>
      <c r="J3472" s="3" t="s">
        <v>364</v>
      </c>
      <c r="K3472">
        <f t="shared" si="224"/>
        <v>79.95</v>
      </c>
    </row>
    <row r="3473" spans="6:12" ht="24" customHeight="1">
      <c r="F3473">
        <v>1.2</v>
      </c>
      <c r="G3473" s="3" t="s">
        <v>1950</v>
      </c>
      <c r="H3473" t="s">
        <v>3997</v>
      </c>
      <c r="I3473">
        <f>I3459</f>
        <v>430.5</v>
      </c>
      <c r="J3473" s="3" t="s">
        <v>1950</v>
      </c>
      <c r="K3473">
        <f t="shared" si="224"/>
        <v>516.6</v>
      </c>
    </row>
    <row r="3474" spans="6:12" ht="24" customHeight="1">
      <c r="F3474">
        <v>1</v>
      </c>
      <c r="G3474" s="3" t="s">
        <v>781</v>
      </c>
      <c r="H3474" t="s">
        <v>1903</v>
      </c>
      <c r="I3474">
        <f>AC10</f>
        <v>386.4</v>
      </c>
      <c r="J3474" s="3" t="s">
        <v>781</v>
      </c>
      <c r="K3474">
        <f t="shared" si="224"/>
        <v>386.4</v>
      </c>
    </row>
    <row r="3475" spans="6:12" ht="24" customHeight="1">
      <c r="F3475">
        <v>0.2</v>
      </c>
      <c r="G3475" s="3" t="s">
        <v>781</v>
      </c>
      <c r="H3475" t="s">
        <v>3998</v>
      </c>
      <c r="I3475">
        <f>AC21</f>
        <v>331.8</v>
      </c>
      <c r="J3475" s="3" t="s">
        <v>781</v>
      </c>
      <c r="K3475">
        <f t="shared" si="224"/>
        <v>66.36</v>
      </c>
    </row>
    <row r="3476" spans="6:12" ht="24" customHeight="1">
      <c r="F3476">
        <v>1</v>
      </c>
      <c r="G3476" s="3" t="s">
        <v>781</v>
      </c>
      <c r="H3476" t="s">
        <v>662</v>
      </c>
      <c r="I3476">
        <f>I3460</f>
        <v>269.85000000000002</v>
      </c>
      <c r="J3476" s="3" t="s">
        <v>781</v>
      </c>
      <c r="K3476">
        <f t="shared" si="224"/>
        <v>269.85000000000002</v>
      </c>
      <c r="L3476">
        <f>SUM(K3473:K3477)</f>
        <v>1482.81</v>
      </c>
    </row>
    <row r="3477" spans="6:12" ht="24" customHeight="1">
      <c r="F3477">
        <v>1</v>
      </c>
      <c r="G3477" s="3" t="s">
        <v>781</v>
      </c>
      <c r="H3477" t="s">
        <v>360</v>
      </c>
      <c r="I3477">
        <f>I3461</f>
        <v>243.6</v>
      </c>
      <c r="J3477" s="3" t="s">
        <v>781</v>
      </c>
      <c r="K3477">
        <f t="shared" si="224"/>
        <v>243.6</v>
      </c>
    </row>
    <row r="3478" spans="6:12" ht="24" customHeight="1">
      <c r="H3478" t="s">
        <v>3999</v>
      </c>
      <c r="J3478" s="3"/>
      <c r="K3478">
        <f>L3476*10%</f>
        <v>148.28</v>
      </c>
    </row>
    <row r="3479" spans="6:12" ht="24" customHeight="1">
      <c r="F3479">
        <v>0.5</v>
      </c>
      <c r="G3479" s="3" t="s">
        <v>364</v>
      </c>
      <c r="H3479" t="s">
        <v>4000</v>
      </c>
      <c r="I3479">
        <v>8</v>
      </c>
      <c r="J3479" s="3" t="s">
        <v>364</v>
      </c>
      <c r="K3479">
        <f t="shared" si="224"/>
        <v>4</v>
      </c>
    </row>
    <row r="3480" spans="6:12" ht="24" customHeight="1">
      <c r="K3480" s="5" t="s">
        <v>1667</v>
      </c>
    </row>
    <row r="3481" spans="6:12" ht="24" customHeight="1">
      <c r="H3481" s="1" t="s">
        <v>440</v>
      </c>
      <c r="K3481" s="8">
        <f>SUM(K3470:K3480)</f>
        <v>12345.63</v>
      </c>
    </row>
    <row r="3482" spans="6:12" ht="24" customHeight="1">
      <c r="K3482" s="5" t="s">
        <v>1667</v>
      </c>
    </row>
    <row r="3483" spans="6:12" ht="24" customHeight="1">
      <c r="H3483" s="64" t="s">
        <v>555</v>
      </c>
      <c r="K3483" s="40">
        <f>(K3481/10)</f>
        <v>1234.56</v>
      </c>
    </row>
    <row r="3484" spans="6:12" ht="24" customHeight="1">
      <c r="K3484" s="5" t="s">
        <v>2130</v>
      </c>
    </row>
    <row r="3486" spans="6:12" ht="24" customHeight="1">
      <c r="H3486" t="s">
        <v>4001</v>
      </c>
    </row>
    <row r="3487" spans="6:12" ht="24" customHeight="1">
      <c r="H3487" t="s">
        <v>4002</v>
      </c>
    </row>
    <row r="3488" spans="6:12" ht="24" customHeight="1">
      <c r="F3488">
        <v>9</v>
      </c>
      <c r="G3488" s="3" t="s">
        <v>884</v>
      </c>
      <c r="H3488" t="s">
        <v>4003</v>
      </c>
      <c r="I3488">
        <f>AA12</f>
        <v>876.78</v>
      </c>
      <c r="J3488" s="3" t="s">
        <v>884</v>
      </c>
      <c r="K3488">
        <f>I3488*F3488</f>
        <v>7891.02</v>
      </c>
    </row>
    <row r="3489" spans="6:12" ht="24" customHeight="1">
      <c r="F3489">
        <v>4.5</v>
      </c>
      <c r="G3489" s="3" t="s">
        <v>884</v>
      </c>
      <c r="H3489" t="s">
        <v>4004</v>
      </c>
      <c r="I3489">
        <f>K23</f>
        <v>4823.01</v>
      </c>
      <c r="J3489" s="3" t="s">
        <v>884</v>
      </c>
      <c r="K3489">
        <f>I3489*F3489</f>
        <v>21703.55</v>
      </c>
    </row>
    <row r="3490" spans="6:12" ht="24" customHeight="1">
      <c r="F3490">
        <v>1.8</v>
      </c>
      <c r="G3490" s="3" t="s">
        <v>1950</v>
      </c>
      <c r="H3490" t="s">
        <v>1903</v>
      </c>
      <c r="I3490">
        <f>I3474</f>
        <v>386.4</v>
      </c>
      <c r="J3490" s="3" t="s">
        <v>1950</v>
      </c>
      <c r="K3490">
        <f>I3490*F3490</f>
        <v>695.52</v>
      </c>
    </row>
    <row r="3491" spans="6:12" ht="24" customHeight="1">
      <c r="F3491">
        <v>17.7</v>
      </c>
      <c r="G3491" s="3" t="s">
        <v>1950</v>
      </c>
      <c r="H3491" t="s">
        <v>662</v>
      </c>
      <c r="I3491">
        <f>I3476</f>
        <v>269.85000000000002</v>
      </c>
      <c r="J3491" s="3" t="s">
        <v>1950</v>
      </c>
      <c r="K3491">
        <f>I3491*F3491</f>
        <v>4776.3500000000004</v>
      </c>
      <c r="L3491">
        <f>SUM(K3490:K3492)</f>
        <v>8906.6299999999992</v>
      </c>
    </row>
    <row r="3492" spans="6:12" ht="24" customHeight="1">
      <c r="F3492">
        <v>14.1</v>
      </c>
      <c r="G3492" s="3" t="s">
        <v>1950</v>
      </c>
      <c r="H3492" t="s">
        <v>360</v>
      </c>
      <c r="I3492">
        <f>I3477</f>
        <v>243.6</v>
      </c>
      <c r="J3492" s="3" t="s">
        <v>1950</v>
      </c>
      <c r="K3492">
        <f>I3492*F3492</f>
        <v>3434.76</v>
      </c>
    </row>
    <row r="3493" spans="6:12" ht="24" customHeight="1">
      <c r="H3493" t="s">
        <v>3999</v>
      </c>
      <c r="K3493">
        <f>L3491*10%</f>
        <v>890.66</v>
      </c>
    </row>
    <row r="3494" spans="6:12" ht="24" customHeight="1">
      <c r="H3494" s="1" t="s">
        <v>618</v>
      </c>
      <c r="K3494">
        <f>SUM(K3488:K3493)</f>
        <v>39391.86</v>
      </c>
    </row>
    <row r="3495" spans="6:12" ht="24" customHeight="1">
      <c r="H3495" s="64" t="s">
        <v>785</v>
      </c>
      <c r="K3495" s="38">
        <f>K3494/10</f>
        <v>3939.19</v>
      </c>
    </row>
    <row r="3497" spans="6:12" ht="24" customHeight="1">
      <c r="H3497" t="s">
        <v>4005</v>
      </c>
    </row>
    <row r="3498" spans="6:12" ht="24" customHeight="1">
      <c r="F3498">
        <v>0.02</v>
      </c>
      <c r="G3498" s="3" t="s">
        <v>884</v>
      </c>
      <c r="H3498" t="s">
        <v>4006</v>
      </c>
      <c r="I3498">
        <f>K3495</f>
        <v>3939.19</v>
      </c>
      <c r="J3498" s="3" t="s">
        <v>884</v>
      </c>
      <c r="K3498">
        <f>I3498*F3498</f>
        <v>78.78</v>
      </c>
    </row>
    <row r="3499" spans="6:12" ht="34.5" customHeight="1">
      <c r="F3499" s="34" t="s">
        <v>667</v>
      </c>
      <c r="H3499" s="29" t="s">
        <v>4007</v>
      </c>
      <c r="J3499" s="11" t="s">
        <v>667</v>
      </c>
      <c r="K3499">
        <v>1.67</v>
      </c>
    </row>
    <row r="3500" spans="6:12" ht="24" customHeight="1">
      <c r="K3500" s="5" t="s">
        <v>1667</v>
      </c>
    </row>
    <row r="3501" spans="6:12" ht="24" customHeight="1">
      <c r="H3501" s="64" t="s">
        <v>555</v>
      </c>
      <c r="K3501" s="40">
        <f>SUM(K3498:K3500)</f>
        <v>80.45</v>
      </c>
    </row>
    <row r="3502" spans="6:12" ht="24" customHeight="1">
      <c r="K3502" s="5" t="s">
        <v>2130</v>
      </c>
    </row>
    <row r="3504" spans="6:12" ht="24" customHeight="1">
      <c r="H3504" t="s">
        <v>4099</v>
      </c>
    </row>
    <row r="3505" spans="6:12" ht="24" customHeight="1">
      <c r="F3505">
        <v>1.4</v>
      </c>
      <c r="G3505" s="3" t="s">
        <v>4015</v>
      </c>
      <c r="H3505" t="s">
        <v>4021</v>
      </c>
      <c r="I3505">
        <v>315.14999999999998</v>
      </c>
      <c r="J3505" s="3" t="s">
        <v>4015</v>
      </c>
      <c r="K3505">
        <f>I3505*F3505</f>
        <v>441.21</v>
      </c>
    </row>
    <row r="3506" spans="6:12" ht="24" customHeight="1">
      <c r="F3506">
        <v>0.98</v>
      </c>
      <c r="G3506" s="3" t="s">
        <v>4015</v>
      </c>
      <c r="H3506" t="s">
        <v>4011</v>
      </c>
      <c r="I3506">
        <v>156.75</v>
      </c>
      <c r="J3506" s="3" t="s">
        <v>4015</v>
      </c>
      <c r="K3506">
        <f>I3506*F3506</f>
        <v>153.62</v>
      </c>
    </row>
    <row r="3507" spans="6:12" ht="24" customHeight="1">
      <c r="F3507">
        <v>2.2000000000000002</v>
      </c>
      <c r="G3507" s="3" t="s">
        <v>257</v>
      </c>
      <c r="H3507" t="s">
        <v>4012</v>
      </c>
      <c r="I3507">
        <f>AC13</f>
        <v>347.55</v>
      </c>
      <c r="J3507" s="3" t="s">
        <v>257</v>
      </c>
      <c r="K3507">
        <f>I3507*F3507</f>
        <v>764.61</v>
      </c>
    </row>
    <row r="3508" spans="6:12" ht="24" customHeight="1">
      <c r="F3508" s="34" t="s">
        <v>667</v>
      </c>
      <c r="H3508" t="s">
        <v>4104</v>
      </c>
      <c r="K3508">
        <v>19.43</v>
      </c>
    </row>
    <row r="3509" spans="6:12" ht="24" customHeight="1">
      <c r="K3509" s="5" t="s">
        <v>1667</v>
      </c>
    </row>
    <row r="3510" spans="6:12" ht="24" customHeight="1">
      <c r="H3510" s="1" t="s">
        <v>440</v>
      </c>
      <c r="K3510" s="8">
        <f>SUM(K3505:K3509)</f>
        <v>1378.87</v>
      </c>
    </row>
    <row r="3511" spans="6:12" ht="24" customHeight="1">
      <c r="K3511" s="5" t="s">
        <v>1667</v>
      </c>
    </row>
    <row r="3512" spans="6:12" ht="24" customHeight="1">
      <c r="H3512" s="64" t="s">
        <v>555</v>
      </c>
      <c r="K3512" s="40">
        <f>(K3510/10)</f>
        <v>137.88999999999999</v>
      </c>
    </row>
    <row r="3513" spans="6:12" ht="24" customHeight="1">
      <c r="K3513" s="5" t="s">
        <v>2130</v>
      </c>
    </row>
    <row r="3515" spans="6:12" ht="24" hidden="1" customHeight="1">
      <c r="H3515" t="s">
        <v>4016</v>
      </c>
    </row>
    <row r="3516" spans="6:12" ht="24" hidden="1" customHeight="1">
      <c r="F3516">
        <v>1.34</v>
      </c>
      <c r="G3516" s="3" t="s">
        <v>4019</v>
      </c>
      <c r="H3516" t="s">
        <v>4017</v>
      </c>
      <c r="I3516">
        <v>78.5</v>
      </c>
      <c r="J3516" s="3" t="s">
        <v>1730</v>
      </c>
      <c r="K3516">
        <f>I3516*F3516</f>
        <v>105.19</v>
      </c>
    </row>
    <row r="3517" spans="6:12" ht="24" hidden="1" customHeight="1">
      <c r="F3517">
        <v>0.5</v>
      </c>
      <c r="G3517" s="3" t="s">
        <v>1843</v>
      </c>
      <c r="H3517" t="s">
        <v>4018</v>
      </c>
      <c r="I3517">
        <f>I3507</f>
        <v>347.55</v>
      </c>
      <c r="J3517" s="3" t="s">
        <v>1843</v>
      </c>
      <c r="K3517">
        <f>I3517*F3517</f>
        <v>173.78</v>
      </c>
    </row>
    <row r="3518" spans="6:12" ht="24" hidden="1" customHeight="1">
      <c r="F3518">
        <v>0.5</v>
      </c>
      <c r="G3518" s="3" t="s">
        <v>1843</v>
      </c>
      <c r="H3518" t="s">
        <v>662</v>
      </c>
      <c r="I3518">
        <f>I3491</f>
        <v>269.85000000000002</v>
      </c>
      <c r="J3518" s="3" t="s">
        <v>1843</v>
      </c>
      <c r="K3518">
        <f>I3518*F3518</f>
        <v>134.93</v>
      </c>
    </row>
    <row r="3519" spans="6:12" ht="24" hidden="1" customHeight="1">
      <c r="F3519">
        <v>0.8</v>
      </c>
      <c r="G3519" s="3" t="s">
        <v>1843</v>
      </c>
      <c r="H3519" t="s">
        <v>360</v>
      </c>
      <c r="I3519">
        <f>I3492</f>
        <v>243.6</v>
      </c>
      <c r="J3519" s="3" t="s">
        <v>1843</v>
      </c>
      <c r="K3519">
        <f>I3519*F3519</f>
        <v>194.88</v>
      </c>
      <c r="L3519">
        <f>SUM(K3517:K3519)</f>
        <v>503.59</v>
      </c>
    </row>
    <row r="3520" spans="6:12" ht="24" hidden="1" customHeight="1">
      <c r="H3520" t="s">
        <v>4013</v>
      </c>
      <c r="J3520" s="3"/>
      <c r="K3520">
        <f>L3519*10%</f>
        <v>50.36</v>
      </c>
    </row>
    <row r="3521" spans="6:11" ht="24" hidden="1" customHeight="1">
      <c r="F3521" s="34" t="s">
        <v>667</v>
      </c>
      <c r="H3521" t="s">
        <v>4014</v>
      </c>
      <c r="K3521">
        <v>4.5</v>
      </c>
    </row>
    <row r="3522" spans="6:11" ht="24" hidden="1" customHeight="1">
      <c r="K3522" s="5" t="s">
        <v>1667</v>
      </c>
    </row>
    <row r="3523" spans="6:11" ht="24" hidden="1" customHeight="1">
      <c r="H3523" s="1" t="s">
        <v>440</v>
      </c>
      <c r="K3523" s="8">
        <f>SUM(K3516:K3522)</f>
        <v>663.64</v>
      </c>
    </row>
    <row r="3524" spans="6:11" ht="24" hidden="1" customHeight="1">
      <c r="K3524" s="5" t="s">
        <v>1667</v>
      </c>
    </row>
    <row r="3525" spans="6:11" ht="24" hidden="1" customHeight="1">
      <c r="H3525" s="64" t="s">
        <v>555</v>
      </c>
      <c r="K3525" s="40">
        <f>(K3523/10)</f>
        <v>66.36</v>
      </c>
    </row>
    <row r="3526" spans="6:11" ht="24" hidden="1" customHeight="1">
      <c r="K3526" s="5" t="s">
        <v>2130</v>
      </c>
    </row>
    <row r="3546" spans="6:11" ht="31.5">
      <c r="H3546" s="29" t="s">
        <v>4041</v>
      </c>
    </row>
    <row r="3547" spans="6:11" ht="24" customHeight="1">
      <c r="F3547">
        <v>0.06</v>
      </c>
      <c r="G3547" s="3" t="s">
        <v>4037</v>
      </c>
      <c r="H3547" t="s">
        <v>4071</v>
      </c>
      <c r="I3547">
        <f>K284</f>
        <v>4863.82</v>
      </c>
      <c r="J3547" s="3" t="s">
        <v>4037</v>
      </c>
      <c r="K3547">
        <f>I3547*F3547</f>
        <v>291.83</v>
      </c>
    </row>
    <row r="3548" spans="6:11" ht="24" customHeight="1">
      <c r="F3548">
        <v>0.5</v>
      </c>
      <c r="G3548" s="3" t="s">
        <v>1458</v>
      </c>
      <c r="H3548" t="s">
        <v>352</v>
      </c>
      <c r="I3548">
        <v>430.5</v>
      </c>
      <c r="J3548" s="3" t="s">
        <v>1458</v>
      </c>
      <c r="K3548">
        <f>I3548*F3548</f>
        <v>215.25</v>
      </c>
    </row>
    <row r="3549" spans="6:11" ht="24" customHeight="1">
      <c r="F3549">
        <v>0.75</v>
      </c>
      <c r="G3549" s="3" t="s">
        <v>1458</v>
      </c>
      <c r="H3549" t="s">
        <v>353</v>
      </c>
      <c r="I3549">
        <v>269.85000000000002</v>
      </c>
      <c r="J3549" s="3" t="s">
        <v>1458</v>
      </c>
      <c r="K3549">
        <f>I3549*F3549</f>
        <v>202.39</v>
      </c>
    </row>
    <row r="3550" spans="6:11" ht="24" customHeight="1">
      <c r="H3550" t="s">
        <v>4040</v>
      </c>
      <c r="K3550">
        <f>SUM(K3547:K3549)</f>
        <v>709.47</v>
      </c>
    </row>
    <row r="3551" spans="6:11" ht="24" customHeight="1">
      <c r="K3551" t="s">
        <v>4038</v>
      </c>
    </row>
    <row r="3552" spans="6:11" ht="24" customHeight="1">
      <c r="H3552" s="34" t="s">
        <v>4039</v>
      </c>
      <c r="K3552" s="38">
        <f>K3550/0.743</f>
        <v>954.87</v>
      </c>
    </row>
    <row r="3553" spans="6:11" ht="24" customHeight="1">
      <c r="K3553" s="61" t="s">
        <v>2427</v>
      </c>
    </row>
    <row r="3554" spans="6:11" ht="31.5">
      <c r="H3554" s="29" t="s">
        <v>4036</v>
      </c>
    </row>
    <row r="3555" spans="6:11" ht="24" customHeight="1">
      <c r="F3555">
        <v>1</v>
      </c>
      <c r="G3555" s="3" t="s">
        <v>4037</v>
      </c>
      <c r="H3555" t="s">
        <v>4042</v>
      </c>
      <c r="I3555">
        <v>1015.78</v>
      </c>
      <c r="J3555" s="3" t="s">
        <v>4037</v>
      </c>
      <c r="K3555">
        <f>I3555*F3555</f>
        <v>1015.78</v>
      </c>
    </row>
    <row r="3556" spans="6:11" ht="24" customHeight="1">
      <c r="F3556">
        <v>1</v>
      </c>
      <c r="G3556" s="3" t="s">
        <v>4037</v>
      </c>
      <c r="H3556" t="s">
        <v>4043</v>
      </c>
      <c r="I3556">
        <v>16.96</v>
      </c>
      <c r="J3556" s="3" t="s">
        <v>4037</v>
      </c>
      <c r="K3556">
        <f>I3556*F3556</f>
        <v>16.96</v>
      </c>
    </row>
    <row r="3557" spans="6:11" ht="24" customHeight="1">
      <c r="H3557" s="34" t="s">
        <v>4044</v>
      </c>
      <c r="K3557" s="38">
        <f>SUM(K3555:K3556)</f>
        <v>1032.74</v>
      </c>
    </row>
    <row r="3559" spans="6:11" ht="31.5">
      <c r="H3559" s="29" t="s">
        <v>4102</v>
      </c>
    </row>
    <row r="3560" spans="6:11" ht="24" customHeight="1">
      <c r="F3560">
        <v>1</v>
      </c>
      <c r="G3560" s="3" t="s">
        <v>840</v>
      </c>
      <c r="H3560" t="s">
        <v>4101</v>
      </c>
      <c r="I3560">
        <v>89</v>
      </c>
      <c r="J3560" s="3" t="s">
        <v>840</v>
      </c>
      <c r="K3560">
        <f>I3560*F3560</f>
        <v>89</v>
      </c>
    </row>
    <row r="3561" spans="6:11" ht="24" customHeight="1">
      <c r="F3561">
        <v>0.23</v>
      </c>
      <c r="G3561" s="3" t="s">
        <v>3902</v>
      </c>
      <c r="H3561" t="s">
        <v>4045</v>
      </c>
      <c r="I3561">
        <v>102.25</v>
      </c>
      <c r="J3561" s="3" t="s">
        <v>3902</v>
      </c>
      <c r="K3561">
        <f>I3561*F3561</f>
        <v>23.52</v>
      </c>
    </row>
    <row r="3562" spans="6:11" ht="24" customHeight="1">
      <c r="G3562" s="3" t="s">
        <v>667</v>
      </c>
      <c r="H3562" t="s">
        <v>4103</v>
      </c>
      <c r="I3562">
        <f>I3560*20%</f>
        <v>17.8</v>
      </c>
      <c r="J3562" s="3" t="s">
        <v>667</v>
      </c>
      <c r="K3562">
        <f>I3562</f>
        <v>17.8</v>
      </c>
    </row>
    <row r="3563" spans="6:11" ht="24" customHeight="1">
      <c r="H3563" s="34" t="s">
        <v>4046</v>
      </c>
      <c r="K3563" s="38">
        <f>SUM(K3560:K3562)</f>
        <v>130.32</v>
      </c>
    </row>
    <row r="3565" spans="6:11" ht="31.5">
      <c r="H3565" s="29" t="s">
        <v>4047</v>
      </c>
    </row>
    <row r="3566" spans="6:11" ht="24" customHeight="1">
      <c r="F3566">
        <v>1</v>
      </c>
      <c r="G3566" s="3" t="s">
        <v>840</v>
      </c>
      <c r="H3566" t="s">
        <v>4048</v>
      </c>
      <c r="I3566">
        <v>38.1</v>
      </c>
      <c r="J3566" s="3" t="s">
        <v>840</v>
      </c>
      <c r="K3566">
        <f>I3566*F3566</f>
        <v>38.1</v>
      </c>
    </row>
    <row r="3567" spans="6:11" ht="24" customHeight="1">
      <c r="F3567">
        <v>0.23</v>
      </c>
      <c r="G3567" s="3" t="s">
        <v>3902</v>
      </c>
      <c r="H3567" t="s">
        <v>4045</v>
      </c>
      <c r="I3567">
        <v>102.25</v>
      </c>
      <c r="J3567" s="3" t="s">
        <v>3902</v>
      </c>
      <c r="K3567">
        <f>I3567*F3567</f>
        <v>23.52</v>
      </c>
    </row>
    <row r="3568" spans="6:11" ht="24" customHeight="1">
      <c r="G3568" s="3" t="s">
        <v>667</v>
      </c>
      <c r="H3568" t="s">
        <v>931</v>
      </c>
      <c r="I3568">
        <f>I3562</f>
        <v>17.8</v>
      </c>
      <c r="J3568" s="3" t="s">
        <v>667</v>
      </c>
      <c r="K3568">
        <f>I3568</f>
        <v>17.8</v>
      </c>
    </row>
    <row r="3569" spans="6:11" ht="24" customHeight="1">
      <c r="H3569" s="34" t="s">
        <v>4046</v>
      </c>
      <c r="K3569" s="38">
        <f>SUM(K3566:K3568)</f>
        <v>79.42</v>
      </c>
    </row>
    <row r="3571" spans="6:11" ht="31.5">
      <c r="H3571" s="29" t="s">
        <v>4049</v>
      </c>
    </row>
    <row r="3572" spans="6:11" ht="24" customHeight="1">
      <c r="F3572">
        <v>1</v>
      </c>
      <c r="G3572" s="3" t="s">
        <v>840</v>
      </c>
      <c r="H3572" t="s">
        <v>4050</v>
      </c>
      <c r="I3572">
        <v>267</v>
      </c>
      <c r="J3572" s="3" t="s">
        <v>840</v>
      </c>
      <c r="K3572">
        <f>I3572*F3572</f>
        <v>267</v>
      </c>
    </row>
    <row r="3573" spans="6:11" ht="24" customHeight="1">
      <c r="F3573">
        <v>0.23</v>
      </c>
      <c r="G3573" s="3" t="s">
        <v>3902</v>
      </c>
      <c r="H3573" t="s">
        <v>4045</v>
      </c>
      <c r="I3573">
        <v>102.25</v>
      </c>
      <c r="J3573" s="3" t="s">
        <v>3902</v>
      </c>
      <c r="K3573">
        <f>I3573*F3573</f>
        <v>23.52</v>
      </c>
    </row>
    <row r="3574" spans="6:11" ht="24" customHeight="1">
      <c r="G3574" s="3" t="s">
        <v>667</v>
      </c>
      <c r="H3574" t="s">
        <v>4051</v>
      </c>
      <c r="I3574">
        <f>I3572*70%</f>
        <v>186.9</v>
      </c>
      <c r="J3574" s="3" t="s">
        <v>667</v>
      </c>
      <c r="K3574">
        <f>I3574</f>
        <v>186.9</v>
      </c>
    </row>
    <row r="3575" spans="6:11" ht="24" customHeight="1">
      <c r="G3575" s="3" t="s">
        <v>667</v>
      </c>
      <c r="H3575" t="s">
        <v>931</v>
      </c>
      <c r="I3575">
        <f>I3572*15%</f>
        <v>40.049999999999997</v>
      </c>
      <c r="J3575" s="3" t="s">
        <v>667</v>
      </c>
      <c r="K3575">
        <f>I3575</f>
        <v>40.049999999999997</v>
      </c>
    </row>
    <row r="3576" spans="6:11" ht="24" customHeight="1">
      <c r="H3576" s="34" t="s">
        <v>4046</v>
      </c>
      <c r="K3576" s="38">
        <f>SUM(K3572:K3575)</f>
        <v>517.47</v>
      </c>
    </row>
    <row r="3578" spans="6:11" ht="31.5">
      <c r="H3578" s="29" t="s">
        <v>4052</v>
      </c>
    </row>
    <row r="3579" spans="6:11" ht="24" customHeight="1">
      <c r="F3579">
        <v>1</v>
      </c>
      <c r="G3579" s="3" t="s">
        <v>840</v>
      </c>
      <c r="H3579" t="s">
        <v>4053</v>
      </c>
      <c r="I3579">
        <v>135</v>
      </c>
      <c r="J3579" s="3" t="s">
        <v>840</v>
      </c>
      <c r="K3579">
        <f>I3579*F3579</f>
        <v>135</v>
      </c>
    </row>
    <row r="3580" spans="6:11" ht="24" customHeight="1">
      <c r="F3580">
        <v>0.23</v>
      </c>
      <c r="G3580" s="3" t="s">
        <v>3902</v>
      </c>
      <c r="H3580" t="s">
        <v>4054</v>
      </c>
      <c r="I3580">
        <v>102.25</v>
      </c>
      <c r="J3580" s="3" t="s">
        <v>3902</v>
      </c>
      <c r="K3580">
        <f>I3580*F3580</f>
        <v>23.52</v>
      </c>
    </row>
    <row r="3581" spans="6:11" ht="24" customHeight="1">
      <c r="F3581">
        <v>0.05</v>
      </c>
      <c r="G3581" s="3" t="s">
        <v>3902</v>
      </c>
      <c r="H3581" t="s">
        <v>4055</v>
      </c>
      <c r="I3581">
        <f>K143</f>
        <v>755.94</v>
      </c>
      <c r="J3581" s="3" t="s">
        <v>3902</v>
      </c>
      <c r="K3581">
        <f>I3581*F3581</f>
        <v>37.799999999999997</v>
      </c>
    </row>
    <row r="3582" spans="6:11" ht="24" customHeight="1">
      <c r="F3582">
        <v>9</v>
      </c>
      <c r="G3582" s="3" t="s">
        <v>257</v>
      </c>
      <c r="H3582" t="s">
        <v>2481</v>
      </c>
      <c r="I3582">
        <v>5204.96</v>
      </c>
      <c r="J3582" s="3" t="s">
        <v>4065</v>
      </c>
      <c r="K3582">
        <f>I3582*F3582/1000</f>
        <v>46.84</v>
      </c>
    </row>
    <row r="3583" spans="6:11" ht="24" customHeight="1">
      <c r="H3583" s="34" t="s">
        <v>4046</v>
      </c>
      <c r="K3583" s="38">
        <f>SUM(K3579:K3582)</f>
        <v>243.16</v>
      </c>
    </row>
    <row r="3585" spans="6:11" ht="31.5">
      <c r="H3585" s="29" t="s">
        <v>4061</v>
      </c>
    </row>
    <row r="3586" spans="6:11" ht="24" customHeight="1">
      <c r="F3586">
        <v>1</v>
      </c>
      <c r="G3586" s="3" t="s">
        <v>840</v>
      </c>
      <c r="H3586" t="s">
        <v>4056</v>
      </c>
      <c r="I3586">
        <v>83</v>
      </c>
      <c r="J3586" s="3" t="s">
        <v>840</v>
      </c>
      <c r="K3586">
        <f>I3586*F3586</f>
        <v>83</v>
      </c>
    </row>
    <row r="3587" spans="6:11" ht="24" customHeight="1">
      <c r="F3587">
        <v>0.23</v>
      </c>
      <c r="G3587" s="3" t="s">
        <v>4037</v>
      </c>
      <c r="H3587" t="s">
        <v>4054</v>
      </c>
      <c r="I3587">
        <v>102.25</v>
      </c>
      <c r="J3587" s="3" t="s">
        <v>4037</v>
      </c>
      <c r="K3587">
        <f>I3587*F3587</f>
        <v>23.52</v>
      </c>
    </row>
    <row r="3588" spans="6:11" ht="24" customHeight="1">
      <c r="F3588">
        <v>1</v>
      </c>
      <c r="G3588" s="3" t="s">
        <v>840</v>
      </c>
      <c r="H3588" t="s">
        <v>4057</v>
      </c>
      <c r="I3588">
        <v>89</v>
      </c>
      <c r="J3588" s="3" t="s">
        <v>840</v>
      </c>
      <c r="K3588">
        <f>I3588*F3588</f>
        <v>89</v>
      </c>
    </row>
    <row r="3589" spans="6:11" ht="24" customHeight="1">
      <c r="G3589" s="3" t="s">
        <v>667</v>
      </c>
      <c r="H3589" t="s">
        <v>931</v>
      </c>
      <c r="I3589">
        <v>17.8</v>
      </c>
      <c r="J3589" s="3" t="s">
        <v>667</v>
      </c>
      <c r="K3589">
        <f>I3589</f>
        <v>17.8</v>
      </c>
    </row>
    <row r="3590" spans="6:11" ht="24" customHeight="1">
      <c r="H3590" s="34" t="s">
        <v>4046</v>
      </c>
      <c r="K3590" s="38">
        <f>SUM(K3586:K3589)</f>
        <v>213.32</v>
      </c>
    </row>
    <row r="3592" spans="6:11" ht="31.5">
      <c r="H3592" s="29" t="s">
        <v>4058</v>
      </c>
    </row>
    <row r="3593" spans="6:11" ht="24" customHeight="1">
      <c r="F3593">
        <v>1</v>
      </c>
      <c r="G3593" s="3" t="s">
        <v>840</v>
      </c>
      <c r="H3593" t="s">
        <v>4059</v>
      </c>
      <c r="I3593">
        <v>114.8</v>
      </c>
      <c r="J3593" s="3" t="s">
        <v>840</v>
      </c>
      <c r="K3593">
        <f>I3593*F3593</f>
        <v>114.8</v>
      </c>
    </row>
    <row r="3594" spans="6:11" ht="24" customHeight="1">
      <c r="F3594">
        <v>0.23</v>
      </c>
      <c r="G3594" s="3" t="s">
        <v>4037</v>
      </c>
      <c r="H3594" t="s">
        <v>4060</v>
      </c>
      <c r="I3594">
        <v>102.25</v>
      </c>
      <c r="J3594" s="3" t="s">
        <v>4037</v>
      </c>
      <c r="K3594">
        <f>I3594*F3594</f>
        <v>23.52</v>
      </c>
    </row>
    <row r="3595" spans="6:11" ht="24" customHeight="1">
      <c r="G3595" s="3" t="s">
        <v>667</v>
      </c>
      <c r="H3595" t="s">
        <v>931</v>
      </c>
      <c r="I3595">
        <v>17.8</v>
      </c>
      <c r="J3595" s="3" t="s">
        <v>667</v>
      </c>
      <c r="K3595">
        <f>I3595</f>
        <v>17.8</v>
      </c>
    </row>
    <row r="3596" spans="6:11" ht="24" customHeight="1">
      <c r="H3596" s="34" t="s">
        <v>4046</v>
      </c>
      <c r="K3596" s="38">
        <f>SUM(K3593:K3595)</f>
        <v>156.12</v>
      </c>
    </row>
    <row r="3598" spans="6:11" ht="31.5">
      <c r="H3598" s="29" t="s">
        <v>4063</v>
      </c>
    </row>
    <row r="3599" spans="6:11" ht="24" customHeight="1">
      <c r="F3599">
        <v>1</v>
      </c>
      <c r="G3599" s="3" t="s">
        <v>840</v>
      </c>
      <c r="H3599" t="s">
        <v>4062</v>
      </c>
      <c r="I3599">
        <v>521.79999999999995</v>
      </c>
      <c r="J3599" s="3" t="s">
        <v>840</v>
      </c>
      <c r="K3599">
        <f>I3599*F3599</f>
        <v>521.79999999999995</v>
      </c>
    </row>
    <row r="3600" spans="6:11" ht="24" customHeight="1">
      <c r="F3600">
        <v>0.23</v>
      </c>
      <c r="G3600" s="3" t="s">
        <v>4037</v>
      </c>
      <c r="H3600" t="s">
        <v>362</v>
      </c>
      <c r="I3600">
        <v>102.25</v>
      </c>
      <c r="J3600" s="3" t="s">
        <v>4037</v>
      </c>
      <c r="K3600">
        <f>I3600*F3600</f>
        <v>23.52</v>
      </c>
    </row>
    <row r="3601" spans="6:11" ht="24" customHeight="1">
      <c r="G3601" s="3" t="s">
        <v>667</v>
      </c>
      <c r="H3601" t="s">
        <v>4064</v>
      </c>
      <c r="I3601">
        <v>40.049999999999997</v>
      </c>
      <c r="J3601" s="3" t="s">
        <v>667</v>
      </c>
      <c r="K3601">
        <f>I3601</f>
        <v>40.049999999999997</v>
      </c>
    </row>
    <row r="3602" spans="6:11" ht="24" customHeight="1">
      <c r="H3602" s="34" t="s">
        <v>4046</v>
      </c>
      <c r="K3602" s="38">
        <f>SUM(K3599:K3601)</f>
        <v>585.37</v>
      </c>
    </row>
    <row r="3604" spans="6:11" ht="24" customHeight="1">
      <c r="H3604" t="s">
        <v>4090</v>
      </c>
    </row>
    <row r="3605" spans="6:11" ht="24" customHeight="1">
      <c r="H3605" t="s">
        <v>4067</v>
      </c>
    </row>
    <row r="3606" spans="6:11" ht="24" customHeight="1">
      <c r="H3606" t="s">
        <v>4068</v>
      </c>
    </row>
    <row r="3607" spans="6:11" ht="24" customHeight="1">
      <c r="H3607" t="s">
        <v>4069</v>
      </c>
    </row>
    <row r="3608" spans="6:11" ht="24" customHeight="1">
      <c r="H3608" t="s">
        <v>4070</v>
      </c>
    </row>
    <row r="3609" spans="6:11" ht="24" customHeight="1">
      <c r="I3609" s="853" t="s">
        <v>4087</v>
      </c>
    </row>
    <row r="3611" spans="6:11" ht="24" customHeight="1">
      <c r="H3611" t="s">
        <v>4073</v>
      </c>
    </row>
    <row r="3612" spans="6:11" ht="24" customHeight="1">
      <c r="H3612" t="s">
        <v>4072</v>
      </c>
    </row>
    <row r="3613" spans="6:11" ht="24" customHeight="1">
      <c r="I3613" s="853" t="s">
        <v>4074</v>
      </c>
    </row>
    <row r="3614" spans="6:11" ht="24" customHeight="1">
      <c r="I3614" s="245"/>
    </row>
    <row r="3615" spans="6:11" ht="47.25">
      <c r="H3615" s="29" t="s">
        <v>4066</v>
      </c>
    </row>
    <row r="3616" spans="6:11" ht="24" customHeight="1">
      <c r="F3616" s="4" t="s">
        <v>1070</v>
      </c>
      <c r="G3616" s="4" t="s">
        <v>227</v>
      </c>
      <c r="H3616" s="4" t="s">
        <v>4075</v>
      </c>
      <c r="I3616" s="4" t="s">
        <v>100</v>
      </c>
      <c r="J3616" s="4" t="s">
        <v>3764</v>
      </c>
      <c r="K3616" s="4" t="s">
        <v>994</v>
      </c>
    </row>
    <row r="3617" spans="6:11" ht="24" customHeight="1">
      <c r="F3617" s="854">
        <v>7.8975000000000004E-2</v>
      </c>
      <c r="G3617" s="3" t="s">
        <v>3902</v>
      </c>
      <c r="H3617" s="29" t="s">
        <v>4076</v>
      </c>
      <c r="I3617">
        <v>102600</v>
      </c>
      <c r="J3617" s="3" t="s">
        <v>3902</v>
      </c>
      <c r="K3617">
        <f>I3617*F3617</f>
        <v>8102.84</v>
      </c>
    </row>
    <row r="3618" spans="6:11" ht="24" customHeight="1">
      <c r="F3618" s="855">
        <v>0.17583209999999999</v>
      </c>
      <c r="G3618" s="3" t="s">
        <v>3902</v>
      </c>
      <c r="H3618" t="s">
        <v>4077</v>
      </c>
      <c r="I3618">
        <v>91300</v>
      </c>
      <c r="J3618" s="3" t="s">
        <v>3902</v>
      </c>
      <c r="K3618">
        <f t="shared" ref="K3618:K3626" si="225">I3618*F3618</f>
        <v>16053.47</v>
      </c>
    </row>
    <row r="3619" spans="6:11" ht="24" customHeight="1">
      <c r="F3619" s="855">
        <v>0.25481209999999999</v>
      </c>
      <c r="G3619" s="3" t="s">
        <v>4029</v>
      </c>
      <c r="H3619" t="s">
        <v>4078</v>
      </c>
      <c r="I3619">
        <v>5625</v>
      </c>
      <c r="J3619" s="3" t="s">
        <v>4029</v>
      </c>
      <c r="K3619">
        <f t="shared" si="225"/>
        <v>1433.32</v>
      </c>
    </row>
    <row r="3620" spans="6:11" ht="24" customHeight="1">
      <c r="F3620" s="218">
        <v>7.2292500000000004</v>
      </c>
      <c r="G3620" s="3" t="s">
        <v>4029</v>
      </c>
      <c r="H3620" t="s">
        <v>4079</v>
      </c>
      <c r="I3620">
        <v>721</v>
      </c>
      <c r="J3620" s="3" t="s">
        <v>4029</v>
      </c>
      <c r="K3620">
        <f t="shared" si="225"/>
        <v>5212.29</v>
      </c>
    </row>
    <row r="3621" spans="6:11" ht="24" customHeight="1">
      <c r="F3621" s="56">
        <v>9.0719999999999992</v>
      </c>
      <c r="G3621" s="3" t="s">
        <v>4029</v>
      </c>
      <c r="H3621" t="s">
        <v>4080</v>
      </c>
      <c r="I3621">
        <v>528</v>
      </c>
      <c r="J3621" s="3" t="s">
        <v>4029</v>
      </c>
      <c r="K3621">
        <f t="shared" si="225"/>
        <v>4790.0200000000004</v>
      </c>
    </row>
    <row r="3622" spans="6:11" ht="24" customHeight="1">
      <c r="F3622">
        <v>36</v>
      </c>
      <c r="G3622" s="3" t="s">
        <v>1492</v>
      </c>
      <c r="H3622" t="s">
        <v>4081</v>
      </c>
      <c r="I3622">
        <v>46.6</v>
      </c>
      <c r="J3622" s="3" t="s">
        <v>1492</v>
      </c>
      <c r="K3622">
        <f t="shared" si="225"/>
        <v>1677.6</v>
      </c>
    </row>
    <row r="3623" spans="6:11" ht="24" customHeight="1">
      <c r="F3623">
        <v>36</v>
      </c>
      <c r="G3623" s="3" t="s">
        <v>1492</v>
      </c>
      <c r="H3623" t="s">
        <v>4082</v>
      </c>
      <c r="I3623">
        <v>40.4</v>
      </c>
      <c r="J3623" s="3" t="s">
        <v>1492</v>
      </c>
      <c r="K3623">
        <f t="shared" si="225"/>
        <v>1454.4</v>
      </c>
    </row>
    <row r="3624" spans="6:11" ht="24" customHeight="1">
      <c r="F3624">
        <v>18</v>
      </c>
      <c r="G3624" s="3" t="s">
        <v>1492</v>
      </c>
      <c r="H3624" t="s">
        <v>4083</v>
      </c>
      <c r="I3624">
        <v>56.1</v>
      </c>
      <c r="J3624" s="3" t="s">
        <v>1492</v>
      </c>
      <c r="K3624">
        <f t="shared" si="225"/>
        <v>1009.8</v>
      </c>
    </row>
    <row r="3625" spans="6:11" ht="24" customHeight="1">
      <c r="F3625">
        <v>18</v>
      </c>
      <c r="G3625" s="3" t="s">
        <v>1492</v>
      </c>
      <c r="H3625" t="s">
        <v>4084</v>
      </c>
      <c r="I3625">
        <v>65</v>
      </c>
      <c r="J3625" s="3" t="s">
        <v>1492</v>
      </c>
      <c r="K3625">
        <f t="shared" si="225"/>
        <v>1170</v>
      </c>
    </row>
    <row r="3626" spans="6:11" ht="24" customHeight="1">
      <c r="F3626">
        <v>29.1</v>
      </c>
      <c r="G3626" s="3" t="s">
        <v>4029</v>
      </c>
      <c r="H3626" t="s">
        <v>4085</v>
      </c>
      <c r="I3626">
        <v>308.91000000000003</v>
      </c>
      <c r="J3626" s="3" t="s">
        <v>4029</v>
      </c>
      <c r="K3626">
        <f t="shared" si="225"/>
        <v>8989.2800000000007</v>
      </c>
    </row>
    <row r="3627" spans="6:11" ht="24" customHeight="1">
      <c r="G3627" s="3" t="s">
        <v>667</v>
      </c>
      <c r="H3627" t="s">
        <v>4086</v>
      </c>
      <c r="K3627">
        <v>6.98</v>
      </c>
    </row>
    <row r="3628" spans="6:11" ht="24" customHeight="1">
      <c r="H3628" s="34" t="s">
        <v>4088</v>
      </c>
      <c r="K3628" s="857">
        <f>SUM(K3617:K3627)</f>
        <v>49900</v>
      </c>
    </row>
    <row r="3629" spans="6:11" ht="24" customHeight="1">
      <c r="H3629" s="34"/>
      <c r="K3629" s="858"/>
    </row>
    <row r="3630" spans="6:11" ht="24" customHeight="1">
      <c r="H3630" s="34" t="s">
        <v>4089</v>
      </c>
      <c r="K3630" s="856">
        <f>K3628/11.84</f>
        <v>4214.53</v>
      </c>
    </row>
  </sheetData>
  <mergeCells count="24">
    <mergeCell ref="U2:X2"/>
    <mergeCell ref="F2600:L2600"/>
    <mergeCell ref="I2967:J2967"/>
    <mergeCell ref="O2257:Q2257"/>
    <mergeCell ref="O2267:Q2267"/>
    <mergeCell ref="O2341:R2341"/>
    <mergeCell ref="O2343:O2344"/>
    <mergeCell ref="P1387:R1387"/>
    <mergeCell ref="I3413:J3413"/>
    <mergeCell ref="K3451:K3452"/>
    <mergeCell ref="H2343:H2344"/>
    <mergeCell ref="I3445:J3445"/>
    <mergeCell ref="H2341:K2341"/>
    <mergeCell ref="I3444:J3444"/>
    <mergeCell ref="K3449:K3450"/>
    <mergeCell ref="I3453:J3453"/>
    <mergeCell ref="H3449:H3450"/>
    <mergeCell ref="F3449:F3450"/>
    <mergeCell ref="G3449:G3450"/>
    <mergeCell ref="J3449:J3450"/>
    <mergeCell ref="H3451:H3452"/>
    <mergeCell ref="F3451:F3452"/>
    <mergeCell ref="G3451:G3452"/>
    <mergeCell ref="J3451:J3452"/>
  </mergeCells>
  <phoneticPr fontId="0" type="noConversion"/>
  <hyperlinks>
    <hyperlink ref="C269" r:id="rId1" display="../../User/AppData/Local/Temp/2273"/>
    <hyperlink ref="J269" r:id="rId2" display="../../User/AppData/Local/Temp/2273"/>
  </hyperlinks>
  <printOptions horizontalCentered="1"/>
  <pageMargins left="0.39370078740157499" right="0.196850393700787" top="0.511811023622047" bottom="0.31496062992126" header="0.35433070866141703" footer="0.196850393700787"/>
  <pageSetup paperSize="9" scale="70" orientation="landscape" r:id="rId3"/>
  <headerFooter alignWithMargins="0">
    <oddHeader>&amp;R&amp;P</oddHeader>
  </headerFooter>
  <rowBreaks count="7" manualBreakCount="7">
    <brk id="256" min="5" max="10" man="1"/>
    <brk id="345" min="5" max="10" man="1"/>
    <brk id="426" min="5" max="10" man="1"/>
    <brk id="3225" min="5" max="10" man="1"/>
    <brk id="3269" min="5" max="10" man="1"/>
    <brk id="3323" min="5" max="10" man="1"/>
    <brk id="3370" min="5" max="10" man="1"/>
  </rowBreaks>
  <ignoredErrors>
    <ignoredError sqref="K3478" formula="1"/>
  </ignoredErrors>
  <drawing r:id="rId4"/>
</worksheet>
</file>

<file path=xl/worksheets/sheet3.xml><?xml version="1.0" encoding="utf-8"?>
<worksheet xmlns="http://schemas.openxmlformats.org/spreadsheetml/2006/main" xmlns:r="http://schemas.openxmlformats.org/officeDocument/2006/relationships">
  <sheetPr syncVertical="1" syncRef="F2931" transitionEvaluation="1"/>
  <dimension ref="A1:AK8292"/>
  <sheetViews>
    <sheetView view="pageBreakPreview" topLeftCell="F2931" zoomScaleNormal="60" zoomScaleSheetLayoutView="100" workbookViewId="0">
      <selection activeCell="H2941" sqref="H2941"/>
    </sheetView>
  </sheetViews>
  <sheetFormatPr defaultColWidth="7.44140625" defaultRowHeight="15.75"/>
  <cols>
    <col min="1" max="1" width="7.77734375" style="245" hidden="1" customWidth="1"/>
    <col min="2" max="2" width="45.77734375" style="245" hidden="1" customWidth="1"/>
    <col min="3" max="3" width="11.77734375" style="245" hidden="1" customWidth="1"/>
    <col min="4" max="4" width="9.77734375" style="245" hidden="1" customWidth="1"/>
    <col min="5" max="5" width="9.21875" style="245" hidden="1" customWidth="1"/>
    <col min="6" max="6" width="8.88671875" style="245" customWidth="1"/>
    <col min="7" max="7" width="6.5546875" style="243" customWidth="1"/>
    <col min="8" max="8" width="43.77734375" style="245" customWidth="1"/>
    <col min="9" max="9" width="9.21875" style="245" customWidth="1"/>
    <col min="10" max="10" width="8.77734375" style="197" customWidth="1"/>
    <col min="11" max="11" width="11.33203125" style="245" customWidth="1"/>
    <col min="12" max="13" width="9.77734375" style="245" customWidth="1"/>
    <col min="14" max="14" width="9" style="245" bestFit="1" customWidth="1"/>
    <col min="15" max="15" width="32.77734375" style="245" customWidth="1"/>
    <col min="16" max="16" width="9.77734375" style="245" customWidth="1"/>
    <col min="17" max="17" width="7.77734375" style="245" customWidth="1"/>
    <col min="18" max="18" width="10.77734375" style="245" customWidth="1"/>
    <col min="19" max="19" width="7.44140625" style="245"/>
    <col min="20" max="20" width="7.77734375" style="245" customWidth="1"/>
    <col min="21" max="21" width="49.77734375" style="245" customWidth="1"/>
    <col min="22" max="22" width="7.77734375" style="245" hidden="1" customWidth="1"/>
    <col min="23" max="23" width="16.77734375" style="245" hidden="1" customWidth="1"/>
    <col min="24" max="24" width="9.109375" style="245" customWidth="1"/>
    <col min="25" max="25" width="11.21875" style="245" bestFit="1" customWidth="1"/>
    <col min="26" max="26" width="9.6640625" style="245" customWidth="1"/>
    <col min="27" max="27" width="8.6640625" style="245" customWidth="1"/>
    <col min="28" max="28" width="9.6640625" style="245" customWidth="1"/>
    <col min="29" max="29" width="10.6640625" style="245" customWidth="1"/>
    <col min="30" max="30" width="23.21875" style="245" customWidth="1"/>
    <col min="31" max="31" width="8.77734375" style="245" customWidth="1"/>
    <col min="32" max="32" width="8.109375" style="245" bestFit="1" customWidth="1"/>
    <col min="33" max="33" width="9" style="245" customWidth="1"/>
    <col min="34" max="34" width="8.77734375" style="245" customWidth="1"/>
    <col min="35" max="16384" width="7.44140625" style="245"/>
  </cols>
  <sheetData>
    <row r="1" spans="1:37" ht="19.5" hidden="1">
      <c r="A1" s="244" t="s">
        <v>995</v>
      </c>
      <c r="B1" s="354" t="s">
        <v>2129</v>
      </c>
      <c r="E1" s="244" t="s">
        <v>995</v>
      </c>
      <c r="H1" s="244" t="s">
        <v>245</v>
      </c>
      <c r="O1" s="244" t="s">
        <v>245</v>
      </c>
      <c r="U1" s="355" t="s">
        <v>2129</v>
      </c>
      <c r="V1" s="244" t="s">
        <v>246</v>
      </c>
      <c r="W1" s="244" t="s">
        <v>995</v>
      </c>
    </row>
    <row r="2" spans="1:37" hidden="1">
      <c r="B2" s="248" t="s">
        <v>2130</v>
      </c>
      <c r="E2" s="244" t="s">
        <v>995</v>
      </c>
      <c r="H2" s="354" t="s">
        <v>660</v>
      </c>
      <c r="O2" s="354" t="s">
        <v>660</v>
      </c>
      <c r="U2" s="248" t="s">
        <v>2130</v>
      </c>
    </row>
    <row r="3" spans="1:37" hidden="1">
      <c r="A3" s="244" t="s">
        <v>1666</v>
      </c>
      <c r="B3" s="356" t="s">
        <v>2595</v>
      </c>
      <c r="C3" s="244" t="s">
        <v>2596</v>
      </c>
      <c r="E3" s="244" t="s">
        <v>995</v>
      </c>
      <c r="F3" s="252" t="s">
        <v>1666</v>
      </c>
      <c r="G3" s="250" t="s">
        <v>995</v>
      </c>
      <c r="H3" s="251" t="str">
        <f>B3</f>
        <v>Madurai TSp VIth Bn under 4000 quarters Scheme.</v>
      </c>
      <c r="J3" s="354" t="str">
        <f>C3</f>
        <v>2006-2007</v>
      </c>
      <c r="M3" s="244" t="s">
        <v>1666</v>
      </c>
      <c r="N3" s="244" t="s">
        <v>995</v>
      </c>
      <c r="O3" s="251" t="str">
        <f>B3</f>
        <v>Madurai TSp VIth Bn under 4000 quarters Scheme.</v>
      </c>
      <c r="Q3" s="251" t="str">
        <f>C3</f>
        <v>2006-2007</v>
      </c>
      <c r="T3" s="244" t="s">
        <v>1666</v>
      </c>
      <c r="U3" s="251" t="str">
        <f>B3</f>
        <v>Madurai TSp VIth Bn under 4000 quarters Scheme.</v>
      </c>
      <c r="W3" s="357" t="str">
        <f>C3</f>
        <v>2006-2007</v>
      </c>
      <c r="AA3" s="244" t="s">
        <v>995</v>
      </c>
    </row>
    <row r="4" spans="1:37" hidden="1">
      <c r="F4" s="248" t="s">
        <v>1667</v>
      </c>
      <c r="G4" s="248" t="s">
        <v>1667</v>
      </c>
      <c r="H4" s="248" t="s">
        <v>1667</v>
      </c>
      <c r="I4" s="248" t="s">
        <v>1667</v>
      </c>
      <c r="J4" s="248" t="s">
        <v>1667</v>
      </c>
      <c r="K4" s="248" t="s">
        <v>1667</v>
      </c>
      <c r="M4" s="248" t="s">
        <v>1667</v>
      </c>
      <c r="N4" s="248" t="s">
        <v>1667</v>
      </c>
      <c r="O4" s="248" t="s">
        <v>1667</v>
      </c>
      <c r="P4" s="248" t="s">
        <v>1667</v>
      </c>
      <c r="Q4" s="248" t="s">
        <v>1667</v>
      </c>
      <c r="R4" s="248" t="s">
        <v>1667</v>
      </c>
      <c r="U4" s="244" t="s">
        <v>995</v>
      </c>
      <c r="W4" s="244" t="s">
        <v>995</v>
      </c>
      <c r="X4" s="244" t="s">
        <v>246</v>
      </c>
      <c r="Y4" s="244" t="s">
        <v>995</v>
      </c>
      <c r="AC4" s="244" t="s">
        <v>995</v>
      </c>
      <c r="AG4" s="244" t="s">
        <v>1668</v>
      </c>
    </row>
    <row r="5" spans="1:37" hidden="1">
      <c r="A5" s="248" t="s">
        <v>1667</v>
      </c>
      <c r="B5" s="248" t="s">
        <v>1667</v>
      </c>
      <c r="C5" s="248" t="s">
        <v>1667</v>
      </c>
      <c r="D5" s="248" t="s">
        <v>1667</v>
      </c>
      <c r="E5" s="244" t="s">
        <v>995</v>
      </c>
      <c r="F5" s="252" t="s">
        <v>1669</v>
      </c>
      <c r="G5" s="250" t="s">
        <v>995</v>
      </c>
      <c r="H5" s="354" t="s">
        <v>1670</v>
      </c>
      <c r="I5" s="354" t="s">
        <v>1671</v>
      </c>
      <c r="J5" s="354" t="s">
        <v>1672</v>
      </c>
      <c r="K5" s="354" t="s">
        <v>1673</v>
      </c>
      <c r="M5" s="354" t="s">
        <v>1669</v>
      </c>
      <c r="N5" s="244" t="s">
        <v>995</v>
      </c>
      <c r="O5" s="354" t="s">
        <v>1670</v>
      </c>
      <c r="P5" s="354" t="s">
        <v>1671</v>
      </c>
      <c r="Q5" s="354" t="s">
        <v>1672</v>
      </c>
      <c r="R5" s="354" t="s">
        <v>1673</v>
      </c>
      <c r="T5" s="248" t="s">
        <v>1667</v>
      </c>
      <c r="U5" s="248" t="s">
        <v>1667</v>
      </c>
      <c r="V5" s="248" t="s">
        <v>1667</v>
      </c>
      <c r="W5" s="248" t="s">
        <v>1667</v>
      </c>
      <c r="X5" s="248" t="s">
        <v>1667</v>
      </c>
      <c r="Y5" s="248" t="s">
        <v>1667</v>
      </c>
      <c r="Z5" s="248" t="s">
        <v>1667</v>
      </c>
      <c r="AA5" s="248" t="s">
        <v>1667</v>
      </c>
      <c r="AB5" s="248" t="s">
        <v>1667</v>
      </c>
      <c r="AC5" s="248" t="s">
        <v>1667</v>
      </c>
      <c r="AD5" s="248" t="s">
        <v>1667</v>
      </c>
      <c r="AE5" s="248" t="s">
        <v>1667</v>
      </c>
    </row>
    <row r="6" spans="1:37" hidden="1">
      <c r="A6" s="244" t="s">
        <v>704</v>
      </c>
      <c r="B6" s="244" t="s">
        <v>1670</v>
      </c>
      <c r="C6" s="244" t="s">
        <v>1671</v>
      </c>
      <c r="D6" s="244" t="s">
        <v>1672</v>
      </c>
      <c r="F6" s="248" t="s">
        <v>1667</v>
      </c>
      <c r="G6" s="248" t="s">
        <v>1667</v>
      </c>
      <c r="H6" s="248" t="s">
        <v>1667</v>
      </c>
      <c r="I6" s="248" t="s">
        <v>1667</v>
      </c>
      <c r="J6" s="248" t="s">
        <v>1667</v>
      </c>
      <c r="K6" s="248" t="s">
        <v>1667</v>
      </c>
      <c r="M6" s="248" t="s">
        <v>1667</v>
      </c>
      <c r="N6" s="248" t="s">
        <v>1667</v>
      </c>
      <c r="O6" s="248" t="s">
        <v>1667</v>
      </c>
      <c r="P6" s="248" t="s">
        <v>1667</v>
      </c>
      <c r="Q6" s="248" t="s">
        <v>1667</v>
      </c>
      <c r="R6" s="248" t="s">
        <v>1667</v>
      </c>
      <c r="T6" s="354" t="s">
        <v>704</v>
      </c>
      <c r="U6" s="354" t="s">
        <v>60</v>
      </c>
      <c r="V6" s="354" t="s">
        <v>2330</v>
      </c>
      <c r="W6" s="354" t="s">
        <v>2331</v>
      </c>
      <c r="X6" s="354" t="s">
        <v>2332</v>
      </c>
      <c r="Y6" s="354" t="s">
        <v>2333</v>
      </c>
      <c r="Z6" s="354" t="s">
        <v>2334</v>
      </c>
      <c r="AA6" s="244" t="s">
        <v>2597</v>
      </c>
      <c r="AB6" s="244" t="s">
        <v>2335</v>
      </c>
      <c r="AC6" s="244" t="s">
        <v>2336</v>
      </c>
      <c r="AD6" s="354" t="s">
        <v>2337</v>
      </c>
      <c r="AG6" s="245">
        <f>135*1.1</f>
        <v>148.5</v>
      </c>
    </row>
    <row r="7" spans="1:37" hidden="1">
      <c r="A7" s="248" t="s">
        <v>1667</v>
      </c>
      <c r="B7" s="248" t="s">
        <v>1667</v>
      </c>
      <c r="C7" s="248" t="s">
        <v>1667</v>
      </c>
      <c r="D7" s="248" t="s">
        <v>1667</v>
      </c>
      <c r="G7" s="250" t="s">
        <v>2338</v>
      </c>
      <c r="H7" s="244" t="s">
        <v>2339</v>
      </c>
      <c r="O7" s="244" t="s">
        <v>2340</v>
      </c>
      <c r="X7" s="354" t="s">
        <v>2341</v>
      </c>
      <c r="Y7" s="354" t="s">
        <v>2336</v>
      </c>
      <c r="Z7" s="354" t="s">
        <v>2342</v>
      </c>
      <c r="AA7" s="244" t="s">
        <v>2598</v>
      </c>
      <c r="AB7" s="244" t="s">
        <v>2343</v>
      </c>
      <c r="AC7" s="244" t="s">
        <v>2344</v>
      </c>
    </row>
    <row r="8" spans="1:37" hidden="1">
      <c r="B8" s="244" t="s">
        <v>2345</v>
      </c>
      <c r="C8"/>
      <c r="D8"/>
      <c r="E8"/>
      <c r="H8" s="248" t="s">
        <v>1667</v>
      </c>
      <c r="O8" s="248" t="s">
        <v>1667</v>
      </c>
      <c r="T8" s="248" t="s">
        <v>1667</v>
      </c>
      <c r="U8" s="248" t="s">
        <v>1667</v>
      </c>
      <c r="V8" s="248" t="s">
        <v>1667</v>
      </c>
      <c r="W8" s="248" t="s">
        <v>1667</v>
      </c>
      <c r="X8" s="248" t="s">
        <v>1667</v>
      </c>
      <c r="Y8" s="248" t="s">
        <v>1667</v>
      </c>
      <c r="Z8" s="248" t="s">
        <v>1667</v>
      </c>
      <c r="AA8" s="248" t="s">
        <v>1667</v>
      </c>
      <c r="AB8" s="248" t="s">
        <v>1667</v>
      </c>
      <c r="AC8" s="248" t="s">
        <v>1667</v>
      </c>
      <c r="AD8" s="248" t="s">
        <v>1667</v>
      </c>
      <c r="AE8" s="248" t="s">
        <v>1667</v>
      </c>
      <c r="AG8" s="244" t="s">
        <v>2346</v>
      </c>
      <c r="AI8">
        <v>148.5</v>
      </c>
      <c r="AJ8" s="245">
        <v>1.1000000000000001</v>
      </c>
      <c r="AK8" s="245">
        <f>AI8*AJ8</f>
        <v>163.35</v>
      </c>
    </row>
    <row r="9" spans="1:37" hidden="1">
      <c r="B9" s="244" t="s">
        <v>875</v>
      </c>
      <c r="C9"/>
      <c r="D9"/>
      <c r="E9"/>
      <c r="F9" s="251">
        <v>0.96</v>
      </c>
      <c r="G9" s="250" t="s">
        <v>876</v>
      </c>
      <c r="H9" s="244" t="s">
        <v>877</v>
      </c>
      <c r="I9" s="8">
        <f>(C67)</f>
        <v>3800</v>
      </c>
      <c r="J9" s="2" t="s">
        <v>876</v>
      </c>
      <c r="K9" s="8">
        <f>(F9*I9)</f>
        <v>3648</v>
      </c>
      <c r="M9" s="251">
        <v>0.5</v>
      </c>
      <c r="N9" s="244" t="s">
        <v>876</v>
      </c>
      <c r="O9" s="244" t="s">
        <v>878</v>
      </c>
      <c r="P9" s="251" t="e">
        <f>(C85)</f>
        <v>#REF!</v>
      </c>
      <c r="Q9" s="244" t="s">
        <v>876</v>
      </c>
      <c r="R9" s="251" t="e">
        <f>(M9*P9)</f>
        <v>#REF!</v>
      </c>
      <c r="T9" s="354" t="s">
        <v>879</v>
      </c>
      <c r="U9" s="244" t="s">
        <v>880</v>
      </c>
      <c r="V9" s="244" t="s">
        <v>881</v>
      </c>
      <c r="W9" s="244" t="s">
        <v>2599</v>
      </c>
      <c r="X9" s="251" t="e">
        <f>#REF!</f>
        <v>#REF!</v>
      </c>
      <c r="Y9" s="8">
        <v>200</v>
      </c>
      <c r="Z9" s="251" t="e">
        <f>#REF!</f>
        <v>#REF!</v>
      </c>
      <c r="AA9" s="354">
        <v>0</v>
      </c>
      <c r="AB9" s="244">
        <v>0</v>
      </c>
      <c r="AC9" s="244" t="e">
        <f t="shared" ref="AC9:AC38" si="0">SUM(Y9+Z9+AA9+AB9)</f>
        <v>#REF!</v>
      </c>
      <c r="AD9" s="244" t="s">
        <v>2629</v>
      </c>
      <c r="AE9" s="8">
        <v>150</v>
      </c>
      <c r="AF9" s="251"/>
      <c r="AG9" s="251"/>
      <c r="AI9">
        <v>126.5</v>
      </c>
      <c r="AJ9" s="245">
        <v>1.1000000000000001</v>
      </c>
      <c r="AK9" s="245">
        <f t="shared" ref="AK9:AK36" si="1">AI9*AJ9</f>
        <v>139.15</v>
      </c>
    </row>
    <row r="10" spans="1:37" ht="15" hidden="1" customHeight="1">
      <c r="A10" s="358">
        <v>1</v>
      </c>
      <c r="B10" s="244" t="s">
        <v>882</v>
      </c>
      <c r="C10" s="8">
        <f>AE9</f>
        <v>150</v>
      </c>
      <c r="D10" s="1" t="s">
        <v>883</v>
      </c>
      <c r="E10"/>
      <c r="F10" s="251">
        <v>1</v>
      </c>
      <c r="G10" s="250" t="s">
        <v>884</v>
      </c>
      <c r="H10" s="244" t="s">
        <v>885</v>
      </c>
      <c r="I10" s="8" t="e">
        <f>(C78)</f>
        <v>#REF!</v>
      </c>
      <c r="J10" s="2" t="s">
        <v>884</v>
      </c>
      <c r="K10" s="8" t="e">
        <f>(F10*I10)</f>
        <v>#REF!</v>
      </c>
      <c r="M10" s="251">
        <v>1</v>
      </c>
      <c r="N10" s="244" t="s">
        <v>884</v>
      </c>
      <c r="O10" s="244" t="s">
        <v>885</v>
      </c>
      <c r="P10" s="251" t="e">
        <f>(C78)</f>
        <v>#REF!</v>
      </c>
      <c r="Q10" s="244" t="s">
        <v>884</v>
      </c>
      <c r="R10" s="251" t="e">
        <f>(M10*P10)</f>
        <v>#REF!</v>
      </c>
      <c r="T10" s="354" t="s">
        <v>886</v>
      </c>
      <c r="U10" s="244" t="s">
        <v>887</v>
      </c>
      <c r="V10" s="244" t="s">
        <v>881</v>
      </c>
      <c r="W10" s="251" t="str">
        <f>W9</f>
        <v>Nallambakkam</v>
      </c>
      <c r="X10" s="251" t="e">
        <f>+X9</f>
        <v>#REF!</v>
      </c>
      <c r="Y10" s="8">
        <v>300</v>
      </c>
      <c r="Z10" s="251" t="e">
        <f t="shared" ref="Z10:Z15" si="2">+Z9</f>
        <v>#REF!</v>
      </c>
      <c r="AA10" s="197">
        <v>0</v>
      </c>
      <c r="AB10" s="246">
        <v>0</v>
      </c>
      <c r="AC10" s="244" t="e">
        <f t="shared" si="0"/>
        <v>#REF!</v>
      </c>
      <c r="AD10" s="244" t="s">
        <v>2630</v>
      </c>
      <c r="AE10" s="8">
        <v>135</v>
      </c>
      <c r="AF10" s="251"/>
      <c r="AG10" s="251"/>
      <c r="AI10">
        <v>85.5</v>
      </c>
      <c r="AJ10" s="245">
        <v>1.1000000000000001</v>
      </c>
      <c r="AK10" s="245">
        <f t="shared" si="1"/>
        <v>94.05</v>
      </c>
    </row>
    <row r="11" spans="1:37" hidden="1">
      <c r="A11" s="358">
        <f t="shared" ref="A11:A35" si="3">(A10+1)</f>
        <v>2</v>
      </c>
      <c r="B11" s="244" t="s">
        <v>888</v>
      </c>
      <c r="C11" s="8">
        <f>AE10</f>
        <v>135</v>
      </c>
      <c r="D11" s="1" t="s">
        <v>883</v>
      </c>
      <c r="E11"/>
      <c r="F11" s="251">
        <v>1</v>
      </c>
      <c r="G11" s="250" t="s">
        <v>884</v>
      </c>
      <c r="H11" s="244" t="s">
        <v>889</v>
      </c>
      <c r="I11" s="8">
        <f>(C18)</f>
        <v>26</v>
      </c>
      <c r="J11" s="2" t="s">
        <v>884</v>
      </c>
      <c r="K11" s="8">
        <f>(F11*I11)</f>
        <v>26</v>
      </c>
      <c r="M11" s="251">
        <v>1</v>
      </c>
      <c r="N11" s="244" t="s">
        <v>884</v>
      </c>
      <c r="O11" s="244" t="s">
        <v>890</v>
      </c>
      <c r="P11" s="251">
        <f>(C64)</f>
        <v>62.5</v>
      </c>
      <c r="Q11" s="244" t="s">
        <v>884</v>
      </c>
      <c r="R11" s="251">
        <f>(M11*P11)</f>
        <v>62.5</v>
      </c>
      <c r="T11" s="354" t="s">
        <v>891</v>
      </c>
      <c r="U11" s="244" t="s">
        <v>892</v>
      </c>
      <c r="V11" s="244" t="s">
        <v>881</v>
      </c>
      <c r="W11" s="244" t="s">
        <v>2631</v>
      </c>
      <c r="X11" s="251" t="e">
        <f>#REF!</f>
        <v>#REF!</v>
      </c>
      <c r="Y11" s="8">
        <v>333.33</v>
      </c>
      <c r="Z11" s="251" t="e">
        <f t="shared" si="2"/>
        <v>#REF!</v>
      </c>
      <c r="AA11" s="354">
        <v>0</v>
      </c>
      <c r="AB11" s="246">
        <v>0</v>
      </c>
      <c r="AC11" s="244" t="e">
        <f t="shared" si="0"/>
        <v>#REF!</v>
      </c>
      <c r="AD11" s="244" t="s">
        <v>893</v>
      </c>
      <c r="AE11" s="8">
        <v>95</v>
      </c>
      <c r="AF11" s="251"/>
      <c r="AG11" s="251"/>
      <c r="AI11">
        <v>80.5</v>
      </c>
      <c r="AJ11" s="245">
        <v>1.1000000000000001</v>
      </c>
      <c r="AK11" s="245">
        <f t="shared" si="1"/>
        <v>88.55</v>
      </c>
    </row>
    <row r="12" spans="1:37" hidden="1">
      <c r="A12" s="358">
        <f t="shared" si="3"/>
        <v>3</v>
      </c>
      <c r="B12" s="244" t="s">
        <v>447</v>
      </c>
      <c r="C12" s="8">
        <f>AE11</f>
        <v>95</v>
      </c>
      <c r="D12" s="1" t="s">
        <v>883</v>
      </c>
      <c r="E12"/>
      <c r="G12" s="250" t="s">
        <v>448</v>
      </c>
      <c r="H12" s="244" t="s">
        <v>449</v>
      </c>
      <c r="I12" s="1" t="s">
        <v>995</v>
      </c>
      <c r="J12" s="2" t="s">
        <v>448</v>
      </c>
      <c r="K12" s="8">
        <v>0</v>
      </c>
      <c r="N12" s="244" t="s">
        <v>448</v>
      </c>
      <c r="O12" s="244" t="s">
        <v>449</v>
      </c>
      <c r="P12" s="244" t="s">
        <v>995</v>
      </c>
      <c r="Q12" s="244" t="s">
        <v>448</v>
      </c>
      <c r="R12" s="251">
        <v>0</v>
      </c>
      <c r="T12" s="354" t="s">
        <v>450</v>
      </c>
      <c r="U12" s="244" t="s">
        <v>1571</v>
      </c>
      <c r="V12" s="244" t="s">
        <v>881</v>
      </c>
      <c r="W12" s="251" t="str">
        <f>W11</f>
        <v>Pallavaram</v>
      </c>
      <c r="X12" s="251" t="e">
        <f>+X11</f>
        <v>#REF!</v>
      </c>
      <c r="Y12" s="8">
        <v>425</v>
      </c>
      <c r="Z12" s="251" t="e">
        <f t="shared" si="2"/>
        <v>#REF!</v>
      </c>
      <c r="AA12" s="354">
        <v>0</v>
      </c>
      <c r="AB12" s="246">
        <v>0</v>
      </c>
      <c r="AC12" s="244" t="e">
        <f t="shared" si="0"/>
        <v>#REF!</v>
      </c>
      <c r="AD12" s="244" t="s">
        <v>1572</v>
      </c>
      <c r="AE12" s="8">
        <v>85</v>
      </c>
      <c r="AF12" s="251"/>
      <c r="AG12" s="251"/>
      <c r="AI12">
        <v>114.5</v>
      </c>
      <c r="AJ12" s="245">
        <v>1.1000000000000001</v>
      </c>
      <c r="AK12" s="245">
        <f t="shared" si="1"/>
        <v>125.95</v>
      </c>
    </row>
    <row r="13" spans="1:37" hidden="1">
      <c r="A13" s="358">
        <f t="shared" si="3"/>
        <v>4</v>
      </c>
      <c r="B13" s="244" t="s">
        <v>1573</v>
      </c>
      <c r="C13" s="8">
        <f>AE12</f>
        <v>85</v>
      </c>
      <c r="D13" s="1" t="s">
        <v>883</v>
      </c>
      <c r="E13"/>
      <c r="I13"/>
      <c r="J13" s="4"/>
      <c r="K13" s="5" t="s">
        <v>1667</v>
      </c>
      <c r="R13" s="248" t="s">
        <v>1667</v>
      </c>
      <c r="T13" s="354" t="s">
        <v>1574</v>
      </c>
      <c r="U13" s="244" t="s">
        <v>1575</v>
      </c>
      <c r="V13" s="244" t="s">
        <v>881</v>
      </c>
      <c r="W13" s="251" t="str">
        <f>W11</f>
        <v>Pallavaram</v>
      </c>
      <c r="X13" s="251" t="e">
        <f>+X12</f>
        <v>#REF!</v>
      </c>
      <c r="Y13" s="8">
        <v>630</v>
      </c>
      <c r="Z13" s="251" t="e">
        <f t="shared" si="2"/>
        <v>#REF!</v>
      </c>
      <c r="AA13" s="354">
        <v>0</v>
      </c>
      <c r="AB13" s="246">
        <v>0</v>
      </c>
      <c r="AC13" s="244" t="e">
        <f t="shared" si="0"/>
        <v>#REF!</v>
      </c>
      <c r="AD13" s="244" t="s">
        <v>1576</v>
      </c>
      <c r="AE13" s="8">
        <v>120</v>
      </c>
      <c r="AF13" s="251"/>
      <c r="AG13" s="251"/>
      <c r="AI13">
        <v>106.5</v>
      </c>
      <c r="AJ13" s="245">
        <v>1.1000000000000001</v>
      </c>
      <c r="AK13" s="245">
        <f t="shared" si="1"/>
        <v>117.15</v>
      </c>
    </row>
    <row r="14" spans="1:37" hidden="1">
      <c r="A14" s="358">
        <f t="shared" si="3"/>
        <v>5</v>
      </c>
      <c r="B14" s="244" t="s">
        <v>1577</v>
      </c>
      <c r="C14" s="8">
        <f>AE13</f>
        <v>120</v>
      </c>
      <c r="D14" s="8">
        <f>AE14</f>
        <v>110</v>
      </c>
      <c r="E14"/>
      <c r="H14" s="244" t="s">
        <v>1578</v>
      </c>
      <c r="I14"/>
      <c r="J14" s="4"/>
      <c r="K14" s="8" t="e">
        <f>SUM(K9:K12)</f>
        <v>#REF!</v>
      </c>
      <c r="N14" s="251" t="e">
        <f>SUM(K9:K12)</f>
        <v>#REF!</v>
      </c>
      <c r="O14" s="244" t="s">
        <v>1578</v>
      </c>
      <c r="R14" s="251" t="e">
        <f>SUM(R9:R12)</f>
        <v>#REF!</v>
      </c>
      <c r="T14" s="354" t="s">
        <v>2081</v>
      </c>
      <c r="U14" s="244" t="s">
        <v>116</v>
      </c>
      <c r="V14" s="244" t="s">
        <v>881</v>
      </c>
      <c r="W14" s="251" t="str">
        <f>W11</f>
        <v>Pallavaram</v>
      </c>
      <c r="X14" s="251" t="e">
        <f>+X13</f>
        <v>#REF!</v>
      </c>
      <c r="Y14" s="8">
        <v>685</v>
      </c>
      <c r="Z14" s="251" t="e">
        <f t="shared" si="2"/>
        <v>#REF!</v>
      </c>
      <c r="AA14" s="354">
        <v>0</v>
      </c>
      <c r="AB14" s="246">
        <v>0</v>
      </c>
      <c r="AC14" s="244" t="e">
        <f t="shared" si="0"/>
        <v>#REF!</v>
      </c>
      <c r="AD14" s="244" t="s">
        <v>117</v>
      </c>
      <c r="AE14" s="8">
        <v>110</v>
      </c>
      <c r="AF14" s="251"/>
      <c r="AG14" s="251"/>
      <c r="AI14">
        <v>116.5</v>
      </c>
      <c r="AJ14" s="245">
        <v>1.1000000000000001</v>
      </c>
      <c r="AK14" s="245">
        <f t="shared" si="1"/>
        <v>128.15</v>
      </c>
    </row>
    <row r="15" spans="1:37" hidden="1">
      <c r="A15" s="358">
        <f t="shared" si="3"/>
        <v>6</v>
      </c>
      <c r="B15" s="244" t="s">
        <v>118</v>
      </c>
      <c r="C15" s="8">
        <f>AE15</f>
        <v>130</v>
      </c>
      <c r="D15" s="1" t="s">
        <v>883</v>
      </c>
      <c r="E15"/>
      <c r="I15"/>
      <c r="J15" s="4"/>
      <c r="K15" s="5" t="s">
        <v>1667</v>
      </c>
      <c r="R15" s="248" t="s">
        <v>1667</v>
      </c>
      <c r="T15" s="354" t="s">
        <v>119</v>
      </c>
      <c r="U15" s="244" t="s">
        <v>120</v>
      </c>
      <c r="V15" s="244" t="s">
        <v>881</v>
      </c>
      <c r="W15" s="251" t="str">
        <f>W11</f>
        <v>Pallavaram</v>
      </c>
      <c r="X15" s="251" t="e">
        <f>+X14</f>
        <v>#REF!</v>
      </c>
      <c r="Y15" s="8">
        <v>490</v>
      </c>
      <c r="Z15" s="251" t="e">
        <f t="shared" si="2"/>
        <v>#REF!</v>
      </c>
      <c r="AA15" s="354">
        <v>0</v>
      </c>
      <c r="AB15" s="246">
        <v>0</v>
      </c>
      <c r="AC15" s="244" t="e">
        <f t="shared" si="0"/>
        <v>#REF!</v>
      </c>
      <c r="AD15" s="244" t="s">
        <v>121</v>
      </c>
      <c r="AE15" s="8">
        <v>130</v>
      </c>
      <c r="AF15" s="251"/>
      <c r="AG15" s="251"/>
      <c r="AI15">
        <v>106.5</v>
      </c>
      <c r="AJ15" s="245">
        <v>1.1000000000000001</v>
      </c>
      <c r="AK15" s="245">
        <f t="shared" si="1"/>
        <v>117.15</v>
      </c>
    </row>
    <row r="16" spans="1:37" hidden="1">
      <c r="A16" s="358">
        <f t="shared" si="3"/>
        <v>7</v>
      </c>
      <c r="B16" s="244" t="s">
        <v>122</v>
      </c>
      <c r="C16" s="8">
        <f>AE19</f>
        <v>150</v>
      </c>
      <c r="D16" s="8">
        <f>AE20</f>
        <v>135</v>
      </c>
      <c r="E16"/>
      <c r="G16" s="250" t="s">
        <v>2338</v>
      </c>
      <c r="H16" s="244" t="s">
        <v>123</v>
      </c>
      <c r="I16"/>
      <c r="J16" s="4"/>
      <c r="K16"/>
      <c r="N16" s="244" t="s">
        <v>2338</v>
      </c>
      <c r="O16" s="244" t="s">
        <v>124</v>
      </c>
      <c r="T16" s="354" t="s">
        <v>125</v>
      </c>
      <c r="U16" s="244" t="s">
        <v>126</v>
      </c>
      <c r="V16" s="244" t="s">
        <v>881</v>
      </c>
      <c r="W16" s="244" t="s">
        <v>2632</v>
      </c>
      <c r="X16" s="251" t="e">
        <f>#REF!</f>
        <v>#REF!</v>
      </c>
      <c r="Y16" s="8">
        <v>110</v>
      </c>
      <c r="Z16" s="251" t="e">
        <f>#REF!</f>
        <v>#REF!</v>
      </c>
      <c r="AA16" s="354">
        <v>0</v>
      </c>
      <c r="AB16" s="246">
        <v>0</v>
      </c>
      <c r="AC16" s="244" t="e">
        <f t="shared" si="0"/>
        <v>#REF!</v>
      </c>
      <c r="AD16" s="244" t="s">
        <v>2328</v>
      </c>
      <c r="AE16" s="8">
        <v>120</v>
      </c>
      <c r="AF16" s="251"/>
      <c r="AG16" s="251"/>
      <c r="AI16">
        <v>106.5</v>
      </c>
      <c r="AJ16" s="245">
        <v>1.1000000000000001</v>
      </c>
      <c r="AK16" s="245">
        <f t="shared" si="1"/>
        <v>117.15</v>
      </c>
    </row>
    <row r="17" spans="1:37" hidden="1">
      <c r="A17" s="358">
        <f t="shared" si="3"/>
        <v>8</v>
      </c>
      <c r="B17" s="244" t="s">
        <v>2329</v>
      </c>
      <c r="C17" s="8">
        <f>AE17</f>
        <v>130</v>
      </c>
      <c r="D17" s="8">
        <f>AE18</f>
        <v>120</v>
      </c>
      <c r="E17"/>
      <c r="H17" s="248" t="s">
        <v>1667</v>
      </c>
      <c r="I17"/>
      <c r="J17" s="4"/>
      <c r="K17"/>
      <c r="O17" s="244" t="s">
        <v>1062</v>
      </c>
      <c r="T17" s="354" t="s">
        <v>1063</v>
      </c>
      <c r="U17" s="244" t="s">
        <v>1064</v>
      </c>
      <c r="V17" s="244" t="s">
        <v>881</v>
      </c>
      <c r="W17" s="244" t="s">
        <v>2633</v>
      </c>
      <c r="X17" s="251" t="e">
        <f>X16</f>
        <v>#REF!</v>
      </c>
      <c r="Y17" s="8">
        <v>110</v>
      </c>
      <c r="Z17" s="251" t="e">
        <f>Z16</f>
        <v>#REF!</v>
      </c>
      <c r="AA17" s="354">
        <v>0</v>
      </c>
      <c r="AB17" s="246">
        <v>0</v>
      </c>
      <c r="AC17" s="244" t="e">
        <f t="shared" si="0"/>
        <v>#REF!</v>
      </c>
      <c r="AD17" s="244" t="s">
        <v>1065</v>
      </c>
      <c r="AE17" s="8">
        <v>130</v>
      </c>
      <c r="AF17" s="251"/>
      <c r="AG17" s="251"/>
      <c r="AI17">
        <v>98.5</v>
      </c>
      <c r="AJ17" s="245">
        <v>1.1000000000000001</v>
      </c>
      <c r="AK17" s="245">
        <f t="shared" si="1"/>
        <v>108.35</v>
      </c>
    </row>
    <row r="18" spans="1:37" hidden="1">
      <c r="A18" s="358">
        <f t="shared" si="3"/>
        <v>9</v>
      </c>
      <c r="B18" s="244" t="s">
        <v>1066</v>
      </c>
      <c r="C18" s="8">
        <f>AE24</f>
        <v>26</v>
      </c>
      <c r="D18" s="1" t="s">
        <v>1067</v>
      </c>
      <c r="E18"/>
      <c r="F18" s="251">
        <v>0.72</v>
      </c>
      <c r="G18" s="250" t="s">
        <v>876</v>
      </c>
      <c r="H18" s="244" t="s">
        <v>877</v>
      </c>
      <c r="I18" s="8">
        <f>(C67)</f>
        <v>3800</v>
      </c>
      <c r="J18" s="2" t="s">
        <v>876</v>
      </c>
      <c r="K18" s="8">
        <f>(F18*I18)</f>
        <v>2736</v>
      </c>
      <c r="O18" s="244" t="s">
        <v>1506</v>
      </c>
      <c r="T18" s="354" t="s">
        <v>1507</v>
      </c>
      <c r="U18" s="244" t="s">
        <v>2634</v>
      </c>
      <c r="V18" s="244" t="s">
        <v>1508</v>
      </c>
      <c r="W18" s="244" t="s">
        <v>2635</v>
      </c>
      <c r="X18" s="251" t="e">
        <f>#REF!</f>
        <v>#REF!</v>
      </c>
      <c r="Y18" s="8">
        <v>1950</v>
      </c>
      <c r="Z18" s="251" t="e">
        <f>#REF!</f>
        <v>#REF!</v>
      </c>
      <c r="AA18" s="354">
        <v>0</v>
      </c>
      <c r="AB18" s="246">
        <v>0</v>
      </c>
      <c r="AC18" s="244" t="e">
        <f t="shared" si="0"/>
        <v>#REF!</v>
      </c>
      <c r="AD18" s="244" t="s">
        <v>1509</v>
      </c>
      <c r="AE18" s="8">
        <v>120</v>
      </c>
      <c r="AF18" s="251"/>
      <c r="AG18" s="251"/>
      <c r="AI18">
        <v>148.5</v>
      </c>
      <c r="AJ18" s="245">
        <v>1.1000000000000001</v>
      </c>
      <c r="AK18" s="245">
        <f t="shared" si="1"/>
        <v>163.35</v>
      </c>
    </row>
    <row r="19" spans="1:37" hidden="1">
      <c r="A19" s="358">
        <f t="shared" si="3"/>
        <v>10</v>
      </c>
      <c r="B19" s="244" t="s">
        <v>1510</v>
      </c>
      <c r="C19" s="8">
        <v>17.600000000000001</v>
      </c>
      <c r="D19" s="1" t="s">
        <v>884</v>
      </c>
      <c r="E19"/>
      <c r="F19" s="251">
        <v>1</v>
      </c>
      <c r="G19" s="250" t="s">
        <v>884</v>
      </c>
      <c r="H19" s="244" t="s">
        <v>885</v>
      </c>
      <c r="I19" s="8" t="e">
        <f>(C78)</f>
        <v>#REF!</v>
      </c>
      <c r="J19" s="2" t="s">
        <v>884</v>
      </c>
      <c r="K19" s="8" t="e">
        <f>(F19*I19)</f>
        <v>#REF!</v>
      </c>
      <c r="O19" s="244" t="s">
        <v>75</v>
      </c>
      <c r="T19" s="354" t="s">
        <v>76</v>
      </c>
      <c r="U19" s="244" t="s">
        <v>77</v>
      </c>
      <c r="V19" s="244" t="s">
        <v>884</v>
      </c>
      <c r="W19" s="251" t="str">
        <f>W18</f>
        <v>Nerkundram</v>
      </c>
      <c r="X19" s="251" t="e">
        <f>#REF!</f>
        <v>#REF!</v>
      </c>
      <c r="Y19" s="8">
        <v>260</v>
      </c>
      <c r="Z19" s="251" t="e">
        <f>#REF!</f>
        <v>#REF!</v>
      </c>
      <c r="AA19" s="354">
        <v>0</v>
      </c>
      <c r="AB19" s="246">
        <v>0</v>
      </c>
      <c r="AC19" s="244" t="e">
        <f t="shared" si="0"/>
        <v>#REF!</v>
      </c>
      <c r="AD19" s="244" t="s">
        <v>78</v>
      </c>
      <c r="AE19" s="8">
        <v>150</v>
      </c>
      <c r="AF19" s="251"/>
      <c r="AG19" s="251"/>
      <c r="AI19">
        <v>126.5</v>
      </c>
      <c r="AJ19" s="245">
        <v>1.1000000000000001</v>
      </c>
      <c r="AK19" s="245">
        <f t="shared" si="1"/>
        <v>139.15</v>
      </c>
    </row>
    <row r="20" spans="1:37" hidden="1">
      <c r="A20" s="358">
        <f t="shared" si="3"/>
        <v>11</v>
      </c>
      <c r="B20" s="244" t="s">
        <v>376</v>
      </c>
      <c r="C20" s="8">
        <v>35.200000000000003</v>
      </c>
      <c r="D20" s="1" t="s">
        <v>884</v>
      </c>
      <c r="E20"/>
      <c r="F20" s="251">
        <v>1</v>
      </c>
      <c r="G20" s="250" t="s">
        <v>884</v>
      </c>
      <c r="H20" s="244" t="s">
        <v>889</v>
      </c>
      <c r="I20" s="8">
        <f>(C18)</f>
        <v>26</v>
      </c>
      <c r="J20" s="2" t="s">
        <v>884</v>
      </c>
      <c r="K20" s="8">
        <f>(F20*I20)</f>
        <v>26</v>
      </c>
      <c r="O20" s="244" t="s">
        <v>1078</v>
      </c>
      <c r="T20" s="354" t="s">
        <v>2048</v>
      </c>
      <c r="U20" s="244" t="s">
        <v>2049</v>
      </c>
      <c r="V20" s="244" t="s">
        <v>884</v>
      </c>
      <c r="W20" s="251" t="str">
        <f>W18</f>
        <v>Nerkundram</v>
      </c>
      <c r="X20" s="251" t="e">
        <f>X19</f>
        <v>#REF!</v>
      </c>
      <c r="Y20" s="8">
        <v>280</v>
      </c>
      <c r="Z20" s="251" t="e">
        <f>+Z19</f>
        <v>#REF!</v>
      </c>
      <c r="AA20" s="354">
        <v>0</v>
      </c>
      <c r="AB20" s="246">
        <v>0</v>
      </c>
      <c r="AC20" s="244" t="e">
        <f t="shared" si="0"/>
        <v>#REF!</v>
      </c>
      <c r="AD20" s="244" t="s">
        <v>2050</v>
      </c>
      <c r="AE20" s="8">
        <v>135</v>
      </c>
      <c r="AF20" s="251"/>
      <c r="AG20" s="251"/>
      <c r="AI20">
        <v>116.5</v>
      </c>
      <c r="AJ20" s="245">
        <v>1.1000000000000001</v>
      </c>
      <c r="AK20" s="245">
        <f t="shared" si="1"/>
        <v>128.15</v>
      </c>
    </row>
    <row r="21" spans="1:37" hidden="1">
      <c r="A21" s="358">
        <f t="shared" si="3"/>
        <v>12</v>
      </c>
      <c r="B21" s="244" t="s">
        <v>2349</v>
      </c>
      <c r="C21" s="8">
        <v>35.200000000000003</v>
      </c>
      <c r="D21" s="1" t="s">
        <v>884</v>
      </c>
      <c r="E21"/>
      <c r="G21" s="250" t="s">
        <v>448</v>
      </c>
      <c r="H21" s="244" t="s">
        <v>449</v>
      </c>
      <c r="I21" s="1" t="s">
        <v>995</v>
      </c>
      <c r="J21" s="2" t="s">
        <v>448</v>
      </c>
      <c r="K21" s="8">
        <v>0</v>
      </c>
      <c r="O21" s="248" t="s">
        <v>1667</v>
      </c>
      <c r="T21" s="354" t="s">
        <v>2350</v>
      </c>
      <c r="U21" s="244" t="s">
        <v>2351</v>
      </c>
      <c r="V21" s="244" t="s">
        <v>1508</v>
      </c>
      <c r="W21" s="244" t="s">
        <v>2352</v>
      </c>
      <c r="X21" s="251" t="e">
        <f>#REF!</f>
        <v>#REF!</v>
      </c>
      <c r="Y21" s="8">
        <v>4500</v>
      </c>
      <c r="Z21" s="251">
        <v>0</v>
      </c>
      <c r="AA21" s="354">
        <v>0</v>
      </c>
      <c r="AB21" s="246">
        <v>0</v>
      </c>
      <c r="AC21" s="244">
        <f t="shared" si="0"/>
        <v>4500</v>
      </c>
      <c r="AD21" s="244" t="s">
        <v>2353</v>
      </c>
      <c r="AE21" s="8">
        <v>120</v>
      </c>
      <c r="AF21" s="251"/>
      <c r="AG21" s="251"/>
      <c r="AI21">
        <v>106.5</v>
      </c>
      <c r="AJ21" s="245">
        <v>1.1000000000000001</v>
      </c>
      <c r="AK21" s="245">
        <f t="shared" si="1"/>
        <v>117.15</v>
      </c>
    </row>
    <row r="22" spans="1:37" hidden="1">
      <c r="A22" s="358">
        <f t="shared" si="3"/>
        <v>13</v>
      </c>
      <c r="B22" s="244" t="s">
        <v>1768</v>
      </c>
      <c r="C22" s="8">
        <v>26.45</v>
      </c>
      <c r="D22" s="1" t="s">
        <v>884</v>
      </c>
      <c r="E22"/>
      <c r="I22"/>
      <c r="J22" s="4"/>
      <c r="K22" s="5" t="s">
        <v>1667</v>
      </c>
      <c r="M22" s="251">
        <v>1</v>
      </c>
      <c r="N22" s="244" t="s">
        <v>884</v>
      </c>
      <c r="O22" s="244" t="s">
        <v>2075</v>
      </c>
      <c r="P22" s="251" t="e">
        <f>C78</f>
        <v>#REF!</v>
      </c>
      <c r="Q22" s="244" t="s">
        <v>884</v>
      </c>
      <c r="R22" s="251" t="e">
        <f>(M22*P22)</f>
        <v>#REF!</v>
      </c>
      <c r="T22" s="354" t="s">
        <v>2076</v>
      </c>
      <c r="U22" s="244" t="s">
        <v>2077</v>
      </c>
      <c r="V22" s="244" t="s">
        <v>881</v>
      </c>
      <c r="W22" s="359" t="s">
        <v>2636</v>
      </c>
      <c r="X22" s="251">
        <v>0</v>
      </c>
      <c r="Y22" s="8">
        <v>773</v>
      </c>
      <c r="Z22" s="251">
        <v>0</v>
      </c>
      <c r="AA22" s="354">
        <v>0</v>
      </c>
      <c r="AB22" s="246">
        <v>0</v>
      </c>
      <c r="AC22" s="244">
        <f t="shared" si="0"/>
        <v>773</v>
      </c>
      <c r="AD22" s="244" t="s">
        <v>2078</v>
      </c>
      <c r="AE22" s="8">
        <v>110</v>
      </c>
      <c r="AF22" s="251"/>
      <c r="AG22" s="251"/>
      <c r="AI22">
        <v>106.5</v>
      </c>
      <c r="AJ22" s="245">
        <v>1.1000000000000001</v>
      </c>
      <c r="AK22" s="245">
        <f t="shared" si="1"/>
        <v>117.15</v>
      </c>
    </row>
    <row r="23" spans="1:37" hidden="1">
      <c r="A23" s="358">
        <f t="shared" si="3"/>
        <v>14</v>
      </c>
      <c r="B23" s="244" t="s">
        <v>288</v>
      </c>
      <c r="C23" s="8">
        <v>52.85</v>
      </c>
      <c r="D23" s="1" t="s">
        <v>884</v>
      </c>
      <c r="E23"/>
      <c r="H23" s="244" t="s">
        <v>1578</v>
      </c>
      <c r="I23"/>
      <c r="J23" s="4"/>
      <c r="K23" s="8" t="e">
        <f>SUM(K18:K21)</f>
        <v>#REF!</v>
      </c>
      <c r="M23" s="251">
        <v>1</v>
      </c>
      <c r="N23" s="244" t="s">
        <v>884</v>
      </c>
      <c r="O23" s="244" t="s">
        <v>289</v>
      </c>
      <c r="P23" s="251" t="e">
        <f>C85</f>
        <v>#REF!</v>
      </c>
      <c r="Q23" s="244" t="s">
        <v>884</v>
      </c>
      <c r="R23" s="251" t="e">
        <f>(M23*P23)</f>
        <v>#REF!</v>
      </c>
      <c r="T23" s="354" t="s">
        <v>842</v>
      </c>
      <c r="U23" s="244" t="s">
        <v>843</v>
      </c>
      <c r="V23" s="244" t="s">
        <v>881</v>
      </c>
      <c r="W23" s="359" t="s">
        <v>2636</v>
      </c>
      <c r="X23" s="251" t="e">
        <f>#REF!</f>
        <v>#REF!</v>
      </c>
      <c r="Y23" s="8">
        <v>565</v>
      </c>
      <c r="Z23" s="251" t="e">
        <f>#REF!</f>
        <v>#REF!</v>
      </c>
      <c r="AA23" s="354">
        <v>0</v>
      </c>
      <c r="AB23" s="246">
        <v>0</v>
      </c>
      <c r="AC23" s="244" t="e">
        <f t="shared" si="0"/>
        <v>#REF!</v>
      </c>
      <c r="AD23" s="244" t="s">
        <v>844</v>
      </c>
      <c r="AE23" s="8">
        <v>120</v>
      </c>
      <c r="AF23" s="251"/>
      <c r="AG23" s="251"/>
      <c r="AI23">
        <v>26</v>
      </c>
      <c r="AJ23" s="245">
        <v>1.1000000000000001</v>
      </c>
      <c r="AK23" s="245">
        <f t="shared" si="1"/>
        <v>28.6</v>
      </c>
    </row>
    <row r="24" spans="1:37" hidden="1">
      <c r="A24" s="358">
        <f t="shared" si="3"/>
        <v>15</v>
      </c>
      <c r="B24" s="244" t="s">
        <v>845</v>
      </c>
      <c r="C24" s="8">
        <v>52.85</v>
      </c>
      <c r="D24" s="1" t="s">
        <v>884</v>
      </c>
      <c r="E24"/>
      <c r="I24"/>
      <c r="J24" s="4"/>
      <c r="K24" s="5" t="s">
        <v>1667</v>
      </c>
      <c r="M24" s="251">
        <v>1.5</v>
      </c>
      <c r="N24" s="244" t="s">
        <v>884</v>
      </c>
      <c r="O24" s="244" t="s">
        <v>1872</v>
      </c>
      <c r="P24" s="251">
        <f>C18</f>
        <v>26</v>
      </c>
      <c r="Q24" s="244" t="s">
        <v>884</v>
      </c>
      <c r="R24" s="251">
        <f>(M24*P24)</f>
        <v>39</v>
      </c>
      <c r="T24" s="354" t="s">
        <v>1873</v>
      </c>
      <c r="U24" s="244" t="s">
        <v>2</v>
      </c>
      <c r="V24" s="244" t="s">
        <v>881</v>
      </c>
      <c r="W24" s="244" t="s">
        <v>1874</v>
      </c>
      <c r="X24" s="245">
        <v>0</v>
      </c>
      <c r="Y24" s="8">
        <v>20605</v>
      </c>
      <c r="Z24" s="245">
        <v>0</v>
      </c>
      <c r="AA24" s="197">
        <v>0</v>
      </c>
      <c r="AB24" s="246">
        <v>0</v>
      </c>
      <c r="AC24" s="244">
        <f t="shared" si="0"/>
        <v>20605</v>
      </c>
      <c r="AD24" s="244" t="s">
        <v>1875</v>
      </c>
      <c r="AE24" s="8">
        <v>26</v>
      </c>
      <c r="AF24" s="251"/>
      <c r="AG24" s="251"/>
      <c r="AI24">
        <v>20.7</v>
      </c>
      <c r="AJ24" s="245">
        <v>1.1000000000000001</v>
      </c>
      <c r="AK24" s="245">
        <f t="shared" si="1"/>
        <v>22.77</v>
      </c>
    </row>
    <row r="25" spans="1:37" hidden="1">
      <c r="A25" s="358">
        <f t="shared" si="3"/>
        <v>16</v>
      </c>
      <c r="B25" s="244" t="s">
        <v>1876</v>
      </c>
      <c r="C25" s="8">
        <f>AE25</f>
        <v>20.7</v>
      </c>
      <c r="D25" s="1" t="s">
        <v>884</v>
      </c>
      <c r="E25"/>
      <c r="G25" s="250" t="s">
        <v>2338</v>
      </c>
      <c r="H25" s="244" t="s">
        <v>1414</v>
      </c>
      <c r="I25"/>
      <c r="J25" s="4"/>
      <c r="K25"/>
      <c r="M25" s="251">
        <v>1.5</v>
      </c>
      <c r="N25" s="244" t="s">
        <v>884</v>
      </c>
      <c r="O25" s="244" t="s">
        <v>1415</v>
      </c>
      <c r="P25" s="251">
        <f>C27</f>
        <v>7.8</v>
      </c>
      <c r="Q25" s="244" t="s">
        <v>884</v>
      </c>
      <c r="R25" s="251">
        <f>(M25*P25)</f>
        <v>11.7</v>
      </c>
      <c r="T25" s="354" t="s">
        <v>1416</v>
      </c>
      <c r="U25" s="244" t="s">
        <v>1417</v>
      </c>
      <c r="V25" s="244" t="s">
        <v>881</v>
      </c>
      <c r="W25" s="359" t="s">
        <v>1874</v>
      </c>
      <c r="X25" s="245">
        <v>0</v>
      </c>
      <c r="Y25" s="8">
        <v>23685</v>
      </c>
      <c r="Z25" s="245">
        <v>0</v>
      </c>
      <c r="AA25" s="197">
        <v>0</v>
      </c>
      <c r="AB25" s="246">
        <v>0</v>
      </c>
      <c r="AC25" s="244">
        <f t="shared" si="0"/>
        <v>23685</v>
      </c>
      <c r="AD25" s="244" t="s">
        <v>296</v>
      </c>
      <c r="AE25" s="8">
        <v>20.7</v>
      </c>
      <c r="AF25" s="251"/>
      <c r="AG25" s="251"/>
      <c r="AI25">
        <v>15.6</v>
      </c>
      <c r="AJ25" s="245">
        <v>1.1000000000000001</v>
      </c>
      <c r="AK25" s="245">
        <f t="shared" si="1"/>
        <v>17.16</v>
      </c>
    </row>
    <row r="26" spans="1:37" hidden="1">
      <c r="A26" s="358">
        <f t="shared" si="3"/>
        <v>17</v>
      </c>
      <c r="B26" s="244" t="s">
        <v>1109</v>
      </c>
      <c r="C26" s="8">
        <f>+AE28</f>
        <v>8.8000000000000007</v>
      </c>
      <c r="D26" s="1" t="s">
        <v>2120</v>
      </c>
      <c r="E26"/>
      <c r="H26" s="248" t="s">
        <v>1667</v>
      </c>
      <c r="I26"/>
      <c r="J26" s="4"/>
      <c r="K26"/>
      <c r="N26" s="244" t="s">
        <v>448</v>
      </c>
      <c r="O26" s="244" t="s">
        <v>449</v>
      </c>
      <c r="P26" s="244" t="s">
        <v>995</v>
      </c>
      <c r="Q26" s="244" t="s">
        <v>448</v>
      </c>
      <c r="R26" s="251">
        <v>0</v>
      </c>
      <c r="T26" s="354" t="s">
        <v>2121</v>
      </c>
      <c r="U26" s="244" t="s">
        <v>2637</v>
      </c>
      <c r="V26" s="244" t="s">
        <v>881</v>
      </c>
      <c r="W26" s="359" t="s">
        <v>1874</v>
      </c>
      <c r="X26" s="245">
        <v>0</v>
      </c>
      <c r="Y26" s="8">
        <v>65420</v>
      </c>
      <c r="Z26" s="245">
        <v>0</v>
      </c>
      <c r="AA26" s="197">
        <v>0</v>
      </c>
      <c r="AB26" s="246">
        <v>0</v>
      </c>
      <c r="AC26" s="244">
        <f t="shared" si="0"/>
        <v>65420</v>
      </c>
      <c r="AD26" s="244" t="s">
        <v>1551</v>
      </c>
      <c r="AE26" s="8">
        <v>15.6</v>
      </c>
      <c r="AF26" s="251"/>
      <c r="AG26" s="251"/>
      <c r="AI26">
        <v>7.8</v>
      </c>
      <c r="AJ26" s="245">
        <v>1.1000000000000001</v>
      </c>
      <c r="AK26" s="245">
        <f t="shared" si="1"/>
        <v>8.58</v>
      </c>
    </row>
    <row r="27" spans="1:37" hidden="1">
      <c r="A27" s="358">
        <f t="shared" si="3"/>
        <v>18</v>
      </c>
      <c r="B27" s="244" t="s">
        <v>1552</v>
      </c>
      <c r="C27" s="8">
        <f>+AE27</f>
        <v>7.8</v>
      </c>
      <c r="D27" s="1" t="s">
        <v>2120</v>
      </c>
      <c r="E27"/>
      <c r="F27" s="251">
        <v>0.48</v>
      </c>
      <c r="G27" s="250" t="s">
        <v>876</v>
      </c>
      <c r="H27" s="244" t="s">
        <v>877</v>
      </c>
      <c r="I27" s="8">
        <f>(C67)</f>
        <v>3800</v>
      </c>
      <c r="J27" s="2" t="s">
        <v>876</v>
      </c>
      <c r="K27" s="8">
        <f>(F27*I27)</f>
        <v>1824</v>
      </c>
      <c r="R27" s="248" t="s">
        <v>1667</v>
      </c>
      <c r="T27" s="354" t="s">
        <v>1553</v>
      </c>
      <c r="U27" s="244" t="s">
        <v>2638</v>
      </c>
      <c r="V27" s="244" t="s">
        <v>881</v>
      </c>
      <c r="W27" s="359" t="s">
        <v>1874</v>
      </c>
      <c r="X27" s="245">
        <v>0</v>
      </c>
      <c r="Y27" s="8">
        <v>57165</v>
      </c>
      <c r="Z27" s="245">
        <v>0</v>
      </c>
      <c r="AA27" s="197">
        <v>0</v>
      </c>
      <c r="AB27" s="246">
        <v>0</v>
      </c>
      <c r="AC27" s="244">
        <f t="shared" si="0"/>
        <v>57165</v>
      </c>
      <c r="AD27" s="244" t="s">
        <v>1554</v>
      </c>
      <c r="AE27" s="8">
        <v>7.8</v>
      </c>
      <c r="AF27" s="251"/>
      <c r="AG27" s="251"/>
      <c r="AI27">
        <v>8.8000000000000007</v>
      </c>
      <c r="AJ27" s="245">
        <v>1.1000000000000001</v>
      </c>
      <c r="AK27" s="245">
        <f t="shared" si="1"/>
        <v>9.68</v>
      </c>
    </row>
    <row r="28" spans="1:37" hidden="1">
      <c r="A28" s="358">
        <f t="shared" si="3"/>
        <v>19</v>
      </c>
      <c r="B28" s="244" t="s">
        <v>2639</v>
      </c>
      <c r="C28" s="8">
        <v>58.33</v>
      </c>
      <c r="D28" s="1" t="s">
        <v>448</v>
      </c>
      <c r="E28"/>
      <c r="F28" s="251">
        <v>1</v>
      </c>
      <c r="G28" s="250" t="s">
        <v>884</v>
      </c>
      <c r="H28" s="244" t="s">
        <v>885</v>
      </c>
      <c r="I28" s="8" t="e">
        <f>(C78)</f>
        <v>#REF!</v>
      </c>
      <c r="J28" s="2" t="s">
        <v>884</v>
      </c>
      <c r="K28" s="8" t="e">
        <f>(F28*I28)</f>
        <v>#REF!</v>
      </c>
      <c r="O28" s="244" t="s">
        <v>172</v>
      </c>
      <c r="R28" s="251" t="e">
        <f>SUM(R22:R26)</f>
        <v>#REF!</v>
      </c>
      <c r="T28" s="354" t="s">
        <v>901</v>
      </c>
      <c r="U28" s="244" t="s">
        <v>2640</v>
      </c>
      <c r="V28" s="244" t="s">
        <v>881</v>
      </c>
      <c r="W28" s="359" t="s">
        <v>1874</v>
      </c>
      <c r="X28" s="245">
        <v>0</v>
      </c>
      <c r="Y28" s="8">
        <v>63870</v>
      </c>
      <c r="Z28" s="245">
        <v>0</v>
      </c>
      <c r="AA28" s="197">
        <v>0</v>
      </c>
      <c r="AB28" s="246">
        <v>0</v>
      </c>
      <c r="AC28" s="244">
        <f t="shared" si="0"/>
        <v>63870</v>
      </c>
      <c r="AD28" s="244" t="s">
        <v>2358</v>
      </c>
      <c r="AE28" s="8">
        <v>8.8000000000000007</v>
      </c>
      <c r="AF28" s="251"/>
      <c r="AG28" s="251"/>
      <c r="AI28">
        <v>25</v>
      </c>
      <c r="AJ28" s="245">
        <v>1.1000000000000001</v>
      </c>
      <c r="AK28" s="245">
        <f t="shared" si="1"/>
        <v>27.5</v>
      </c>
    </row>
    <row r="29" spans="1:37" hidden="1">
      <c r="A29" s="358">
        <f t="shared" si="3"/>
        <v>20</v>
      </c>
      <c r="B29" s="244" t="s">
        <v>780</v>
      </c>
      <c r="C29" s="8">
        <f>AE23</f>
        <v>120</v>
      </c>
      <c r="D29" s="1" t="s">
        <v>781</v>
      </c>
      <c r="E29"/>
      <c r="F29" s="251">
        <v>1</v>
      </c>
      <c r="G29" s="250" t="s">
        <v>884</v>
      </c>
      <c r="H29" s="244" t="s">
        <v>889</v>
      </c>
      <c r="I29" s="8">
        <f>(C18)</f>
        <v>26</v>
      </c>
      <c r="J29" s="2" t="s">
        <v>884</v>
      </c>
      <c r="K29" s="8">
        <f>(F29*I29)</f>
        <v>26</v>
      </c>
      <c r="R29" s="248" t="s">
        <v>1667</v>
      </c>
      <c r="T29" s="354" t="s">
        <v>782</v>
      </c>
      <c r="U29" s="244" t="s">
        <v>783</v>
      </c>
      <c r="V29" s="244" t="s">
        <v>1508</v>
      </c>
      <c r="W29" s="251" t="str">
        <f>W18</f>
        <v>Nerkundram</v>
      </c>
      <c r="X29" s="251" t="e">
        <f>X18</f>
        <v>#REF!</v>
      </c>
      <c r="Y29" s="8">
        <v>1470</v>
      </c>
      <c r="Z29" s="251" t="e">
        <f>Z18</f>
        <v>#REF!</v>
      </c>
      <c r="AA29" s="197">
        <v>0</v>
      </c>
      <c r="AB29" s="246">
        <v>0</v>
      </c>
      <c r="AC29" s="244" t="e">
        <f t="shared" si="0"/>
        <v>#REF!</v>
      </c>
      <c r="AD29" s="244" t="s">
        <v>2641</v>
      </c>
      <c r="AE29" s="8">
        <v>25</v>
      </c>
      <c r="AF29" s="251"/>
      <c r="AG29" s="251"/>
      <c r="AI29">
        <v>342</v>
      </c>
      <c r="AJ29" s="245">
        <v>1.1000000000000001</v>
      </c>
      <c r="AK29" s="245">
        <f t="shared" si="1"/>
        <v>376.2</v>
      </c>
    </row>
    <row r="30" spans="1:37" hidden="1">
      <c r="A30" s="358">
        <f t="shared" si="3"/>
        <v>21</v>
      </c>
      <c r="B30" s="244" t="s">
        <v>784</v>
      </c>
      <c r="C30" s="8">
        <f>AE33</f>
        <v>3035</v>
      </c>
      <c r="D30" s="8">
        <f>AE31</f>
        <v>287</v>
      </c>
      <c r="E30"/>
      <c r="G30" s="250" t="s">
        <v>448</v>
      </c>
      <c r="H30" s="244" t="s">
        <v>449</v>
      </c>
      <c r="I30" s="1" t="s">
        <v>995</v>
      </c>
      <c r="J30" s="2" t="s">
        <v>448</v>
      </c>
      <c r="K30" s="8">
        <v>0</v>
      </c>
      <c r="O30" s="244" t="s">
        <v>785</v>
      </c>
      <c r="R30" s="251" t="e">
        <f>(R28/1.5)</f>
        <v>#REF!</v>
      </c>
      <c r="T30" s="354" t="s">
        <v>2243</v>
      </c>
      <c r="U30" s="244" t="s">
        <v>17</v>
      </c>
      <c r="V30" s="244" t="s">
        <v>1508</v>
      </c>
      <c r="W30" s="359" t="s">
        <v>1874</v>
      </c>
      <c r="X30" s="251">
        <v>0</v>
      </c>
      <c r="Y30" s="8">
        <v>8240</v>
      </c>
      <c r="Z30" s="251">
        <v>0</v>
      </c>
      <c r="AA30" s="354">
        <v>0</v>
      </c>
      <c r="AB30" s="246">
        <v>0</v>
      </c>
      <c r="AC30" s="244">
        <f t="shared" si="0"/>
        <v>8240</v>
      </c>
      <c r="AD30" s="244" t="s">
        <v>2642</v>
      </c>
      <c r="AE30" s="8">
        <v>342</v>
      </c>
      <c r="AF30" s="251"/>
      <c r="AG30" s="251"/>
      <c r="AI30">
        <v>287</v>
      </c>
      <c r="AJ30" s="245">
        <v>1.1000000000000001</v>
      </c>
      <c r="AK30" s="245">
        <f t="shared" si="1"/>
        <v>315.7</v>
      </c>
    </row>
    <row r="31" spans="1:37" hidden="1">
      <c r="A31" s="358">
        <f t="shared" si="3"/>
        <v>22</v>
      </c>
      <c r="B31" s="244" t="s">
        <v>18</v>
      </c>
      <c r="C31" s="8">
        <f>AE30</f>
        <v>342</v>
      </c>
      <c r="D31" s="8">
        <f>AE32</f>
        <v>320</v>
      </c>
      <c r="E31"/>
      <c r="I31"/>
      <c r="J31" s="4"/>
      <c r="K31" s="5" t="s">
        <v>1667</v>
      </c>
      <c r="O31" s="244" t="s">
        <v>246</v>
      </c>
      <c r="R31" s="248" t="s">
        <v>2130</v>
      </c>
      <c r="T31" s="354" t="s">
        <v>19</v>
      </c>
      <c r="U31" s="244" t="s">
        <v>20</v>
      </c>
      <c r="V31" s="244" t="s">
        <v>876</v>
      </c>
      <c r="W31" s="244" t="s">
        <v>1874</v>
      </c>
      <c r="X31" s="251">
        <v>0</v>
      </c>
      <c r="Y31" s="8">
        <v>3800</v>
      </c>
      <c r="Z31" s="251">
        <v>0</v>
      </c>
      <c r="AA31" s="354">
        <v>0</v>
      </c>
      <c r="AB31" s="246">
        <v>0</v>
      </c>
      <c r="AC31" s="244">
        <v>3800</v>
      </c>
      <c r="AD31" s="244" t="s">
        <v>2643</v>
      </c>
      <c r="AE31" s="8">
        <v>287</v>
      </c>
      <c r="AF31" s="251"/>
      <c r="AG31" s="251"/>
      <c r="AI31">
        <v>320</v>
      </c>
      <c r="AJ31" s="245">
        <v>1.1000000000000001</v>
      </c>
      <c r="AK31" s="245">
        <f t="shared" si="1"/>
        <v>352</v>
      </c>
    </row>
    <row r="32" spans="1:37" hidden="1">
      <c r="A32" s="358">
        <f t="shared" si="3"/>
        <v>23</v>
      </c>
      <c r="B32" s="244" t="s">
        <v>1877</v>
      </c>
      <c r="C32" s="8">
        <v>2.5</v>
      </c>
      <c r="D32" s="8">
        <f>AE34</f>
        <v>267</v>
      </c>
      <c r="E32"/>
      <c r="H32" s="244" t="s">
        <v>1578</v>
      </c>
      <c r="I32"/>
      <c r="J32" s="4"/>
      <c r="K32" s="8" t="e">
        <f>SUM(K27:K30)</f>
        <v>#REF!</v>
      </c>
      <c r="T32" s="354" t="s">
        <v>1878</v>
      </c>
      <c r="U32" s="244" t="s">
        <v>1879</v>
      </c>
      <c r="V32" s="244" t="s">
        <v>876</v>
      </c>
      <c r="W32" s="244" t="s">
        <v>2352</v>
      </c>
      <c r="X32" s="251">
        <v>0</v>
      </c>
      <c r="Y32" s="8">
        <v>28000</v>
      </c>
      <c r="Z32" s="251">
        <v>0</v>
      </c>
      <c r="AA32" s="354">
        <v>0</v>
      </c>
      <c r="AB32" s="246">
        <v>0</v>
      </c>
      <c r="AC32" s="244">
        <f t="shared" si="0"/>
        <v>28000</v>
      </c>
      <c r="AD32" s="244" t="s">
        <v>2644</v>
      </c>
      <c r="AE32" s="8">
        <v>320</v>
      </c>
      <c r="AF32" s="251"/>
      <c r="AG32" s="251"/>
      <c r="AI32">
        <v>3035</v>
      </c>
      <c r="AJ32" s="245">
        <v>1.1000000000000001</v>
      </c>
      <c r="AK32" s="245">
        <f t="shared" si="1"/>
        <v>3338.5</v>
      </c>
    </row>
    <row r="33" spans="1:37" hidden="1">
      <c r="A33" s="358">
        <f t="shared" si="3"/>
        <v>24</v>
      </c>
      <c r="B33" s="244" t="s">
        <v>443</v>
      </c>
      <c r="C33" s="8">
        <v>3.64</v>
      </c>
      <c r="D33" s="8">
        <f>AE35</f>
        <v>240</v>
      </c>
      <c r="E33"/>
      <c r="I33"/>
      <c r="J33" s="4"/>
      <c r="K33" s="5" t="s">
        <v>1667</v>
      </c>
      <c r="T33" s="360" t="s">
        <v>444</v>
      </c>
      <c r="U33" s="244" t="s">
        <v>1478</v>
      </c>
      <c r="V33" s="244" t="s">
        <v>876</v>
      </c>
      <c r="W33" s="244" t="s">
        <v>2352</v>
      </c>
      <c r="X33" s="251">
        <v>0</v>
      </c>
      <c r="Y33" s="8">
        <v>26500</v>
      </c>
      <c r="Z33" s="251">
        <v>0</v>
      </c>
      <c r="AA33" s="354">
        <v>0</v>
      </c>
      <c r="AB33" s="246">
        <v>0</v>
      </c>
      <c r="AC33" s="244">
        <f t="shared" si="0"/>
        <v>26500</v>
      </c>
      <c r="AD33" s="244" t="s">
        <v>2645</v>
      </c>
      <c r="AE33" s="8">
        <v>3035</v>
      </c>
      <c r="AF33" s="251"/>
      <c r="AG33" s="251"/>
      <c r="AI33">
        <v>267</v>
      </c>
      <c r="AJ33" s="245">
        <v>1.1000000000000001</v>
      </c>
      <c r="AK33" s="245">
        <f t="shared" si="1"/>
        <v>293.7</v>
      </c>
    </row>
    <row r="34" spans="1:37" hidden="1">
      <c r="A34" s="358">
        <f t="shared" si="3"/>
        <v>25</v>
      </c>
      <c r="B34" s="244" t="s">
        <v>1479</v>
      </c>
      <c r="C34" s="8">
        <v>30000</v>
      </c>
      <c r="D34" s="8">
        <v>30000</v>
      </c>
      <c r="E34"/>
      <c r="G34" s="250" t="s">
        <v>2338</v>
      </c>
      <c r="H34" s="244" t="s">
        <v>1364</v>
      </c>
      <c r="I34"/>
      <c r="J34" s="4"/>
      <c r="K34"/>
      <c r="T34" s="360" t="s">
        <v>1480</v>
      </c>
      <c r="U34" s="244" t="s">
        <v>1481</v>
      </c>
      <c r="V34" s="244" t="s">
        <v>1508</v>
      </c>
      <c r="W34" s="251" t="str">
        <f>W18</f>
        <v>Nerkundram</v>
      </c>
      <c r="X34" s="251" t="e">
        <f>X18</f>
        <v>#REF!</v>
      </c>
      <c r="Y34" s="8">
        <f>Y29</f>
        <v>1470</v>
      </c>
      <c r="Z34" s="251" t="e">
        <f>Z29</f>
        <v>#REF!</v>
      </c>
      <c r="AA34" s="354">
        <v>0</v>
      </c>
      <c r="AB34" s="246">
        <v>0</v>
      </c>
      <c r="AC34" s="244" t="e">
        <f t="shared" si="0"/>
        <v>#REF!</v>
      </c>
      <c r="AD34" s="244" t="s">
        <v>2646</v>
      </c>
      <c r="AE34" s="8">
        <v>267</v>
      </c>
      <c r="AF34" s="251"/>
      <c r="AG34" s="251"/>
      <c r="AI34">
        <v>240</v>
      </c>
      <c r="AJ34" s="245">
        <v>1.1000000000000001</v>
      </c>
      <c r="AK34" s="245">
        <f t="shared" si="1"/>
        <v>264</v>
      </c>
    </row>
    <row r="35" spans="1:37" hidden="1">
      <c r="A35" s="358">
        <f t="shared" si="3"/>
        <v>26</v>
      </c>
      <c r="B35" s="244" t="s">
        <v>2647</v>
      </c>
      <c r="C35" s="8">
        <f>AC38</f>
        <v>169</v>
      </c>
      <c r="D35"/>
      <c r="E35"/>
      <c r="F35" s="251">
        <v>0.36</v>
      </c>
      <c r="G35" s="250" t="s">
        <v>876</v>
      </c>
      <c r="H35" s="244" t="s">
        <v>877</v>
      </c>
      <c r="I35" s="8">
        <f>C67</f>
        <v>3800</v>
      </c>
      <c r="J35" s="2" t="s">
        <v>876</v>
      </c>
      <c r="K35" s="8">
        <f>(F35*I35)</f>
        <v>1368</v>
      </c>
      <c r="T35" s="354" t="s">
        <v>1482</v>
      </c>
      <c r="U35" s="244" t="s">
        <v>398</v>
      </c>
      <c r="V35" s="244" t="s">
        <v>881</v>
      </c>
      <c r="W35" s="244" t="str">
        <f>W11</f>
        <v>Pallavaram</v>
      </c>
      <c r="X35" s="251">
        <v>18</v>
      </c>
      <c r="Y35" s="361">
        <v>278</v>
      </c>
      <c r="Z35" s="251" t="e">
        <f>Z11</f>
        <v>#REF!</v>
      </c>
      <c r="AA35" s="354">
        <v>0</v>
      </c>
      <c r="AB35" s="246">
        <v>0</v>
      </c>
      <c r="AC35" s="244" t="e">
        <f t="shared" si="0"/>
        <v>#REF!</v>
      </c>
      <c r="AD35" s="244" t="s">
        <v>2648</v>
      </c>
      <c r="AE35" s="8">
        <v>240</v>
      </c>
      <c r="AF35" s="251"/>
      <c r="AG35" s="251"/>
      <c r="AI35">
        <v>37.299999999999997</v>
      </c>
      <c r="AJ35" s="245">
        <v>1.1000000000000001</v>
      </c>
      <c r="AK35" s="245">
        <f t="shared" si="1"/>
        <v>41.03</v>
      </c>
    </row>
    <row r="36" spans="1:37" hidden="1">
      <c r="B36" s="244" t="s">
        <v>760</v>
      </c>
      <c r="C36" s="8">
        <v>2.6</v>
      </c>
      <c r="D36"/>
      <c r="E36"/>
      <c r="F36" s="251">
        <v>1</v>
      </c>
      <c r="G36" s="250" t="s">
        <v>884</v>
      </c>
      <c r="H36" s="244" t="s">
        <v>885</v>
      </c>
      <c r="I36" s="8" t="e">
        <f>C78</f>
        <v>#REF!</v>
      </c>
      <c r="J36" s="2" t="s">
        <v>884</v>
      </c>
      <c r="K36" s="8" t="e">
        <f>(F36*I36)</f>
        <v>#REF!</v>
      </c>
      <c r="T36" s="354" t="s">
        <v>230</v>
      </c>
      <c r="U36" s="244" t="s">
        <v>397</v>
      </c>
      <c r="V36" s="244" t="s">
        <v>881</v>
      </c>
      <c r="W36" s="244" t="str">
        <f>W12</f>
        <v>Pallavaram</v>
      </c>
      <c r="X36" s="251">
        <v>18</v>
      </c>
      <c r="Y36" s="361">
        <v>334.5</v>
      </c>
      <c r="Z36" s="251" t="e">
        <f>Z12</f>
        <v>#REF!</v>
      </c>
      <c r="AA36" s="354">
        <v>0</v>
      </c>
      <c r="AB36" s="246">
        <v>0</v>
      </c>
      <c r="AC36" s="244" t="e">
        <f t="shared" si="0"/>
        <v>#REF!</v>
      </c>
      <c r="AD36" s="244" t="s">
        <v>2649</v>
      </c>
      <c r="AE36" s="6">
        <v>37.299999999999997</v>
      </c>
      <c r="AF36" s="252"/>
      <c r="AG36" s="252"/>
      <c r="AI36">
        <v>95.5</v>
      </c>
      <c r="AJ36" s="245">
        <v>1.1000000000000001</v>
      </c>
      <c r="AK36" s="245">
        <f t="shared" si="1"/>
        <v>105.05</v>
      </c>
    </row>
    <row r="37" spans="1:37" hidden="1">
      <c r="C37"/>
      <c r="D37"/>
      <c r="E37"/>
      <c r="F37" s="251">
        <v>1</v>
      </c>
      <c r="G37" s="250" t="s">
        <v>884</v>
      </c>
      <c r="H37" s="244" t="s">
        <v>889</v>
      </c>
      <c r="I37" s="8">
        <f>C18</f>
        <v>26</v>
      </c>
      <c r="J37" s="2" t="s">
        <v>884</v>
      </c>
      <c r="K37" s="8">
        <f>(F37*I37)</f>
        <v>26</v>
      </c>
      <c r="T37" s="354" t="s">
        <v>1759</v>
      </c>
      <c r="U37" s="244" t="s">
        <v>415</v>
      </c>
      <c r="V37" s="244" t="s">
        <v>881</v>
      </c>
      <c r="W37" s="244" t="str">
        <f>W13</f>
        <v>Pallavaram</v>
      </c>
      <c r="X37" s="251">
        <v>18</v>
      </c>
      <c r="Y37" s="361">
        <v>278.5</v>
      </c>
      <c r="Z37" s="251" t="e">
        <f>Z13</f>
        <v>#REF!</v>
      </c>
      <c r="AA37" s="354">
        <v>0</v>
      </c>
      <c r="AB37" s="246">
        <v>0</v>
      </c>
      <c r="AC37" s="244" t="e">
        <f t="shared" si="0"/>
        <v>#REF!</v>
      </c>
      <c r="AD37" s="244" t="s">
        <v>2650</v>
      </c>
      <c r="AE37" s="8">
        <v>120</v>
      </c>
      <c r="AF37" s="251"/>
      <c r="AG37" s="251"/>
    </row>
    <row r="38" spans="1:37" hidden="1">
      <c r="A38" s="358">
        <f>(A35+1)</f>
        <v>27</v>
      </c>
      <c r="B38" s="244" t="s">
        <v>1760</v>
      </c>
      <c r="C38" s="8">
        <v>40</v>
      </c>
      <c r="D38" s="1" t="s">
        <v>883</v>
      </c>
      <c r="E38"/>
      <c r="G38" s="250" t="s">
        <v>448</v>
      </c>
      <c r="H38" s="244" t="s">
        <v>449</v>
      </c>
      <c r="I38" s="1" t="s">
        <v>995</v>
      </c>
      <c r="J38" s="2" t="s">
        <v>448</v>
      </c>
      <c r="K38" s="8">
        <v>0</v>
      </c>
      <c r="T38" s="354" t="s">
        <v>210</v>
      </c>
      <c r="U38" s="244" t="s">
        <v>211</v>
      </c>
      <c r="V38" s="244" t="s">
        <v>881</v>
      </c>
      <c r="W38" s="244" t="s">
        <v>2651</v>
      </c>
      <c r="X38" s="251">
        <v>20</v>
      </c>
      <c r="Y38" s="6">
        <v>83</v>
      </c>
      <c r="Z38" s="251">
        <v>86</v>
      </c>
      <c r="AA38" s="354">
        <v>0</v>
      </c>
      <c r="AB38" s="246">
        <v>0</v>
      </c>
      <c r="AC38" s="244">
        <f t="shared" si="0"/>
        <v>169</v>
      </c>
      <c r="AD38" s="244" t="s">
        <v>995</v>
      </c>
      <c r="AE38" s="6"/>
      <c r="AG38" s="244" t="s">
        <v>2346</v>
      </c>
    </row>
    <row r="39" spans="1:37" hidden="1">
      <c r="A39" s="358">
        <f t="shared" ref="A39:A58" si="4">(A38+1)</f>
        <v>28</v>
      </c>
      <c r="B39" s="244" t="s">
        <v>212</v>
      </c>
      <c r="C39" s="8">
        <v>41</v>
      </c>
      <c r="D39" s="8">
        <v>500</v>
      </c>
      <c r="E39"/>
      <c r="I39"/>
      <c r="J39" s="4"/>
      <c r="K39" s="5" t="s">
        <v>1667</v>
      </c>
      <c r="T39" s="197"/>
      <c r="AA39" s="197"/>
      <c r="AG39" s="244" t="s">
        <v>2346</v>
      </c>
    </row>
    <row r="40" spans="1:37" hidden="1">
      <c r="A40" s="358">
        <f t="shared" si="4"/>
        <v>29</v>
      </c>
      <c r="B40" s="244" t="s">
        <v>1035</v>
      </c>
      <c r="C40" s="8">
        <v>28</v>
      </c>
      <c r="D40" s="8">
        <f>95+95*0.11</f>
        <v>105.45</v>
      </c>
      <c r="E40"/>
      <c r="H40" s="244" t="s">
        <v>1578</v>
      </c>
      <c r="I40"/>
      <c r="J40" s="4"/>
      <c r="K40" s="8" t="e">
        <f>SUM(K35:K38)</f>
        <v>#REF!</v>
      </c>
      <c r="T40" s="248" t="s">
        <v>1667</v>
      </c>
      <c r="U40" s="248" t="s">
        <v>1667</v>
      </c>
      <c r="V40" s="248" t="s">
        <v>1667</v>
      </c>
      <c r="W40" s="248" t="s">
        <v>1667</v>
      </c>
      <c r="X40" s="248" t="s">
        <v>1667</v>
      </c>
      <c r="Y40" s="248" t="s">
        <v>1667</v>
      </c>
      <c r="Z40" s="248" t="s">
        <v>1667</v>
      </c>
      <c r="AA40" s="248" t="s">
        <v>1667</v>
      </c>
      <c r="AB40" s="248" t="s">
        <v>1667</v>
      </c>
      <c r="AC40" s="248" t="s">
        <v>1667</v>
      </c>
      <c r="AD40" s="248" t="s">
        <v>1667</v>
      </c>
      <c r="AE40" s="248" t="s">
        <v>1667</v>
      </c>
      <c r="AF40" s="248"/>
      <c r="AG40" s="244" t="s">
        <v>2346</v>
      </c>
    </row>
    <row r="41" spans="1:37" ht="47.25" hidden="1" customHeight="1">
      <c r="A41" s="358">
        <f t="shared" si="4"/>
        <v>30</v>
      </c>
      <c r="B41" s="244" t="s">
        <v>1852</v>
      </c>
      <c r="C41" s="8">
        <f>AE22</f>
        <v>110</v>
      </c>
      <c r="D41" s="1" t="s">
        <v>781</v>
      </c>
      <c r="E41"/>
      <c r="I41"/>
      <c r="J41" s="4"/>
      <c r="K41" s="5" t="s">
        <v>1667</v>
      </c>
      <c r="U41" s="362"/>
      <c r="Y41" s="244" t="s">
        <v>995</v>
      </c>
      <c r="AG41" s="244" t="s">
        <v>2346</v>
      </c>
    </row>
    <row r="42" spans="1:37" hidden="1">
      <c r="A42" s="358">
        <f t="shared" si="4"/>
        <v>31</v>
      </c>
      <c r="B42" s="244" t="s">
        <v>1853</v>
      </c>
      <c r="C42" s="8">
        <v>1.75</v>
      </c>
      <c r="D42" s="1" t="s">
        <v>1854</v>
      </c>
      <c r="E42"/>
      <c r="G42" s="250" t="s">
        <v>2338</v>
      </c>
      <c r="H42" s="244" t="s">
        <v>1710</v>
      </c>
      <c r="I42"/>
      <c r="J42" s="4"/>
      <c r="K42"/>
      <c r="U42" s="245" t="s">
        <v>1570</v>
      </c>
      <c r="AG42" s="244" t="s">
        <v>2346</v>
      </c>
    </row>
    <row r="43" spans="1:37" hidden="1">
      <c r="A43" s="358">
        <f t="shared" si="4"/>
        <v>32</v>
      </c>
      <c r="B43" s="244" t="s">
        <v>1711</v>
      </c>
      <c r="C43" s="8">
        <v>2.2000000000000002</v>
      </c>
      <c r="D43" s="1" t="s">
        <v>781</v>
      </c>
      <c r="E43"/>
      <c r="H43" s="248" t="s">
        <v>1667</v>
      </c>
      <c r="I43"/>
      <c r="J43" s="4"/>
      <c r="K43"/>
      <c r="AG43" s="244" t="s">
        <v>2346</v>
      </c>
    </row>
    <row r="44" spans="1:37" hidden="1">
      <c r="A44" s="358">
        <f t="shared" si="4"/>
        <v>33</v>
      </c>
      <c r="B44" s="244" t="s">
        <v>259</v>
      </c>
      <c r="C44" s="8">
        <v>2.2000000000000002</v>
      </c>
      <c r="D44" s="1" t="s">
        <v>781</v>
      </c>
      <c r="E44"/>
      <c r="F44" s="363">
        <v>0.28799999999999998</v>
      </c>
      <c r="G44" s="250" t="s">
        <v>876</v>
      </c>
      <c r="H44" s="244" t="s">
        <v>877</v>
      </c>
      <c r="I44" s="8">
        <f>(C67)</f>
        <v>3800</v>
      </c>
      <c r="J44" s="2" t="s">
        <v>876</v>
      </c>
      <c r="K44" s="8">
        <f>(F44*I44)</f>
        <v>1094.4000000000001</v>
      </c>
      <c r="AG44" s="244" t="s">
        <v>2346</v>
      </c>
    </row>
    <row r="45" spans="1:37" hidden="1">
      <c r="A45" s="358">
        <f t="shared" si="4"/>
        <v>34</v>
      </c>
      <c r="B45" s="244" t="s">
        <v>1986</v>
      </c>
      <c r="C45" s="8">
        <v>2.7</v>
      </c>
      <c r="D45" s="1" t="s">
        <v>781</v>
      </c>
      <c r="E45"/>
      <c r="F45" s="251">
        <v>1</v>
      </c>
      <c r="G45" s="250" t="s">
        <v>884</v>
      </c>
      <c r="H45" s="244" t="s">
        <v>885</v>
      </c>
      <c r="I45" s="8" t="e">
        <f>(C78)</f>
        <v>#REF!</v>
      </c>
      <c r="J45" s="2" t="s">
        <v>884</v>
      </c>
      <c r="K45" s="8" t="e">
        <f>(F45*I45)</f>
        <v>#REF!</v>
      </c>
      <c r="AG45" s="244" t="s">
        <v>2346</v>
      </c>
    </row>
    <row r="46" spans="1:37" hidden="1">
      <c r="A46" s="358">
        <f t="shared" si="4"/>
        <v>35</v>
      </c>
      <c r="B46" s="244" t="s">
        <v>80</v>
      </c>
      <c r="C46" s="8">
        <v>3.2</v>
      </c>
      <c r="D46" s="1" t="s">
        <v>781</v>
      </c>
      <c r="E46"/>
      <c r="F46" s="251">
        <v>1</v>
      </c>
      <c r="G46" s="250" t="s">
        <v>884</v>
      </c>
      <c r="H46" s="244" t="s">
        <v>889</v>
      </c>
      <c r="I46" s="8">
        <f>(C18)</f>
        <v>26</v>
      </c>
      <c r="J46" s="2" t="s">
        <v>884</v>
      </c>
      <c r="K46" s="8">
        <f>(F46*I46)</f>
        <v>26</v>
      </c>
      <c r="W46" s="244" t="s">
        <v>1748</v>
      </c>
      <c r="AA46" s="244" t="s">
        <v>81</v>
      </c>
      <c r="AE46" s="245" t="s">
        <v>2410</v>
      </c>
      <c r="AG46" s="244" t="s">
        <v>2346</v>
      </c>
    </row>
    <row r="47" spans="1:37" hidden="1">
      <c r="A47" s="358">
        <f t="shared" si="4"/>
        <v>36</v>
      </c>
      <c r="B47" s="244" t="s">
        <v>82</v>
      </c>
      <c r="C47" s="8">
        <v>4.2</v>
      </c>
      <c r="D47" s="1" t="s">
        <v>781</v>
      </c>
      <c r="E47"/>
      <c r="G47" s="250" t="s">
        <v>448</v>
      </c>
      <c r="H47" s="244" t="s">
        <v>449</v>
      </c>
      <c r="I47" s="1" t="s">
        <v>995</v>
      </c>
      <c r="J47" s="2" t="s">
        <v>448</v>
      </c>
      <c r="K47" s="8">
        <v>0</v>
      </c>
      <c r="N47" s="244" t="s">
        <v>2338</v>
      </c>
      <c r="O47" s="244" t="s">
        <v>1314</v>
      </c>
      <c r="AG47" s="244" t="s">
        <v>2346</v>
      </c>
    </row>
    <row r="48" spans="1:37" hidden="1">
      <c r="A48" s="358">
        <f t="shared" si="4"/>
        <v>37</v>
      </c>
      <c r="B48" s="244" t="s">
        <v>1315</v>
      </c>
      <c r="C48" s="8">
        <v>5.35</v>
      </c>
      <c r="D48" s="8">
        <v>10.65</v>
      </c>
      <c r="E48"/>
      <c r="I48"/>
      <c r="J48" s="4"/>
      <c r="K48" s="5" t="s">
        <v>1667</v>
      </c>
      <c r="O48" s="244" t="s">
        <v>651</v>
      </c>
      <c r="AG48" s="244" t="s">
        <v>2346</v>
      </c>
    </row>
    <row r="49" spans="1:33" hidden="1">
      <c r="A49" s="358">
        <f t="shared" si="4"/>
        <v>38</v>
      </c>
      <c r="B49" s="244" t="s">
        <v>1785</v>
      </c>
      <c r="C49" s="8">
        <v>5.85</v>
      </c>
      <c r="D49" s="8">
        <v>7.45</v>
      </c>
      <c r="E49"/>
      <c r="H49" s="244" t="s">
        <v>1578</v>
      </c>
      <c r="I49"/>
      <c r="J49" s="4"/>
      <c r="K49" s="8" t="e">
        <f>SUM(K44:K47)</f>
        <v>#REF!</v>
      </c>
      <c r="O49" s="248" t="s">
        <v>1667</v>
      </c>
      <c r="AG49" s="244" t="s">
        <v>2346</v>
      </c>
    </row>
    <row r="50" spans="1:33" hidden="1">
      <c r="A50" s="358">
        <f t="shared" si="4"/>
        <v>39</v>
      </c>
      <c r="B50" s="244" t="s">
        <v>1714</v>
      </c>
      <c r="C50" s="8">
        <v>3.2</v>
      </c>
      <c r="D50" s="1" t="s">
        <v>781</v>
      </c>
      <c r="E50"/>
      <c r="I50"/>
      <c r="J50" s="4"/>
      <c r="K50" s="5" t="s">
        <v>1667</v>
      </c>
      <c r="M50" s="251">
        <v>9</v>
      </c>
      <c r="N50" s="244" t="s">
        <v>884</v>
      </c>
      <c r="O50" s="244" t="s">
        <v>651</v>
      </c>
      <c r="P50" s="251" t="e">
        <f>(C81)</f>
        <v>#REF!</v>
      </c>
      <c r="Q50" s="244" t="s">
        <v>884</v>
      </c>
      <c r="R50" s="251" t="e">
        <f>(M50*P50)</f>
        <v>#REF!</v>
      </c>
      <c r="AG50" s="244" t="s">
        <v>2346</v>
      </c>
    </row>
    <row r="51" spans="1:33" hidden="1">
      <c r="A51" s="358">
        <f t="shared" si="4"/>
        <v>40</v>
      </c>
      <c r="B51" s="244" t="s">
        <v>1715</v>
      </c>
      <c r="C51" s="8">
        <v>3.2</v>
      </c>
      <c r="D51" s="1" t="s">
        <v>781</v>
      </c>
      <c r="E51"/>
      <c r="G51" s="250" t="s">
        <v>2338</v>
      </c>
      <c r="H51" s="244" t="s">
        <v>1716</v>
      </c>
      <c r="I51"/>
      <c r="J51" s="4"/>
      <c r="K51"/>
      <c r="M51" s="251">
        <v>4.5</v>
      </c>
      <c r="N51" s="244" t="s">
        <v>884</v>
      </c>
      <c r="O51" s="244" t="s">
        <v>1717</v>
      </c>
      <c r="P51" s="251" t="e">
        <f>(K77)</f>
        <v>#REF!</v>
      </c>
      <c r="Q51" s="244" t="s">
        <v>884</v>
      </c>
      <c r="R51" s="251" t="e">
        <f>(M51*P51)</f>
        <v>#REF!</v>
      </c>
      <c r="AG51" s="244" t="s">
        <v>2346</v>
      </c>
    </row>
    <row r="52" spans="1:33" hidden="1">
      <c r="A52" s="358">
        <f t="shared" si="4"/>
        <v>41</v>
      </c>
      <c r="B52" s="244" t="s">
        <v>1790</v>
      </c>
      <c r="C52" s="8">
        <v>6.4</v>
      </c>
      <c r="D52" s="1" t="s">
        <v>781</v>
      </c>
      <c r="E52"/>
      <c r="H52" s="248" t="s">
        <v>1667</v>
      </c>
      <c r="I52"/>
      <c r="J52" s="4"/>
      <c r="K52"/>
      <c r="M52" s="251">
        <v>1.8</v>
      </c>
      <c r="N52" s="244" t="s">
        <v>883</v>
      </c>
      <c r="O52" s="244" t="s">
        <v>1791</v>
      </c>
      <c r="P52" s="251">
        <f>(C11)</f>
        <v>135</v>
      </c>
      <c r="Q52" s="244" t="s">
        <v>883</v>
      </c>
      <c r="R52" s="251">
        <f>(M52*P52)</f>
        <v>243</v>
      </c>
      <c r="AG52" s="244" t="s">
        <v>2346</v>
      </c>
    </row>
    <row r="53" spans="1:33" hidden="1">
      <c r="A53" s="358">
        <f t="shared" si="4"/>
        <v>42</v>
      </c>
      <c r="B53" s="244" t="s">
        <v>1978</v>
      </c>
      <c r="C53" s="8">
        <v>8.5500000000000007</v>
      </c>
      <c r="D53" s="8">
        <v>21.3</v>
      </c>
      <c r="E53"/>
      <c r="F53" s="251">
        <v>0.24</v>
      </c>
      <c r="G53" s="250" t="s">
        <v>876</v>
      </c>
      <c r="H53" s="244" t="s">
        <v>877</v>
      </c>
      <c r="I53" s="8">
        <f>(C67)</f>
        <v>3800</v>
      </c>
      <c r="J53" s="2" t="s">
        <v>876</v>
      </c>
      <c r="K53" s="8">
        <f>(F53*I53)</f>
        <v>912</v>
      </c>
      <c r="M53" s="251">
        <v>17.7</v>
      </c>
      <c r="N53" s="244" t="s">
        <v>883</v>
      </c>
      <c r="O53" s="244" t="s">
        <v>1979</v>
      </c>
      <c r="P53" s="251">
        <f>(C12)</f>
        <v>95</v>
      </c>
      <c r="Q53" s="244" t="s">
        <v>883</v>
      </c>
      <c r="R53" s="251">
        <f>(M53*P53)</f>
        <v>1681.5</v>
      </c>
      <c r="AG53" s="244" t="s">
        <v>2346</v>
      </c>
    </row>
    <row r="54" spans="1:33" hidden="1">
      <c r="A54" s="358">
        <f t="shared" si="4"/>
        <v>43</v>
      </c>
      <c r="B54" s="244" t="s">
        <v>323</v>
      </c>
      <c r="C54" s="8">
        <v>9.5500000000000007</v>
      </c>
      <c r="D54" s="8">
        <v>16</v>
      </c>
      <c r="E54"/>
      <c r="F54" s="251">
        <v>1</v>
      </c>
      <c r="G54" s="250" t="s">
        <v>884</v>
      </c>
      <c r="H54" s="244" t="s">
        <v>885</v>
      </c>
      <c r="I54" s="8" t="e">
        <f>(C78)</f>
        <v>#REF!</v>
      </c>
      <c r="J54" s="2" t="s">
        <v>884</v>
      </c>
      <c r="K54" s="8" t="e">
        <f>(F54*I54)</f>
        <v>#REF!</v>
      </c>
      <c r="M54" s="251">
        <v>14.1</v>
      </c>
      <c r="N54" s="244" t="s">
        <v>883</v>
      </c>
      <c r="O54" s="244" t="s">
        <v>324</v>
      </c>
      <c r="P54" s="251">
        <f>(C13)</f>
        <v>85</v>
      </c>
      <c r="Q54" s="244" t="s">
        <v>883</v>
      </c>
      <c r="R54" s="251">
        <f>(M54*P54)</f>
        <v>1198.5</v>
      </c>
      <c r="AG54" s="244" t="s">
        <v>325</v>
      </c>
    </row>
    <row r="55" spans="1:33" hidden="1">
      <c r="A55" s="358">
        <f t="shared" si="4"/>
        <v>44</v>
      </c>
      <c r="B55" s="244" t="s">
        <v>326</v>
      </c>
      <c r="C55" s="8">
        <v>10.65</v>
      </c>
      <c r="D55" s="8">
        <v>12.75</v>
      </c>
      <c r="E55"/>
      <c r="F55" s="251">
        <v>1</v>
      </c>
      <c r="G55" s="250" t="s">
        <v>884</v>
      </c>
      <c r="H55" s="244" t="s">
        <v>889</v>
      </c>
      <c r="I55" s="8">
        <f>(C18)</f>
        <v>26</v>
      </c>
      <c r="J55" s="2" t="s">
        <v>884</v>
      </c>
      <c r="K55" s="8">
        <f>(F55*I55)</f>
        <v>26</v>
      </c>
      <c r="N55" s="244" t="s">
        <v>448</v>
      </c>
      <c r="O55" s="244" t="s">
        <v>449</v>
      </c>
      <c r="Q55" s="244" t="s">
        <v>448</v>
      </c>
      <c r="R55" s="251">
        <v>0</v>
      </c>
    </row>
    <row r="56" spans="1:33" hidden="1">
      <c r="A56" s="358">
        <f t="shared" si="4"/>
        <v>45</v>
      </c>
      <c r="B56" s="244" t="s">
        <v>327</v>
      </c>
      <c r="C56" s="8">
        <v>12.1</v>
      </c>
      <c r="D56" s="1" t="s">
        <v>448</v>
      </c>
      <c r="E56"/>
      <c r="G56" s="250" t="s">
        <v>448</v>
      </c>
      <c r="H56" s="244" t="s">
        <v>449</v>
      </c>
      <c r="I56" s="1" t="s">
        <v>995</v>
      </c>
      <c r="J56" s="2" t="s">
        <v>448</v>
      </c>
      <c r="K56" s="8">
        <v>0</v>
      </c>
      <c r="R56" s="248" t="s">
        <v>1667</v>
      </c>
    </row>
    <row r="57" spans="1:33" hidden="1">
      <c r="A57" s="358">
        <f t="shared" si="4"/>
        <v>46</v>
      </c>
      <c r="B57" s="244" t="s">
        <v>617</v>
      </c>
      <c r="C57" s="8">
        <v>35</v>
      </c>
      <c r="D57" s="1" t="s">
        <v>448</v>
      </c>
      <c r="E57"/>
      <c r="I57"/>
      <c r="J57" s="4"/>
      <c r="K57" s="5" t="s">
        <v>1667</v>
      </c>
      <c r="O57" s="244" t="s">
        <v>618</v>
      </c>
      <c r="R57" s="251" t="e">
        <f>SUM(R50:R55)</f>
        <v>#REF!</v>
      </c>
      <c r="AG57" s="244" t="s">
        <v>2346</v>
      </c>
    </row>
    <row r="58" spans="1:33" hidden="1">
      <c r="A58" s="358">
        <f t="shared" si="4"/>
        <v>47</v>
      </c>
      <c r="B58" s="244" t="s">
        <v>619</v>
      </c>
      <c r="C58" s="8">
        <v>15</v>
      </c>
      <c r="D58" s="1" t="s">
        <v>448</v>
      </c>
      <c r="E58"/>
      <c r="H58" s="244" t="s">
        <v>1578</v>
      </c>
      <c r="I58"/>
      <c r="J58" s="4"/>
      <c r="K58" s="8" t="e">
        <f>SUM(K53:K56)</f>
        <v>#REF!</v>
      </c>
      <c r="R58" s="248" t="s">
        <v>1667</v>
      </c>
      <c r="AG58" s="244" t="s">
        <v>2346</v>
      </c>
    </row>
    <row r="59" spans="1:33" hidden="1">
      <c r="C59"/>
      <c r="D59"/>
      <c r="E59"/>
      <c r="F59" s="244" t="s">
        <v>995</v>
      </c>
      <c r="I59"/>
      <c r="J59" s="4"/>
      <c r="K59"/>
    </row>
    <row r="60" spans="1:33" hidden="1">
      <c r="A60" s="358">
        <f>(A58+1)</f>
        <v>48</v>
      </c>
      <c r="B60" s="244" t="s">
        <v>620</v>
      </c>
      <c r="C60" s="8">
        <v>6.55</v>
      </c>
      <c r="D60" s="1" t="s">
        <v>2150</v>
      </c>
      <c r="E60"/>
      <c r="I60"/>
      <c r="J60" s="4"/>
      <c r="K60" s="5" t="s">
        <v>1667</v>
      </c>
      <c r="O60" s="244" t="s">
        <v>785</v>
      </c>
      <c r="R60" s="251" t="e">
        <f>(R57/10)</f>
        <v>#REF!</v>
      </c>
      <c r="AG60" s="244" t="s">
        <v>2346</v>
      </c>
    </row>
    <row r="61" spans="1:33" hidden="1">
      <c r="A61" s="358">
        <f t="shared" ref="A61:A91" si="5">(A60+1)</f>
        <v>49</v>
      </c>
      <c r="B61" s="244" t="s">
        <v>2151</v>
      </c>
      <c r="C61" s="8">
        <f>AE29</f>
        <v>25</v>
      </c>
      <c r="D61" s="8">
        <f>AE36</f>
        <v>37.299999999999997</v>
      </c>
      <c r="E61"/>
      <c r="G61" s="250" t="s">
        <v>2338</v>
      </c>
      <c r="H61" s="244" t="s">
        <v>2152</v>
      </c>
      <c r="I61"/>
      <c r="J61" s="4"/>
      <c r="K61"/>
      <c r="R61" s="248" t="s">
        <v>2130</v>
      </c>
      <c r="AG61" s="244" t="s">
        <v>2346</v>
      </c>
    </row>
    <row r="62" spans="1:33" hidden="1">
      <c r="A62" s="358">
        <f t="shared" si="5"/>
        <v>50</v>
      </c>
      <c r="B62" s="244" t="s">
        <v>2153</v>
      </c>
      <c r="C62" s="8">
        <v>85.5</v>
      </c>
      <c r="D62" s="1" t="s">
        <v>883</v>
      </c>
      <c r="E62"/>
      <c r="H62" s="248" t="s">
        <v>1667</v>
      </c>
      <c r="I62"/>
      <c r="J62" s="4"/>
      <c r="K62"/>
      <c r="N62" s="244" t="s">
        <v>2338</v>
      </c>
      <c r="O62" s="244" t="s">
        <v>1418</v>
      </c>
      <c r="AG62" s="244" t="s">
        <v>2346</v>
      </c>
    </row>
    <row r="63" spans="1:33" hidden="1">
      <c r="A63" s="358">
        <f t="shared" si="5"/>
        <v>51</v>
      </c>
      <c r="B63" s="244" t="s">
        <v>2122</v>
      </c>
      <c r="C63" s="8">
        <v>42</v>
      </c>
      <c r="D63" s="1" t="s">
        <v>448</v>
      </c>
      <c r="E63"/>
      <c r="F63" s="363">
        <v>0.20599999999999999</v>
      </c>
      <c r="G63" s="250" t="s">
        <v>876</v>
      </c>
      <c r="H63" s="244" t="s">
        <v>877</v>
      </c>
      <c r="I63" s="8">
        <f>(C67)</f>
        <v>3800</v>
      </c>
      <c r="J63" s="2" t="s">
        <v>876</v>
      </c>
      <c r="K63" s="8">
        <f>(F63*I63)</f>
        <v>782.8</v>
      </c>
      <c r="O63" s="244" t="s">
        <v>1550</v>
      </c>
      <c r="AG63" s="244" t="s">
        <v>2346</v>
      </c>
    </row>
    <row r="64" spans="1:33" hidden="1">
      <c r="A64" s="358">
        <f t="shared" si="5"/>
        <v>52</v>
      </c>
      <c r="B64" s="244" t="s">
        <v>1624</v>
      </c>
      <c r="C64" s="8">
        <v>62.5</v>
      </c>
      <c r="D64" s="1" t="s">
        <v>884</v>
      </c>
      <c r="E64"/>
      <c r="F64" s="251">
        <v>1</v>
      </c>
      <c r="G64" s="250" t="s">
        <v>884</v>
      </c>
      <c r="H64" s="244" t="s">
        <v>885</v>
      </c>
      <c r="I64" s="8" t="e">
        <f>(C78)</f>
        <v>#REF!</v>
      </c>
      <c r="J64" s="2" t="s">
        <v>884</v>
      </c>
      <c r="K64" s="8" t="e">
        <f>(F64*I64)</f>
        <v>#REF!</v>
      </c>
      <c r="O64" s="248" t="s">
        <v>1667</v>
      </c>
      <c r="AG64" s="244" t="s">
        <v>2346</v>
      </c>
    </row>
    <row r="65" spans="1:33" hidden="1">
      <c r="A65" s="358">
        <f t="shared" si="5"/>
        <v>53</v>
      </c>
      <c r="B65" s="244" t="s">
        <v>1419</v>
      </c>
      <c r="C65" s="8">
        <v>303</v>
      </c>
      <c r="D65" s="1" t="s">
        <v>1420</v>
      </c>
      <c r="E65"/>
      <c r="F65" s="251">
        <v>1</v>
      </c>
      <c r="G65" s="250" t="s">
        <v>884</v>
      </c>
      <c r="H65" s="244" t="s">
        <v>889</v>
      </c>
      <c r="I65" s="8">
        <f>(C18)</f>
        <v>26</v>
      </c>
      <c r="J65" s="2" t="s">
        <v>884</v>
      </c>
      <c r="K65" s="8">
        <f>(F65*I65)</f>
        <v>26</v>
      </c>
      <c r="M65" s="251">
        <v>9</v>
      </c>
      <c r="N65" s="244" t="s">
        <v>884</v>
      </c>
      <c r="O65" s="244" t="s">
        <v>1550</v>
      </c>
      <c r="P65" s="251" t="e">
        <f>(C73)</f>
        <v>#REF!</v>
      </c>
      <c r="Q65" s="244" t="s">
        <v>884</v>
      </c>
      <c r="R65" s="251" t="e">
        <f>(M65*P65)</f>
        <v>#REF!</v>
      </c>
      <c r="AG65" s="244" t="s">
        <v>2346</v>
      </c>
    </row>
    <row r="66" spans="1:33" hidden="1">
      <c r="A66" s="358">
        <f t="shared" si="5"/>
        <v>54</v>
      </c>
      <c r="B66" s="244" t="s">
        <v>1557</v>
      </c>
      <c r="C66" s="8">
        <f>AE18</f>
        <v>120</v>
      </c>
      <c r="D66" s="1" t="s">
        <v>883</v>
      </c>
      <c r="E66"/>
      <c r="G66" s="250" t="s">
        <v>448</v>
      </c>
      <c r="H66" s="244" t="s">
        <v>449</v>
      </c>
      <c r="I66" s="1" t="s">
        <v>995</v>
      </c>
      <c r="J66" s="2" t="s">
        <v>448</v>
      </c>
      <c r="K66" s="8">
        <v>0</v>
      </c>
      <c r="M66" s="251">
        <v>4.5</v>
      </c>
      <c r="N66" s="244" t="s">
        <v>884</v>
      </c>
      <c r="O66" s="244" t="s">
        <v>123</v>
      </c>
      <c r="P66" s="251" t="e">
        <f>(K23)</f>
        <v>#REF!</v>
      </c>
      <c r="Q66" s="244" t="s">
        <v>884</v>
      </c>
      <c r="R66" s="251" t="e">
        <f>(M66*P66)</f>
        <v>#REF!</v>
      </c>
      <c r="AG66" s="244" t="s">
        <v>2346</v>
      </c>
    </row>
    <row r="67" spans="1:33" hidden="1">
      <c r="A67" s="358">
        <f t="shared" si="5"/>
        <v>55</v>
      </c>
      <c r="B67" s="244" t="s">
        <v>877</v>
      </c>
      <c r="C67" s="8">
        <f>AC31</f>
        <v>3800</v>
      </c>
      <c r="D67" s="1" t="s">
        <v>876</v>
      </c>
      <c r="E67"/>
      <c r="I67"/>
      <c r="J67" s="4"/>
      <c r="K67" s="5" t="s">
        <v>1667</v>
      </c>
      <c r="M67" s="251">
        <v>1.8</v>
      </c>
      <c r="N67" s="244" t="s">
        <v>883</v>
      </c>
      <c r="O67" s="244" t="s">
        <v>1791</v>
      </c>
      <c r="P67" s="251">
        <f>(C11)</f>
        <v>135</v>
      </c>
      <c r="Q67" s="244" t="s">
        <v>883</v>
      </c>
      <c r="R67" s="251">
        <f>(M67*P67)</f>
        <v>243</v>
      </c>
      <c r="AG67" s="244" t="s">
        <v>2346</v>
      </c>
    </row>
    <row r="68" spans="1:33" hidden="1">
      <c r="A68" s="358">
        <f t="shared" si="5"/>
        <v>56</v>
      </c>
      <c r="B68" s="244" t="s">
        <v>1558</v>
      </c>
      <c r="C68" s="8" t="e">
        <f t="shared" ref="C68:C74" si="6">AC9</f>
        <v>#REF!</v>
      </c>
      <c r="D68" s="1" t="s">
        <v>884</v>
      </c>
      <c r="E68"/>
      <c r="H68" s="244" t="s">
        <v>1578</v>
      </c>
      <c r="I68"/>
      <c r="J68" s="4"/>
      <c r="K68" s="8" t="e">
        <f>SUM(K63:K66)</f>
        <v>#REF!</v>
      </c>
      <c r="M68" s="251">
        <v>17.7</v>
      </c>
      <c r="N68" s="244" t="s">
        <v>883</v>
      </c>
      <c r="O68" s="244" t="s">
        <v>1979</v>
      </c>
      <c r="P68" s="251">
        <f>(C12)</f>
        <v>95</v>
      </c>
      <c r="Q68" s="244" t="s">
        <v>883</v>
      </c>
      <c r="R68" s="251">
        <f>(M68*P68)</f>
        <v>1681.5</v>
      </c>
      <c r="AG68" s="244" t="s">
        <v>2346</v>
      </c>
    </row>
    <row r="69" spans="1:33" hidden="1">
      <c r="A69" s="358">
        <f t="shared" si="5"/>
        <v>57</v>
      </c>
      <c r="B69" s="244" t="s">
        <v>887</v>
      </c>
      <c r="C69" s="8" t="e">
        <f t="shared" si="6"/>
        <v>#REF!</v>
      </c>
      <c r="D69" s="1" t="s">
        <v>884</v>
      </c>
      <c r="E69"/>
      <c r="I69"/>
      <c r="J69" s="4"/>
      <c r="K69" s="5" t="s">
        <v>1667</v>
      </c>
      <c r="M69" s="251">
        <v>14.1</v>
      </c>
      <c r="N69" s="244" t="s">
        <v>883</v>
      </c>
      <c r="O69" s="244" t="s">
        <v>324</v>
      </c>
      <c r="P69" s="251">
        <f>(C13)</f>
        <v>85</v>
      </c>
      <c r="Q69" s="244" t="s">
        <v>883</v>
      </c>
      <c r="R69" s="251">
        <f>(M69*P69)</f>
        <v>1198.5</v>
      </c>
      <c r="AG69" s="244" t="s">
        <v>2346</v>
      </c>
    </row>
    <row r="70" spans="1:33" hidden="1">
      <c r="A70" s="358">
        <f t="shared" si="5"/>
        <v>58</v>
      </c>
      <c r="B70" s="244" t="s">
        <v>1559</v>
      </c>
      <c r="C70" s="8" t="e">
        <f t="shared" si="6"/>
        <v>#REF!</v>
      </c>
      <c r="D70" s="1" t="s">
        <v>884</v>
      </c>
      <c r="E70"/>
      <c r="G70" s="250" t="s">
        <v>2338</v>
      </c>
      <c r="H70" s="244" t="s">
        <v>1717</v>
      </c>
      <c r="I70"/>
      <c r="J70" s="4"/>
      <c r="K70"/>
      <c r="N70" s="244" t="s">
        <v>448</v>
      </c>
      <c r="O70" s="244" t="s">
        <v>449</v>
      </c>
      <c r="Q70" s="244" t="s">
        <v>448</v>
      </c>
      <c r="R70" s="251">
        <v>0</v>
      </c>
      <c r="AG70" s="244" t="s">
        <v>2346</v>
      </c>
    </row>
    <row r="71" spans="1:33" hidden="1">
      <c r="A71" s="358">
        <f t="shared" si="5"/>
        <v>59</v>
      </c>
      <c r="B71" s="244" t="s">
        <v>1560</v>
      </c>
      <c r="C71" s="8" t="e">
        <f t="shared" si="6"/>
        <v>#REF!</v>
      </c>
      <c r="D71" s="1" t="s">
        <v>884</v>
      </c>
      <c r="E71"/>
      <c r="H71" s="248" t="s">
        <v>1667</v>
      </c>
      <c r="I71"/>
      <c r="J71" s="4"/>
      <c r="K71"/>
      <c r="R71" s="248" t="s">
        <v>1667</v>
      </c>
      <c r="AG71" s="244" t="s">
        <v>2346</v>
      </c>
    </row>
    <row r="72" spans="1:33" hidden="1">
      <c r="A72" s="358">
        <f t="shared" si="5"/>
        <v>60</v>
      </c>
      <c r="B72" s="244" t="s">
        <v>1561</v>
      </c>
      <c r="C72" s="8" t="e">
        <f t="shared" si="6"/>
        <v>#REF!</v>
      </c>
      <c r="D72" s="1" t="s">
        <v>884</v>
      </c>
      <c r="E72"/>
      <c r="F72" s="251">
        <v>0.18</v>
      </c>
      <c r="G72" s="250" t="s">
        <v>876</v>
      </c>
      <c r="H72" s="244" t="s">
        <v>877</v>
      </c>
      <c r="I72" s="8">
        <f>(C67)</f>
        <v>3800</v>
      </c>
      <c r="J72" s="2" t="s">
        <v>876</v>
      </c>
      <c r="K72" s="8">
        <f>(F72*I72)</f>
        <v>684</v>
      </c>
      <c r="O72" s="244" t="s">
        <v>618</v>
      </c>
      <c r="R72" s="251" t="e">
        <f>SUM(R65:R70)</f>
        <v>#REF!</v>
      </c>
      <c r="AG72" s="244" t="s">
        <v>2346</v>
      </c>
    </row>
    <row r="73" spans="1:33" hidden="1">
      <c r="A73" s="358">
        <f t="shared" si="5"/>
        <v>61</v>
      </c>
      <c r="B73" s="244" t="s">
        <v>663</v>
      </c>
      <c r="C73" s="8" t="e">
        <f t="shared" si="6"/>
        <v>#REF!</v>
      </c>
      <c r="D73" s="1" t="s">
        <v>884</v>
      </c>
      <c r="E73"/>
      <c r="F73" s="251">
        <v>1</v>
      </c>
      <c r="G73" s="250" t="s">
        <v>884</v>
      </c>
      <c r="H73" s="244" t="s">
        <v>885</v>
      </c>
      <c r="I73" s="8" t="e">
        <f>(C78)</f>
        <v>#REF!</v>
      </c>
      <c r="J73" s="2" t="s">
        <v>884</v>
      </c>
      <c r="K73" s="8" t="e">
        <f>(F73*I73)</f>
        <v>#REF!</v>
      </c>
      <c r="R73" s="248" t="s">
        <v>1667</v>
      </c>
      <c r="AG73" s="244" t="s">
        <v>2346</v>
      </c>
    </row>
    <row r="74" spans="1:33" hidden="1">
      <c r="A74" s="358">
        <f t="shared" si="5"/>
        <v>62</v>
      </c>
      <c r="B74" s="244" t="s">
        <v>973</v>
      </c>
      <c r="C74" s="8" t="e">
        <f t="shared" si="6"/>
        <v>#REF!</v>
      </c>
      <c r="D74" s="1" t="s">
        <v>884</v>
      </c>
      <c r="E74"/>
      <c r="F74" s="251">
        <v>1</v>
      </c>
      <c r="G74" s="250" t="s">
        <v>884</v>
      </c>
      <c r="H74" s="244" t="s">
        <v>889</v>
      </c>
      <c r="I74" s="8">
        <f>(C18)</f>
        <v>26</v>
      </c>
      <c r="J74" s="2" t="s">
        <v>884</v>
      </c>
      <c r="K74" s="8">
        <f>(F74*I74)</f>
        <v>26</v>
      </c>
      <c r="O74" s="244" t="s">
        <v>785</v>
      </c>
      <c r="R74" s="251" t="e">
        <f>(R72/10)</f>
        <v>#REF!</v>
      </c>
      <c r="AG74" s="244" t="s">
        <v>2346</v>
      </c>
    </row>
    <row r="75" spans="1:33" hidden="1">
      <c r="A75" s="358">
        <f t="shared" si="5"/>
        <v>63</v>
      </c>
      <c r="B75" s="244" t="s">
        <v>974</v>
      </c>
      <c r="C75" s="8">
        <v>20</v>
      </c>
      <c r="D75" s="1" t="s">
        <v>2338</v>
      </c>
      <c r="E75"/>
      <c r="G75" s="250" t="s">
        <v>448</v>
      </c>
      <c r="H75" s="244" t="s">
        <v>449</v>
      </c>
      <c r="I75" s="1" t="s">
        <v>995</v>
      </c>
      <c r="J75" s="2" t="s">
        <v>448</v>
      </c>
      <c r="K75" s="8">
        <v>0</v>
      </c>
      <c r="R75" s="248" t="s">
        <v>2130</v>
      </c>
      <c r="AG75" s="244" t="s">
        <v>2346</v>
      </c>
    </row>
    <row r="76" spans="1:33" hidden="1">
      <c r="A76" s="358">
        <f t="shared" si="5"/>
        <v>64</v>
      </c>
      <c r="B76" s="244" t="s">
        <v>975</v>
      </c>
      <c r="C76" s="8">
        <v>514.62</v>
      </c>
      <c r="D76" s="8">
        <v>240</v>
      </c>
      <c r="E76"/>
      <c r="I76"/>
      <c r="J76" s="4"/>
      <c r="K76" s="5" t="s">
        <v>1667</v>
      </c>
      <c r="N76" s="244" t="s">
        <v>2338</v>
      </c>
      <c r="O76" s="244" t="s">
        <v>976</v>
      </c>
      <c r="AG76" s="244" t="s">
        <v>2346</v>
      </c>
    </row>
    <row r="77" spans="1:33" hidden="1">
      <c r="A77" s="358">
        <f t="shared" si="5"/>
        <v>65</v>
      </c>
      <c r="B77" s="244" t="s">
        <v>2411</v>
      </c>
      <c r="C77" s="8" t="e">
        <f>AC34</f>
        <v>#REF!</v>
      </c>
      <c r="D77" s="1" t="s">
        <v>884</v>
      </c>
      <c r="E77"/>
      <c r="H77" s="244" t="s">
        <v>1578</v>
      </c>
      <c r="I77"/>
      <c r="J77" s="4"/>
      <c r="K77" s="8" t="e">
        <f>SUM(K72:K75)</f>
        <v>#REF!</v>
      </c>
      <c r="O77" s="244" t="s">
        <v>1156</v>
      </c>
      <c r="AG77" s="244" t="s">
        <v>2346</v>
      </c>
    </row>
    <row r="78" spans="1:33" hidden="1">
      <c r="A78" s="358">
        <f t="shared" si="5"/>
        <v>66</v>
      </c>
      <c r="B78" s="244" t="s">
        <v>1483</v>
      </c>
      <c r="C78" s="8" t="e">
        <f t="shared" ref="C78:C91" si="7">AC16</f>
        <v>#REF!</v>
      </c>
      <c r="D78" s="1" t="s">
        <v>884</v>
      </c>
      <c r="E78"/>
      <c r="I78"/>
      <c r="J78" s="4"/>
      <c r="K78" s="5" t="s">
        <v>1667</v>
      </c>
      <c r="O78" s="248" t="s">
        <v>1667</v>
      </c>
      <c r="AG78" s="244" t="s">
        <v>2346</v>
      </c>
    </row>
    <row r="79" spans="1:33" hidden="1">
      <c r="A79" s="358">
        <f t="shared" si="5"/>
        <v>67</v>
      </c>
      <c r="B79" s="244" t="s">
        <v>1064</v>
      </c>
      <c r="C79" s="8" t="e">
        <f t="shared" si="7"/>
        <v>#REF!</v>
      </c>
      <c r="D79" s="1" t="s">
        <v>884</v>
      </c>
      <c r="E79"/>
      <c r="F79" s="364">
        <v>1.1000000000000001</v>
      </c>
      <c r="G79" s="250" t="s">
        <v>995</v>
      </c>
      <c r="H79" s="244" t="s">
        <v>1484</v>
      </c>
      <c r="I79"/>
      <c r="J79" s="4"/>
      <c r="K79"/>
      <c r="M79" s="251">
        <v>4600</v>
      </c>
      <c r="N79" s="244" t="s">
        <v>1485</v>
      </c>
      <c r="O79" s="244" t="s">
        <v>1156</v>
      </c>
      <c r="P79" s="251" t="e">
        <f>(C91)</f>
        <v>#REF!</v>
      </c>
      <c r="Q79" s="244" t="s">
        <v>1675</v>
      </c>
      <c r="R79" s="251" t="e">
        <f>(M79*P79)/1000</f>
        <v>#REF!</v>
      </c>
      <c r="AG79" s="244" t="s">
        <v>2346</v>
      </c>
    </row>
    <row r="80" spans="1:33" hidden="1">
      <c r="A80" s="358">
        <f t="shared" si="5"/>
        <v>68</v>
      </c>
      <c r="B80" s="244" t="s">
        <v>1543</v>
      </c>
      <c r="C80" s="8" t="e">
        <f t="shared" si="7"/>
        <v>#REF!</v>
      </c>
      <c r="D80" s="1" t="s">
        <v>1544</v>
      </c>
      <c r="E80"/>
      <c r="F80" s="365" t="s">
        <v>995</v>
      </c>
      <c r="H80" s="244" t="s">
        <v>1545</v>
      </c>
      <c r="I80"/>
      <c r="J80" s="4"/>
      <c r="K80"/>
      <c r="M80" s="251">
        <v>2.5</v>
      </c>
      <c r="N80" s="244" t="s">
        <v>884</v>
      </c>
      <c r="O80" s="244" t="s">
        <v>1710</v>
      </c>
      <c r="P80" s="251" t="e">
        <f>(K49)</f>
        <v>#REF!</v>
      </c>
      <c r="Q80" s="244" t="s">
        <v>884</v>
      </c>
      <c r="R80" s="251" t="e">
        <f>(M80*P80)</f>
        <v>#REF!</v>
      </c>
      <c r="AG80" s="244" t="s">
        <v>2346</v>
      </c>
    </row>
    <row r="81" spans="1:33" hidden="1">
      <c r="A81" s="358">
        <f t="shared" si="5"/>
        <v>69</v>
      </c>
      <c r="B81" s="244" t="s">
        <v>70</v>
      </c>
      <c r="C81" s="8" t="e">
        <f t="shared" si="7"/>
        <v>#REF!</v>
      </c>
      <c r="D81" s="1" t="s">
        <v>884</v>
      </c>
      <c r="E81"/>
      <c r="F81" s="251">
        <v>10</v>
      </c>
      <c r="G81" s="250" t="s">
        <v>884</v>
      </c>
      <c r="H81" s="244" t="s">
        <v>1227</v>
      </c>
      <c r="I81" s="8">
        <f>(C61)</f>
        <v>25</v>
      </c>
      <c r="J81" s="2" t="s">
        <v>884</v>
      </c>
      <c r="K81" s="8">
        <f>(F81*I81)</f>
        <v>250</v>
      </c>
      <c r="M81" s="251">
        <v>3.5</v>
      </c>
      <c r="N81" s="244" t="s">
        <v>883</v>
      </c>
      <c r="O81" s="244" t="s">
        <v>2082</v>
      </c>
      <c r="P81" s="251">
        <f>(C10)</f>
        <v>150</v>
      </c>
      <c r="Q81" s="244" t="s">
        <v>883</v>
      </c>
      <c r="R81" s="251">
        <f>(M81*P81)</f>
        <v>525</v>
      </c>
      <c r="AG81" s="244" t="s">
        <v>2346</v>
      </c>
    </row>
    <row r="82" spans="1:33" hidden="1">
      <c r="A82" s="358">
        <f t="shared" si="5"/>
        <v>70</v>
      </c>
      <c r="B82" s="244" t="s">
        <v>2083</v>
      </c>
      <c r="C82" s="8" t="e">
        <f t="shared" si="7"/>
        <v>#REF!</v>
      </c>
      <c r="D82" s="1" t="s">
        <v>884</v>
      </c>
      <c r="E82"/>
      <c r="F82" s="251">
        <v>10</v>
      </c>
      <c r="G82" s="250" t="s">
        <v>884</v>
      </c>
      <c r="H82" s="244" t="s">
        <v>2084</v>
      </c>
      <c r="I82" s="8">
        <f>(C61)</f>
        <v>25</v>
      </c>
      <c r="J82" s="2" t="s">
        <v>884</v>
      </c>
      <c r="K82" s="8">
        <f>(F82*I82)</f>
        <v>250</v>
      </c>
      <c r="M82" s="251">
        <v>10.6</v>
      </c>
      <c r="N82" s="244" t="s">
        <v>883</v>
      </c>
      <c r="O82" s="244" t="s">
        <v>1791</v>
      </c>
      <c r="P82" s="251">
        <f>(C11)</f>
        <v>135</v>
      </c>
      <c r="Q82" s="244" t="s">
        <v>883</v>
      </c>
      <c r="R82" s="251">
        <f>(M82*P82)</f>
        <v>1431</v>
      </c>
      <c r="AG82" s="244" t="s">
        <v>2346</v>
      </c>
    </row>
    <row r="83" spans="1:33" hidden="1">
      <c r="A83" s="358">
        <f t="shared" si="5"/>
        <v>71</v>
      </c>
      <c r="B83" s="244" t="s">
        <v>2085</v>
      </c>
      <c r="C83" s="8">
        <f t="shared" si="7"/>
        <v>4500</v>
      </c>
      <c r="D83" s="1" t="s">
        <v>1544</v>
      </c>
      <c r="E83">
        <v>3550</v>
      </c>
      <c r="F83" s="251">
        <v>10</v>
      </c>
      <c r="G83" s="250" t="s">
        <v>884</v>
      </c>
      <c r="H83" s="244" t="s">
        <v>2086</v>
      </c>
      <c r="I83" s="8">
        <f>(C26)/3</f>
        <v>2.93</v>
      </c>
      <c r="J83" s="2" t="s">
        <v>884</v>
      </c>
      <c r="K83" s="8">
        <f>(F83*I83)</f>
        <v>29.3</v>
      </c>
      <c r="M83" s="251">
        <v>7.1</v>
      </c>
      <c r="N83" s="244" t="s">
        <v>883</v>
      </c>
      <c r="O83" s="244" t="s">
        <v>1979</v>
      </c>
      <c r="P83" s="251">
        <f>(C12)</f>
        <v>95</v>
      </c>
      <c r="Q83" s="244" t="s">
        <v>883</v>
      </c>
      <c r="R83" s="251">
        <f>(M83*P83)</f>
        <v>674.5</v>
      </c>
      <c r="AG83" s="244" t="s">
        <v>2346</v>
      </c>
    </row>
    <row r="84" spans="1:33" hidden="1">
      <c r="A84" s="358">
        <f t="shared" si="5"/>
        <v>72</v>
      </c>
      <c r="B84" s="244" t="s">
        <v>2087</v>
      </c>
      <c r="C84" s="8">
        <f t="shared" si="7"/>
        <v>773</v>
      </c>
      <c r="D84" s="1" t="s">
        <v>884</v>
      </c>
      <c r="E84"/>
      <c r="G84" s="250" t="s">
        <v>448</v>
      </c>
      <c r="H84" s="244" t="s">
        <v>449</v>
      </c>
      <c r="I84"/>
      <c r="J84" s="2" t="s">
        <v>448</v>
      </c>
      <c r="K84" s="8">
        <v>0</v>
      </c>
      <c r="M84" s="251">
        <v>21.2</v>
      </c>
      <c r="N84" s="244" t="s">
        <v>883</v>
      </c>
      <c r="O84" s="244" t="s">
        <v>324</v>
      </c>
      <c r="P84" s="251">
        <f>(C13)</f>
        <v>85</v>
      </c>
      <c r="Q84" s="244" t="s">
        <v>883</v>
      </c>
      <c r="R84" s="251">
        <f>(M84*P84)</f>
        <v>1802</v>
      </c>
      <c r="AG84" s="244" t="s">
        <v>2346</v>
      </c>
    </row>
    <row r="85" spans="1:33" hidden="1">
      <c r="A85" s="358">
        <f t="shared" si="5"/>
        <v>73</v>
      </c>
      <c r="B85" s="244" t="s">
        <v>2077</v>
      </c>
      <c r="C85" s="8" t="e">
        <f t="shared" si="7"/>
        <v>#REF!</v>
      </c>
      <c r="D85" s="1" t="s">
        <v>884</v>
      </c>
      <c r="E85"/>
      <c r="I85"/>
      <c r="J85" s="4"/>
      <c r="K85" s="5" t="s">
        <v>1667</v>
      </c>
      <c r="N85" s="244" t="s">
        <v>448</v>
      </c>
      <c r="O85" s="244" t="s">
        <v>449</v>
      </c>
      <c r="Q85" s="244" t="s">
        <v>448</v>
      </c>
      <c r="R85" s="251">
        <v>0</v>
      </c>
      <c r="AG85" s="244" t="s">
        <v>2346</v>
      </c>
    </row>
    <row r="86" spans="1:33" hidden="1">
      <c r="A86" s="358">
        <f t="shared" si="5"/>
        <v>74</v>
      </c>
      <c r="B86" s="244" t="s">
        <v>2088</v>
      </c>
      <c r="C86" s="8">
        <f t="shared" si="7"/>
        <v>20605</v>
      </c>
      <c r="D86" s="1" t="s">
        <v>884</v>
      </c>
      <c r="E86"/>
      <c r="H86" s="244" t="s">
        <v>618</v>
      </c>
      <c r="I86"/>
      <c r="J86" s="4"/>
      <c r="K86" s="8">
        <f>SUM(K81:K84)</f>
        <v>529.29999999999995</v>
      </c>
      <c r="R86" s="248" t="s">
        <v>1667</v>
      </c>
      <c r="AG86" s="244" t="s">
        <v>2346</v>
      </c>
    </row>
    <row r="87" spans="1:33" hidden="1">
      <c r="A87" s="358">
        <f t="shared" si="5"/>
        <v>75</v>
      </c>
      <c r="B87" s="244" t="s">
        <v>2089</v>
      </c>
      <c r="C87" s="8">
        <f t="shared" si="7"/>
        <v>23685</v>
      </c>
      <c r="D87" s="1" t="s">
        <v>884</v>
      </c>
      <c r="E87"/>
      <c r="I87"/>
      <c r="J87" s="4"/>
      <c r="K87" s="5" t="s">
        <v>1667</v>
      </c>
      <c r="O87" s="244" t="s">
        <v>618</v>
      </c>
      <c r="R87" s="251" t="e">
        <f>SUM(R79:R85)</f>
        <v>#REF!</v>
      </c>
      <c r="AG87" s="244" t="s">
        <v>2346</v>
      </c>
    </row>
    <row r="88" spans="1:33" hidden="1">
      <c r="A88" s="358">
        <f t="shared" si="5"/>
        <v>76</v>
      </c>
      <c r="B88" s="244" t="s">
        <v>2090</v>
      </c>
      <c r="C88" s="8">
        <f t="shared" si="7"/>
        <v>65420</v>
      </c>
      <c r="D88" s="1" t="s">
        <v>884</v>
      </c>
      <c r="E88"/>
      <c r="H88" s="366" t="s">
        <v>2126</v>
      </c>
      <c r="I88" s="38" t="s">
        <v>1459</v>
      </c>
      <c r="J88" s="41"/>
      <c r="K88" s="40">
        <f>(K86/10)</f>
        <v>52.93</v>
      </c>
      <c r="R88" s="248" t="s">
        <v>1667</v>
      </c>
      <c r="AG88" s="244" t="s">
        <v>2346</v>
      </c>
    </row>
    <row r="89" spans="1:33" hidden="1">
      <c r="A89" s="358">
        <f t="shared" si="5"/>
        <v>77</v>
      </c>
      <c r="B89" s="244" t="s">
        <v>299</v>
      </c>
      <c r="C89" s="8">
        <f t="shared" si="7"/>
        <v>57165</v>
      </c>
      <c r="D89" s="1" t="s">
        <v>884</v>
      </c>
      <c r="E89"/>
      <c r="I89" s="38" t="s">
        <v>1425</v>
      </c>
      <c r="J89" s="41"/>
      <c r="K89" s="43">
        <f>ROUND(K88+C36,2)</f>
        <v>55.53</v>
      </c>
      <c r="O89" s="244" t="s">
        <v>785</v>
      </c>
      <c r="R89" s="251" t="e">
        <f>(R87/10)</f>
        <v>#REF!</v>
      </c>
      <c r="AG89" s="244" t="s">
        <v>2346</v>
      </c>
    </row>
    <row r="90" spans="1:33" ht="31.5" hidden="1">
      <c r="A90" s="358">
        <f t="shared" si="5"/>
        <v>78</v>
      </c>
      <c r="B90" s="244" t="s">
        <v>2412</v>
      </c>
      <c r="C90" s="8">
        <f t="shared" si="7"/>
        <v>63870</v>
      </c>
      <c r="D90" s="1" t="s">
        <v>884</v>
      </c>
      <c r="E90"/>
      <c r="F90" s="360" t="s">
        <v>1589</v>
      </c>
      <c r="H90" s="367" t="s">
        <v>2017</v>
      </c>
      <c r="I90" s="38" t="s">
        <v>1459</v>
      </c>
      <c r="J90" s="41"/>
      <c r="K90" s="40">
        <f>K88-K83/10</f>
        <v>50</v>
      </c>
      <c r="R90" s="248" t="s">
        <v>2130</v>
      </c>
      <c r="AG90" s="244" t="s">
        <v>2346</v>
      </c>
    </row>
    <row r="91" spans="1:33" hidden="1">
      <c r="A91" s="358">
        <f t="shared" si="5"/>
        <v>79</v>
      </c>
      <c r="B91" s="244" t="s">
        <v>2413</v>
      </c>
      <c r="C91" s="8" t="e">
        <f t="shared" si="7"/>
        <v>#REF!</v>
      </c>
      <c r="D91" s="1" t="s">
        <v>1544</v>
      </c>
      <c r="E91"/>
      <c r="I91" s="38" t="s">
        <v>1425</v>
      </c>
      <c r="J91" s="41"/>
      <c r="K91" s="43">
        <f>ROUND(K90+C36,2)</f>
        <v>52.6</v>
      </c>
      <c r="AG91" s="244" t="s">
        <v>2346</v>
      </c>
    </row>
    <row r="92" spans="1:33" hidden="1">
      <c r="C92"/>
      <c r="D92"/>
      <c r="E92"/>
      <c r="F92" s="360" t="s">
        <v>2168</v>
      </c>
      <c r="G92" s="250" t="s">
        <v>995</v>
      </c>
      <c r="H92" s="244" t="s">
        <v>508</v>
      </c>
      <c r="I92"/>
      <c r="J92" s="4"/>
      <c r="K92"/>
    </row>
    <row r="93" spans="1:33" hidden="1">
      <c r="C93"/>
      <c r="D93"/>
      <c r="E93"/>
      <c r="F93" s="365" t="s">
        <v>995</v>
      </c>
      <c r="H93" s="248" t="s">
        <v>1667</v>
      </c>
      <c r="I93"/>
      <c r="J93" s="4"/>
      <c r="K93"/>
    </row>
    <row r="94" spans="1:33" hidden="1">
      <c r="C94"/>
      <c r="D94"/>
      <c r="E94"/>
      <c r="F94" s="251">
        <v>10</v>
      </c>
      <c r="G94" s="250" t="s">
        <v>884</v>
      </c>
      <c r="H94" s="244" t="s">
        <v>383</v>
      </c>
      <c r="I94" s="8">
        <f>D61</f>
        <v>37.299999999999997</v>
      </c>
      <c r="J94" s="2" t="s">
        <v>884</v>
      </c>
      <c r="K94" s="8">
        <f>(F94*I94)</f>
        <v>373</v>
      </c>
    </row>
    <row r="95" spans="1:33" hidden="1">
      <c r="C95"/>
      <c r="D95"/>
      <c r="E95"/>
      <c r="F95" s="251">
        <v>10</v>
      </c>
      <c r="G95" s="250" t="s">
        <v>884</v>
      </c>
      <c r="H95" s="244" t="s">
        <v>2084</v>
      </c>
      <c r="I95" s="8">
        <f>D61</f>
        <v>37.299999999999997</v>
      </c>
      <c r="J95" s="2" t="s">
        <v>884</v>
      </c>
      <c r="K95" s="8">
        <f>(F95*I95)</f>
        <v>373</v>
      </c>
    </row>
    <row r="96" spans="1:33" hidden="1">
      <c r="C96"/>
      <c r="D96"/>
      <c r="E96"/>
      <c r="F96" s="251">
        <v>10</v>
      </c>
      <c r="G96" s="250" t="s">
        <v>884</v>
      </c>
      <c r="H96" s="244" t="s">
        <v>2086</v>
      </c>
      <c r="I96" s="8">
        <f>I83</f>
        <v>2.93</v>
      </c>
      <c r="J96" s="2" t="s">
        <v>884</v>
      </c>
      <c r="K96" s="8">
        <f>(F96*I96)</f>
        <v>29.3</v>
      </c>
    </row>
    <row r="97" spans="3:11" hidden="1">
      <c r="C97"/>
      <c r="D97"/>
      <c r="E97"/>
      <c r="G97" s="250" t="s">
        <v>448</v>
      </c>
      <c r="H97" s="244" t="s">
        <v>449</v>
      </c>
      <c r="I97"/>
      <c r="J97" s="2" t="s">
        <v>448</v>
      </c>
      <c r="K97" s="8">
        <v>0</v>
      </c>
    </row>
    <row r="98" spans="3:11" hidden="1">
      <c r="C98"/>
      <c r="D98"/>
      <c r="E98"/>
      <c r="I98"/>
      <c r="J98" s="4"/>
      <c r="K98" s="5" t="s">
        <v>1667</v>
      </c>
    </row>
    <row r="99" spans="3:11" hidden="1">
      <c r="C99"/>
      <c r="D99"/>
      <c r="E99"/>
      <c r="H99" s="244" t="s">
        <v>618</v>
      </c>
      <c r="I99"/>
      <c r="J99" s="4"/>
      <c r="K99" s="8">
        <f>SUM(K94:K97)</f>
        <v>775.3</v>
      </c>
    </row>
    <row r="100" spans="3:11" hidden="1">
      <c r="C100"/>
      <c r="D100"/>
      <c r="E100"/>
      <c r="I100"/>
      <c r="J100" s="4"/>
      <c r="K100" s="5" t="s">
        <v>1667</v>
      </c>
    </row>
    <row r="101" spans="3:11" hidden="1">
      <c r="C101"/>
      <c r="D101"/>
      <c r="E101"/>
      <c r="H101" s="366" t="s">
        <v>2126</v>
      </c>
      <c r="I101" s="38" t="s">
        <v>1459</v>
      </c>
      <c r="J101" s="41"/>
      <c r="K101" s="40">
        <f>(K99/10)</f>
        <v>77.53</v>
      </c>
    </row>
    <row r="102" spans="3:11" hidden="1">
      <c r="C102"/>
      <c r="D102"/>
      <c r="E102"/>
      <c r="I102" s="38" t="s">
        <v>1425</v>
      </c>
      <c r="J102" s="41"/>
      <c r="K102" s="43">
        <f>ROUND(K101+C36,2)</f>
        <v>80.13</v>
      </c>
    </row>
    <row r="103" spans="3:11" hidden="1">
      <c r="C103"/>
      <c r="D103"/>
      <c r="E103"/>
      <c r="I103" s="38"/>
      <c r="J103" s="41"/>
      <c r="K103" s="42"/>
    </row>
    <row r="104" spans="3:11" ht="31.5" hidden="1">
      <c r="C104"/>
      <c r="D104"/>
      <c r="E104"/>
      <c r="F104" s="364">
        <v>1.7</v>
      </c>
      <c r="H104" s="367" t="s">
        <v>666</v>
      </c>
      <c r="I104" s="38" t="s">
        <v>1459</v>
      </c>
      <c r="J104" s="41"/>
      <c r="K104" s="43">
        <f>ROUND(K101-K96/10,2)</f>
        <v>74.599999999999994</v>
      </c>
    </row>
    <row r="105" spans="3:11" hidden="1">
      <c r="C105"/>
      <c r="D105"/>
      <c r="E105"/>
      <c r="I105" s="38" t="s">
        <v>1425</v>
      </c>
      <c r="J105" s="41"/>
      <c r="K105" s="43">
        <f>ROUND(K104+C36,2)</f>
        <v>77.2</v>
      </c>
    </row>
    <row r="106" spans="3:11" hidden="1">
      <c r="C106"/>
      <c r="D106"/>
      <c r="E106"/>
      <c r="I106"/>
      <c r="J106" s="4"/>
      <c r="K106" s="5"/>
    </row>
    <row r="107" spans="3:11" hidden="1">
      <c r="C107"/>
      <c r="D107"/>
      <c r="E107"/>
      <c r="I107"/>
      <c r="J107" s="4"/>
      <c r="K107" s="5"/>
    </row>
    <row r="108" spans="3:11" ht="31.5" hidden="1">
      <c r="C108"/>
      <c r="D108"/>
      <c r="E108"/>
      <c r="F108" s="364">
        <v>1.5</v>
      </c>
      <c r="G108" s="250" t="s">
        <v>995</v>
      </c>
      <c r="H108" s="368" t="s">
        <v>436</v>
      </c>
      <c r="I108"/>
      <c r="J108" s="4"/>
      <c r="K108"/>
    </row>
    <row r="109" spans="3:11" hidden="1">
      <c r="C109"/>
      <c r="D109"/>
      <c r="E109"/>
      <c r="I109"/>
      <c r="J109" s="4"/>
      <c r="K109"/>
    </row>
    <row r="110" spans="3:11" hidden="1">
      <c r="C110"/>
      <c r="D110"/>
      <c r="E110"/>
      <c r="F110" s="251">
        <v>10</v>
      </c>
      <c r="G110" s="250" t="s">
        <v>884</v>
      </c>
      <c r="H110" s="244" t="s">
        <v>1227</v>
      </c>
      <c r="I110" s="8">
        <f>C61</f>
        <v>25</v>
      </c>
      <c r="J110" s="2" t="s">
        <v>884</v>
      </c>
      <c r="K110" s="8">
        <f>(F110*I110)</f>
        <v>250</v>
      </c>
    </row>
    <row r="111" spans="3:11" hidden="1">
      <c r="C111"/>
      <c r="D111"/>
      <c r="E111"/>
      <c r="F111" s="251">
        <v>10</v>
      </c>
      <c r="G111" s="250" t="s">
        <v>884</v>
      </c>
      <c r="H111" s="244" t="s">
        <v>2086</v>
      </c>
      <c r="I111" s="8">
        <f>I83</f>
        <v>2.93</v>
      </c>
      <c r="J111" s="2" t="s">
        <v>884</v>
      </c>
      <c r="K111" s="8">
        <f>(F111*I111)</f>
        <v>29.3</v>
      </c>
    </row>
    <row r="112" spans="3:11" hidden="1">
      <c r="C112"/>
      <c r="D112"/>
      <c r="E112"/>
      <c r="G112" s="250" t="s">
        <v>448</v>
      </c>
      <c r="H112" s="244" t="s">
        <v>449</v>
      </c>
      <c r="I112"/>
      <c r="J112" s="2" t="s">
        <v>448</v>
      </c>
      <c r="K112" s="8">
        <v>0</v>
      </c>
    </row>
    <row r="113" spans="3:11" hidden="1">
      <c r="C113"/>
      <c r="D113"/>
      <c r="E113"/>
      <c r="I113"/>
      <c r="J113" s="4"/>
      <c r="K113" s="5" t="s">
        <v>1667</v>
      </c>
    </row>
    <row r="114" spans="3:11" hidden="1">
      <c r="C114"/>
      <c r="D114"/>
      <c r="E114"/>
      <c r="H114" s="244" t="s">
        <v>618</v>
      </c>
      <c r="I114"/>
      <c r="J114" s="4"/>
      <c r="K114" s="8">
        <f>SUM(K110:K112)</f>
        <v>279.3</v>
      </c>
    </row>
    <row r="115" spans="3:11" hidden="1">
      <c r="C115"/>
      <c r="D115"/>
      <c r="E115"/>
      <c r="I115"/>
      <c r="J115" s="4"/>
      <c r="K115" s="5" t="s">
        <v>1667</v>
      </c>
    </row>
    <row r="116" spans="3:11" hidden="1">
      <c r="C116"/>
      <c r="D116"/>
      <c r="E116"/>
      <c r="H116" s="244"/>
      <c r="I116"/>
      <c r="J116" s="4"/>
      <c r="K116" s="8">
        <f>(K114/10)</f>
        <v>27.93</v>
      </c>
    </row>
    <row r="117" spans="3:11" hidden="1">
      <c r="C117"/>
      <c r="D117"/>
      <c r="E117"/>
      <c r="I117"/>
      <c r="J117" s="4"/>
      <c r="K117" s="5" t="s">
        <v>2130</v>
      </c>
    </row>
    <row r="118" spans="3:11" hidden="1">
      <c r="C118"/>
      <c r="D118"/>
      <c r="E118"/>
      <c r="F118" s="360"/>
      <c r="H118" s="244" t="s">
        <v>2111</v>
      </c>
      <c r="I118" s="38" t="s">
        <v>1459</v>
      </c>
      <c r="J118" s="4"/>
      <c r="K118" s="40">
        <f>K116-K111/10</f>
        <v>25</v>
      </c>
    </row>
    <row r="119" spans="3:11" hidden="1">
      <c r="C119"/>
      <c r="D119"/>
      <c r="E119"/>
      <c r="I119" s="38" t="s">
        <v>1425</v>
      </c>
      <c r="J119" s="4"/>
      <c r="K119" s="43">
        <f>ROUND(K118+C36,2)</f>
        <v>27.6</v>
      </c>
    </row>
    <row r="120" spans="3:11" hidden="1">
      <c r="C120"/>
      <c r="D120"/>
      <c r="E120"/>
      <c r="I120"/>
      <c r="J120" s="4"/>
      <c r="K120" s="5"/>
    </row>
    <row r="121" spans="3:11" ht="31.5" hidden="1">
      <c r="C121"/>
      <c r="D121"/>
      <c r="E121"/>
      <c r="F121" s="369">
        <v>1.8</v>
      </c>
      <c r="H121" s="368" t="s">
        <v>2141</v>
      </c>
      <c r="I121"/>
      <c r="J121" s="4"/>
      <c r="K121" s="5"/>
    </row>
    <row r="122" spans="3:11" hidden="1">
      <c r="C122"/>
      <c r="D122"/>
      <c r="E122"/>
      <c r="I122"/>
      <c r="J122" s="4"/>
      <c r="K122" s="5"/>
    </row>
    <row r="123" spans="3:11" hidden="1">
      <c r="C123"/>
      <c r="D123"/>
      <c r="E123"/>
      <c r="F123" s="251">
        <v>10</v>
      </c>
      <c r="G123" s="250" t="s">
        <v>884</v>
      </c>
      <c r="H123" s="244" t="s">
        <v>383</v>
      </c>
      <c r="I123">
        <f>D61</f>
        <v>37.299999999999997</v>
      </c>
      <c r="J123" s="2" t="s">
        <v>884</v>
      </c>
      <c r="K123" s="8">
        <f>(F123*I123)</f>
        <v>373</v>
      </c>
    </row>
    <row r="124" spans="3:11" hidden="1">
      <c r="C124"/>
      <c r="D124"/>
      <c r="E124"/>
      <c r="G124" s="243" t="s">
        <v>667</v>
      </c>
      <c r="I124"/>
      <c r="J124" s="4" t="s">
        <v>667</v>
      </c>
      <c r="K124" s="8">
        <v>0</v>
      </c>
    </row>
    <row r="125" spans="3:11" hidden="1">
      <c r="C125"/>
      <c r="D125"/>
      <c r="E125"/>
      <c r="I125"/>
      <c r="J125" s="4"/>
      <c r="K125" s="5" t="s">
        <v>1667</v>
      </c>
    </row>
    <row r="126" spans="3:11" hidden="1">
      <c r="C126"/>
      <c r="D126"/>
      <c r="E126"/>
      <c r="H126" s="244" t="s">
        <v>618</v>
      </c>
      <c r="I126"/>
      <c r="J126" s="4"/>
      <c r="K126" s="8">
        <f>SUM(K123:K124)</f>
        <v>373</v>
      </c>
    </row>
    <row r="127" spans="3:11" hidden="1">
      <c r="C127"/>
      <c r="D127"/>
      <c r="E127"/>
      <c r="I127"/>
      <c r="J127" s="4"/>
      <c r="K127" s="5" t="s">
        <v>1667</v>
      </c>
    </row>
    <row r="128" spans="3:11" ht="31.5" hidden="1">
      <c r="C128"/>
      <c r="D128"/>
      <c r="E128"/>
      <c r="F128" s="370"/>
      <c r="H128" s="371" t="s">
        <v>2222</v>
      </c>
      <c r="I128" s="38" t="s">
        <v>1459</v>
      </c>
      <c r="J128" s="4"/>
      <c r="K128" s="43">
        <f>ROUND(K126/10,2)</f>
        <v>37.299999999999997</v>
      </c>
    </row>
    <row r="129" spans="1:33" hidden="1">
      <c r="C129"/>
      <c r="D129"/>
      <c r="E129"/>
      <c r="I129" s="38" t="s">
        <v>1425</v>
      </c>
      <c r="J129" s="4"/>
      <c r="K129" s="43">
        <f>ROUND(K128+C36,2)</f>
        <v>39.9</v>
      </c>
    </row>
    <row r="130" spans="1:33" hidden="1">
      <c r="C130"/>
      <c r="D130"/>
      <c r="E130"/>
      <c r="I130" s="38"/>
      <c r="J130" s="4"/>
      <c r="K130" s="5"/>
    </row>
    <row r="131" spans="1:33" hidden="1">
      <c r="C131"/>
      <c r="D131"/>
      <c r="E131"/>
      <c r="F131" s="364">
        <v>1.6</v>
      </c>
      <c r="H131" s="244" t="s">
        <v>812</v>
      </c>
      <c r="I131" s="38"/>
      <c r="J131" s="4"/>
      <c r="K131"/>
    </row>
    <row r="132" spans="1:33" hidden="1">
      <c r="C132"/>
      <c r="D132"/>
      <c r="E132"/>
      <c r="H132" s="244" t="s">
        <v>384</v>
      </c>
      <c r="I132" s="38" t="s">
        <v>1459</v>
      </c>
      <c r="J132" s="4"/>
      <c r="K132" s="40">
        <f>C61*1.5</f>
        <v>37.5</v>
      </c>
    </row>
    <row r="133" spans="1:33" hidden="1">
      <c r="C133"/>
      <c r="D133"/>
      <c r="E133"/>
      <c r="F133" s="244" t="s">
        <v>995</v>
      </c>
      <c r="H133" s="244" t="s">
        <v>385</v>
      </c>
      <c r="I133" s="38" t="s">
        <v>1425</v>
      </c>
      <c r="J133" s="4"/>
      <c r="K133" s="43">
        <f>ROUND(K132+C36,2)</f>
        <v>40.1</v>
      </c>
    </row>
    <row r="134" spans="1:33" hidden="1">
      <c r="C134"/>
      <c r="D134"/>
      <c r="E134"/>
      <c r="I134"/>
      <c r="J134" s="4"/>
      <c r="K134" s="5" t="s">
        <v>2130</v>
      </c>
    </row>
    <row r="135" spans="1:33" hidden="1">
      <c r="C135"/>
      <c r="D135"/>
      <c r="E135"/>
      <c r="I135"/>
      <c r="J135" s="4"/>
      <c r="K135"/>
    </row>
    <row r="136" spans="1:33" hidden="1">
      <c r="A136" s="358">
        <f>(A91+1)</f>
        <v>80</v>
      </c>
      <c r="B136" s="244" t="s">
        <v>1625</v>
      </c>
      <c r="C136" s="8">
        <f>AC30</f>
        <v>8240</v>
      </c>
      <c r="D136" s="8">
        <v>13.87</v>
      </c>
      <c r="E136" s="1" t="s">
        <v>995</v>
      </c>
      <c r="F136" s="354" t="s">
        <v>386</v>
      </c>
      <c r="G136" s="250" t="s">
        <v>2338</v>
      </c>
      <c r="H136" s="244" t="s">
        <v>387</v>
      </c>
      <c r="I136"/>
      <c r="J136" s="4"/>
      <c r="K136"/>
      <c r="N136" s="244" t="s">
        <v>2414</v>
      </c>
      <c r="O136" s="244" t="s">
        <v>388</v>
      </c>
      <c r="R136" s="251" t="e">
        <f>(R89+C19)</f>
        <v>#REF!</v>
      </c>
      <c r="AG136" s="244" t="s">
        <v>2346</v>
      </c>
    </row>
    <row r="137" spans="1:33" hidden="1">
      <c r="A137" s="358">
        <f t="shared" ref="A137:A142" si="8">(A136+1)</f>
        <v>81</v>
      </c>
      <c r="B137" s="244" t="s">
        <v>389</v>
      </c>
      <c r="C137" s="8">
        <f>AC33</f>
        <v>26500</v>
      </c>
      <c r="D137" s="1" t="s">
        <v>876</v>
      </c>
      <c r="E137"/>
      <c r="H137" s="244" t="s">
        <v>1054</v>
      </c>
      <c r="I137"/>
      <c r="J137" s="4"/>
      <c r="K137"/>
      <c r="N137" s="244" t="s">
        <v>2415</v>
      </c>
      <c r="O137" s="244" t="s">
        <v>390</v>
      </c>
      <c r="R137" s="251" t="e">
        <f>(R136+C20)</f>
        <v>#REF!</v>
      </c>
      <c r="AG137" s="244" t="s">
        <v>2346</v>
      </c>
    </row>
    <row r="138" spans="1:33" hidden="1">
      <c r="A138" s="358">
        <f t="shared" si="8"/>
        <v>82</v>
      </c>
      <c r="B138" s="244" t="s">
        <v>1882</v>
      </c>
      <c r="C138" s="8">
        <f>AC32</f>
        <v>28000</v>
      </c>
      <c r="D138" s="1" t="s">
        <v>876</v>
      </c>
      <c r="E138"/>
      <c r="H138" s="248" t="s">
        <v>1667</v>
      </c>
      <c r="I138"/>
      <c r="J138" s="4"/>
      <c r="K138"/>
      <c r="N138" s="244" t="s">
        <v>2416</v>
      </c>
      <c r="O138" s="244" t="s">
        <v>2319</v>
      </c>
      <c r="R138" s="251" t="e">
        <f>(R137+C21)</f>
        <v>#REF!</v>
      </c>
      <c r="AG138" s="244" t="s">
        <v>2346</v>
      </c>
    </row>
    <row r="139" spans="1:33" hidden="1">
      <c r="A139" s="358">
        <f t="shared" si="8"/>
        <v>83</v>
      </c>
      <c r="B139" s="244" t="s">
        <v>380</v>
      </c>
      <c r="C139" s="8">
        <f>AC33</f>
        <v>26500</v>
      </c>
      <c r="D139" s="1" t="s">
        <v>876</v>
      </c>
      <c r="E139"/>
      <c r="F139" s="251">
        <v>1</v>
      </c>
      <c r="G139" s="250" t="s">
        <v>884</v>
      </c>
      <c r="H139" s="244" t="s">
        <v>381</v>
      </c>
      <c r="I139" s="8" t="e">
        <f>C79</f>
        <v>#REF!</v>
      </c>
      <c r="J139" s="2" t="s">
        <v>884</v>
      </c>
      <c r="K139" s="8" t="e">
        <f>(F139*I139)</f>
        <v>#REF!</v>
      </c>
      <c r="N139" s="244" t="s">
        <v>2417</v>
      </c>
      <c r="O139" s="244" t="s">
        <v>382</v>
      </c>
      <c r="R139" s="251" t="e">
        <f>(R138+C21)</f>
        <v>#REF!</v>
      </c>
      <c r="AG139" s="244" t="s">
        <v>2346</v>
      </c>
    </row>
    <row r="140" spans="1:33" hidden="1">
      <c r="A140" s="358">
        <f t="shared" si="8"/>
        <v>84</v>
      </c>
      <c r="B140" s="244" t="s">
        <v>1623</v>
      </c>
      <c r="C140" s="8">
        <f>AC38</f>
        <v>169</v>
      </c>
      <c r="D140" s="1" t="s">
        <v>884</v>
      </c>
      <c r="E140"/>
      <c r="F140" s="251">
        <v>1</v>
      </c>
      <c r="G140" s="250" t="s">
        <v>884</v>
      </c>
      <c r="H140" s="244" t="s">
        <v>1415</v>
      </c>
      <c r="I140" s="8">
        <f>C27</f>
        <v>7.8</v>
      </c>
      <c r="J140" s="2" t="s">
        <v>884</v>
      </c>
      <c r="K140" s="8">
        <f>(F140*I140)</f>
        <v>7.8</v>
      </c>
      <c r="O140" s="244" t="s">
        <v>2418</v>
      </c>
      <c r="R140" s="251" t="e">
        <f>(R139+C21)</f>
        <v>#REF!</v>
      </c>
      <c r="AG140" s="244" t="s">
        <v>2346</v>
      </c>
    </row>
    <row r="141" spans="1:33" hidden="1">
      <c r="A141" s="358">
        <f t="shared" si="8"/>
        <v>85</v>
      </c>
      <c r="B141" s="244" t="s">
        <v>192</v>
      </c>
      <c r="C141" s="8">
        <f>I255</f>
        <v>12224.58</v>
      </c>
      <c r="D141" s="1" t="s">
        <v>876</v>
      </c>
      <c r="E141"/>
      <c r="G141" s="250" t="s">
        <v>448</v>
      </c>
      <c r="H141" s="244" t="s">
        <v>449</v>
      </c>
      <c r="I141" s="1" t="s">
        <v>995</v>
      </c>
      <c r="J141" s="2" t="s">
        <v>448</v>
      </c>
      <c r="K141" s="8">
        <v>0</v>
      </c>
      <c r="N141" s="244" t="s">
        <v>2338</v>
      </c>
      <c r="O141" s="244" t="s">
        <v>2419</v>
      </c>
      <c r="AG141" s="244" t="s">
        <v>2346</v>
      </c>
    </row>
    <row r="142" spans="1:33" hidden="1">
      <c r="A142" s="358">
        <f t="shared" si="8"/>
        <v>86</v>
      </c>
      <c r="B142" s="244" t="s">
        <v>193</v>
      </c>
      <c r="C142" s="8">
        <v>30000</v>
      </c>
      <c r="D142" s="1" t="s">
        <v>876</v>
      </c>
      <c r="E142"/>
      <c r="I142"/>
      <c r="J142" s="4"/>
      <c r="K142" s="5" t="s">
        <v>1667</v>
      </c>
      <c r="O142" s="244" t="s">
        <v>1156</v>
      </c>
      <c r="AG142" s="244" t="s">
        <v>2346</v>
      </c>
    </row>
    <row r="143" spans="1:33" hidden="1">
      <c r="B143" s="244" t="s">
        <v>995</v>
      </c>
      <c r="C143"/>
      <c r="D143"/>
      <c r="E143"/>
      <c r="H143" s="244" t="s">
        <v>194</v>
      </c>
      <c r="I143"/>
      <c r="J143" s="4"/>
      <c r="K143" s="8" t="e">
        <f>SUM(K137:K141)</f>
        <v>#REF!</v>
      </c>
      <c r="O143" s="248" t="s">
        <v>1667</v>
      </c>
      <c r="AG143" s="244" t="s">
        <v>2346</v>
      </c>
    </row>
    <row r="144" spans="1:33" hidden="1">
      <c r="A144" s="358">
        <f>(A142+1)</f>
        <v>87</v>
      </c>
      <c r="B144" s="244" t="s">
        <v>195</v>
      </c>
      <c r="C144" s="8">
        <v>7.5</v>
      </c>
      <c r="D144" s="1" t="s">
        <v>448</v>
      </c>
      <c r="E144"/>
      <c r="I144"/>
      <c r="J144" s="4"/>
      <c r="K144" s="5" t="s">
        <v>1667</v>
      </c>
      <c r="M144" s="251">
        <v>4600</v>
      </c>
      <c r="N144" s="244" t="s">
        <v>1485</v>
      </c>
      <c r="O144" s="244" t="s">
        <v>1156</v>
      </c>
      <c r="P144" s="251" t="e">
        <f>(C91)</f>
        <v>#REF!</v>
      </c>
      <c r="Q144" s="244" t="s">
        <v>1675</v>
      </c>
      <c r="R144" s="251" t="e">
        <f>(M144*P144)/1000</f>
        <v>#REF!</v>
      </c>
      <c r="AG144" s="244" t="s">
        <v>2346</v>
      </c>
    </row>
    <row r="145" spans="3:11" hidden="1">
      <c r="C145"/>
      <c r="D145"/>
      <c r="E145"/>
      <c r="F145" s="354" t="s">
        <v>196</v>
      </c>
      <c r="G145" s="250" t="s">
        <v>2338</v>
      </c>
      <c r="H145" s="244" t="s">
        <v>1055</v>
      </c>
      <c r="I145"/>
      <c r="J145" s="4"/>
      <c r="K145"/>
    </row>
    <row r="146" spans="3:11" hidden="1">
      <c r="C146"/>
      <c r="D146"/>
      <c r="E146"/>
      <c r="H146" s="244" t="s">
        <v>1056</v>
      </c>
      <c r="I146"/>
      <c r="J146" s="4"/>
      <c r="K146"/>
    </row>
    <row r="147" spans="3:11" hidden="1">
      <c r="C147"/>
      <c r="D147"/>
      <c r="E147"/>
      <c r="H147" s="244" t="s">
        <v>484</v>
      </c>
      <c r="I147"/>
      <c r="J147" s="4"/>
      <c r="K147"/>
    </row>
    <row r="148" spans="3:11" hidden="1">
      <c r="C148"/>
      <c r="D148"/>
      <c r="E148"/>
      <c r="H148" s="244" t="s">
        <v>523</v>
      </c>
      <c r="I148"/>
      <c r="J148" s="4"/>
      <c r="K148"/>
    </row>
    <row r="149" spans="3:11" hidden="1">
      <c r="C149"/>
      <c r="D149"/>
      <c r="E149"/>
      <c r="H149" s="244" t="s">
        <v>524</v>
      </c>
      <c r="I149"/>
      <c r="J149" s="4"/>
      <c r="K149"/>
    </row>
    <row r="150" spans="3:11" hidden="1">
      <c r="C150"/>
      <c r="D150"/>
      <c r="E150"/>
      <c r="H150" s="248" t="s">
        <v>1667</v>
      </c>
      <c r="I150"/>
      <c r="J150" s="4"/>
      <c r="K150"/>
    </row>
    <row r="151" spans="3:11" hidden="1">
      <c r="C151"/>
      <c r="D151"/>
      <c r="E151"/>
      <c r="F151" s="251">
        <v>0.7</v>
      </c>
      <c r="G151" s="250" t="s">
        <v>884</v>
      </c>
      <c r="H151" s="244" t="s">
        <v>2075</v>
      </c>
      <c r="I151" s="8" t="e">
        <f>C79</f>
        <v>#REF!</v>
      </c>
      <c r="J151" s="2" t="s">
        <v>884</v>
      </c>
      <c r="K151" s="8" t="e">
        <f t="shared" ref="K151:K156" si="9">(F151*I151)</f>
        <v>#REF!</v>
      </c>
    </row>
    <row r="152" spans="3:11" hidden="1">
      <c r="C152"/>
      <c r="D152"/>
      <c r="E152"/>
      <c r="F152" s="251">
        <v>0.7</v>
      </c>
      <c r="G152" s="250" t="s">
        <v>884</v>
      </c>
      <c r="H152" s="244" t="s">
        <v>525</v>
      </c>
      <c r="I152" s="8">
        <f>C783</f>
        <v>3.05</v>
      </c>
      <c r="J152" s="2" t="s">
        <v>884</v>
      </c>
      <c r="K152" s="8">
        <f t="shared" si="9"/>
        <v>2.14</v>
      </c>
    </row>
    <row r="153" spans="3:11" hidden="1">
      <c r="C153"/>
      <c r="D153"/>
      <c r="E153"/>
      <c r="F153" s="251">
        <v>0.72</v>
      </c>
      <c r="G153" s="250" t="s">
        <v>884</v>
      </c>
      <c r="H153" s="244" t="s">
        <v>1726</v>
      </c>
      <c r="I153" s="8">
        <f>C35</f>
        <v>169</v>
      </c>
      <c r="J153" s="2" t="s">
        <v>884</v>
      </c>
      <c r="K153" s="8">
        <f t="shared" si="9"/>
        <v>121.68</v>
      </c>
    </row>
    <row r="154" spans="3:11" hidden="1">
      <c r="C154"/>
      <c r="D154"/>
      <c r="E154"/>
      <c r="F154" s="251">
        <v>0.72</v>
      </c>
      <c r="G154" s="250" t="s">
        <v>884</v>
      </c>
      <c r="H154" s="244" t="s">
        <v>525</v>
      </c>
      <c r="I154" s="8">
        <f>C783</f>
        <v>3.05</v>
      </c>
      <c r="J154" s="2" t="s">
        <v>884</v>
      </c>
      <c r="K154" s="8">
        <f t="shared" si="9"/>
        <v>2.2000000000000002</v>
      </c>
    </row>
    <row r="155" spans="3:11" hidden="1">
      <c r="C155"/>
      <c r="D155"/>
      <c r="E155"/>
      <c r="F155" s="251">
        <v>1</v>
      </c>
      <c r="G155" s="250" t="s">
        <v>884</v>
      </c>
      <c r="H155" s="244" t="s">
        <v>1872</v>
      </c>
      <c r="I155" s="8">
        <f>C18</f>
        <v>26</v>
      </c>
      <c r="J155" s="2" t="s">
        <v>884</v>
      </c>
      <c r="K155" s="8">
        <f t="shared" si="9"/>
        <v>26</v>
      </c>
    </row>
    <row r="156" spans="3:11" hidden="1">
      <c r="C156"/>
      <c r="D156"/>
      <c r="E156"/>
      <c r="F156" s="251">
        <v>1</v>
      </c>
      <c r="G156" s="250" t="s">
        <v>884</v>
      </c>
      <c r="H156" s="244" t="s">
        <v>1727</v>
      </c>
      <c r="I156" s="8">
        <v>6.05</v>
      </c>
      <c r="J156" s="2" t="s">
        <v>884</v>
      </c>
      <c r="K156" s="8">
        <f t="shared" si="9"/>
        <v>6.05</v>
      </c>
    </row>
    <row r="157" spans="3:11" hidden="1">
      <c r="C157"/>
      <c r="D157"/>
      <c r="E157"/>
      <c r="H157" s="244" t="s">
        <v>1728</v>
      </c>
      <c r="I157"/>
      <c r="J157" s="4"/>
      <c r="K157"/>
    </row>
    <row r="158" spans="3:11" hidden="1">
      <c r="C158"/>
      <c r="D158"/>
      <c r="E158"/>
      <c r="G158" s="250" t="s">
        <v>448</v>
      </c>
      <c r="H158" s="244" t="s">
        <v>449</v>
      </c>
      <c r="I158" s="1" t="s">
        <v>995</v>
      </c>
      <c r="J158" s="2" t="s">
        <v>448</v>
      </c>
      <c r="K158" s="8">
        <v>0</v>
      </c>
    </row>
    <row r="159" spans="3:11" hidden="1">
      <c r="C159"/>
      <c r="D159"/>
      <c r="E159"/>
      <c r="I159"/>
      <c r="J159" s="4"/>
      <c r="K159" s="5" t="s">
        <v>1667</v>
      </c>
    </row>
    <row r="160" spans="3:11" hidden="1">
      <c r="C160"/>
      <c r="D160"/>
      <c r="E160"/>
      <c r="H160" s="244" t="s">
        <v>194</v>
      </c>
      <c r="I160"/>
      <c r="J160" s="4"/>
      <c r="K160" s="8" t="e">
        <f>SUM(K151:K158)</f>
        <v>#REF!</v>
      </c>
    </row>
    <row r="161" spans="1:11" hidden="1">
      <c r="C161"/>
      <c r="D161"/>
      <c r="E161"/>
      <c r="I161"/>
      <c r="J161" s="4"/>
      <c r="K161" s="5" t="s">
        <v>1667</v>
      </c>
    </row>
    <row r="162" spans="1:11" hidden="1">
      <c r="C162"/>
      <c r="D162"/>
      <c r="E162"/>
      <c r="H162" s="244" t="s">
        <v>995</v>
      </c>
      <c r="I162"/>
      <c r="J162" s="4"/>
      <c r="K162" s="1" t="s">
        <v>995</v>
      </c>
    </row>
    <row r="163" spans="1:11" hidden="1">
      <c r="C163"/>
      <c r="D163"/>
      <c r="E163"/>
      <c r="I163"/>
      <c r="J163" s="4"/>
      <c r="K163" s="1" t="s">
        <v>995</v>
      </c>
    </row>
    <row r="164" spans="1:11" hidden="1">
      <c r="A164" s="372">
        <v>2.2999999999999998</v>
      </c>
      <c r="B164" s="244" t="s">
        <v>243</v>
      </c>
      <c r="C164" t="e">
        <f>AC19+I167</f>
        <v>#REF!</v>
      </c>
      <c r="D164"/>
      <c r="E164"/>
      <c r="F164" s="364">
        <v>2.6</v>
      </c>
      <c r="G164" s="250" t="s">
        <v>2338</v>
      </c>
      <c r="H164" s="244" t="s">
        <v>1221</v>
      </c>
      <c r="I164"/>
      <c r="J164" s="4"/>
      <c r="K164"/>
    </row>
    <row r="165" spans="1:11" hidden="1">
      <c r="A165" s="372">
        <v>2.4</v>
      </c>
      <c r="B165" s="244" t="s">
        <v>796</v>
      </c>
      <c r="C165" t="e">
        <f>AC20+I167</f>
        <v>#REF!</v>
      </c>
      <c r="D165"/>
      <c r="E165"/>
      <c r="H165" s="248" t="s">
        <v>1667</v>
      </c>
      <c r="I165"/>
      <c r="J165" s="4"/>
      <c r="K165"/>
    </row>
    <row r="166" spans="1:11" hidden="1">
      <c r="C166"/>
      <c r="D166"/>
      <c r="E166"/>
      <c r="F166" s="251">
        <v>1</v>
      </c>
      <c r="G166" s="250" t="s">
        <v>884</v>
      </c>
      <c r="H166" s="244" t="s">
        <v>1127</v>
      </c>
      <c r="I166" s="8" t="e">
        <f>AC15</f>
        <v>#REF!</v>
      </c>
      <c r="J166" s="2" t="s">
        <v>884</v>
      </c>
      <c r="K166" s="8" t="e">
        <f>(F166*I166)</f>
        <v>#REF!</v>
      </c>
    </row>
    <row r="167" spans="1:11" hidden="1">
      <c r="C167"/>
      <c r="D167"/>
      <c r="E167"/>
      <c r="F167" s="251">
        <v>1</v>
      </c>
      <c r="G167" s="250" t="s">
        <v>884</v>
      </c>
      <c r="H167" s="244" t="s">
        <v>1415</v>
      </c>
      <c r="I167" s="8">
        <f>C26</f>
        <v>8.8000000000000007</v>
      </c>
      <c r="J167" s="2" t="s">
        <v>884</v>
      </c>
      <c r="K167" s="8">
        <f>(F167*I167)</f>
        <v>8.8000000000000007</v>
      </c>
    </row>
    <row r="168" spans="1:11" hidden="1">
      <c r="C168"/>
      <c r="D168"/>
      <c r="E168"/>
      <c r="G168" s="250" t="s">
        <v>448</v>
      </c>
      <c r="H168" s="244" t="s">
        <v>449</v>
      </c>
      <c r="I168" s="1" t="s">
        <v>995</v>
      </c>
      <c r="J168" s="2" t="s">
        <v>448</v>
      </c>
      <c r="K168" s="8">
        <v>0</v>
      </c>
    </row>
    <row r="169" spans="1:11" hidden="1">
      <c r="C169"/>
      <c r="D169"/>
      <c r="E169"/>
      <c r="I169"/>
      <c r="J169" s="4"/>
      <c r="K169" s="5" t="s">
        <v>1667</v>
      </c>
    </row>
    <row r="170" spans="1:11" hidden="1">
      <c r="C170"/>
      <c r="D170"/>
      <c r="E170"/>
      <c r="H170" s="244" t="s">
        <v>194</v>
      </c>
      <c r="I170"/>
      <c r="J170" s="4"/>
      <c r="K170" s="8" t="e">
        <f>SUM(K165:K168)</f>
        <v>#REF!</v>
      </c>
    </row>
    <row r="171" spans="1:11" hidden="1">
      <c r="C171"/>
      <c r="D171"/>
      <c r="E171"/>
      <c r="I171"/>
      <c r="J171" s="4"/>
      <c r="K171" s="5" t="s">
        <v>1667</v>
      </c>
    </row>
    <row r="172" spans="1:11" hidden="1">
      <c r="C172"/>
      <c r="D172"/>
      <c r="E172"/>
      <c r="F172" s="364">
        <v>2.7</v>
      </c>
      <c r="G172" s="250" t="s">
        <v>2338</v>
      </c>
      <c r="H172" s="244" t="s">
        <v>2065</v>
      </c>
      <c r="I172"/>
      <c r="J172" s="4"/>
      <c r="K172"/>
    </row>
    <row r="173" spans="1:11" hidden="1">
      <c r="C173"/>
      <c r="D173"/>
      <c r="E173"/>
      <c r="H173" s="248" t="s">
        <v>1667</v>
      </c>
      <c r="I173"/>
      <c r="J173" s="4"/>
      <c r="K173"/>
    </row>
    <row r="174" spans="1:11" hidden="1">
      <c r="C174"/>
      <c r="D174"/>
      <c r="E174"/>
      <c r="F174" s="251">
        <v>1</v>
      </c>
      <c r="G174" s="250" t="s">
        <v>884</v>
      </c>
      <c r="H174" s="244" t="s">
        <v>846</v>
      </c>
      <c r="I174" s="8" t="e">
        <f>AC14</f>
        <v>#REF!</v>
      </c>
      <c r="J174" s="2" t="s">
        <v>884</v>
      </c>
      <c r="K174" s="8" t="e">
        <f>(F174*I174)</f>
        <v>#REF!</v>
      </c>
    </row>
    <row r="175" spans="1:11" hidden="1">
      <c r="C175"/>
      <c r="D175"/>
      <c r="E175"/>
      <c r="F175" s="251">
        <v>1</v>
      </c>
      <c r="G175" s="250" t="s">
        <v>884</v>
      </c>
      <c r="H175" s="244" t="s">
        <v>1415</v>
      </c>
      <c r="I175" s="8">
        <f>C26</f>
        <v>8.8000000000000007</v>
      </c>
      <c r="J175" s="2" t="s">
        <v>884</v>
      </c>
      <c r="K175" s="8">
        <f>(F175*I175)</f>
        <v>8.8000000000000007</v>
      </c>
    </row>
    <row r="176" spans="1:11" hidden="1">
      <c r="C176"/>
      <c r="D176"/>
      <c r="E176"/>
      <c r="G176" s="250" t="s">
        <v>448</v>
      </c>
      <c r="H176" s="244" t="s">
        <v>449</v>
      </c>
      <c r="I176" s="1" t="s">
        <v>995</v>
      </c>
      <c r="J176" s="2" t="s">
        <v>448</v>
      </c>
      <c r="K176" s="8">
        <v>0</v>
      </c>
    </row>
    <row r="177" spans="1:33" hidden="1">
      <c r="C177"/>
      <c r="D177"/>
      <c r="E177"/>
      <c r="I177"/>
      <c r="J177" s="4"/>
      <c r="K177" s="5" t="s">
        <v>1667</v>
      </c>
    </row>
    <row r="178" spans="1:33" hidden="1">
      <c r="C178"/>
      <c r="D178"/>
      <c r="E178"/>
      <c r="H178" s="244" t="s">
        <v>194</v>
      </c>
      <c r="I178"/>
      <c r="J178" s="4"/>
      <c r="K178" s="8" t="e">
        <f>SUM(K173:K176)</f>
        <v>#REF!</v>
      </c>
    </row>
    <row r="179" spans="1:33" hidden="1">
      <c r="A179" s="358">
        <f>(A144+1)</f>
        <v>88</v>
      </c>
      <c r="B179" s="244" t="s">
        <v>1729</v>
      </c>
      <c r="C179" s="8">
        <v>15.25</v>
      </c>
      <c r="D179" s="1" t="s">
        <v>1730</v>
      </c>
      <c r="E179"/>
      <c r="I179"/>
      <c r="J179" s="4"/>
      <c r="K179" s="5" t="s">
        <v>1667</v>
      </c>
      <c r="M179" s="251">
        <v>2.5</v>
      </c>
      <c r="N179" s="244" t="s">
        <v>884</v>
      </c>
      <c r="O179" s="244" t="s">
        <v>1716</v>
      </c>
      <c r="P179" s="251" t="e">
        <f>(K58)</f>
        <v>#REF!</v>
      </c>
      <c r="Q179" s="244" t="s">
        <v>884</v>
      </c>
      <c r="R179" s="251" t="e">
        <f>(M179*P179)</f>
        <v>#REF!</v>
      </c>
      <c r="AG179" s="244" t="s">
        <v>2346</v>
      </c>
    </row>
    <row r="180" spans="1:33" hidden="1">
      <c r="A180" s="358">
        <f>(A179+1)</f>
        <v>89</v>
      </c>
      <c r="B180" s="244" t="s">
        <v>1731</v>
      </c>
      <c r="C180" s="8">
        <v>110</v>
      </c>
      <c r="D180" s="1" t="s">
        <v>1730</v>
      </c>
      <c r="E180"/>
      <c r="H180" s="244" t="s">
        <v>995</v>
      </c>
      <c r="I180"/>
      <c r="J180" s="4"/>
      <c r="K180"/>
      <c r="M180" s="251">
        <v>3.5</v>
      </c>
      <c r="N180" s="244" t="s">
        <v>883</v>
      </c>
      <c r="O180" s="244" t="s">
        <v>2082</v>
      </c>
      <c r="P180" s="251">
        <f>(C10)</f>
        <v>150</v>
      </c>
      <c r="Q180" s="244" t="s">
        <v>883</v>
      </c>
      <c r="R180" s="251">
        <f>(M180*P180)</f>
        <v>525</v>
      </c>
      <c r="AG180" s="244" t="s">
        <v>2346</v>
      </c>
    </row>
    <row r="181" spans="1:33" hidden="1">
      <c r="C181"/>
      <c r="D181"/>
      <c r="E181"/>
      <c r="F181" s="354" t="s">
        <v>1732</v>
      </c>
      <c r="H181" s="244" t="s">
        <v>964</v>
      </c>
      <c r="I181"/>
      <c r="J181" s="4"/>
      <c r="K181"/>
    </row>
    <row r="182" spans="1:33" hidden="1">
      <c r="C182"/>
      <c r="D182"/>
      <c r="E182"/>
      <c r="I182"/>
      <c r="J182" s="4"/>
      <c r="K182"/>
    </row>
    <row r="183" spans="1:33" hidden="1">
      <c r="C183"/>
      <c r="D183"/>
      <c r="E183"/>
      <c r="F183" s="251">
        <v>1</v>
      </c>
      <c r="G183" s="250" t="s">
        <v>884</v>
      </c>
      <c r="H183" s="244" t="s">
        <v>69</v>
      </c>
      <c r="I183" s="8">
        <f>C35</f>
        <v>169</v>
      </c>
      <c r="J183" s="2" t="s">
        <v>884</v>
      </c>
      <c r="K183" s="8">
        <f>(F183*I183)</f>
        <v>169</v>
      </c>
    </row>
    <row r="184" spans="1:33" hidden="1">
      <c r="C184"/>
      <c r="D184"/>
      <c r="E184"/>
      <c r="F184" s="251">
        <v>1</v>
      </c>
      <c r="G184" s="250" t="s">
        <v>884</v>
      </c>
      <c r="H184" s="244" t="s">
        <v>525</v>
      </c>
      <c r="I184" s="8">
        <f>C783</f>
        <v>3.05</v>
      </c>
      <c r="J184" s="2" t="s">
        <v>884</v>
      </c>
      <c r="K184" s="8">
        <f>(F184*I184)</f>
        <v>3.05</v>
      </c>
    </row>
    <row r="185" spans="1:33" hidden="1">
      <c r="C185"/>
      <c r="D185"/>
      <c r="E185"/>
      <c r="F185" s="251">
        <v>1</v>
      </c>
      <c r="G185" s="250" t="s">
        <v>884</v>
      </c>
      <c r="H185" s="244" t="s">
        <v>1727</v>
      </c>
      <c r="I185" s="8">
        <v>6.05</v>
      </c>
      <c r="J185" s="2" t="s">
        <v>884</v>
      </c>
      <c r="K185" s="8">
        <f>(F185*I185)</f>
        <v>6.05</v>
      </c>
    </row>
    <row r="186" spans="1:33" hidden="1">
      <c r="C186"/>
      <c r="D186"/>
      <c r="E186"/>
      <c r="H186" s="244" t="s">
        <v>1728</v>
      </c>
      <c r="I186"/>
      <c r="J186" s="4"/>
      <c r="K186"/>
    </row>
    <row r="187" spans="1:33" hidden="1">
      <c r="C187"/>
      <c r="D187"/>
      <c r="E187"/>
      <c r="I187"/>
      <c r="J187" s="4"/>
      <c r="K187" s="5" t="s">
        <v>1667</v>
      </c>
    </row>
    <row r="188" spans="1:33" hidden="1">
      <c r="C188"/>
      <c r="D188"/>
      <c r="E188"/>
      <c r="H188" s="244" t="s">
        <v>194</v>
      </c>
      <c r="I188"/>
      <c r="J188" s="4"/>
      <c r="K188" s="8">
        <f>SUM(K181:K186)</f>
        <v>178.1</v>
      </c>
    </row>
    <row r="189" spans="1:33" hidden="1">
      <c r="C189"/>
      <c r="D189"/>
      <c r="E189"/>
      <c r="F189" s="244" t="s">
        <v>995</v>
      </c>
      <c r="I189"/>
      <c r="J189" s="4"/>
      <c r="K189" s="5" t="s">
        <v>1667</v>
      </c>
    </row>
    <row r="190" spans="1:33" hidden="1">
      <c r="C190"/>
      <c r="D190"/>
      <c r="E190"/>
      <c r="I190"/>
      <c r="J190" s="4"/>
      <c r="K190" s="1" t="s">
        <v>995</v>
      </c>
    </row>
    <row r="191" spans="1:33" hidden="1">
      <c r="A191" s="358">
        <f>(A180+1)</f>
        <v>90</v>
      </c>
      <c r="B191" s="244" t="s">
        <v>674</v>
      </c>
      <c r="C191" s="8">
        <v>65</v>
      </c>
      <c r="D191" s="1" t="s">
        <v>675</v>
      </c>
      <c r="E191"/>
      <c r="F191" s="354" t="s">
        <v>676</v>
      </c>
      <c r="G191" s="250" t="s">
        <v>2338</v>
      </c>
      <c r="H191" s="244" t="s">
        <v>677</v>
      </c>
      <c r="I191"/>
      <c r="J191" s="4"/>
      <c r="K191"/>
      <c r="M191" s="251">
        <v>10.6</v>
      </c>
      <c r="N191" s="244" t="s">
        <v>883</v>
      </c>
      <c r="O191" s="244" t="s">
        <v>1791</v>
      </c>
      <c r="P191" s="251">
        <f>(C11)</f>
        <v>135</v>
      </c>
      <c r="Q191" s="244" t="s">
        <v>883</v>
      </c>
      <c r="R191" s="251">
        <f>(M191*P191)</f>
        <v>1431</v>
      </c>
      <c r="AG191" s="244" t="s">
        <v>2346</v>
      </c>
    </row>
    <row r="192" spans="1:33" hidden="1">
      <c r="A192" s="358">
        <f t="shared" ref="A192:A207" si="10">(A191+1)</f>
        <v>91</v>
      </c>
      <c r="B192" s="244" t="s">
        <v>678</v>
      </c>
      <c r="C192" s="8">
        <v>25</v>
      </c>
      <c r="D192" s="1" t="s">
        <v>675</v>
      </c>
      <c r="E192"/>
      <c r="H192" s="244" t="s">
        <v>679</v>
      </c>
      <c r="I192"/>
      <c r="J192" s="4"/>
      <c r="K192"/>
      <c r="M192" s="251">
        <v>7.1</v>
      </c>
      <c r="N192" s="244" t="s">
        <v>883</v>
      </c>
      <c r="O192" s="244" t="s">
        <v>1979</v>
      </c>
      <c r="P192" s="251">
        <f>(C12)</f>
        <v>95</v>
      </c>
      <c r="Q192" s="244" t="s">
        <v>883</v>
      </c>
      <c r="R192" s="251">
        <f>(M192*P192)</f>
        <v>674.5</v>
      </c>
      <c r="AG192" s="244" t="s">
        <v>2346</v>
      </c>
    </row>
    <row r="193" spans="1:33" hidden="1">
      <c r="A193" s="358">
        <f t="shared" si="10"/>
        <v>92</v>
      </c>
      <c r="B193" s="244" t="s">
        <v>2420</v>
      </c>
      <c r="C193" s="8">
        <v>210</v>
      </c>
      <c r="D193" s="1" t="s">
        <v>675</v>
      </c>
      <c r="E193"/>
      <c r="H193" s="248" t="s">
        <v>1667</v>
      </c>
      <c r="I193"/>
      <c r="J193" s="4"/>
      <c r="K193"/>
      <c r="M193" s="251">
        <v>21.2</v>
      </c>
      <c r="N193" s="244" t="s">
        <v>883</v>
      </c>
      <c r="O193" s="244" t="s">
        <v>324</v>
      </c>
      <c r="P193" s="251">
        <f>(C13)</f>
        <v>85</v>
      </c>
      <c r="Q193" s="244" t="s">
        <v>883</v>
      </c>
      <c r="R193" s="251">
        <f>(M193*P193)</f>
        <v>1802</v>
      </c>
      <c r="AG193" s="244" t="s">
        <v>2346</v>
      </c>
    </row>
    <row r="194" spans="1:33" hidden="1">
      <c r="A194" s="358">
        <f t="shared" si="10"/>
        <v>93</v>
      </c>
      <c r="B194" s="244" t="s">
        <v>1722</v>
      </c>
      <c r="C194" s="8">
        <v>160</v>
      </c>
      <c r="D194" s="8">
        <v>96.11</v>
      </c>
      <c r="E194"/>
      <c r="F194" s="251">
        <v>9</v>
      </c>
      <c r="G194" s="250" t="s">
        <v>884</v>
      </c>
      <c r="H194" s="244" t="s">
        <v>1723</v>
      </c>
      <c r="I194" s="8" t="e">
        <f>(C74)</f>
        <v>#REF!</v>
      </c>
      <c r="J194" s="2" t="s">
        <v>884</v>
      </c>
      <c r="K194" s="8" t="e">
        <f>(F194*I194)</f>
        <v>#REF!</v>
      </c>
      <c r="N194" s="244" t="s">
        <v>448</v>
      </c>
      <c r="O194" s="244" t="s">
        <v>449</v>
      </c>
      <c r="Q194" s="244" t="s">
        <v>448</v>
      </c>
      <c r="R194" s="251">
        <v>0</v>
      </c>
      <c r="AG194" s="244" t="s">
        <v>2346</v>
      </c>
    </row>
    <row r="195" spans="1:33" hidden="1">
      <c r="A195" s="358">
        <f t="shared" si="10"/>
        <v>94</v>
      </c>
      <c r="B195" s="244" t="s">
        <v>850</v>
      </c>
      <c r="C195" s="8">
        <v>100</v>
      </c>
      <c r="D195" s="1" t="s">
        <v>675</v>
      </c>
      <c r="E195"/>
      <c r="F195" s="251">
        <v>4.5</v>
      </c>
      <c r="G195" s="250" t="s">
        <v>884</v>
      </c>
      <c r="H195" s="244" t="s">
        <v>1710</v>
      </c>
      <c r="I195" s="8" t="e">
        <f>(K49)</f>
        <v>#REF!</v>
      </c>
      <c r="J195" s="2" t="s">
        <v>884</v>
      </c>
      <c r="K195" s="8" t="e">
        <f>(F195*I195)</f>
        <v>#REF!</v>
      </c>
      <c r="R195" s="248" t="s">
        <v>1667</v>
      </c>
      <c r="AG195" s="244" t="s">
        <v>2346</v>
      </c>
    </row>
    <row r="196" spans="1:33" hidden="1">
      <c r="A196" s="358">
        <f t="shared" si="10"/>
        <v>95</v>
      </c>
      <c r="B196" s="244" t="s">
        <v>851</v>
      </c>
      <c r="C196" s="8">
        <v>0.25</v>
      </c>
      <c r="D196" s="1" t="s">
        <v>883</v>
      </c>
      <c r="E196"/>
      <c r="F196" s="251">
        <v>1.8</v>
      </c>
      <c r="G196" s="250" t="s">
        <v>883</v>
      </c>
      <c r="H196" s="244" t="s">
        <v>1791</v>
      </c>
      <c r="I196" s="8">
        <f>(C11)</f>
        <v>135</v>
      </c>
      <c r="J196" s="2" t="s">
        <v>883</v>
      </c>
      <c r="K196" s="8">
        <f>(F196*I196)</f>
        <v>243</v>
      </c>
      <c r="O196" s="244" t="s">
        <v>618</v>
      </c>
      <c r="R196" s="251" t="e">
        <f>SUM(R144:R194)</f>
        <v>#REF!</v>
      </c>
      <c r="AG196" s="244" t="s">
        <v>2346</v>
      </c>
    </row>
    <row r="197" spans="1:33" hidden="1">
      <c r="A197" s="358">
        <f t="shared" si="10"/>
        <v>96</v>
      </c>
      <c r="B197" s="244" t="s">
        <v>610</v>
      </c>
      <c r="C197" s="8">
        <v>22.6</v>
      </c>
      <c r="D197" s="1" t="s">
        <v>611</v>
      </c>
      <c r="E197"/>
      <c r="F197" s="251">
        <v>17.7</v>
      </c>
      <c r="G197" s="250" t="s">
        <v>883</v>
      </c>
      <c r="H197" s="244" t="s">
        <v>1979</v>
      </c>
      <c r="I197" s="8">
        <f>(C12)</f>
        <v>95</v>
      </c>
      <c r="J197" s="2" t="s">
        <v>883</v>
      </c>
      <c r="K197" s="8">
        <f>(F197*I197)</f>
        <v>1681.5</v>
      </c>
      <c r="R197" s="248" t="s">
        <v>1667</v>
      </c>
      <c r="AG197" s="244" t="s">
        <v>2346</v>
      </c>
    </row>
    <row r="198" spans="1:33" hidden="1">
      <c r="A198" s="358">
        <f t="shared" si="10"/>
        <v>97</v>
      </c>
      <c r="B198" s="244" t="s">
        <v>2628</v>
      </c>
      <c r="C198" s="8">
        <v>212</v>
      </c>
      <c r="D198" s="1" t="s">
        <v>611</v>
      </c>
      <c r="E198"/>
      <c r="F198" s="251">
        <v>14.1</v>
      </c>
      <c r="G198" s="250" t="s">
        <v>883</v>
      </c>
      <c r="H198" s="244" t="s">
        <v>324</v>
      </c>
      <c r="I198" s="8">
        <f>(C13)</f>
        <v>85</v>
      </c>
      <c r="J198" s="2" t="s">
        <v>883</v>
      </c>
      <c r="K198" s="8">
        <f>(F198*I198)</f>
        <v>1198.5</v>
      </c>
      <c r="O198" s="244" t="s">
        <v>785</v>
      </c>
      <c r="R198" s="251" t="e">
        <f>(R196/10)</f>
        <v>#REF!</v>
      </c>
      <c r="AG198" s="244" t="s">
        <v>2346</v>
      </c>
    </row>
    <row r="199" spans="1:33" hidden="1">
      <c r="A199" s="358">
        <f t="shared" si="10"/>
        <v>98</v>
      </c>
      <c r="B199" s="244" t="s">
        <v>2170</v>
      </c>
      <c r="C199" s="8">
        <v>85</v>
      </c>
      <c r="D199" s="1" t="s">
        <v>781</v>
      </c>
      <c r="E199"/>
      <c r="G199" s="250" t="s">
        <v>448</v>
      </c>
      <c r="H199" s="244" t="s">
        <v>449</v>
      </c>
      <c r="I199"/>
      <c r="J199" s="2" t="s">
        <v>448</v>
      </c>
      <c r="K199" s="8">
        <v>0</v>
      </c>
      <c r="R199" s="248" t="s">
        <v>2130</v>
      </c>
      <c r="AG199" s="244" t="s">
        <v>2346</v>
      </c>
    </row>
    <row r="200" spans="1:33" hidden="1">
      <c r="A200" s="358">
        <f t="shared" si="10"/>
        <v>99</v>
      </c>
      <c r="B200" s="244" t="s">
        <v>1195</v>
      </c>
      <c r="C200" s="8">
        <v>750</v>
      </c>
      <c r="D200" s="1" t="s">
        <v>781</v>
      </c>
      <c r="E200"/>
      <c r="I200"/>
      <c r="J200" s="4"/>
      <c r="K200" s="5" t="s">
        <v>1667</v>
      </c>
      <c r="AG200" s="244" t="s">
        <v>2346</v>
      </c>
    </row>
    <row r="201" spans="1:33" hidden="1">
      <c r="A201" s="358">
        <f t="shared" si="10"/>
        <v>100</v>
      </c>
      <c r="B201" s="244" t="s">
        <v>1196</v>
      </c>
      <c r="C201" s="8">
        <v>47.2</v>
      </c>
      <c r="D201" s="1" t="s">
        <v>781</v>
      </c>
      <c r="E201"/>
      <c r="I201"/>
      <c r="J201" s="4"/>
      <c r="K201" s="8" t="e">
        <f>SUM(K194:K199)</f>
        <v>#REF!</v>
      </c>
      <c r="N201" s="244" t="s">
        <v>3334</v>
      </c>
      <c r="O201" s="244" t="s">
        <v>388</v>
      </c>
      <c r="R201" s="251" t="e">
        <f>(R198+C19)</f>
        <v>#REF!</v>
      </c>
      <c r="AG201" s="244" t="s">
        <v>2346</v>
      </c>
    </row>
    <row r="202" spans="1:33" hidden="1">
      <c r="A202" s="358">
        <f t="shared" si="10"/>
        <v>101</v>
      </c>
      <c r="B202" s="244" t="s">
        <v>2436</v>
      </c>
      <c r="C202" s="8">
        <v>75</v>
      </c>
      <c r="D202" s="1" t="s">
        <v>781</v>
      </c>
      <c r="E202"/>
      <c r="H202" s="244" t="s">
        <v>618</v>
      </c>
      <c r="I202"/>
      <c r="J202" s="4"/>
      <c r="K202" s="5" t="s">
        <v>1667</v>
      </c>
      <c r="N202" s="244" t="s">
        <v>2437</v>
      </c>
      <c r="O202" s="244" t="s">
        <v>390</v>
      </c>
      <c r="R202" s="251" t="e">
        <f>(R201+C20)</f>
        <v>#REF!</v>
      </c>
      <c r="AG202" s="244" t="s">
        <v>325</v>
      </c>
    </row>
    <row r="203" spans="1:33" hidden="1">
      <c r="A203" s="358">
        <f t="shared" si="10"/>
        <v>102</v>
      </c>
      <c r="B203" s="244" t="s">
        <v>694</v>
      </c>
      <c r="C203" s="8">
        <v>40</v>
      </c>
      <c r="D203" s="1" t="s">
        <v>781</v>
      </c>
      <c r="E203"/>
      <c r="I203"/>
      <c r="J203" s="4"/>
      <c r="K203" s="8" t="e">
        <f>(K201/10)</f>
        <v>#REF!</v>
      </c>
      <c r="N203" s="244" t="s">
        <v>2438</v>
      </c>
      <c r="O203" s="244" t="s">
        <v>2319</v>
      </c>
      <c r="R203" s="251" t="e">
        <f>(R202+C21)</f>
        <v>#REF!</v>
      </c>
    </row>
    <row r="204" spans="1:33" hidden="1">
      <c r="A204" s="358">
        <f t="shared" si="10"/>
        <v>103</v>
      </c>
      <c r="B204" s="244" t="s">
        <v>626</v>
      </c>
      <c r="C204" s="8">
        <v>65</v>
      </c>
      <c r="D204" s="1" t="s">
        <v>781</v>
      </c>
      <c r="E204"/>
      <c r="H204" s="244" t="s">
        <v>785</v>
      </c>
      <c r="I204"/>
      <c r="J204" s="4"/>
      <c r="K204" s="5" t="s">
        <v>2130</v>
      </c>
      <c r="N204" s="244" t="s">
        <v>2439</v>
      </c>
      <c r="O204" s="244" t="s">
        <v>382</v>
      </c>
      <c r="R204" s="251" t="e">
        <f>(R203+C21)</f>
        <v>#REF!</v>
      </c>
    </row>
    <row r="205" spans="1:33" hidden="1">
      <c r="A205" s="358">
        <f t="shared" si="10"/>
        <v>104</v>
      </c>
      <c r="B205" s="244" t="s">
        <v>2440</v>
      </c>
      <c r="C205" s="8">
        <v>65</v>
      </c>
      <c r="D205" s="1" t="s">
        <v>781</v>
      </c>
      <c r="E205"/>
      <c r="I205"/>
      <c r="J205" s="4"/>
      <c r="K205"/>
      <c r="AG205" s="244" t="s">
        <v>2346</v>
      </c>
    </row>
    <row r="206" spans="1:33" hidden="1">
      <c r="A206" s="358">
        <f t="shared" si="10"/>
        <v>105</v>
      </c>
      <c r="B206" s="244" t="s">
        <v>695</v>
      </c>
      <c r="C206" s="8">
        <v>150</v>
      </c>
      <c r="D206" s="1" t="s">
        <v>696</v>
      </c>
      <c r="E206"/>
      <c r="F206" s="354" t="s">
        <v>697</v>
      </c>
      <c r="G206" s="250" t="s">
        <v>2338</v>
      </c>
      <c r="H206" s="244" t="s">
        <v>1008</v>
      </c>
      <c r="I206"/>
      <c r="J206" s="4"/>
      <c r="K206"/>
    </row>
    <row r="207" spans="1:33" hidden="1">
      <c r="A207" s="358">
        <f t="shared" si="10"/>
        <v>106</v>
      </c>
      <c r="B207" s="244" t="s">
        <v>698</v>
      </c>
      <c r="C207" s="8">
        <v>100</v>
      </c>
      <c r="D207" s="1" t="s">
        <v>781</v>
      </c>
      <c r="E207"/>
      <c r="H207" s="244" t="s">
        <v>1550</v>
      </c>
      <c r="I207"/>
      <c r="J207" s="4"/>
      <c r="K207"/>
      <c r="N207" s="244" t="s">
        <v>699</v>
      </c>
      <c r="O207" s="244" t="s">
        <v>700</v>
      </c>
    </row>
    <row r="208" spans="1:33" hidden="1">
      <c r="C208"/>
      <c r="D208"/>
      <c r="E208"/>
      <c r="H208" s="248" t="s">
        <v>1667</v>
      </c>
      <c r="I208"/>
      <c r="J208" s="4"/>
      <c r="K208"/>
      <c r="O208" s="248" t="s">
        <v>1667</v>
      </c>
    </row>
    <row r="209" spans="3:18" hidden="1">
      <c r="C209"/>
      <c r="D209"/>
      <c r="E209"/>
      <c r="F209" s="251">
        <v>9</v>
      </c>
      <c r="G209" s="250" t="s">
        <v>884</v>
      </c>
      <c r="H209" s="244" t="s">
        <v>701</v>
      </c>
      <c r="I209" s="8" t="e">
        <f>C73</f>
        <v>#REF!</v>
      </c>
      <c r="J209" s="2" t="s">
        <v>884</v>
      </c>
      <c r="K209" s="8" t="e">
        <f>(F209*I209)</f>
        <v>#REF!</v>
      </c>
      <c r="M209" s="373">
        <v>1.153E-2</v>
      </c>
      <c r="N209" s="244" t="s">
        <v>884</v>
      </c>
      <c r="O209" s="244" t="s">
        <v>702</v>
      </c>
      <c r="P209" s="251">
        <f>C88</f>
        <v>65420</v>
      </c>
      <c r="Q209" s="244" t="s">
        <v>884</v>
      </c>
      <c r="R209" s="251">
        <f t="shared" ref="R209:R218" si="11">(M209*P209)</f>
        <v>754.29</v>
      </c>
    </row>
    <row r="210" spans="3:18" hidden="1">
      <c r="C210"/>
      <c r="D210"/>
      <c r="E210"/>
      <c r="F210" s="251">
        <v>4.5</v>
      </c>
      <c r="G210" s="250" t="s">
        <v>884</v>
      </c>
      <c r="H210" s="244" t="s">
        <v>123</v>
      </c>
      <c r="I210" s="8" t="e">
        <f>K23</f>
        <v>#REF!</v>
      </c>
      <c r="J210" s="2" t="s">
        <v>884</v>
      </c>
      <c r="K210" s="8" t="e">
        <f>(F210*I210)</f>
        <v>#REF!</v>
      </c>
      <c r="M210" s="373">
        <v>1.013E-2</v>
      </c>
      <c r="N210" s="244" t="s">
        <v>884</v>
      </c>
      <c r="O210" s="244" t="s">
        <v>703</v>
      </c>
      <c r="P210" s="251">
        <f>C89</f>
        <v>57165</v>
      </c>
      <c r="Q210" s="244" t="s">
        <v>884</v>
      </c>
      <c r="R210" s="251">
        <f t="shared" si="11"/>
        <v>579.08000000000004</v>
      </c>
    </row>
    <row r="211" spans="3:18" hidden="1">
      <c r="C211"/>
      <c r="D211"/>
      <c r="E211"/>
      <c r="F211" s="251">
        <v>1.8</v>
      </c>
      <c r="G211" s="250" t="s">
        <v>883</v>
      </c>
      <c r="H211" s="244" t="s">
        <v>1791</v>
      </c>
      <c r="I211" s="8">
        <f>C11</f>
        <v>135</v>
      </c>
      <c r="J211" s="2" t="s">
        <v>883</v>
      </c>
      <c r="K211" s="8">
        <f>(F211*I211)</f>
        <v>243</v>
      </c>
      <c r="M211" s="373">
        <v>0.77780000000000005</v>
      </c>
      <c r="N211" s="244" t="s">
        <v>611</v>
      </c>
      <c r="O211" s="244" t="s">
        <v>2163</v>
      </c>
      <c r="P211" s="251">
        <f>C753</f>
        <v>381.37</v>
      </c>
      <c r="Q211" s="244" t="s">
        <v>611</v>
      </c>
      <c r="R211" s="251">
        <f t="shared" si="11"/>
        <v>296.63</v>
      </c>
    </row>
    <row r="212" spans="3:18" hidden="1">
      <c r="C212"/>
      <c r="D212"/>
      <c r="E212"/>
      <c r="F212" s="251">
        <v>17.7</v>
      </c>
      <c r="G212" s="250" t="s">
        <v>883</v>
      </c>
      <c r="H212" s="244" t="s">
        <v>1979</v>
      </c>
      <c r="I212" s="8">
        <f>C12</f>
        <v>95</v>
      </c>
      <c r="J212" s="2" t="s">
        <v>883</v>
      </c>
      <c r="K212" s="8">
        <f>(F212*I212)</f>
        <v>1681.5</v>
      </c>
      <c r="M212" s="373">
        <v>1.23</v>
      </c>
      <c r="N212" s="244" t="s">
        <v>611</v>
      </c>
      <c r="O212" s="244" t="s">
        <v>2164</v>
      </c>
      <c r="P212" s="251">
        <f>D30</f>
        <v>287</v>
      </c>
      <c r="Q212" s="244" t="s">
        <v>611</v>
      </c>
      <c r="R212" s="251">
        <f t="shared" si="11"/>
        <v>353.01</v>
      </c>
    </row>
    <row r="213" spans="3:18" hidden="1">
      <c r="C213"/>
      <c r="D213"/>
      <c r="E213"/>
      <c r="F213" s="251">
        <v>14.1</v>
      </c>
      <c r="G213" s="250" t="s">
        <v>883</v>
      </c>
      <c r="H213" s="244" t="s">
        <v>324</v>
      </c>
      <c r="I213" s="8">
        <f>C13</f>
        <v>85</v>
      </c>
      <c r="J213" s="2" t="s">
        <v>883</v>
      </c>
      <c r="K213" s="8">
        <f>(F213*I213)</f>
        <v>1198.5</v>
      </c>
      <c r="M213" s="251">
        <v>2</v>
      </c>
      <c r="N213" s="244" t="s">
        <v>883</v>
      </c>
      <c r="O213" s="244" t="s">
        <v>2165</v>
      </c>
      <c r="P213" s="251">
        <f>C283</f>
        <v>30</v>
      </c>
      <c r="Q213" s="244" t="s">
        <v>883</v>
      </c>
      <c r="R213" s="251">
        <f t="shared" si="11"/>
        <v>60</v>
      </c>
    </row>
    <row r="214" spans="3:18" hidden="1">
      <c r="C214"/>
      <c r="D214"/>
      <c r="E214"/>
      <c r="G214" s="250" t="s">
        <v>448</v>
      </c>
      <c r="H214" s="244" t="s">
        <v>449</v>
      </c>
      <c r="I214"/>
      <c r="J214" s="2" t="s">
        <v>448</v>
      </c>
      <c r="K214" s="8">
        <v>0</v>
      </c>
      <c r="M214" s="251">
        <v>3</v>
      </c>
      <c r="N214" s="244" t="s">
        <v>883</v>
      </c>
      <c r="O214" s="244" t="s">
        <v>2166</v>
      </c>
      <c r="P214" s="251">
        <f>C278</f>
        <v>45</v>
      </c>
      <c r="Q214" s="244" t="s">
        <v>883</v>
      </c>
      <c r="R214" s="251">
        <f t="shared" si="11"/>
        <v>135</v>
      </c>
    </row>
    <row r="215" spans="3:18" hidden="1">
      <c r="C215"/>
      <c r="D215"/>
      <c r="E215"/>
      <c r="I215"/>
      <c r="J215" s="4"/>
      <c r="K215" s="5" t="s">
        <v>1667</v>
      </c>
      <c r="M215" s="251">
        <v>1</v>
      </c>
      <c r="N215" s="244" t="s">
        <v>883</v>
      </c>
      <c r="O215" s="244" t="s">
        <v>2055</v>
      </c>
      <c r="P215" s="251">
        <f>C285</f>
        <v>95</v>
      </c>
      <c r="Q215" s="244" t="s">
        <v>883</v>
      </c>
      <c r="R215" s="251">
        <f t="shared" si="11"/>
        <v>95</v>
      </c>
    </row>
    <row r="216" spans="3:18" hidden="1">
      <c r="C216"/>
      <c r="D216"/>
      <c r="E216"/>
      <c r="I216"/>
      <c r="J216" s="4"/>
      <c r="K216" s="8" t="e">
        <f>SUM(K209:K214)</f>
        <v>#REF!</v>
      </c>
      <c r="M216" s="251">
        <v>1</v>
      </c>
      <c r="N216" s="244" t="s">
        <v>883</v>
      </c>
      <c r="O216" s="244" t="s">
        <v>2056</v>
      </c>
      <c r="P216" s="251">
        <f>C287</f>
        <v>8</v>
      </c>
      <c r="Q216" s="244" t="s">
        <v>883</v>
      </c>
      <c r="R216" s="251">
        <f t="shared" si="11"/>
        <v>8</v>
      </c>
    </row>
    <row r="217" spans="3:18" hidden="1">
      <c r="C217"/>
      <c r="D217"/>
      <c r="E217"/>
      <c r="H217" s="244" t="s">
        <v>618</v>
      </c>
      <c r="I217"/>
      <c r="J217" s="4"/>
      <c r="K217" s="5" t="s">
        <v>1667</v>
      </c>
      <c r="M217" s="251">
        <v>1</v>
      </c>
      <c r="N217" s="244" t="s">
        <v>883</v>
      </c>
      <c r="O217" s="244" t="s">
        <v>2057</v>
      </c>
      <c r="P217" s="251">
        <f>C576</f>
        <v>30</v>
      </c>
      <c r="Q217" s="244" t="s">
        <v>883</v>
      </c>
      <c r="R217" s="251">
        <f t="shared" si="11"/>
        <v>30</v>
      </c>
    </row>
    <row r="218" spans="3:18" hidden="1">
      <c r="C218"/>
      <c r="D218"/>
      <c r="E218"/>
      <c r="I218"/>
      <c r="J218" s="4"/>
      <c r="K218" s="8" t="e">
        <f>(K216/10)</f>
        <v>#REF!</v>
      </c>
      <c r="M218" s="251">
        <v>1</v>
      </c>
      <c r="N218" s="244" t="s">
        <v>883</v>
      </c>
      <c r="O218" s="244" t="s">
        <v>2058</v>
      </c>
      <c r="P218" s="251">
        <f>D576</f>
        <v>25</v>
      </c>
      <c r="Q218" s="244" t="s">
        <v>883</v>
      </c>
      <c r="R218" s="251">
        <f t="shared" si="11"/>
        <v>25</v>
      </c>
    </row>
    <row r="219" spans="3:18" hidden="1">
      <c r="C219"/>
      <c r="D219"/>
      <c r="E219"/>
      <c r="H219" s="244" t="s">
        <v>785</v>
      </c>
      <c r="I219"/>
      <c r="J219" s="4"/>
      <c r="K219" s="5" t="s">
        <v>2130</v>
      </c>
      <c r="R219" s="248" t="s">
        <v>1667</v>
      </c>
    </row>
    <row r="220" spans="3:18" hidden="1">
      <c r="C220"/>
      <c r="D220"/>
      <c r="E220"/>
      <c r="I220"/>
      <c r="J220" s="4"/>
      <c r="K220"/>
      <c r="O220" s="354" t="s">
        <v>2059</v>
      </c>
      <c r="R220" s="251">
        <f>SUM(R209:R218)</f>
        <v>2336.0100000000002</v>
      </c>
    </row>
    <row r="221" spans="3:18" hidden="1">
      <c r="C221"/>
      <c r="D221"/>
      <c r="E221"/>
      <c r="F221" s="354" t="s">
        <v>2144</v>
      </c>
      <c r="G221" s="250" t="s">
        <v>2338</v>
      </c>
      <c r="H221" s="244" t="s">
        <v>1009</v>
      </c>
      <c r="I221"/>
      <c r="J221" s="4"/>
      <c r="K221"/>
      <c r="N221" s="244" t="s">
        <v>995</v>
      </c>
      <c r="R221" s="248" t="s">
        <v>1667</v>
      </c>
    </row>
    <row r="222" spans="3:18" hidden="1">
      <c r="C222"/>
      <c r="D222"/>
      <c r="E222"/>
      <c r="H222" s="244" t="s">
        <v>2145</v>
      </c>
      <c r="I222"/>
      <c r="J222" s="4"/>
      <c r="K222"/>
      <c r="M222" s="244" t="s">
        <v>995</v>
      </c>
    </row>
    <row r="223" spans="3:18" hidden="1">
      <c r="C223"/>
      <c r="D223"/>
      <c r="E223"/>
      <c r="H223" s="248" t="s">
        <v>1667</v>
      </c>
      <c r="I223"/>
      <c r="J223" s="4"/>
      <c r="K223"/>
      <c r="O223" s="354" t="s">
        <v>555</v>
      </c>
      <c r="R223" s="251">
        <f>R220/M212</f>
        <v>1899.2</v>
      </c>
    </row>
    <row r="224" spans="3:18" hidden="1">
      <c r="C224"/>
      <c r="D224"/>
      <c r="E224"/>
      <c r="F224" s="251">
        <v>9</v>
      </c>
      <c r="G224" s="250" t="s">
        <v>884</v>
      </c>
      <c r="H224" s="244" t="s">
        <v>1888</v>
      </c>
      <c r="I224" s="8" t="e">
        <f>AC20</f>
        <v>#REF!</v>
      </c>
      <c r="J224" s="2" t="s">
        <v>884</v>
      </c>
      <c r="K224" s="8" t="e">
        <f>(F224*I224)</f>
        <v>#REF!</v>
      </c>
      <c r="M224" s="244" t="s">
        <v>325</v>
      </c>
    </row>
    <row r="225" spans="3:11" hidden="1">
      <c r="C225"/>
      <c r="D225"/>
      <c r="E225"/>
      <c r="F225" s="251">
        <v>4.5</v>
      </c>
      <c r="G225" s="250" t="s">
        <v>884</v>
      </c>
      <c r="H225" s="244" t="s">
        <v>1717</v>
      </c>
      <c r="I225" s="8" t="e">
        <f>K77</f>
        <v>#REF!</v>
      </c>
      <c r="J225" s="2" t="s">
        <v>884</v>
      </c>
      <c r="K225" s="8" t="e">
        <f>(F225*I225)</f>
        <v>#REF!</v>
      </c>
    </row>
    <row r="226" spans="3:11" hidden="1">
      <c r="C226"/>
      <c r="D226"/>
      <c r="E226"/>
      <c r="F226" s="251">
        <v>1.8</v>
      </c>
      <c r="G226" s="250" t="s">
        <v>883</v>
      </c>
      <c r="H226" s="244" t="s">
        <v>1791</v>
      </c>
      <c r="I226" s="8">
        <f>C11</f>
        <v>135</v>
      </c>
      <c r="J226" s="2" t="s">
        <v>883</v>
      </c>
      <c r="K226" s="8">
        <f>(F226*I226)</f>
        <v>243</v>
      </c>
    </row>
    <row r="227" spans="3:11" hidden="1">
      <c r="C227"/>
      <c r="D227"/>
      <c r="E227"/>
      <c r="F227" s="251">
        <v>17.7</v>
      </c>
      <c r="G227" s="250" t="s">
        <v>883</v>
      </c>
      <c r="H227" s="244" t="s">
        <v>1979</v>
      </c>
      <c r="I227" s="8">
        <f>C12</f>
        <v>95</v>
      </c>
      <c r="J227" s="2" t="s">
        <v>883</v>
      </c>
      <c r="K227" s="8">
        <f>(F227*I227)</f>
        <v>1681.5</v>
      </c>
    </row>
    <row r="228" spans="3:11" hidden="1">
      <c r="C228"/>
      <c r="D228"/>
      <c r="E228"/>
      <c r="F228" s="251">
        <v>14.1</v>
      </c>
      <c r="G228" s="250" t="s">
        <v>883</v>
      </c>
      <c r="H228" s="244" t="s">
        <v>324</v>
      </c>
      <c r="I228" s="8">
        <f>C13</f>
        <v>85</v>
      </c>
      <c r="J228" s="2" t="s">
        <v>883</v>
      </c>
      <c r="K228" s="8">
        <f>(F228*I228)</f>
        <v>1198.5</v>
      </c>
    </row>
    <row r="229" spans="3:11" hidden="1">
      <c r="C229"/>
      <c r="D229"/>
      <c r="E229"/>
      <c r="G229" s="250" t="s">
        <v>448</v>
      </c>
      <c r="H229" s="244" t="s">
        <v>449</v>
      </c>
      <c r="I229"/>
      <c r="J229" s="2" t="s">
        <v>448</v>
      </c>
      <c r="K229" s="8">
        <v>0</v>
      </c>
    </row>
    <row r="230" spans="3:11" hidden="1">
      <c r="C230"/>
      <c r="D230"/>
      <c r="E230"/>
      <c r="I230"/>
      <c r="J230" s="4"/>
      <c r="K230" s="5" t="s">
        <v>1667</v>
      </c>
    </row>
    <row r="231" spans="3:11" hidden="1">
      <c r="C231"/>
      <c r="D231"/>
      <c r="E231"/>
      <c r="I231"/>
      <c r="J231" s="4"/>
      <c r="K231" s="8" t="e">
        <f>SUM(K224:K229)</f>
        <v>#REF!</v>
      </c>
    </row>
    <row r="232" spans="3:11" hidden="1">
      <c r="C232"/>
      <c r="D232"/>
      <c r="E232"/>
      <c r="H232" s="244" t="s">
        <v>618</v>
      </c>
      <c r="I232"/>
      <c r="J232" s="4"/>
      <c r="K232" s="5" t="s">
        <v>1667</v>
      </c>
    </row>
    <row r="233" spans="3:11" hidden="1">
      <c r="C233"/>
      <c r="D233"/>
      <c r="E233"/>
      <c r="I233"/>
      <c r="J233" s="4"/>
      <c r="K233" s="8" t="e">
        <f>(K231/10)</f>
        <v>#REF!</v>
      </c>
    </row>
    <row r="234" spans="3:11" hidden="1">
      <c r="C234"/>
      <c r="D234"/>
      <c r="E234"/>
      <c r="H234" s="244" t="s">
        <v>785</v>
      </c>
      <c r="I234"/>
      <c r="J234" s="4"/>
      <c r="K234" s="5" t="s">
        <v>2130</v>
      </c>
    </row>
    <row r="235" spans="3:11" hidden="1">
      <c r="C235"/>
      <c r="D235"/>
      <c r="E235"/>
      <c r="I235"/>
      <c r="J235" s="4"/>
      <c r="K235"/>
    </row>
    <row r="236" spans="3:11" hidden="1">
      <c r="C236"/>
      <c r="D236"/>
      <c r="E236"/>
      <c r="I236"/>
      <c r="J236" s="4"/>
      <c r="K236"/>
    </row>
    <row r="237" spans="3:11" hidden="1">
      <c r="C237"/>
      <c r="D237"/>
      <c r="E237"/>
      <c r="F237" s="364">
        <v>3.6</v>
      </c>
      <c r="H237" s="244" t="s">
        <v>3</v>
      </c>
      <c r="I237"/>
      <c r="J237" s="4"/>
      <c r="K237"/>
    </row>
    <row r="238" spans="3:11" hidden="1">
      <c r="C238"/>
      <c r="D238"/>
      <c r="E238"/>
      <c r="H238" s="244" t="s">
        <v>649</v>
      </c>
      <c r="I238"/>
      <c r="J238" s="4"/>
      <c r="K238"/>
    </row>
    <row r="239" spans="3:11" hidden="1">
      <c r="C239"/>
      <c r="D239"/>
      <c r="E239"/>
      <c r="H239" s="248" t="s">
        <v>2130</v>
      </c>
      <c r="I239"/>
      <c r="J239" s="4"/>
      <c r="K239"/>
    </row>
    <row r="240" spans="3:11" hidden="1">
      <c r="C240"/>
      <c r="D240"/>
      <c r="E240"/>
      <c r="F240" s="251">
        <v>1.25</v>
      </c>
      <c r="G240" s="250" t="s">
        <v>1402</v>
      </c>
      <c r="H240" s="244" t="s">
        <v>1567</v>
      </c>
      <c r="I240" s="8">
        <f>C783</f>
        <v>3.05</v>
      </c>
      <c r="J240" s="2" t="s">
        <v>1402</v>
      </c>
      <c r="K240" s="8">
        <f>(F240*I240)</f>
        <v>3.81</v>
      </c>
    </row>
    <row r="241" spans="3:11" hidden="1">
      <c r="C241"/>
      <c r="D241"/>
      <c r="E241"/>
      <c r="F241" s="251">
        <v>0.75</v>
      </c>
      <c r="G241" s="250" t="s">
        <v>1402</v>
      </c>
      <c r="H241" s="244" t="s">
        <v>2441</v>
      </c>
      <c r="I241" s="8" t="e">
        <f>AC37</f>
        <v>#REF!</v>
      </c>
      <c r="J241" s="2" t="s">
        <v>1402</v>
      </c>
      <c r="K241" s="8" t="e">
        <f>(F241*I241)</f>
        <v>#REF!</v>
      </c>
    </row>
    <row r="242" spans="3:11" hidden="1">
      <c r="C242"/>
      <c r="D242"/>
      <c r="E242"/>
      <c r="F242" s="251">
        <v>0.5</v>
      </c>
      <c r="G242" s="250" t="s">
        <v>1402</v>
      </c>
      <c r="H242" s="244" t="s">
        <v>2171</v>
      </c>
      <c r="I242" s="8" t="e">
        <f>AC36</f>
        <v>#REF!</v>
      </c>
      <c r="J242" s="2" t="s">
        <v>1402</v>
      </c>
      <c r="K242" s="8" t="e">
        <f>(F242*I242)</f>
        <v>#REF!</v>
      </c>
    </row>
    <row r="243" spans="3:11" hidden="1">
      <c r="C243"/>
      <c r="D243"/>
      <c r="E243"/>
      <c r="F243" s="251">
        <v>0.45</v>
      </c>
      <c r="G243" s="250" t="s">
        <v>1402</v>
      </c>
      <c r="H243" s="244" t="s">
        <v>940</v>
      </c>
      <c r="I243" s="8">
        <f>AC38</f>
        <v>169</v>
      </c>
      <c r="J243" s="2" t="s">
        <v>1402</v>
      </c>
      <c r="K243" s="8">
        <f>(F243*I243)</f>
        <v>76.05</v>
      </c>
    </row>
    <row r="244" spans="3:11" hidden="1">
      <c r="C244"/>
      <c r="D244"/>
      <c r="E244"/>
      <c r="F244" s="251">
        <v>10</v>
      </c>
      <c r="G244" s="250" t="s">
        <v>234</v>
      </c>
      <c r="H244" s="244" t="s">
        <v>1989</v>
      </c>
      <c r="I244" s="8">
        <v>17.82</v>
      </c>
      <c r="J244" s="2" t="s">
        <v>234</v>
      </c>
      <c r="K244" s="8">
        <f>(F244*I244)</f>
        <v>178.2</v>
      </c>
    </row>
    <row r="245" spans="3:11" hidden="1">
      <c r="C245"/>
      <c r="D245"/>
      <c r="E245"/>
      <c r="H245" s="244" t="s">
        <v>1990</v>
      </c>
      <c r="I245"/>
      <c r="J245" s="4"/>
      <c r="K245" s="5" t="s">
        <v>1667</v>
      </c>
    </row>
    <row r="246" spans="3:11" hidden="1">
      <c r="C246"/>
      <c r="D246"/>
      <c r="E246"/>
      <c r="H246" s="244" t="s">
        <v>1991</v>
      </c>
      <c r="I246"/>
      <c r="J246" s="4"/>
      <c r="K246" s="8" t="e">
        <f>SUM(K240:K244)</f>
        <v>#REF!</v>
      </c>
    </row>
    <row r="247" spans="3:11" hidden="1">
      <c r="C247"/>
      <c r="D247"/>
      <c r="E247"/>
      <c r="I247"/>
      <c r="J247" s="4"/>
      <c r="K247" s="5" t="s">
        <v>1667</v>
      </c>
    </row>
    <row r="248" spans="3:11" hidden="1">
      <c r="C248"/>
      <c r="D248"/>
      <c r="E248"/>
      <c r="H248" s="244" t="s">
        <v>1992</v>
      </c>
      <c r="I248"/>
      <c r="J248" s="4"/>
      <c r="K248" s="8" t="e">
        <f>K246/10</f>
        <v>#REF!</v>
      </c>
    </row>
    <row r="249" spans="3:11" hidden="1">
      <c r="C249"/>
      <c r="D249"/>
      <c r="E249"/>
      <c r="I249"/>
      <c r="J249" s="4"/>
      <c r="K249" s="5" t="s">
        <v>2130</v>
      </c>
    </row>
    <row r="250" spans="3:11" hidden="1">
      <c r="C250"/>
      <c r="D250"/>
      <c r="E250"/>
      <c r="I250"/>
      <c r="J250" s="4"/>
      <c r="K250"/>
    </row>
    <row r="251" spans="3:11" hidden="1">
      <c r="C251"/>
      <c r="D251"/>
      <c r="E251"/>
      <c r="F251" s="364">
        <v>3.7</v>
      </c>
      <c r="H251" s="244" t="s">
        <v>4</v>
      </c>
      <c r="I251"/>
      <c r="J251" s="4"/>
      <c r="K251"/>
    </row>
    <row r="252" spans="3:11" hidden="1">
      <c r="C252"/>
      <c r="D252"/>
      <c r="E252"/>
      <c r="H252" s="248" t="s">
        <v>1667</v>
      </c>
      <c r="I252"/>
      <c r="J252" s="4"/>
      <c r="K252"/>
    </row>
    <row r="253" spans="3:11" hidden="1">
      <c r="C253"/>
      <c r="D253"/>
      <c r="E253"/>
      <c r="F253" s="251">
        <v>2.7</v>
      </c>
      <c r="G253" s="250" t="s">
        <v>1402</v>
      </c>
      <c r="H253" s="244" t="s">
        <v>158</v>
      </c>
      <c r="I253" s="8" t="e">
        <f>AC35</f>
        <v>#REF!</v>
      </c>
      <c r="J253" s="2" t="s">
        <v>1402</v>
      </c>
      <c r="K253" s="8" t="e">
        <f>(F253*I253)</f>
        <v>#REF!</v>
      </c>
    </row>
    <row r="254" spans="3:11" hidden="1">
      <c r="C254"/>
      <c r="D254"/>
      <c r="E254"/>
      <c r="F254" s="374">
        <v>0.14499999999999999</v>
      </c>
      <c r="G254" s="250" t="s">
        <v>1402</v>
      </c>
      <c r="H254" s="244" t="s">
        <v>928</v>
      </c>
      <c r="I254" s="8" t="e">
        <f>AC17</f>
        <v>#REF!</v>
      </c>
      <c r="J254" s="2" t="s">
        <v>1402</v>
      </c>
      <c r="K254" s="8" t="e">
        <f>(F254*I254)</f>
        <v>#REF!</v>
      </c>
    </row>
    <row r="255" spans="3:11" hidden="1">
      <c r="C255"/>
      <c r="D255"/>
      <c r="E255"/>
      <c r="F255" s="251">
        <v>218.8</v>
      </c>
      <c r="G255" s="250" t="s">
        <v>929</v>
      </c>
      <c r="H255" s="244" t="s">
        <v>930</v>
      </c>
      <c r="I255" s="8">
        <v>12224.58</v>
      </c>
      <c r="J255" s="2" t="s">
        <v>929</v>
      </c>
      <c r="K255" s="8">
        <f>(F255*I255)/1000</f>
        <v>2674.74</v>
      </c>
    </row>
    <row r="256" spans="3:11" hidden="1">
      <c r="C256"/>
      <c r="D256"/>
      <c r="E256"/>
      <c r="F256" s="251">
        <v>100</v>
      </c>
      <c r="G256" s="250" t="s">
        <v>234</v>
      </c>
      <c r="H256" s="244" t="s">
        <v>931</v>
      </c>
      <c r="I256" s="8">
        <v>14.3</v>
      </c>
      <c r="J256" s="2" t="s">
        <v>234</v>
      </c>
      <c r="K256" s="8">
        <f>(F256*I256)</f>
        <v>1430</v>
      </c>
    </row>
    <row r="257" spans="1:33" hidden="1">
      <c r="C257"/>
      <c r="D257"/>
      <c r="E257"/>
      <c r="I257"/>
      <c r="J257" s="4"/>
      <c r="K257" s="5" t="s">
        <v>1667</v>
      </c>
    </row>
    <row r="258" spans="1:33" hidden="1">
      <c r="C258"/>
      <c r="D258"/>
      <c r="E258"/>
      <c r="H258" s="244" t="s">
        <v>932</v>
      </c>
      <c r="I258"/>
      <c r="J258" s="4"/>
      <c r="K258" s="8" t="e">
        <f>SUM(K253:K256)</f>
        <v>#REF!</v>
      </c>
    </row>
    <row r="259" spans="1:33" hidden="1">
      <c r="C259"/>
      <c r="D259"/>
      <c r="E259"/>
      <c r="I259"/>
      <c r="J259" s="4"/>
      <c r="K259" s="5" t="s">
        <v>1667</v>
      </c>
    </row>
    <row r="260" spans="1:33" hidden="1">
      <c r="C260"/>
      <c r="D260"/>
      <c r="E260"/>
      <c r="H260" s="244" t="s">
        <v>1992</v>
      </c>
      <c r="I260"/>
      <c r="J260" s="4"/>
      <c r="K260" s="8" t="e">
        <f>K258/100</f>
        <v>#REF!</v>
      </c>
    </row>
    <row r="261" spans="1:33" hidden="1">
      <c r="C261"/>
      <c r="D261"/>
      <c r="E261"/>
      <c r="F261" s="244" t="s">
        <v>995</v>
      </c>
      <c r="G261" s="250" t="s">
        <v>995</v>
      </c>
      <c r="I261"/>
      <c r="J261" s="4"/>
      <c r="K261" s="5" t="s">
        <v>2130</v>
      </c>
    </row>
    <row r="262" spans="1:33" hidden="1">
      <c r="C262"/>
      <c r="D262"/>
      <c r="E262"/>
      <c r="I262"/>
      <c r="J262" s="4"/>
      <c r="K262"/>
    </row>
    <row r="263" spans="1:33" hidden="1">
      <c r="C263"/>
      <c r="D263"/>
      <c r="E263"/>
      <c r="I263"/>
      <c r="J263" s="4"/>
      <c r="K263"/>
    </row>
    <row r="264" spans="1:33" hidden="1">
      <c r="A264" s="358">
        <f>(A205+1)</f>
        <v>105</v>
      </c>
      <c r="B264" s="244" t="s">
        <v>1889</v>
      </c>
      <c r="C264" s="8">
        <v>50.5</v>
      </c>
      <c r="D264" s="1" t="s">
        <v>781</v>
      </c>
      <c r="E264"/>
      <c r="F264" s="354" t="s">
        <v>684</v>
      </c>
      <c r="H264" s="244" t="s">
        <v>1687</v>
      </c>
      <c r="I264"/>
      <c r="J264" s="4"/>
      <c r="K264"/>
      <c r="N264" s="244" t="s">
        <v>685</v>
      </c>
      <c r="O264" s="244" t="s">
        <v>848</v>
      </c>
      <c r="AG264" s="244" t="s">
        <v>2346</v>
      </c>
    </row>
    <row r="265" spans="1:33" hidden="1">
      <c r="A265" s="358">
        <f t="shared" ref="A265:A279" si="12">(A264+1)</f>
        <v>106</v>
      </c>
      <c r="B265" s="244" t="s">
        <v>849</v>
      </c>
      <c r="C265" s="8">
        <v>115</v>
      </c>
      <c r="D265" s="1" t="s">
        <v>781</v>
      </c>
      <c r="E265"/>
      <c r="H265" s="248" t="s">
        <v>2130</v>
      </c>
      <c r="I265"/>
      <c r="J265" s="4"/>
      <c r="K265"/>
      <c r="O265" s="248" t="s">
        <v>1667</v>
      </c>
      <c r="AG265" s="244" t="s">
        <v>2346</v>
      </c>
    </row>
    <row r="266" spans="1:33" hidden="1">
      <c r="A266" s="358">
        <f t="shared" si="12"/>
        <v>107</v>
      </c>
      <c r="B266" s="244" t="s">
        <v>2442</v>
      </c>
      <c r="C266" s="8">
        <v>63</v>
      </c>
      <c r="D266" s="8">
        <v>90</v>
      </c>
      <c r="E266"/>
      <c r="G266" s="250" t="s">
        <v>2338</v>
      </c>
      <c r="H266" s="244" t="s">
        <v>400</v>
      </c>
      <c r="I266"/>
      <c r="J266" s="4"/>
      <c r="K266"/>
      <c r="M266" s="251">
        <v>1.1399999999999999</v>
      </c>
      <c r="N266" s="244" t="s">
        <v>884</v>
      </c>
      <c r="O266" s="244" t="s">
        <v>2367</v>
      </c>
      <c r="P266" s="251" t="e">
        <f>(K419)</f>
        <v>#REF!</v>
      </c>
      <c r="Q266" s="244" t="s">
        <v>883</v>
      </c>
      <c r="R266" s="251" t="e">
        <f>(M266*P266)</f>
        <v>#REF!</v>
      </c>
      <c r="AG266" s="244" t="s">
        <v>2346</v>
      </c>
    </row>
    <row r="267" spans="1:33" hidden="1">
      <c r="A267" s="358">
        <f t="shared" si="12"/>
        <v>108</v>
      </c>
      <c r="B267" s="244" t="s">
        <v>2443</v>
      </c>
      <c r="C267" s="8">
        <v>10705</v>
      </c>
      <c r="D267" s="1" t="s">
        <v>884</v>
      </c>
      <c r="E267"/>
      <c r="H267" s="244" t="s">
        <v>2356</v>
      </c>
      <c r="I267"/>
      <c r="J267" s="4"/>
      <c r="K267"/>
      <c r="M267" s="251">
        <v>1</v>
      </c>
      <c r="N267" s="244" t="s">
        <v>781</v>
      </c>
      <c r="O267" s="244" t="s">
        <v>2082</v>
      </c>
      <c r="P267" s="251">
        <f>(C10)</f>
        <v>150</v>
      </c>
      <c r="Q267" s="244" t="s">
        <v>883</v>
      </c>
      <c r="R267" s="251">
        <f>(M267*P267)</f>
        <v>150</v>
      </c>
      <c r="AG267" s="244" t="s">
        <v>2346</v>
      </c>
    </row>
    <row r="268" spans="1:33" hidden="1">
      <c r="A268" s="358">
        <f t="shared" si="12"/>
        <v>109</v>
      </c>
      <c r="B268" s="244" t="s">
        <v>3335</v>
      </c>
      <c r="C268" s="8">
        <v>9395</v>
      </c>
      <c r="D268" s="1" t="s">
        <v>884</v>
      </c>
      <c r="E268"/>
      <c r="H268" s="248" t="s">
        <v>1667</v>
      </c>
      <c r="I268"/>
      <c r="J268" s="4"/>
      <c r="K268"/>
      <c r="N268" s="244" t="s">
        <v>448</v>
      </c>
      <c r="O268" s="244" t="s">
        <v>449</v>
      </c>
      <c r="P268" s="244" t="s">
        <v>995</v>
      </c>
      <c r="Q268" s="244" t="s">
        <v>448</v>
      </c>
      <c r="R268" s="251">
        <v>0.05</v>
      </c>
      <c r="AG268" s="244" t="s">
        <v>2346</v>
      </c>
    </row>
    <row r="269" spans="1:33" hidden="1">
      <c r="A269" s="358">
        <f t="shared" si="12"/>
        <v>110</v>
      </c>
      <c r="B269" s="244" t="s">
        <v>3336</v>
      </c>
      <c r="C269" s="8">
        <v>15</v>
      </c>
      <c r="D269" s="1" t="s">
        <v>781</v>
      </c>
      <c r="E269"/>
      <c r="F269" s="251">
        <v>9</v>
      </c>
      <c r="G269" s="250" t="s">
        <v>884</v>
      </c>
      <c r="H269" s="244" t="s">
        <v>438</v>
      </c>
      <c r="I269" s="8" t="e">
        <f>(C73)</f>
        <v>#REF!</v>
      </c>
      <c r="J269" s="2" t="s">
        <v>884</v>
      </c>
      <c r="K269" s="8" t="e">
        <f t="shared" ref="K269:K274" si="13">(F269*I269)</f>
        <v>#REF!</v>
      </c>
      <c r="R269" s="248" t="s">
        <v>1667</v>
      </c>
      <c r="AG269" s="244" t="s">
        <v>2346</v>
      </c>
    </row>
    <row r="270" spans="1:33" hidden="1">
      <c r="A270" s="358">
        <f t="shared" si="12"/>
        <v>111</v>
      </c>
      <c r="B270" s="244" t="s">
        <v>439</v>
      </c>
      <c r="C270" s="8">
        <v>35</v>
      </c>
      <c r="D270" s="1" t="s">
        <v>1730</v>
      </c>
      <c r="E270" s="130">
        <v>120</v>
      </c>
      <c r="F270" s="363">
        <v>3.2309999999999999</v>
      </c>
      <c r="G270" s="250" t="s">
        <v>876</v>
      </c>
      <c r="H270" s="244" t="s">
        <v>877</v>
      </c>
      <c r="I270" s="8">
        <f>(C67)</f>
        <v>3800</v>
      </c>
      <c r="J270" s="2" t="s">
        <v>876</v>
      </c>
      <c r="K270" s="8">
        <f t="shared" si="13"/>
        <v>12277.8</v>
      </c>
      <c r="O270" s="244" t="s">
        <v>440</v>
      </c>
      <c r="R270" s="251" t="e">
        <f>SUM(R266:R268)</f>
        <v>#REF!</v>
      </c>
      <c r="AG270" s="244" t="s">
        <v>2346</v>
      </c>
    </row>
    <row r="271" spans="1:33" hidden="1">
      <c r="A271" s="358">
        <f t="shared" si="12"/>
        <v>112</v>
      </c>
      <c r="B271" s="244" t="s">
        <v>3141</v>
      </c>
      <c r="C271" s="8">
        <v>160</v>
      </c>
      <c r="D271" s="8">
        <v>452.09</v>
      </c>
      <c r="E271"/>
      <c r="F271" s="251">
        <v>4.5</v>
      </c>
      <c r="G271" s="250" t="s">
        <v>884</v>
      </c>
      <c r="H271" s="244" t="s">
        <v>885</v>
      </c>
      <c r="I271" s="8" t="e">
        <f>(C78)</f>
        <v>#REF!</v>
      </c>
      <c r="J271" s="2" t="s">
        <v>884</v>
      </c>
      <c r="K271" s="8" t="e">
        <f t="shared" si="13"/>
        <v>#REF!</v>
      </c>
      <c r="R271" s="248" t="s">
        <v>1667</v>
      </c>
      <c r="AG271" s="244" t="s">
        <v>2346</v>
      </c>
    </row>
    <row r="272" spans="1:33" hidden="1">
      <c r="A272" s="358">
        <f t="shared" si="12"/>
        <v>113</v>
      </c>
      <c r="B272" s="244" t="s">
        <v>1437</v>
      </c>
      <c r="C272" s="8">
        <v>13.5</v>
      </c>
      <c r="D272" s="1" t="s">
        <v>1854</v>
      </c>
      <c r="E272"/>
      <c r="F272" s="251">
        <v>3.5</v>
      </c>
      <c r="G272" s="250" t="s">
        <v>883</v>
      </c>
      <c r="H272" s="244" t="s">
        <v>1791</v>
      </c>
      <c r="I272" s="8">
        <f>(C11)</f>
        <v>135</v>
      </c>
      <c r="J272" s="2" t="s">
        <v>883</v>
      </c>
      <c r="K272" s="8">
        <f t="shared" si="13"/>
        <v>472.5</v>
      </c>
      <c r="O272" s="244" t="s">
        <v>555</v>
      </c>
      <c r="R272" s="251" t="e">
        <f>(R270/10)</f>
        <v>#REF!</v>
      </c>
      <c r="AG272" s="244" t="s">
        <v>2346</v>
      </c>
    </row>
    <row r="273" spans="1:33" hidden="1">
      <c r="A273" s="358">
        <f t="shared" si="12"/>
        <v>114</v>
      </c>
      <c r="B273" s="244" t="s">
        <v>1438</v>
      </c>
      <c r="C273" s="8">
        <v>18.809999999999999</v>
      </c>
      <c r="D273" s="1" t="s">
        <v>781</v>
      </c>
      <c r="E273"/>
      <c r="F273" s="251">
        <v>21.2</v>
      </c>
      <c r="G273" s="250" t="s">
        <v>883</v>
      </c>
      <c r="H273" s="244" t="s">
        <v>1979</v>
      </c>
      <c r="I273" s="8">
        <f>(C12)</f>
        <v>95</v>
      </c>
      <c r="J273" s="2" t="s">
        <v>883</v>
      </c>
      <c r="K273" s="8">
        <f t="shared" si="13"/>
        <v>2014</v>
      </c>
      <c r="R273" s="248" t="s">
        <v>2130</v>
      </c>
      <c r="AG273" s="244" t="s">
        <v>2346</v>
      </c>
    </row>
    <row r="274" spans="1:33" hidden="1">
      <c r="A274" s="358">
        <f t="shared" si="12"/>
        <v>115</v>
      </c>
      <c r="B274" s="244" t="s">
        <v>1439</v>
      </c>
      <c r="C274" s="8">
        <v>14.15</v>
      </c>
      <c r="D274" s="1" t="s">
        <v>781</v>
      </c>
      <c r="E274"/>
      <c r="F274" s="251">
        <v>35.299999999999997</v>
      </c>
      <c r="G274" s="250" t="s">
        <v>883</v>
      </c>
      <c r="H274" s="244" t="s">
        <v>324</v>
      </c>
      <c r="I274" s="8">
        <f>(C13)</f>
        <v>85</v>
      </c>
      <c r="J274" s="2" t="s">
        <v>883</v>
      </c>
      <c r="K274" s="8">
        <f t="shared" si="13"/>
        <v>3000.5</v>
      </c>
      <c r="N274" s="244" t="s">
        <v>1178</v>
      </c>
      <c r="O274" s="244" t="s">
        <v>388</v>
      </c>
      <c r="R274" s="251" t="e">
        <f>(R272+C19/10*M266)</f>
        <v>#REF!</v>
      </c>
      <c r="AG274" s="244" t="s">
        <v>2346</v>
      </c>
    </row>
    <row r="275" spans="1:33" hidden="1">
      <c r="A275" s="358">
        <f t="shared" si="12"/>
        <v>116</v>
      </c>
      <c r="B275" s="244" t="s">
        <v>669</v>
      </c>
      <c r="C275" s="8">
        <v>16.440000000000001</v>
      </c>
      <c r="D275" s="1" t="s">
        <v>781</v>
      </c>
      <c r="E275"/>
      <c r="G275" s="250" t="s">
        <v>448</v>
      </c>
      <c r="H275" s="244" t="s">
        <v>449</v>
      </c>
      <c r="I275" s="1" t="s">
        <v>995</v>
      </c>
      <c r="J275" s="2" t="s">
        <v>448</v>
      </c>
      <c r="K275" s="8">
        <v>0</v>
      </c>
      <c r="N275" s="244" t="s">
        <v>670</v>
      </c>
      <c r="O275" s="244" t="s">
        <v>390</v>
      </c>
      <c r="R275" s="251" t="e">
        <f>(R274+C20/10*M266)</f>
        <v>#REF!</v>
      </c>
      <c r="AG275" s="244" t="s">
        <v>2346</v>
      </c>
    </row>
    <row r="276" spans="1:33" hidden="1">
      <c r="A276" s="358">
        <f t="shared" si="12"/>
        <v>117</v>
      </c>
      <c r="B276" s="244" t="s">
        <v>671</v>
      </c>
      <c r="C276" s="8">
        <v>8</v>
      </c>
      <c r="D276" s="8">
        <v>6.25</v>
      </c>
      <c r="E276"/>
      <c r="I276"/>
      <c r="J276" s="4"/>
      <c r="K276" s="5" t="s">
        <v>1667</v>
      </c>
      <c r="N276" s="244" t="s">
        <v>682</v>
      </c>
      <c r="O276" s="244" t="s">
        <v>2319</v>
      </c>
      <c r="R276" s="251" t="e">
        <f>(R275+C21/10*M266)</f>
        <v>#REF!</v>
      </c>
      <c r="AG276" s="244" t="s">
        <v>2346</v>
      </c>
    </row>
    <row r="277" spans="1:33" hidden="1">
      <c r="A277" s="358">
        <f t="shared" si="12"/>
        <v>118</v>
      </c>
      <c r="B277" s="244" t="s">
        <v>683</v>
      </c>
      <c r="C277" s="8">
        <v>170.39</v>
      </c>
      <c r="D277" s="1" t="s">
        <v>611</v>
      </c>
      <c r="E277"/>
      <c r="H277" s="244" t="s">
        <v>2246</v>
      </c>
      <c r="I277"/>
      <c r="J277" s="4"/>
      <c r="K277" s="8" t="e">
        <f>SUM(K269:K275)</f>
        <v>#REF!</v>
      </c>
      <c r="N277" s="244" t="s">
        <v>2247</v>
      </c>
      <c r="O277" s="244" t="s">
        <v>382</v>
      </c>
      <c r="R277" s="251" t="e">
        <f>(R276+C21/10*M266)</f>
        <v>#REF!</v>
      </c>
      <c r="AG277" s="244" t="s">
        <v>2346</v>
      </c>
    </row>
    <row r="278" spans="1:33" hidden="1">
      <c r="A278" s="358">
        <f t="shared" si="12"/>
        <v>119</v>
      </c>
      <c r="B278" s="244" t="s">
        <v>3142</v>
      </c>
      <c r="C278" s="8">
        <v>45</v>
      </c>
      <c r="D278" s="1" t="s">
        <v>781</v>
      </c>
      <c r="E278"/>
      <c r="I278"/>
      <c r="J278" s="4"/>
      <c r="K278" s="5" t="s">
        <v>1667</v>
      </c>
      <c r="AG278" s="244" t="s">
        <v>2346</v>
      </c>
    </row>
    <row r="279" spans="1:33" hidden="1">
      <c r="A279" s="358">
        <f t="shared" si="12"/>
        <v>120</v>
      </c>
      <c r="B279" s="244" t="s">
        <v>3143</v>
      </c>
      <c r="C279" s="8">
        <v>31.24</v>
      </c>
      <c r="D279" s="1" t="s">
        <v>781</v>
      </c>
      <c r="E279"/>
      <c r="H279" s="244" t="s">
        <v>785</v>
      </c>
      <c r="I279"/>
      <c r="J279" s="4"/>
      <c r="K279" s="8" t="e">
        <f>(K277/10)</f>
        <v>#REF!</v>
      </c>
      <c r="N279" s="244" t="s">
        <v>685</v>
      </c>
      <c r="O279" s="244" t="s">
        <v>2248</v>
      </c>
      <c r="R279" s="244" t="s">
        <v>995</v>
      </c>
      <c r="AG279" s="244" t="s">
        <v>2346</v>
      </c>
    </row>
    <row r="280" spans="1:33" hidden="1">
      <c r="C280"/>
      <c r="D280"/>
      <c r="E280"/>
      <c r="F280" s="244" t="s">
        <v>995</v>
      </c>
      <c r="I280"/>
      <c r="J280" s="4"/>
      <c r="K280"/>
    </row>
    <row r="281" spans="1:33" hidden="1">
      <c r="A281" s="358">
        <f>(A279+1)</f>
        <v>121</v>
      </c>
      <c r="B281" s="244" t="s">
        <v>3144</v>
      </c>
      <c r="C281" s="8">
        <v>25</v>
      </c>
      <c r="D281" s="1" t="s">
        <v>781</v>
      </c>
      <c r="E281"/>
      <c r="I281"/>
      <c r="J281" s="4"/>
      <c r="K281"/>
      <c r="O281" s="244" t="s">
        <v>1665</v>
      </c>
      <c r="AG281" s="244" t="s">
        <v>2346</v>
      </c>
    </row>
    <row r="282" spans="1:33" hidden="1">
      <c r="A282" s="358">
        <f t="shared" ref="A282:A313" si="14">(A281+1)</f>
        <v>122</v>
      </c>
      <c r="B282" s="244" t="s">
        <v>3145</v>
      </c>
      <c r="C282" s="8">
        <v>13</v>
      </c>
      <c r="D282" s="1" t="s">
        <v>781</v>
      </c>
      <c r="E282"/>
      <c r="F282" s="251">
        <v>1</v>
      </c>
      <c r="G282" s="250" t="s">
        <v>884</v>
      </c>
      <c r="H282" s="244" t="s">
        <v>50</v>
      </c>
      <c r="I282"/>
      <c r="J282" s="4"/>
      <c r="K282" s="8">
        <f>(C25)</f>
        <v>20.7</v>
      </c>
      <c r="O282" s="248" t="s">
        <v>1667</v>
      </c>
      <c r="AG282" s="244" t="s">
        <v>2346</v>
      </c>
    </row>
    <row r="283" spans="1:33" hidden="1">
      <c r="A283" s="358">
        <f t="shared" si="14"/>
        <v>123</v>
      </c>
      <c r="B283" s="244" t="s">
        <v>3321</v>
      </c>
      <c r="C283" s="8">
        <v>30</v>
      </c>
      <c r="D283" s="1" t="s">
        <v>781</v>
      </c>
      <c r="E283"/>
      <c r="I283"/>
      <c r="J283" s="4"/>
      <c r="K283" s="5" t="s">
        <v>1667</v>
      </c>
      <c r="M283" s="251">
        <v>10</v>
      </c>
      <c r="N283" s="244" t="s">
        <v>611</v>
      </c>
      <c r="O283" s="244" t="s">
        <v>51</v>
      </c>
      <c r="P283" s="251" t="e">
        <f>(K1191)</f>
        <v>#REF!</v>
      </c>
      <c r="Q283" s="244" t="s">
        <v>611</v>
      </c>
      <c r="R283" s="251" t="e">
        <f>(M283*P283)</f>
        <v>#REF!</v>
      </c>
      <c r="AG283" s="244" t="s">
        <v>2346</v>
      </c>
    </row>
    <row r="284" spans="1:33" hidden="1">
      <c r="A284" s="358">
        <f t="shared" si="14"/>
        <v>124</v>
      </c>
      <c r="B284" s="244" t="s">
        <v>3322</v>
      </c>
      <c r="C284" s="8">
        <v>20</v>
      </c>
      <c r="D284" s="1" t="s">
        <v>781</v>
      </c>
      <c r="E284" s="130">
        <v>25</v>
      </c>
      <c r="H284" s="244" t="s">
        <v>604</v>
      </c>
      <c r="I284"/>
      <c r="J284" s="4"/>
      <c r="K284" s="8" t="e">
        <f>SUM(K279:K282)</f>
        <v>#REF!</v>
      </c>
      <c r="M284" s="251">
        <v>1.1000000000000001</v>
      </c>
      <c r="N284" s="244" t="s">
        <v>883</v>
      </c>
      <c r="O284" s="244" t="s">
        <v>1791</v>
      </c>
      <c r="P284" s="251">
        <f>(C11)</f>
        <v>135</v>
      </c>
      <c r="Q284" s="244" t="s">
        <v>883</v>
      </c>
      <c r="R284" s="251">
        <f>(M284*P284)</f>
        <v>148.5</v>
      </c>
      <c r="AG284" s="244" t="s">
        <v>2346</v>
      </c>
    </row>
    <row r="285" spans="1:33" hidden="1">
      <c r="A285" s="358">
        <f t="shared" si="14"/>
        <v>125</v>
      </c>
      <c r="B285" s="244" t="s">
        <v>605</v>
      </c>
      <c r="C285" s="8">
        <v>95</v>
      </c>
      <c r="D285" s="1" t="s">
        <v>781</v>
      </c>
      <c r="E285"/>
      <c r="I285"/>
      <c r="J285" s="4"/>
      <c r="K285" s="5" t="s">
        <v>1667</v>
      </c>
      <c r="M285" s="251">
        <v>1.1000000000000001</v>
      </c>
      <c r="N285" s="244" t="s">
        <v>883</v>
      </c>
      <c r="O285" s="244" t="s">
        <v>1979</v>
      </c>
      <c r="P285" s="251">
        <f>(C12)</f>
        <v>95</v>
      </c>
      <c r="Q285" s="244" t="s">
        <v>883</v>
      </c>
      <c r="R285" s="251">
        <f>(M285*P285)</f>
        <v>104.5</v>
      </c>
      <c r="AG285" s="244" t="s">
        <v>2346</v>
      </c>
    </row>
    <row r="286" spans="1:33" hidden="1">
      <c r="A286" s="358">
        <f t="shared" si="14"/>
        <v>126</v>
      </c>
      <c r="B286" s="244" t="s">
        <v>442</v>
      </c>
      <c r="C286" s="8">
        <v>80</v>
      </c>
      <c r="D286" s="1" t="s">
        <v>781</v>
      </c>
      <c r="E286"/>
      <c r="H286" s="244" t="s">
        <v>388</v>
      </c>
      <c r="I286"/>
      <c r="J286" s="4"/>
      <c r="K286" s="8" t="e">
        <f>(K284+C22)</f>
        <v>#REF!</v>
      </c>
      <c r="M286" s="251">
        <v>1.1000000000000001</v>
      </c>
      <c r="N286" s="244" t="s">
        <v>883</v>
      </c>
      <c r="O286" s="244" t="s">
        <v>324</v>
      </c>
      <c r="P286" s="251">
        <f>(C13)</f>
        <v>85</v>
      </c>
      <c r="Q286" s="244" t="s">
        <v>883</v>
      </c>
      <c r="R286" s="251">
        <f>(M286*P286)</f>
        <v>93.5</v>
      </c>
      <c r="AG286" s="244" t="s">
        <v>2346</v>
      </c>
    </row>
    <row r="287" spans="1:33" hidden="1">
      <c r="A287" s="358">
        <f t="shared" si="14"/>
        <v>127</v>
      </c>
      <c r="B287" s="244" t="s">
        <v>1884</v>
      </c>
      <c r="C287" s="8">
        <v>8</v>
      </c>
      <c r="D287" s="1" t="s">
        <v>781</v>
      </c>
      <c r="E287"/>
      <c r="H287" s="244" t="s">
        <v>390</v>
      </c>
      <c r="I287"/>
      <c r="J287" s="4"/>
      <c r="K287" s="8" t="e">
        <f>(K286+C23)</f>
        <v>#REF!</v>
      </c>
      <c r="R287" s="248" t="s">
        <v>1667</v>
      </c>
      <c r="AG287" s="244" t="s">
        <v>2346</v>
      </c>
    </row>
    <row r="288" spans="1:33" hidden="1">
      <c r="A288" s="358">
        <f t="shared" si="14"/>
        <v>128</v>
      </c>
      <c r="B288" s="244" t="s">
        <v>1197</v>
      </c>
      <c r="C288" s="8">
        <v>8</v>
      </c>
      <c r="D288" s="1" t="s">
        <v>781</v>
      </c>
      <c r="E288"/>
      <c r="H288" s="244" t="s">
        <v>2319</v>
      </c>
      <c r="I288"/>
      <c r="J288" s="4"/>
      <c r="K288" s="8" t="e">
        <f>(K287+C24)</f>
        <v>#REF!</v>
      </c>
      <c r="O288" s="244" t="s">
        <v>440</v>
      </c>
      <c r="R288" s="251" t="e">
        <f>SUM(R283:R286)</f>
        <v>#REF!</v>
      </c>
      <c r="AG288" s="244" t="s">
        <v>2346</v>
      </c>
    </row>
    <row r="289" spans="1:33" hidden="1">
      <c r="A289" s="358">
        <f t="shared" si="14"/>
        <v>129</v>
      </c>
      <c r="B289" s="244" t="s">
        <v>1198</v>
      </c>
      <c r="C289" s="8">
        <v>2.9</v>
      </c>
      <c r="D289" s="1" t="s">
        <v>1199</v>
      </c>
      <c r="E289"/>
      <c r="H289" s="244" t="s">
        <v>382</v>
      </c>
      <c r="I289"/>
      <c r="J289" s="4"/>
      <c r="K289" s="8" t="e">
        <f>(K288+C24)</f>
        <v>#REF!</v>
      </c>
      <c r="R289" s="248" t="s">
        <v>1667</v>
      </c>
      <c r="AG289" s="244" t="s">
        <v>2346</v>
      </c>
    </row>
    <row r="290" spans="1:33" hidden="1">
      <c r="A290" s="358">
        <f t="shared" si="14"/>
        <v>130</v>
      </c>
      <c r="B290" s="244" t="s">
        <v>1200</v>
      </c>
      <c r="C290" s="8">
        <v>20.6</v>
      </c>
      <c r="D290" s="1" t="s">
        <v>1199</v>
      </c>
      <c r="E290"/>
      <c r="H290" s="244" t="s">
        <v>485</v>
      </c>
      <c r="I290"/>
      <c r="J290" s="4"/>
      <c r="K290" s="8" t="e">
        <f>(K289+C24)</f>
        <v>#REF!</v>
      </c>
      <c r="O290" s="244" t="s">
        <v>555</v>
      </c>
      <c r="R290" s="251" t="e">
        <f>(R288/10)</f>
        <v>#REF!</v>
      </c>
      <c r="AG290" s="244" t="s">
        <v>2346</v>
      </c>
    </row>
    <row r="291" spans="1:33" hidden="1">
      <c r="A291" s="358">
        <f t="shared" si="14"/>
        <v>131</v>
      </c>
      <c r="B291" s="244" t="s">
        <v>486</v>
      </c>
      <c r="C291" s="8">
        <v>15.6</v>
      </c>
      <c r="D291" s="1" t="s">
        <v>781</v>
      </c>
      <c r="E291"/>
      <c r="I291"/>
      <c r="J291" s="4"/>
      <c r="K291"/>
      <c r="R291" s="248" t="s">
        <v>2130</v>
      </c>
      <c r="AG291" s="244" t="s">
        <v>2346</v>
      </c>
    </row>
    <row r="292" spans="1:33" hidden="1">
      <c r="A292" s="358">
        <f t="shared" si="14"/>
        <v>132</v>
      </c>
      <c r="B292" s="244" t="s">
        <v>487</v>
      </c>
      <c r="C292" s="8">
        <v>12.6</v>
      </c>
      <c r="D292" s="1" t="s">
        <v>781</v>
      </c>
      <c r="E292"/>
      <c r="F292" s="354" t="s">
        <v>1574</v>
      </c>
      <c r="G292" s="250" t="s">
        <v>2338</v>
      </c>
      <c r="H292" s="244" t="s">
        <v>488</v>
      </c>
      <c r="I292"/>
      <c r="J292" s="4"/>
      <c r="K292"/>
      <c r="AG292" s="244" t="s">
        <v>2346</v>
      </c>
    </row>
    <row r="293" spans="1:33" hidden="1">
      <c r="A293" s="358">
        <f t="shared" si="14"/>
        <v>133</v>
      </c>
      <c r="B293" s="244" t="s">
        <v>489</v>
      </c>
      <c r="C293" s="8">
        <v>5.75</v>
      </c>
      <c r="D293" s="1" t="s">
        <v>781</v>
      </c>
      <c r="E293"/>
      <c r="H293" s="248" t="s">
        <v>2130</v>
      </c>
      <c r="I293"/>
      <c r="J293" s="4"/>
      <c r="K293"/>
      <c r="N293" s="244" t="s">
        <v>2338</v>
      </c>
      <c r="O293" s="244" t="s">
        <v>1169</v>
      </c>
      <c r="AG293" s="244" t="s">
        <v>2346</v>
      </c>
    </row>
    <row r="294" spans="1:33" hidden="1">
      <c r="A294" s="358">
        <f t="shared" si="14"/>
        <v>134</v>
      </c>
      <c r="B294" s="244" t="s">
        <v>1170</v>
      </c>
      <c r="C294" s="8">
        <v>8.5</v>
      </c>
      <c r="D294" s="1" t="s">
        <v>781</v>
      </c>
      <c r="E294"/>
      <c r="F294" s="251">
        <v>10</v>
      </c>
      <c r="G294" s="250" t="s">
        <v>884</v>
      </c>
      <c r="H294" s="244" t="s">
        <v>880</v>
      </c>
      <c r="I294" s="8" t="e">
        <f>(C68)</f>
        <v>#REF!</v>
      </c>
      <c r="J294" s="2" t="s">
        <v>884</v>
      </c>
      <c r="K294" s="8" t="e">
        <f t="shared" ref="K294:K300" si="15">(F294*I294)</f>
        <v>#REF!</v>
      </c>
      <c r="O294" s="248" t="s">
        <v>1667</v>
      </c>
      <c r="AG294" s="244" t="s">
        <v>2346</v>
      </c>
    </row>
    <row r="295" spans="1:33" hidden="1">
      <c r="A295" s="358">
        <f t="shared" si="14"/>
        <v>135</v>
      </c>
      <c r="B295" s="244" t="s">
        <v>1319</v>
      </c>
      <c r="C295" s="8">
        <v>10</v>
      </c>
      <c r="D295" s="1" t="s">
        <v>781</v>
      </c>
      <c r="E295"/>
      <c r="F295" s="251">
        <v>1</v>
      </c>
      <c r="G295" s="250" t="s">
        <v>884</v>
      </c>
      <c r="H295" s="244" t="s">
        <v>887</v>
      </c>
      <c r="I295" s="8" t="e">
        <f>(C69)</f>
        <v>#REF!</v>
      </c>
      <c r="J295" s="2" t="s">
        <v>884</v>
      </c>
      <c r="K295" s="8" t="e">
        <f t="shared" si="15"/>
        <v>#REF!</v>
      </c>
      <c r="M295" s="251">
        <v>0.14000000000000001</v>
      </c>
      <c r="N295" s="244" t="s">
        <v>884</v>
      </c>
      <c r="O295" s="244" t="s">
        <v>1414</v>
      </c>
      <c r="P295" s="251" t="e">
        <f>(K32)</f>
        <v>#REF!</v>
      </c>
      <c r="Q295" s="244" t="s">
        <v>884</v>
      </c>
      <c r="R295" s="251" t="e">
        <f>(M295*P295)</f>
        <v>#REF!</v>
      </c>
      <c r="AG295" s="244" t="s">
        <v>2346</v>
      </c>
    </row>
    <row r="296" spans="1:33" hidden="1">
      <c r="A296" s="358">
        <f t="shared" si="14"/>
        <v>136</v>
      </c>
      <c r="B296" s="244" t="s">
        <v>1320</v>
      </c>
      <c r="C296" s="8">
        <v>3.25</v>
      </c>
      <c r="D296" s="1" t="s">
        <v>781</v>
      </c>
      <c r="E296"/>
      <c r="F296" s="251">
        <v>3.4</v>
      </c>
      <c r="G296" s="250" t="s">
        <v>884</v>
      </c>
      <c r="H296" s="244" t="s">
        <v>1710</v>
      </c>
      <c r="I296" s="8" t="e">
        <f>(K49)</f>
        <v>#REF!</v>
      </c>
      <c r="J296" s="2" t="s">
        <v>884</v>
      </c>
      <c r="K296" s="8" t="e">
        <f t="shared" si="15"/>
        <v>#REF!</v>
      </c>
      <c r="M296" s="251">
        <v>1.1000000000000001</v>
      </c>
      <c r="N296" s="244" t="s">
        <v>883</v>
      </c>
      <c r="O296" s="244" t="s">
        <v>2082</v>
      </c>
      <c r="P296" s="251">
        <f>(C10)</f>
        <v>150</v>
      </c>
      <c r="Q296" s="244" t="s">
        <v>883</v>
      </c>
      <c r="R296" s="251">
        <f>(M296*P296)</f>
        <v>165</v>
      </c>
      <c r="AG296" s="244" t="s">
        <v>2346</v>
      </c>
    </row>
    <row r="297" spans="1:33" hidden="1">
      <c r="A297" s="358">
        <f t="shared" si="14"/>
        <v>137</v>
      </c>
      <c r="B297" s="244" t="s">
        <v>1321</v>
      </c>
      <c r="C297" s="8">
        <v>2.2000000000000002</v>
      </c>
      <c r="D297" s="1" t="s">
        <v>781</v>
      </c>
      <c r="E297"/>
      <c r="F297" s="251">
        <v>7.1</v>
      </c>
      <c r="G297" s="250" t="s">
        <v>883</v>
      </c>
      <c r="H297" s="244" t="s">
        <v>2082</v>
      </c>
      <c r="I297" s="8">
        <f>(C10)</f>
        <v>150</v>
      </c>
      <c r="J297" s="2" t="s">
        <v>883</v>
      </c>
      <c r="K297" s="8">
        <f t="shared" si="15"/>
        <v>1065</v>
      </c>
      <c r="M297" s="251">
        <v>0.5</v>
      </c>
      <c r="N297" s="244" t="s">
        <v>883</v>
      </c>
      <c r="O297" s="244" t="s">
        <v>1979</v>
      </c>
      <c r="P297" s="251">
        <f>(C12)</f>
        <v>95</v>
      </c>
      <c r="Q297" s="244" t="s">
        <v>883</v>
      </c>
      <c r="R297" s="251">
        <f>(M297*P297)</f>
        <v>47.5</v>
      </c>
      <c r="AG297" s="244" t="s">
        <v>2346</v>
      </c>
    </row>
    <row r="298" spans="1:33" hidden="1">
      <c r="A298" s="358">
        <f t="shared" si="14"/>
        <v>138</v>
      </c>
      <c r="B298" s="244" t="s">
        <v>1512</v>
      </c>
      <c r="C298" s="8">
        <v>10.5</v>
      </c>
      <c r="D298" s="1" t="s">
        <v>781</v>
      </c>
      <c r="E298"/>
      <c r="F298" s="251">
        <v>10.6</v>
      </c>
      <c r="G298" s="250" t="s">
        <v>883</v>
      </c>
      <c r="H298" s="244" t="s">
        <v>1791</v>
      </c>
      <c r="I298" s="8">
        <f>(C11)</f>
        <v>135</v>
      </c>
      <c r="J298" s="2" t="s">
        <v>883</v>
      </c>
      <c r="K298" s="8">
        <f t="shared" si="15"/>
        <v>1431</v>
      </c>
      <c r="M298" s="251">
        <v>1.1000000000000001</v>
      </c>
      <c r="N298" s="244" t="s">
        <v>883</v>
      </c>
      <c r="O298" s="244" t="s">
        <v>324</v>
      </c>
      <c r="P298" s="251">
        <f>(C13)</f>
        <v>85</v>
      </c>
      <c r="Q298" s="244" t="s">
        <v>883</v>
      </c>
      <c r="R298" s="251">
        <f>(M298*P298)</f>
        <v>93.5</v>
      </c>
      <c r="AG298" s="244" t="s">
        <v>2346</v>
      </c>
    </row>
    <row r="299" spans="1:33" hidden="1">
      <c r="A299" s="358">
        <f t="shared" si="14"/>
        <v>139</v>
      </c>
      <c r="B299" s="244" t="s">
        <v>1513</v>
      </c>
      <c r="C299" s="8">
        <v>5.5</v>
      </c>
      <c r="D299" s="1" t="s">
        <v>781</v>
      </c>
      <c r="E299"/>
      <c r="F299" s="251">
        <v>14.1</v>
      </c>
      <c r="G299" s="250" t="s">
        <v>883</v>
      </c>
      <c r="H299" s="244" t="s">
        <v>1979</v>
      </c>
      <c r="I299" s="8">
        <f>(C12)</f>
        <v>95</v>
      </c>
      <c r="J299" s="2" t="s">
        <v>883</v>
      </c>
      <c r="K299" s="8">
        <f t="shared" si="15"/>
        <v>1339.5</v>
      </c>
      <c r="N299" s="244" t="s">
        <v>448</v>
      </c>
      <c r="O299" s="244" t="s">
        <v>449</v>
      </c>
      <c r="P299" s="244" t="s">
        <v>995</v>
      </c>
      <c r="Q299" s="244" t="s">
        <v>448</v>
      </c>
      <c r="R299" s="251">
        <v>0</v>
      </c>
      <c r="AG299" s="244" t="s">
        <v>2346</v>
      </c>
    </row>
    <row r="300" spans="1:33" hidden="1">
      <c r="A300" s="358">
        <f t="shared" si="14"/>
        <v>140</v>
      </c>
      <c r="B300" s="244" t="s">
        <v>492</v>
      </c>
      <c r="C300" s="8">
        <v>21</v>
      </c>
      <c r="D300" s="1" t="s">
        <v>781</v>
      </c>
      <c r="E300"/>
      <c r="F300" s="251">
        <v>14.1</v>
      </c>
      <c r="G300" s="250" t="s">
        <v>883</v>
      </c>
      <c r="H300" s="244" t="s">
        <v>324</v>
      </c>
      <c r="I300" s="8">
        <f>(C13)</f>
        <v>85</v>
      </c>
      <c r="J300" s="2" t="s">
        <v>883</v>
      </c>
      <c r="K300" s="8">
        <f t="shared" si="15"/>
        <v>1198.5</v>
      </c>
      <c r="R300" s="248" t="s">
        <v>1667</v>
      </c>
      <c r="AG300" s="244" t="s">
        <v>2346</v>
      </c>
    </row>
    <row r="301" spans="1:33" hidden="1">
      <c r="A301" s="358">
        <f t="shared" si="14"/>
        <v>141</v>
      </c>
      <c r="B301" s="244" t="s">
        <v>493</v>
      </c>
      <c r="C301" s="8">
        <v>10</v>
      </c>
      <c r="D301" s="1" t="s">
        <v>781</v>
      </c>
      <c r="E301"/>
      <c r="G301" s="250" t="s">
        <v>448</v>
      </c>
      <c r="H301" s="244" t="s">
        <v>449</v>
      </c>
      <c r="I301"/>
      <c r="J301" s="2" t="s">
        <v>448</v>
      </c>
      <c r="K301" s="8">
        <v>0</v>
      </c>
      <c r="O301" s="244" t="s">
        <v>440</v>
      </c>
      <c r="R301" s="251" t="e">
        <f>SUM(R295:R299)</f>
        <v>#REF!</v>
      </c>
      <c r="AG301" s="244" t="s">
        <v>2346</v>
      </c>
    </row>
    <row r="302" spans="1:33" hidden="1">
      <c r="A302" s="358">
        <f t="shared" si="14"/>
        <v>142</v>
      </c>
      <c r="B302" s="244" t="s">
        <v>1884</v>
      </c>
      <c r="C302" s="8">
        <v>4</v>
      </c>
      <c r="D302" s="1" t="s">
        <v>781</v>
      </c>
      <c r="E302"/>
      <c r="I302"/>
      <c r="J302" s="4"/>
      <c r="K302" s="5" t="s">
        <v>1667</v>
      </c>
      <c r="R302" s="248" t="s">
        <v>1667</v>
      </c>
      <c r="AG302" s="244" t="s">
        <v>2346</v>
      </c>
    </row>
    <row r="303" spans="1:33" hidden="1">
      <c r="A303" s="358">
        <f t="shared" si="14"/>
        <v>143</v>
      </c>
      <c r="B303" s="244" t="s">
        <v>1197</v>
      </c>
      <c r="C303" s="8">
        <v>8</v>
      </c>
      <c r="D303" s="1" t="s">
        <v>883</v>
      </c>
      <c r="E303"/>
      <c r="H303" s="244" t="s">
        <v>618</v>
      </c>
      <c r="I303"/>
      <c r="J303" s="4"/>
      <c r="K303" s="8" t="e">
        <f>SUM(K294:K301)</f>
        <v>#REF!</v>
      </c>
      <c r="O303" s="244" t="s">
        <v>555</v>
      </c>
      <c r="R303" s="251" t="e">
        <f>(R301/10)</f>
        <v>#REF!</v>
      </c>
      <c r="AG303" s="244" t="s">
        <v>2346</v>
      </c>
    </row>
    <row r="304" spans="1:33" hidden="1">
      <c r="A304" s="358">
        <f t="shared" si="14"/>
        <v>144</v>
      </c>
      <c r="B304" s="244" t="s">
        <v>1198</v>
      </c>
      <c r="C304" s="8">
        <v>8.5</v>
      </c>
      <c r="D304" s="1" t="s">
        <v>781</v>
      </c>
      <c r="E304"/>
      <c r="I304"/>
      <c r="J304" s="4"/>
      <c r="K304" s="5" t="s">
        <v>1667</v>
      </c>
      <c r="N304" s="244" t="s">
        <v>2338</v>
      </c>
      <c r="O304" s="244" t="s">
        <v>494</v>
      </c>
      <c r="R304" s="248" t="s">
        <v>2130</v>
      </c>
      <c r="AG304" s="244" t="s">
        <v>2346</v>
      </c>
    </row>
    <row r="305" spans="1:33" hidden="1">
      <c r="A305" s="358">
        <f t="shared" si="14"/>
        <v>145</v>
      </c>
      <c r="B305" s="244" t="s">
        <v>606</v>
      </c>
      <c r="C305" s="8">
        <v>20.6</v>
      </c>
      <c r="D305" s="1" t="s">
        <v>781</v>
      </c>
      <c r="E305"/>
      <c r="H305" s="244" t="s">
        <v>785</v>
      </c>
      <c r="I305"/>
      <c r="J305" s="4"/>
      <c r="K305" s="8" t="e">
        <f>(K303/10)</f>
        <v>#REF!</v>
      </c>
      <c r="O305" s="248" t="s">
        <v>1667</v>
      </c>
      <c r="AG305" s="244" t="s">
        <v>2346</v>
      </c>
    </row>
    <row r="306" spans="1:33" hidden="1">
      <c r="A306" s="358">
        <f t="shared" si="14"/>
        <v>146</v>
      </c>
      <c r="B306" s="244" t="s">
        <v>2060</v>
      </c>
      <c r="C306" s="8">
        <v>15.6</v>
      </c>
      <c r="D306" s="1" t="s">
        <v>781</v>
      </c>
      <c r="E306"/>
      <c r="I306"/>
      <c r="J306" s="4"/>
      <c r="K306" s="5" t="s">
        <v>2130</v>
      </c>
      <c r="M306" s="251">
        <v>0.14000000000000001</v>
      </c>
      <c r="N306" s="244" t="s">
        <v>884</v>
      </c>
      <c r="O306" s="244" t="s">
        <v>123</v>
      </c>
      <c r="P306" s="251" t="e">
        <f>(K23)</f>
        <v>#REF!</v>
      </c>
      <c r="Q306" s="244" t="s">
        <v>884</v>
      </c>
      <c r="R306" s="251" t="e">
        <f>(M306*P306)</f>
        <v>#REF!</v>
      </c>
      <c r="AG306" s="244" t="s">
        <v>2346</v>
      </c>
    </row>
    <row r="307" spans="1:33" hidden="1">
      <c r="A307" s="358">
        <f t="shared" si="14"/>
        <v>147</v>
      </c>
      <c r="B307" s="244" t="s">
        <v>2061</v>
      </c>
      <c r="C307" s="8">
        <v>0.9</v>
      </c>
      <c r="D307" s="1" t="s">
        <v>781</v>
      </c>
      <c r="E307"/>
      <c r="F307" s="360">
        <v>6</v>
      </c>
      <c r="G307" s="250" t="s">
        <v>2338</v>
      </c>
      <c r="H307" s="244" t="s">
        <v>3323</v>
      </c>
      <c r="I307"/>
      <c r="J307" s="4"/>
      <c r="K307"/>
      <c r="M307" s="251">
        <v>1.1000000000000001</v>
      </c>
      <c r="N307" s="244" t="s">
        <v>883</v>
      </c>
      <c r="O307" s="244" t="s">
        <v>2082</v>
      </c>
      <c r="P307" s="251">
        <f>(C10)</f>
        <v>150</v>
      </c>
      <c r="Q307" s="244" t="s">
        <v>883</v>
      </c>
      <c r="R307" s="251">
        <f>(M307*P307)</f>
        <v>165</v>
      </c>
      <c r="AG307" s="244" t="s">
        <v>2346</v>
      </c>
    </row>
    <row r="308" spans="1:33" hidden="1">
      <c r="A308" s="358">
        <f t="shared" si="14"/>
        <v>148</v>
      </c>
      <c r="B308" s="244" t="s">
        <v>2062</v>
      </c>
      <c r="C308" s="1" t="s">
        <v>995</v>
      </c>
      <c r="D308"/>
      <c r="E308"/>
      <c r="H308" s="244" t="s">
        <v>3079</v>
      </c>
      <c r="I308"/>
      <c r="J308" s="4"/>
      <c r="K308"/>
      <c r="M308" s="251">
        <v>0.5</v>
      </c>
      <c r="N308" s="244" t="s">
        <v>883</v>
      </c>
      <c r="O308" s="244" t="s">
        <v>1979</v>
      </c>
      <c r="P308" s="251">
        <f>(C12)</f>
        <v>95</v>
      </c>
      <c r="Q308" s="244" t="s">
        <v>883</v>
      </c>
      <c r="R308" s="251">
        <f>(M308*P308)</f>
        <v>47.5</v>
      </c>
      <c r="AG308" s="244" t="s">
        <v>2346</v>
      </c>
    </row>
    <row r="309" spans="1:33" hidden="1">
      <c r="A309" s="358">
        <f t="shared" si="14"/>
        <v>149</v>
      </c>
      <c r="B309" s="244" t="s">
        <v>237</v>
      </c>
      <c r="C309" s="8">
        <v>66.44</v>
      </c>
      <c r="D309" s="1" t="s">
        <v>1854</v>
      </c>
      <c r="E309"/>
      <c r="H309" s="248" t="s">
        <v>1667</v>
      </c>
      <c r="I309"/>
      <c r="J309" s="4"/>
      <c r="K309"/>
      <c r="M309" s="251">
        <v>1.1000000000000001</v>
      </c>
      <c r="N309" s="244" t="s">
        <v>883</v>
      </c>
      <c r="O309" s="244" t="s">
        <v>324</v>
      </c>
      <c r="P309" s="251">
        <f>(C13)</f>
        <v>85</v>
      </c>
      <c r="Q309" s="244" t="s">
        <v>883</v>
      </c>
      <c r="R309" s="251">
        <f>(M309*P309)</f>
        <v>93.5</v>
      </c>
      <c r="AG309" s="244" t="s">
        <v>2346</v>
      </c>
    </row>
    <row r="310" spans="1:33" hidden="1">
      <c r="A310" s="358">
        <f t="shared" si="14"/>
        <v>150</v>
      </c>
      <c r="B310" s="244" t="s">
        <v>238</v>
      </c>
      <c r="C310" s="8">
        <v>83.5</v>
      </c>
      <c r="D310" s="1" t="s">
        <v>1854</v>
      </c>
      <c r="E310"/>
      <c r="F310" s="251">
        <v>4800</v>
      </c>
      <c r="G310" s="250" t="s">
        <v>1485</v>
      </c>
      <c r="H310" s="251" t="str">
        <f>H308</f>
        <v>Bricks of size 22x11x7 cm</v>
      </c>
      <c r="I310" s="8" t="e">
        <f>C80</f>
        <v>#REF!</v>
      </c>
      <c r="J310" s="2" t="s">
        <v>1675</v>
      </c>
      <c r="K310" s="8" t="e">
        <f>(F310*I310)/1000</f>
        <v>#REF!</v>
      </c>
      <c r="N310" s="244" t="s">
        <v>448</v>
      </c>
      <c r="O310" s="244" t="s">
        <v>449</v>
      </c>
      <c r="P310" s="244" t="s">
        <v>995</v>
      </c>
      <c r="Q310" s="244" t="s">
        <v>448</v>
      </c>
      <c r="R310" s="251">
        <v>0</v>
      </c>
      <c r="AG310" s="244" t="s">
        <v>2346</v>
      </c>
    </row>
    <row r="311" spans="1:33" hidden="1">
      <c r="A311" s="358">
        <f t="shared" si="14"/>
        <v>151</v>
      </c>
      <c r="B311" s="244" t="s">
        <v>239</v>
      </c>
      <c r="C311" s="8">
        <v>102.12</v>
      </c>
      <c r="D311" s="1" t="s">
        <v>1854</v>
      </c>
      <c r="E311"/>
      <c r="F311" s="251">
        <v>2.5</v>
      </c>
      <c r="G311" s="250" t="s">
        <v>884</v>
      </c>
      <c r="H311" s="244" t="s">
        <v>1710</v>
      </c>
      <c r="I311" s="8" t="e">
        <f>K49</f>
        <v>#REF!</v>
      </c>
      <c r="J311" s="2" t="s">
        <v>884</v>
      </c>
      <c r="K311" s="8" t="e">
        <f>(F311*I311)</f>
        <v>#REF!</v>
      </c>
      <c r="R311" s="248" t="s">
        <v>1667</v>
      </c>
      <c r="AG311" s="244" t="s">
        <v>2346</v>
      </c>
    </row>
    <row r="312" spans="1:33" hidden="1">
      <c r="A312" s="358">
        <f t="shared" si="14"/>
        <v>152</v>
      </c>
      <c r="B312" s="244" t="s">
        <v>2301</v>
      </c>
      <c r="C312" s="8">
        <v>182.52</v>
      </c>
      <c r="D312" s="1" t="s">
        <v>1854</v>
      </c>
      <c r="E312"/>
      <c r="F312" s="251">
        <v>3.5</v>
      </c>
      <c r="G312" s="250" t="s">
        <v>883</v>
      </c>
      <c r="H312" s="244" t="s">
        <v>2082</v>
      </c>
      <c r="I312" s="8">
        <f>C10</f>
        <v>150</v>
      </c>
      <c r="J312" s="2" t="s">
        <v>883</v>
      </c>
      <c r="K312" s="8">
        <f>(F312*I312)</f>
        <v>525</v>
      </c>
      <c r="O312" s="244" t="s">
        <v>440</v>
      </c>
      <c r="R312" s="251" t="e">
        <f>SUM(R306:R310)</f>
        <v>#REF!</v>
      </c>
      <c r="AG312" s="244" t="s">
        <v>2346</v>
      </c>
    </row>
    <row r="313" spans="1:33" hidden="1">
      <c r="A313" s="358">
        <f t="shared" si="14"/>
        <v>153</v>
      </c>
      <c r="B313" s="244" t="s">
        <v>2302</v>
      </c>
      <c r="C313"/>
      <c r="D313"/>
      <c r="E313"/>
      <c r="F313" s="251">
        <v>10.6</v>
      </c>
      <c r="G313" s="250" t="s">
        <v>883</v>
      </c>
      <c r="H313" s="244" t="s">
        <v>1791</v>
      </c>
      <c r="I313" s="8">
        <f>C11</f>
        <v>135</v>
      </c>
      <c r="J313" s="2" t="s">
        <v>883</v>
      </c>
      <c r="K313" s="8">
        <f>(F313*I313)</f>
        <v>1431</v>
      </c>
      <c r="R313" s="248" t="s">
        <v>1667</v>
      </c>
      <c r="AG313" s="244" t="s">
        <v>2346</v>
      </c>
    </row>
    <row r="314" spans="1:33" hidden="1">
      <c r="A314" s="358">
        <f t="shared" ref="A314:A349" si="16">(A313+1)</f>
        <v>154</v>
      </c>
      <c r="B314" s="244" t="s">
        <v>237</v>
      </c>
      <c r="C314" s="8">
        <v>26.62</v>
      </c>
      <c r="D314" s="1" t="s">
        <v>781</v>
      </c>
      <c r="E314"/>
      <c r="F314" s="251">
        <v>7.1</v>
      </c>
      <c r="G314" s="250" t="s">
        <v>883</v>
      </c>
      <c r="H314" s="244" t="s">
        <v>1979</v>
      </c>
      <c r="I314" s="8">
        <f>C12</f>
        <v>95</v>
      </c>
      <c r="J314" s="2" t="s">
        <v>883</v>
      </c>
      <c r="K314" s="8">
        <f>(F314*I314)</f>
        <v>674.5</v>
      </c>
      <c r="O314" s="244" t="s">
        <v>555</v>
      </c>
      <c r="R314" s="251" t="e">
        <f>(R312/10)</f>
        <v>#REF!</v>
      </c>
      <c r="AG314" s="244" t="s">
        <v>2346</v>
      </c>
    </row>
    <row r="315" spans="1:33" hidden="1">
      <c r="A315" s="358">
        <f t="shared" si="16"/>
        <v>155</v>
      </c>
      <c r="B315" s="244" t="s">
        <v>238</v>
      </c>
      <c r="C315" s="8">
        <v>34.869999999999997</v>
      </c>
      <c r="D315" s="1" t="s">
        <v>781</v>
      </c>
      <c r="E315"/>
      <c r="F315" s="251">
        <v>21.2</v>
      </c>
      <c r="G315" s="250" t="s">
        <v>883</v>
      </c>
      <c r="H315" s="244" t="s">
        <v>324</v>
      </c>
      <c r="I315" s="8">
        <f>C13</f>
        <v>85</v>
      </c>
      <c r="J315" s="2" t="s">
        <v>883</v>
      </c>
      <c r="K315" s="8">
        <f>(F315*I315)</f>
        <v>1802</v>
      </c>
      <c r="R315" s="248" t="s">
        <v>2130</v>
      </c>
      <c r="AG315" s="244" t="s">
        <v>2346</v>
      </c>
    </row>
    <row r="316" spans="1:33" hidden="1">
      <c r="A316" s="358">
        <f t="shared" si="16"/>
        <v>156</v>
      </c>
      <c r="B316" s="244" t="s">
        <v>239</v>
      </c>
      <c r="C316" s="8">
        <v>45</v>
      </c>
      <c r="D316" s="1" t="s">
        <v>781</v>
      </c>
      <c r="E316"/>
      <c r="G316" s="250" t="s">
        <v>448</v>
      </c>
      <c r="H316" s="244" t="s">
        <v>449</v>
      </c>
      <c r="I316"/>
      <c r="J316" s="2" t="s">
        <v>448</v>
      </c>
      <c r="K316" s="8">
        <v>0</v>
      </c>
      <c r="N316" s="244" t="s">
        <v>2338</v>
      </c>
      <c r="O316" s="244" t="s">
        <v>2303</v>
      </c>
      <c r="AG316" s="244" t="s">
        <v>2346</v>
      </c>
    </row>
    <row r="317" spans="1:33" hidden="1">
      <c r="A317" s="358">
        <f t="shared" si="16"/>
        <v>157</v>
      </c>
      <c r="B317" s="244" t="s">
        <v>2301</v>
      </c>
      <c r="C317" s="8">
        <v>99.75</v>
      </c>
      <c r="D317" s="1" t="s">
        <v>781</v>
      </c>
      <c r="E317"/>
      <c r="I317"/>
      <c r="J317" s="4"/>
      <c r="K317" s="5" t="s">
        <v>1667</v>
      </c>
      <c r="O317" s="248" t="s">
        <v>1667</v>
      </c>
      <c r="AG317" s="244" t="s">
        <v>2346</v>
      </c>
    </row>
    <row r="318" spans="1:33" hidden="1">
      <c r="A318" s="358">
        <f t="shared" si="16"/>
        <v>158</v>
      </c>
      <c r="B318" s="244" t="s">
        <v>2262</v>
      </c>
      <c r="C318"/>
      <c r="D318"/>
      <c r="E318"/>
      <c r="H318" s="244" t="s">
        <v>618</v>
      </c>
      <c r="I318"/>
      <c r="J318" s="4"/>
      <c r="K318" s="8" t="e">
        <f>SUM(K310:K316)</f>
        <v>#REF!</v>
      </c>
      <c r="M318" s="251">
        <v>0.1</v>
      </c>
      <c r="N318" s="244" t="s">
        <v>884</v>
      </c>
      <c r="O318" s="244" t="s">
        <v>123</v>
      </c>
      <c r="P318" s="251" t="e">
        <f>(K23)</f>
        <v>#REF!</v>
      </c>
      <c r="Q318" s="244" t="s">
        <v>884</v>
      </c>
      <c r="R318" s="251" t="e">
        <f>(M318*P318)</f>
        <v>#REF!</v>
      </c>
      <c r="AG318" s="244" t="s">
        <v>2346</v>
      </c>
    </row>
    <row r="319" spans="1:33" hidden="1">
      <c r="A319" s="358">
        <f t="shared" si="16"/>
        <v>159</v>
      </c>
      <c r="B319" s="244" t="s">
        <v>237</v>
      </c>
      <c r="C319" s="8">
        <v>43.47</v>
      </c>
      <c r="D319" s="1" t="s">
        <v>781</v>
      </c>
      <c r="E319"/>
      <c r="I319"/>
      <c r="J319" s="4"/>
      <c r="K319" s="5" t="s">
        <v>1667</v>
      </c>
      <c r="M319" s="251">
        <v>1.1000000000000001</v>
      </c>
      <c r="N319" s="244" t="s">
        <v>883</v>
      </c>
      <c r="O319" s="244" t="s">
        <v>2082</v>
      </c>
      <c r="P319" s="251">
        <f>(C10)</f>
        <v>150</v>
      </c>
      <c r="Q319" s="244" t="s">
        <v>883</v>
      </c>
      <c r="R319" s="251">
        <f>(M319*P319)</f>
        <v>165</v>
      </c>
      <c r="AG319" s="244" t="s">
        <v>2346</v>
      </c>
    </row>
    <row r="320" spans="1:33" hidden="1">
      <c r="A320" s="358">
        <f t="shared" si="16"/>
        <v>160</v>
      </c>
      <c r="B320" s="244" t="s">
        <v>238</v>
      </c>
      <c r="C320" s="8">
        <v>50.34</v>
      </c>
      <c r="D320" s="1" t="s">
        <v>781</v>
      </c>
      <c r="E320"/>
      <c r="H320" s="244" t="s">
        <v>785</v>
      </c>
      <c r="I320"/>
      <c r="J320" s="4"/>
      <c r="K320" s="8" t="e">
        <f>(K318/10)</f>
        <v>#REF!</v>
      </c>
      <c r="M320" s="251">
        <v>1.1000000000000001</v>
      </c>
      <c r="N320" s="244" t="s">
        <v>883</v>
      </c>
      <c r="O320" s="244" t="s">
        <v>1979</v>
      </c>
      <c r="P320" s="251">
        <f>(C12)</f>
        <v>95</v>
      </c>
      <c r="Q320" s="244" t="s">
        <v>883</v>
      </c>
      <c r="R320" s="251">
        <f>(M320*P320)</f>
        <v>104.5</v>
      </c>
      <c r="AG320" s="244" t="s">
        <v>325</v>
      </c>
    </row>
    <row r="321" spans="1:33" hidden="1">
      <c r="A321" s="358">
        <f t="shared" si="16"/>
        <v>161</v>
      </c>
      <c r="B321" s="244" t="s">
        <v>239</v>
      </c>
      <c r="C321" s="8">
        <v>65.209999999999994</v>
      </c>
      <c r="D321" s="1" t="s">
        <v>781</v>
      </c>
      <c r="E321"/>
      <c r="I321"/>
      <c r="J321" s="4"/>
      <c r="K321" s="5" t="s">
        <v>2130</v>
      </c>
      <c r="M321" s="251">
        <v>1.1000000000000001</v>
      </c>
      <c r="N321" s="244" t="s">
        <v>883</v>
      </c>
      <c r="O321" s="244" t="s">
        <v>324</v>
      </c>
      <c r="P321" s="251">
        <f>(C13)</f>
        <v>85</v>
      </c>
      <c r="Q321" s="244" t="s">
        <v>883</v>
      </c>
      <c r="R321" s="251">
        <f>(M321*P321)</f>
        <v>93.5</v>
      </c>
    </row>
    <row r="322" spans="1:33" hidden="1">
      <c r="A322" s="358">
        <f t="shared" si="16"/>
        <v>162</v>
      </c>
      <c r="B322" s="244" t="s">
        <v>2301</v>
      </c>
      <c r="C322" s="8">
        <v>145.29</v>
      </c>
      <c r="D322" s="1" t="s">
        <v>781</v>
      </c>
      <c r="E322"/>
      <c r="H322" s="244" t="s">
        <v>388</v>
      </c>
      <c r="I322"/>
      <c r="J322" s="4"/>
      <c r="K322" s="8" t="e">
        <f>(K320+C19)</f>
        <v>#REF!</v>
      </c>
      <c r="N322" s="244" t="s">
        <v>448</v>
      </c>
      <c r="O322" s="244" t="s">
        <v>449</v>
      </c>
      <c r="P322" s="244" t="s">
        <v>995</v>
      </c>
      <c r="Q322" s="244" t="s">
        <v>448</v>
      </c>
      <c r="R322" s="251">
        <v>0</v>
      </c>
    </row>
    <row r="323" spans="1:33" hidden="1">
      <c r="A323" s="358">
        <f t="shared" si="16"/>
        <v>163</v>
      </c>
      <c r="B323" s="244" t="s">
        <v>2263</v>
      </c>
      <c r="C323"/>
      <c r="D323"/>
      <c r="E323"/>
      <c r="H323" s="244" t="s">
        <v>390</v>
      </c>
      <c r="I323"/>
      <c r="J323" s="4"/>
      <c r="K323" s="8" t="e">
        <f>(K322+C20)</f>
        <v>#REF!</v>
      </c>
      <c r="R323" s="248" t="s">
        <v>1667</v>
      </c>
      <c r="AG323" s="244" t="s">
        <v>2346</v>
      </c>
    </row>
    <row r="324" spans="1:33" hidden="1">
      <c r="A324" s="358">
        <f t="shared" si="16"/>
        <v>164</v>
      </c>
      <c r="B324" s="244" t="s">
        <v>237</v>
      </c>
      <c r="C324" s="8">
        <v>14.91</v>
      </c>
      <c r="D324" s="1" t="s">
        <v>1854</v>
      </c>
      <c r="E324"/>
      <c r="H324" s="244" t="s">
        <v>2319</v>
      </c>
      <c r="I324"/>
      <c r="J324" s="4"/>
      <c r="K324" s="8" t="e">
        <f>(K323+C21)</f>
        <v>#REF!</v>
      </c>
      <c r="O324" s="244" t="s">
        <v>440</v>
      </c>
      <c r="R324" s="251" t="e">
        <f>SUM(R318:R322)</f>
        <v>#REF!</v>
      </c>
      <c r="AG324" s="244" t="s">
        <v>2346</v>
      </c>
    </row>
    <row r="325" spans="1:33" hidden="1">
      <c r="A325" s="358">
        <f t="shared" si="16"/>
        <v>165</v>
      </c>
      <c r="B325" s="244" t="s">
        <v>238</v>
      </c>
      <c r="C325" s="8">
        <v>19.41</v>
      </c>
      <c r="D325" s="1" t="s">
        <v>1854</v>
      </c>
      <c r="E325"/>
      <c r="H325" s="244" t="s">
        <v>382</v>
      </c>
      <c r="I325"/>
      <c r="J325" s="4"/>
      <c r="K325" s="8" t="e">
        <f>(K324+C21)</f>
        <v>#REF!</v>
      </c>
      <c r="R325" s="248" t="s">
        <v>1667</v>
      </c>
      <c r="AG325" s="244" t="s">
        <v>2346</v>
      </c>
    </row>
    <row r="326" spans="1:33" hidden="1">
      <c r="A326" s="358">
        <f t="shared" si="16"/>
        <v>166</v>
      </c>
      <c r="B326" s="244" t="s">
        <v>239</v>
      </c>
      <c r="C326" s="8">
        <v>22.22</v>
      </c>
      <c r="D326" s="1" t="s">
        <v>1854</v>
      </c>
      <c r="E326"/>
      <c r="H326" s="244" t="s">
        <v>485</v>
      </c>
      <c r="I326"/>
      <c r="J326" s="4"/>
      <c r="K326" s="8" t="e">
        <f>(K325+C21)</f>
        <v>#REF!</v>
      </c>
      <c r="O326" s="244" t="s">
        <v>555</v>
      </c>
      <c r="R326" s="251" t="e">
        <f>(R324/10)</f>
        <v>#REF!</v>
      </c>
      <c r="AG326" s="244" t="s">
        <v>2346</v>
      </c>
    </row>
    <row r="327" spans="1:33" hidden="1">
      <c r="A327" s="358"/>
      <c r="B327" s="244"/>
      <c r="C327" s="8"/>
      <c r="D327" s="1"/>
      <c r="E327"/>
      <c r="H327" s="244"/>
      <c r="I327"/>
      <c r="J327" s="4"/>
      <c r="K327" s="8"/>
      <c r="O327" s="244"/>
      <c r="R327" s="251"/>
      <c r="AG327" s="244"/>
    </row>
    <row r="328" spans="1:33" hidden="1">
      <c r="A328" s="358"/>
      <c r="B328" s="244"/>
      <c r="C328" s="8"/>
      <c r="D328" s="1"/>
      <c r="E328"/>
      <c r="F328" s="354" t="s">
        <v>647</v>
      </c>
      <c r="H328" s="244" t="s">
        <v>1688</v>
      </c>
      <c r="I328"/>
      <c r="J328" s="4"/>
      <c r="K328" s="1" t="s">
        <v>3080</v>
      </c>
      <c r="O328" s="244"/>
      <c r="R328" s="251"/>
      <c r="AG328" s="244"/>
    </row>
    <row r="329" spans="1:33" hidden="1">
      <c r="A329" s="358"/>
      <c r="B329" s="244"/>
      <c r="C329" s="8"/>
      <c r="D329" s="1"/>
      <c r="E329"/>
      <c r="H329" s="244" t="s">
        <v>648</v>
      </c>
      <c r="I329"/>
      <c r="J329" s="4"/>
      <c r="K329" s="5" t="s">
        <v>2130</v>
      </c>
      <c r="O329" s="244"/>
      <c r="R329" s="251"/>
      <c r="AG329" s="244"/>
    </row>
    <row r="330" spans="1:33" hidden="1">
      <c r="A330" s="358"/>
      <c r="B330" s="244"/>
      <c r="C330" s="8"/>
      <c r="D330" s="1"/>
      <c r="E330"/>
      <c r="H330" s="244"/>
      <c r="I330"/>
      <c r="J330" s="4"/>
      <c r="K330" s="8"/>
      <c r="O330" s="244"/>
      <c r="R330" s="251"/>
      <c r="AG330" s="244"/>
    </row>
    <row r="331" spans="1:33" hidden="1">
      <c r="A331" s="358">
        <f>(A326+1)</f>
        <v>167</v>
      </c>
      <c r="B331" s="244" t="s">
        <v>2301</v>
      </c>
      <c r="C331" s="8">
        <v>46.42</v>
      </c>
      <c r="D331" s="1" t="s">
        <v>1854</v>
      </c>
      <c r="E331"/>
      <c r="F331" s="360">
        <v>9</v>
      </c>
      <c r="G331" s="250" t="s">
        <v>2338</v>
      </c>
      <c r="H331" s="244" t="s">
        <v>3281</v>
      </c>
      <c r="I331"/>
      <c r="J331" s="4"/>
      <c r="K331"/>
      <c r="R331" s="248" t="s">
        <v>2130</v>
      </c>
      <c r="AG331" s="244" t="s">
        <v>2346</v>
      </c>
    </row>
    <row r="332" spans="1:33" hidden="1">
      <c r="A332" s="358">
        <f t="shared" si="16"/>
        <v>168</v>
      </c>
      <c r="B332" s="244" t="s">
        <v>2264</v>
      </c>
      <c r="C332"/>
      <c r="D332"/>
      <c r="E332"/>
      <c r="H332" s="251" t="str">
        <f>H308</f>
        <v>Bricks of size 22x11x7 cm</v>
      </c>
      <c r="I332"/>
      <c r="J332" s="4"/>
      <c r="K332"/>
      <c r="AG332" s="244" t="s">
        <v>2346</v>
      </c>
    </row>
    <row r="333" spans="1:33" hidden="1">
      <c r="A333" s="358">
        <f t="shared" si="16"/>
        <v>169</v>
      </c>
      <c r="B333" s="244" t="s">
        <v>237</v>
      </c>
      <c r="C333" s="8">
        <v>8.58</v>
      </c>
      <c r="D333" s="1" t="s">
        <v>781</v>
      </c>
      <c r="E333"/>
      <c r="H333" s="248" t="s">
        <v>1667</v>
      </c>
      <c r="I333"/>
      <c r="J333" s="4"/>
      <c r="K333"/>
      <c r="N333" s="244" t="s">
        <v>2338</v>
      </c>
      <c r="O333" s="244" t="s">
        <v>2265</v>
      </c>
      <c r="AG333" s="244" t="s">
        <v>2346</v>
      </c>
    </row>
    <row r="334" spans="1:33" hidden="1">
      <c r="A334" s="358">
        <f t="shared" si="16"/>
        <v>170</v>
      </c>
      <c r="B334" s="244" t="s">
        <v>238</v>
      </c>
      <c r="C334" s="8">
        <v>12.26</v>
      </c>
      <c r="D334" s="1" t="s">
        <v>781</v>
      </c>
      <c r="E334"/>
      <c r="F334" s="251">
        <f>F310</f>
        <v>4800</v>
      </c>
      <c r="G334" s="250" t="s">
        <v>1485</v>
      </c>
      <c r="H334" s="251" t="str">
        <f>H308</f>
        <v>Bricks of size 22x11x7 cm</v>
      </c>
      <c r="I334" s="8" t="e">
        <f>C80</f>
        <v>#REF!</v>
      </c>
      <c r="J334" s="2" t="s">
        <v>1675</v>
      </c>
      <c r="K334" s="8" t="e">
        <f>(F334*I334)/1000</f>
        <v>#REF!</v>
      </c>
      <c r="O334" s="248" t="s">
        <v>1667</v>
      </c>
      <c r="AG334" s="244" t="s">
        <v>2346</v>
      </c>
    </row>
    <row r="335" spans="1:33" hidden="1">
      <c r="A335" s="358">
        <f t="shared" si="16"/>
        <v>171</v>
      </c>
      <c r="B335" s="244" t="s">
        <v>239</v>
      </c>
      <c r="C335" s="8">
        <v>13.89</v>
      </c>
      <c r="D335" s="1" t="s">
        <v>781</v>
      </c>
      <c r="E335"/>
      <c r="F335" s="251">
        <f>F311</f>
        <v>2.5</v>
      </c>
      <c r="G335" s="250" t="s">
        <v>884</v>
      </c>
      <c r="H335" s="244" t="s">
        <v>1716</v>
      </c>
      <c r="I335" s="8" t="e">
        <f>K58</f>
        <v>#REF!</v>
      </c>
      <c r="J335" s="2" t="s">
        <v>884</v>
      </c>
      <c r="K335" s="8" t="e">
        <f>(F335*I335)</f>
        <v>#REF!</v>
      </c>
      <c r="M335" s="251">
        <v>0.22</v>
      </c>
      <c r="N335" s="244" t="s">
        <v>884</v>
      </c>
      <c r="O335" s="244" t="s">
        <v>1710</v>
      </c>
      <c r="P335" s="251" t="e">
        <f>(K49)</f>
        <v>#REF!</v>
      </c>
      <c r="Q335" s="244" t="s">
        <v>884</v>
      </c>
      <c r="R335" s="251" t="e">
        <f>(M335*P335)</f>
        <v>#REF!</v>
      </c>
      <c r="AG335" s="244" t="s">
        <v>2346</v>
      </c>
    </row>
    <row r="336" spans="1:33" hidden="1">
      <c r="A336" s="358">
        <f t="shared" si="16"/>
        <v>172</v>
      </c>
      <c r="B336" s="244" t="s">
        <v>2301</v>
      </c>
      <c r="C336" s="8">
        <v>36.25</v>
      </c>
      <c r="D336" s="1" t="s">
        <v>781</v>
      </c>
      <c r="E336"/>
      <c r="F336" s="251">
        <v>3.5</v>
      </c>
      <c r="G336" s="250" t="s">
        <v>883</v>
      </c>
      <c r="H336" s="244" t="s">
        <v>2082</v>
      </c>
      <c r="I336" s="8">
        <f>C10</f>
        <v>150</v>
      </c>
      <c r="J336" s="2" t="s">
        <v>883</v>
      </c>
      <c r="K336" s="8">
        <f>(F336*I336)</f>
        <v>525</v>
      </c>
      <c r="M336" s="251">
        <v>2.2000000000000002</v>
      </c>
      <c r="N336" s="244" t="s">
        <v>883</v>
      </c>
      <c r="O336" s="244" t="s">
        <v>2082</v>
      </c>
      <c r="P336" s="251">
        <f>(C10)</f>
        <v>150</v>
      </c>
      <c r="Q336" s="244" t="s">
        <v>883</v>
      </c>
      <c r="R336" s="251">
        <f>(M336*P336)</f>
        <v>330</v>
      </c>
      <c r="AG336" s="244" t="s">
        <v>2346</v>
      </c>
    </row>
    <row r="337" spans="1:33" hidden="1">
      <c r="A337" s="358">
        <f t="shared" si="16"/>
        <v>173</v>
      </c>
      <c r="B337" s="244" t="s">
        <v>2266</v>
      </c>
      <c r="C337"/>
      <c r="D337"/>
      <c r="E337"/>
      <c r="F337" s="251">
        <v>10.6</v>
      </c>
      <c r="G337" s="250" t="s">
        <v>883</v>
      </c>
      <c r="H337" s="244" t="s">
        <v>1791</v>
      </c>
      <c r="I337" s="8">
        <f>C11</f>
        <v>135</v>
      </c>
      <c r="J337" s="2" t="s">
        <v>883</v>
      </c>
      <c r="K337" s="8">
        <f>(F337*I337)</f>
        <v>1431</v>
      </c>
      <c r="M337" s="251">
        <v>0.5</v>
      </c>
      <c r="N337" s="244" t="s">
        <v>883</v>
      </c>
      <c r="O337" s="244" t="s">
        <v>1979</v>
      </c>
      <c r="P337" s="251">
        <f>(C12)</f>
        <v>95</v>
      </c>
      <c r="Q337" s="244" t="s">
        <v>883</v>
      </c>
      <c r="R337" s="251">
        <f>(M337*P337)</f>
        <v>47.5</v>
      </c>
      <c r="AG337" s="244" t="s">
        <v>2346</v>
      </c>
    </row>
    <row r="338" spans="1:33" hidden="1">
      <c r="A338" s="358">
        <f t="shared" si="16"/>
        <v>174</v>
      </c>
      <c r="B338" s="244" t="s">
        <v>237</v>
      </c>
      <c r="C338" s="8">
        <v>15.7</v>
      </c>
      <c r="D338" s="1" t="s">
        <v>781</v>
      </c>
      <c r="E338"/>
      <c r="F338" s="251">
        <v>7.1</v>
      </c>
      <c r="G338" s="250" t="s">
        <v>883</v>
      </c>
      <c r="H338" s="244" t="s">
        <v>1979</v>
      </c>
      <c r="I338" s="8">
        <f>C12</f>
        <v>95</v>
      </c>
      <c r="J338" s="2" t="s">
        <v>883</v>
      </c>
      <c r="K338" s="8">
        <f>(F338*I338)</f>
        <v>674.5</v>
      </c>
      <c r="M338" s="251">
        <v>3.2</v>
      </c>
      <c r="N338" s="244" t="s">
        <v>883</v>
      </c>
      <c r="O338" s="244" t="s">
        <v>324</v>
      </c>
      <c r="P338" s="251">
        <f>(C13)</f>
        <v>85</v>
      </c>
      <c r="Q338" s="244" t="s">
        <v>883</v>
      </c>
      <c r="R338" s="251">
        <f>(M338*P338)</f>
        <v>272</v>
      </c>
      <c r="AG338" s="244" t="s">
        <v>2346</v>
      </c>
    </row>
    <row r="339" spans="1:33" hidden="1">
      <c r="A339" s="358">
        <f t="shared" si="16"/>
        <v>175</v>
      </c>
      <c r="B339" s="244" t="s">
        <v>238</v>
      </c>
      <c r="C339" s="8">
        <v>22.31</v>
      </c>
      <c r="D339" s="1" t="s">
        <v>781</v>
      </c>
      <c r="E339"/>
      <c r="F339" s="251">
        <v>21.2</v>
      </c>
      <c r="G339" s="250" t="s">
        <v>883</v>
      </c>
      <c r="H339" s="244" t="s">
        <v>324</v>
      </c>
      <c r="I339" s="8">
        <f>C13</f>
        <v>85</v>
      </c>
      <c r="J339" s="2" t="s">
        <v>883</v>
      </c>
      <c r="K339" s="8">
        <f>(F339*I339)</f>
        <v>1802</v>
      </c>
      <c r="N339" s="244" t="s">
        <v>448</v>
      </c>
      <c r="O339" s="244" t="s">
        <v>449</v>
      </c>
      <c r="P339" s="244" t="s">
        <v>995</v>
      </c>
      <c r="Q339" s="244" t="s">
        <v>448</v>
      </c>
      <c r="R339" s="251">
        <v>0</v>
      </c>
      <c r="AG339" s="244" t="s">
        <v>2346</v>
      </c>
    </row>
    <row r="340" spans="1:33" hidden="1">
      <c r="A340" s="358">
        <f t="shared" si="16"/>
        <v>176</v>
      </c>
      <c r="B340" s="244" t="s">
        <v>239</v>
      </c>
      <c r="C340" s="8">
        <v>25.24</v>
      </c>
      <c r="D340" s="1" t="s">
        <v>781</v>
      </c>
      <c r="E340"/>
      <c r="G340" s="250" t="s">
        <v>448</v>
      </c>
      <c r="H340" s="244" t="s">
        <v>449</v>
      </c>
      <c r="I340"/>
      <c r="J340" s="2" t="s">
        <v>448</v>
      </c>
      <c r="K340" s="8">
        <v>0</v>
      </c>
      <c r="R340" s="248" t="s">
        <v>1667</v>
      </c>
      <c r="AG340" s="244" t="s">
        <v>2346</v>
      </c>
    </row>
    <row r="341" spans="1:33" hidden="1">
      <c r="A341" s="358">
        <f t="shared" si="16"/>
        <v>177</v>
      </c>
      <c r="B341" s="244" t="s">
        <v>2301</v>
      </c>
      <c r="C341" s="8">
        <v>52.34</v>
      </c>
      <c r="D341" s="1" t="s">
        <v>781</v>
      </c>
      <c r="E341"/>
      <c r="I341"/>
      <c r="J341" s="4"/>
      <c r="K341" s="5" t="s">
        <v>1667</v>
      </c>
      <c r="O341" s="244" t="s">
        <v>440</v>
      </c>
      <c r="R341" s="251" t="e">
        <f>SUM(R335:R339)</f>
        <v>#REF!</v>
      </c>
      <c r="AG341" s="244" t="s">
        <v>2346</v>
      </c>
    </row>
    <row r="342" spans="1:33" hidden="1">
      <c r="A342" s="358">
        <f t="shared" si="16"/>
        <v>178</v>
      </c>
      <c r="B342" s="244" t="s">
        <v>1073</v>
      </c>
      <c r="C342"/>
      <c r="D342"/>
      <c r="E342"/>
      <c r="H342" s="244" t="s">
        <v>618</v>
      </c>
      <c r="I342"/>
      <c r="J342" s="4"/>
      <c r="K342" s="8" t="e">
        <f>SUM(K334:K340)</f>
        <v>#REF!</v>
      </c>
      <c r="R342" s="248" t="s">
        <v>1667</v>
      </c>
      <c r="AG342" s="244" t="s">
        <v>2346</v>
      </c>
    </row>
    <row r="343" spans="1:33" hidden="1">
      <c r="A343" s="358">
        <f t="shared" si="16"/>
        <v>179</v>
      </c>
      <c r="B343" s="244" t="s">
        <v>237</v>
      </c>
      <c r="C343" s="8">
        <v>13.73</v>
      </c>
      <c r="D343" s="1" t="s">
        <v>781</v>
      </c>
      <c r="E343"/>
      <c r="I343"/>
      <c r="J343" s="4"/>
      <c r="K343" s="5" t="s">
        <v>1667</v>
      </c>
      <c r="O343" s="244" t="s">
        <v>555</v>
      </c>
      <c r="R343" s="251" t="e">
        <f>(R341/10)</f>
        <v>#REF!</v>
      </c>
      <c r="AG343" s="244" t="s">
        <v>2346</v>
      </c>
    </row>
    <row r="344" spans="1:33" hidden="1">
      <c r="A344" s="358">
        <f t="shared" si="16"/>
        <v>180</v>
      </c>
      <c r="B344" s="244" t="s">
        <v>238</v>
      </c>
      <c r="C344" s="8">
        <v>20.16</v>
      </c>
      <c r="D344" s="1" t="s">
        <v>781</v>
      </c>
      <c r="E344"/>
      <c r="H344" s="244" t="s">
        <v>785</v>
      </c>
      <c r="I344"/>
      <c r="J344" s="4"/>
      <c r="K344" s="8" t="e">
        <f>(K342/10)</f>
        <v>#REF!</v>
      </c>
      <c r="R344" s="248" t="s">
        <v>2130</v>
      </c>
      <c r="AG344" s="244" t="s">
        <v>2346</v>
      </c>
    </row>
    <row r="345" spans="1:33" hidden="1">
      <c r="A345" s="358">
        <f t="shared" si="16"/>
        <v>181</v>
      </c>
      <c r="B345" s="244" t="s">
        <v>239</v>
      </c>
      <c r="C345" s="8">
        <v>22.73</v>
      </c>
      <c r="D345" s="1" t="s">
        <v>781</v>
      </c>
      <c r="E345"/>
      <c r="I345"/>
      <c r="J345" s="4"/>
      <c r="K345" s="5" t="s">
        <v>2130</v>
      </c>
      <c r="N345" s="244" t="s">
        <v>2338</v>
      </c>
      <c r="O345" s="244" t="s">
        <v>1074</v>
      </c>
      <c r="AG345" s="244" t="s">
        <v>2346</v>
      </c>
    </row>
    <row r="346" spans="1:33" hidden="1">
      <c r="A346" s="358">
        <f t="shared" si="16"/>
        <v>182</v>
      </c>
      <c r="B346" s="244" t="s">
        <v>2301</v>
      </c>
      <c r="C346" s="8">
        <v>46.98</v>
      </c>
      <c r="D346" s="1" t="s">
        <v>995</v>
      </c>
      <c r="E346"/>
      <c r="H346" s="244" t="s">
        <v>388</v>
      </c>
      <c r="I346"/>
      <c r="J346" s="4"/>
      <c r="K346" s="8" t="e">
        <f>(K344+C19)</f>
        <v>#REF!</v>
      </c>
      <c r="O346" s="248" t="s">
        <v>1667</v>
      </c>
      <c r="AG346" s="244" t="s">
        <v>2346</v>
      </c>
    </row>
    <row r="347" spans="1:33" hidden="1">
      <c r="A347" s="358">
        <f t="shared" si="16"/>
        <v>183</v>
      </c>
      <c r="B347" s="244" t="s">
        <v>1075</v>
      </c>
      <c r="C347"/>
      <c r="D347"/>
      <c r="E347"/>
      <c r="H347" s="244" t="s">
        <v>390</v>
      </c>
      <c r="I347"/>
      <c r="J347" s="4"/>
      <c r="K347" s="8" t="e">
        <f>(K346+C20)</f>
        <v>#REF!</v>
      </c>
      <c r="M347" s="251">
        <v>0.22</v>
      </c>
      <c r="N347" s="244" t="s">
        <v>884</v>
      </c>
      <c r="O347" s="244" t="s">
        <v>1414</v>
      </c>
      <c r="P347" s="251" t="e">
        <f>(K32)</f>
        <v>#REF!</v>
      </c>
      <c r="Q347" s="244" t="s">
        <v>884</v>
      </c>
      <c r="R347" s="251" t="e">
        <f>(M347*P347)</f>
        <v>#REF!</v>
      </c>
      <c r="AG347" s="244" t="s">
        <v>2346</v>
      </c>
    </row>
    <row r="348" spans="1:33" hidden="1">
      <c r="A348" s="358">
        <f t="shared" si="16"/>
        <v>184</v>
      </c>
      <c r="B348" s="244" t="s">
        <v>237</v>
      </c>
      <c r="C348" s="8">
        <v>19.3</v>
      </c>
      <c r="D348" s="1" t="s">
        <v>781</v>
      </c>
      <c r="E348"/>
      <c r="H348" s="244" t="s">
        <v>2319</v>
      </c>
      <c r="I348"/>
      <c r="J348" s="4"/>
      <c r="K348" s="8" t="e">
        <f>(K347+C21)</f>
        <v>#REF!</v>
      </c>
      <c r="M348" s="251">
        <v>2.2000000000000002</v>
      </c>
      <c r="N348" s="244" t="s">
        <v>883</v>
      </c>
      <c r="O348" s="244" t="s">
        <v>2082</v>
      </c>
      <c r="P348" s="251">
        <f>(C10)</f>
        <v>150</v>
      </c>
      <c r="Q348" s="244" t="s">
        <v>883</v>
      </c>
      <c r="R348" s="251">
        <f>(M348*P348)</f>
        <v>330</v>
      </c>
      <c r="AG348" s="244" t="s">
        <v>2346</v>
      </c>
    </row>
    <row r="349" spans="1:33" hidden="1">
      <c r="A349" s="358">
        <f t="shared" si="16"/>
        <v>185</v>
      </c>
      <c r="B349" s="244" t="s">
        <v>239</v>
      </c>
      <c r="C349" s="8">
        <v>33.46</v>
      </c>
      <c r="D349" s="1" t="s">
        <v>781</v>
      </c>
      <c r="E349"/>
      <c r="H349" s="244" t="s">
        <v>382</v>
      </c>
      <c r="I349"/>
      <c r="J349" s="4"/>
      <c r="K349" s="8" t="e">
        <f>(K348+C21)</f>
        <v>#REF!</v>
      </c>
      <c r="M349" s="251">
        <v>0.5</v>
      </c>
      <c r="N349" s="244" t="s">
        <v>883</v>
      </c>
      <c r="O349" s="244" t="s">
        <v>1979</v>
      </c>
      <c r="P349" s="251">
        <f>(C12)</f>
        <v>95</v>
      </c>
      <c r="Q349" s="244" t="s">
        <v>883</v>
      </c>
      <c r="R349" s="251">
        <f>(M349*P349)</f>
        <v>47.5</v>
      </c>
      <c r="AG349" s="244" t="s">
        <v>2346</v>
      </c>
    </row>
    <row r="350" spans="1:33" hidden="1">
      <c r="A350" s="358">
        <f>(A349+1)</f>
        <v>186</v>
      </c>
      <c r="B350" s="244" t="s">
        <v>2301</v>
      </c>
      <c r="C350" s="8">
        <v>53.62</v>
      </c>
      <c r="D350" s="1" t="s">
        <v>781</v>
      </c>
      <c r="E350"/>
      <c r="F350" s="244" t="s">
        <v>995</v>
      </c>
      <c r="H350" s="244" t="s">
        <v>485</v>
      </c>
      <c r="I350"/>
      <c r="J350" s="4"/>
      <c r="K350" s="8" t="e">
        <f>(K349+C21)</f>
        <v>#REF!</v>
      </c>
      <c r="M350" s="251">
        <v>3.2</v>
      </c>
      <c r="N350" s="244" t="s">
        <v>883</v>
      </c>
      <c r="O350" s="244" t="s">
        <v>324</v>
      </c>
      <c r="P350" s="251">
        <f>(C13)</f>
        <v>85</v>
      </c>
      <c r="Q350" s="244" t="s">
        <v>883</v>
      </c>
      <c r="R350" s="251">
        <f>(M350*P350)</f>
        <v>272</v>
      </c>
      <c r="AG350" s="244" t="s">
        <v>2346</v>
      </c>
    </row>
    <row r="351" spans="1:33" hidden="1">
      <c r="A351" s="358">
        <f>(A350+1)</f>
        <v>187</v>
      </c>
      <c r="B351" s="244" t="s">
        <v>131</v>
      </c>
      <c r="C351"/>
      <c r="D351"/>
      <c r="E351"/>
      <c r="F351" s="360">
        <v>27</v>
      </c>
      <c r="G351" s="250" t="s">
        <v>2338</v>
      </c>
      <c r="H351" s="244" t="s">
        <v>3282</v>
      </c>
      <c r="I351"/>
      <c r="J351" s="4"/>
      <c r="K351"/>
      <c r="N351" s="244" t="s">
        <v>448</v>
      </c>
      <c r="O351" s="244" t="s">
        <v>449</v>
      </c>
      <c r="P351" s="244" t="s">
        <v>995</v>
      </c>
      <c r="Q351" s="244" t="s">
        <v>448</v>
      </c>
      <c r="R351" s="251">
        <v>0</v>
      </c>
      <c r="AG351" s="244" t="s">
        <v>2346</v>
      </c>
    </row>
    <row r="352" spans="1:33" hidden="1">
      <c r="A352" s="358">
        <f t="shared" ref="A352:A383" si="17">(A351+1)</f>
        <v>188</v>
      </c>
      <c r="B352" s="244" t="s">
        <v>237</v>
      </c>
      <c r="C352" s="8">
        <v>13.73</v>
      </c>
      <c r="D352" s="1" t="s">
        <v>781</v>
      </c>
      <c r="E352"/>
      <c r="H352" s="251" t="str">
        <f>H308</f>
        <v>Bricks of size 22x11x7 cm</v>
      </c>
      <c r="I352"/>
      <c r="J352" s="4"/>
      <c r="K352"/>
      <c r="R352" s="248" t="s">
        <v>1667</v>
      </c>
      <c r="AG352" s="244" t="s">
        <v>2346</v>
      </c>
    </row>
    <row r="353" spans="1:33" hidden="1">
      <c r="A353" s="358">
        <f t="shared" si="17"/>
        <v>189</v>
      </c>
      <c r="B353" s="244" t="s">
        <v>238</v>
      </c>
      <c r="C353" s="8">
        <v>20.16</v>
      </c>
      <c r="D353" s="1" t="s">
        <v>781</v>
      </c>
      <c r="E353"/>
      <c r="H353" s="248" t="s">
        <v>1667</v>
      </c>
      <c r="I353"/>
      <c r="J353" s="4"/>
      <c r="K353"/>
      <c r="O353" s="244" t="s">
        <v>440</v>
      </c>
      <c r="R353" s="251" t="e">
        <f>SUM(R347:R351)</f>
        <v>#REF!</v>
      </c>
      <c r="AG353" s="244" t="s">
        <v>2346</v>
      </c>
    </row>
    <row r="354" spans="1:33" hidden="1">
      <c r="A354" s="358">
        <f t="shared" si="17"/>
        <v>190</v>
      </c>
      <c r="B354" s="244" t="s">
        <v>239</v>
      </c>
      <c r="C354" s="8">
        <v>22.73</v>
      </c>
      <c r="D354" s="1" t="s">
        <v>781</v>
      </c>
      <c r="E354"/>
      <c r="F354" s="251">
        <f>F310</f>
        <v>4800</v>
      </c>
      <c r="G354" s="250" t="s">
        <v>1485</v>
      </c>
      <c r="H354" s="251" t="str">
        <f>H308</f>
        <v>Bricks of size 22x11x7 cm</v>
      </c>
      <c r="I354" s="8" t="e">
        <f>C80</f>
        <v>#REF!</v>
      </c>
      <c r="J354" s="2" t="s">
        <v>1675</v>
      </c>
      <c r="K354" s="8" t="e">
        <f>(F354*I354)/1000</f>
        <v>#REF!</v>
      </c>
      <c r="R354" s="248" t="s">
        <v>1667</v>
      </c>
      <c r="AG354" s="244" t="s">
        <v>2346</v>
      </c>
    </row>
    <row r="355" spans="1:33" hidden="1">
      <c r="A355" s="358">
        <f t="shared" si="17"/>
        <v>191</v>
      </c>
      <c r="B355" s="244" t="s">
        <v>2301</v>
      </c>
      <c r="C355" s="8">
        <v>46.98</v>
      </c>
      <c r="D355" s="1" t="s">
        <v>781</v>
      </c>
      <c r="E355"/>
      <c r="F355" s="251">
        <f>F311</f>
        <v>2.5</v>
      </c>
      <c r="G355" s="250" t="s">
        <v>884</v>
      </c>
      <c r="H355" s="244" t="s">
        <v>1364</v>
      </c>
      <c r="I355" s="8" t="e">
        <f>K40</f>
        <v>#REF!</v>
      </c>
      <c r="J355" s="2" t="s">
        <v>884</v>
      </c>
      <c r="K355" s="8" t="e">
        <f>(F355*I355)</f>
        <v>#REF!</v>
      </c>
      <c r="O355" s="244" t="s">
        <v>555</v>
      </c>
      <c r="R355" s="251" t="e">
        <f>(R353/10)</f>
        <v>#REF!</v>
      </c>
      <c r="AG355" s="244" t="s">
        <v>2346</v>
      </c>
    </row>
    <row r="356" spans="1:33" hidden="1">
      <c r="A356" s="358">
        <f t="shared" si="17"/>
        <v>192</v>
      </c>
      <c r="B356" s="244" t="s">
        <v>826</v>
      </c>
      <c r="C356"/>
      <c r="D356"/>
      <c r="E356"/>
      <c r="F356" s="251">
        <v>3.5</v>
      </c>
      <c r="G356" s="250" t="s">
        <v>883</v>
      </c>
      <c r="H356" s="244" t="s">
        <v>2082</v>
      </c>
      <c r="I356" s="8">
        <f>(C10)</f>
        <v>150</v>
      </c>
      <c r="J356" s="2" t="s">
        <v>883</v>
      </c>
      <c r="K356" s="8">
        <f>(F356*I356)</f>
        <v>525</v>
      </c>
      <c r="R356" s="248" t="s">
        <v>2130</v>
      </c>
      <c r="AG356" s="244" t="s">
        <v>2346</v>
      </c>
    </row>
    <row r="357" spans="1:33" hidden="1">
      <c r="A357" s="358">
        <f t="shared" si="17"/>
        <v>193</v>
      </c>
      <c r="B357" s="244" t="s">
        <v>237</v>
      </c>
      <c r="C357" s="8">
        <v>19.3</v>
      </c>
      <c r="D357" s="1" t="s">
        <v>781</v>
      </c>
      <c r="E357"/>
      <c r="F357" s="251">
        <v>10.6</v>
      </c>
      <c r="G357" s="250" t="s">
        <v>883</v>
      </c>
      <c r="H357" s="244" t="s">
        <v>1791</v>
      </c>
      <c r="I357" s="8">
        <f>(C11)</f>
        <v>135</v>
      </c>
      <c r="J357" s="2" t="s">
        <v>883</v>
      </c>
      <c r="K357" s="8">
        <f>(F357*I357)</f>
        <v>1431</v>
      </c>
      <c r="N357" s="244" t="s">
        <v>2338</v>
      </c>
      <c r="O357" s="244" t="s">
        <v>827</v>
      </c>
      <c r="AG357" s="244" t="s">
        <v>2346</v>
      </c>
    </row>
    <row r="358" spans="1:33" hidden="1">
      <c r="A358" s="358">
        <f t="shared" si="17"/>
        <v>194</v>
      </c>
      <c r="B358" s="244" t="s">
        <v>238</v>
      </c>
      <c r="C358" s="8">
        <v>25.74</v>
      </c>
      <c r="D358" s="1" t="s">
        <v>781</v>
      </c>
      <c r="E358"/>
      <c r="F358" s="251">
        <v>7.1</v>
      </c>
      <c r="G358" s="250" t="s">
        <v>883</v>
      </c>
      <c r="H358" s="244" t="s">
        <v>1979</v>
      </c>
      <c r="I358" s="8">
        <f>(C12)</f>
        <v>95</v>
      </c>
      <c r="J358" s="2" t="s">
        <v>883</v>
      </c>
      <c r="K358" s="8">
        <f>(F358*I358)</f>
        <v>674.5</v>
      </c>
      <c r="O358" s="244" t="s">
        <v>828</v>
      </c>
      <c r="AG358" s="244" t="s">
        <v>2346</v>
      </c>
    </row>
    <row r="359" spans="1:33" hidden="1">
      <c r="A359" s="358">
        <f t="shared" si="17"/>
        <v>195</v>
      </c>
      <c r="B359" s="244" t="s">
        <v>239</v>
      </c>
      <c r="C359" s="8">
        <v>33.46</v>
      </c>
      <c r="D359" s="1" t="s">
        <v>781</v>
      </c>
      <c r="E359"/>
      <c r="F359" s="251">
        <v>21.2</v>
      </c>
      <c r="G359" s="250" t="s">
        <v>883</v>
      </c>
      <c r="H359" s="244" t="s">
        <v>324</v>
      </c>
      <c r="I359" s="8">
        <f>(C13)</f>
        <v>85</v>
      </c>
      <c r="J359" s="2" t="s">
        <v>883</v>
      </c>
      <c r="K359" s="8">
        <f>(F359*I359)</f>
        <v>1802</v>
      </c>
      <c r="O359" s="244" t="s">
        <v>829</v>
      </c>
      <c r="AG359" s="244" t="s">
        <v>2346</v>
      </c>
    </row>
    <row r="360" spans="1:33" hidden="1">
      <c r="A360" s="358">
        <f t="shared" si="17"/>
        <v>196</v>
      </c>
      <c r="B360" s="244" t="s">
        <v>2301</v>
      </c>
      <c r="C360" s="8">
        <v>53.62</v>
      </c>
      <c r="D360" s="1" t="s">
        <v>995</v>
      </c>
      <c r="E360"/>
      <c r="G360" s="250" t="s">
        <v>448</v>
      </c>
      <c r="H360" s="244" t="s">
        <v>449</v>
      </c>
      <c r="I360"/>
      <c r="J360" s="2" t="s">
        <v>448</v>
      </c>
      <c r="K360" s="8">
        <v>0</v>
      </c>
      <c r="O360" s="248" t="s">
        <v>1667</v>
      </c>
      <c r="AG360" s="244" t="s">
        <v>2346</v>
      </c>
    </row>
    <row r="361" spans="1:33" hidden="1">
      <c r="A361" s="358">
        <f t="shared" si="17"/>
        <v>197</v>
      </c>
      <c r="B361" s="244" t="s">
        <v>989</v>
      </c>
      <c r="C361"/>
      <c r="D361"/>
      <c r="E361"/>
      <c r="I361"/>
      <c r="J361" s="4"/>
      <c r="K361" s="5" t="s">
        <v>1667</v>
      </c>
      <c r="M361" s="251">
        <v>0.22</v>
      </c>
      <c r="N361" s="244" t="s">
        <v>884</v>
      </c>
      <c r="O361" s="244" t="s">
        <v>1364</v>
      </c>
      <c r="P361" s="251" t="e">
        <f>(K40)</f>
        <v>#REF!</v>
      </c>
      <c r="Q361" s="244" t="s">
        <v>884</v>
      </c>
      <c r="R361" s="251" t="e">
        <f t="shared" ref="R361:R366" si="18">(M361*P361)</f>
        <v>#REF!</v>
      </c>
      <c r="AG361" s="244" t="s">
        <v>2346</v>
      </c>
    </row>
    <row r="362" spans="1:33" hidden="1">
      <c r="A362" s="358">
        <f t="shared" si="17"/>
        <v>198</v>
      </c>
      <c r="B362" s="244" t="s">
        <v>237</v>
      </c>
      <c r="C362" s="8">
        <v>26.16</v>
      </c>
      <c r="D362" s="1" t="s">
        <v>781</v>
      </c>
      <c r="E362"/>
      <c r="H362" s="244" t="s">
        <v>618</v>
      </c>
      <c r="I362"/>
      <c r="J362" s="4"/>
      <c r="K362" s="8" t="e">
        <f>SUM(K354:K360)</f>
        <v>#REF!</v>
      </c>
      <c r="M362" s="251">
        <v>2.2000000000000002</v>
      </c>
      <c r="N362" s="244" t="s">
        <v>883</v>
      </c>
      <c r="O362" s="244" t="s">
        <v>2082</v>
      </c>
      <c r="P362" s="251">
        <f>(C10)</f>
        <v>150</v>
      </c>
      <c r="Q362" s="244" t="s">
        <v>883</v>
      </c>
      <c r="R362" s="251">
        <f t="shared" si="18"/>
        <v>330</v>
      </c>
      <c r="AG362" s="244" t="s">
        <v>2346</v>
      </c>
    </row>
    <row r="363" spans="1:33" hidden="1">
      <c r="A363" s="358">
        <f t="shared" si="17"/>
        <v>199</v>
      </c>
      <c r="B363" s="244" t="s">
        <v>238</v>
      </c>
      <c r="C363" s="8">
        <v>34.32</v>
      </c>
      <c r="D363" s="1" t="s">
        <v>781</v>
      </c>
      <c r="E363"/>
      <c r="I363"/>
      <c r="J363" s="4"/>
      <c r="K363" s="5" t="s">
        <v>1667</v>
      </c>
      <c r="M363" s="251">
        <v>0.5</v>
      </c>
      <c r="N363" s="244" t="s">
        <v>883</v>
      </c>
      <c r="O363" s="244" t="s">
        <v>1979</v>
      </c>
      <c r="P363" s="251">
        <f>(C12)</f>
        <v>95</v>
      </c>
      <c r="Q363" s="244" t="s">
        <v>883</v>
      </c>
      <c r="R363" s="251">
        <f t="shared" si="18"/>
        <v>47.5</v>
      </c>
      <c r="AG363" s="244" t="s">
        <v>2346</v>
      </c>
    </row>
    <row r="364" spans="1:33" hidden="1">
      <c r="A364" s="358">
        <f t="shared" si="17"/>
        <v>200</v>
      </c>
      <c r="B364" s="244" t="s">
        <v>239</v>
      </c>
      <c r="C364" s="8">
        <v>40.33</v>
      </c>
      <c r="D364" s="1" t="s">
        <v>781</v>
      </c>
      <c r="E364"/>
      <c r="H364" s="244" t="s">
        <v>785</v>
      </c>
      <c r="I364"/>
      <c r="J364" s="4"/>
      <c r="K364" s="8" t="e">
        <f>(K362/10)</f>
        <v>#REF!</v>
      </c>
      <c r="M364" s="251">
        <v>1.1000000000000001</v>
      </c>
      <c r="N364" s="244" t="s">
        <v>990</v>
      </c>
      <c r="O364" s="244" t="s">
        <v>991</v>
      </c>
      <c r="P364" s="251">
        <f>(C10)</f>
        <v>150</v>
      </c>
      <c r="Q364" s="244" t="s">
        <v>883</v>
      </c>
      <c r="R364" s="251">
        <f t="shared" si="18"/>
        <v>165</v>
      </c>
      <c r="AG364" s="244" t="s">
        <v>2346</v>
      </c>
    </row>
    <row r="365" spans="1:33" hidden="1">
      <c r="A365" s="358">
        <f t="shared" si="17"/>
        <v>201</v>
      </c>
      <c r="B365" s="244" t="s">
        <v>992</v>
      </c>
      <c r="C365"/>
      <c r="D365" s="1" t="s">
        <v>995</v>
      </c>
      <c r="E365"/>
      <c r="I365"/>
      <c r="J365" s="4"/>
      <c r="K365" s="5" t="s">
        <v>2130</v>
      </c>
      <c r="M365" s="251">
        <v>3.2</v>
      </c>
      <c r="N365" s="244" t="s">
        <v>883</v>
      </c>
      <c r="O365" s="244" t="s">
        <v>324</v>
      </c>
      <c r="P365" s="251">
        <f>(C13)</f>
        <v>85</v>
      </c>
      <c r="Q365" s="244" t="s">
        <v>883</v>
      </c>
      <c r="R365" s="251">
        <f t="shared" si="18"/>
        <v>272</v>
      </c>
      <c r="AG365" s="244" t="s">
        <v>2346</v>
      </c>
    </row>
    <row r="366" spans="1:33" hidden="1">
      <c r="A366" s="358">
        <f t="shared" si="17"/>
        <v>202</v>
      </c>
      <c r="B366" s="244" t="s">
        <v>237</v>
      </c>
      <c r="C366" s="8">
        <v>20.329999999999998</v>
      </c>
      <c r="D366" s="1" t="s">
        <v>781</v>
      </c>
      <c r="E366"/>
      <c r="H366" s="244" t="s">
        <v>388</v>
      </c>
      <c r="I366"/>
      <c r="J366" s="4"/>
      <c r="K366" s="8" t="e">
        <f>(K364+C19)</f>
        <v>#REF!</v>
      </c>
      <c r="M366" s="251">
        <v>9.8000000000000007</v>
      </c>
      <c r="N366" s="244" t="s">
        <v>1730</v>
      </c>
      <c r="O366" s="244" t="s">
        <v>1731</v>
      </c>
      <c r="P366" s="251">
        <f>(C180)</f>
        <v>110</v>
      </c>
      <c r="Q366" s="244" t="s">
        <v>1730</v>
      </c>
      <c r="R366" s="251">
        <f t="shared" si="18"/>
        <v>1078</v>
      </c>
      <c r="AG366" s="244" t="s">
        <v>2346</v>
      </c>
    </row>
    <row r="367" spans="1:33" hidden="1">
      <c r="A367" s="358">
        <f t="shared" si="17"/>
        <v>203</v>
      </c>
      <c r="B367" s="244" t="s">
        <v>238</v>
      </c>
      <c r="C367" s="8">
        <v>26.6</v>
      </c>
      <c r="D367" s="1" t="s">
        <v>781</v>
      </c>
      <c r="E367"/>
      <c r="H367" s="244" t="s">
        <v>390</v>
      </c>
      <c r="I367"/>
      <c r="J367" s="4"/>
      <c r="K367" s="8" t="e">
        <f>(K366+C20)</f>
        <v>#REF!</v>
      </c>
      <c r="N367" s="244" t="s">
        <v>448</v>
      </c>
      <c r="O367" s="244" t="s">
        <v>449</v>
      </c>
      <c r="P367" s="244" t="s">
        <v>995</v>
      </c>
      <c r="Q367" s="244" t="s">
        <v>448</v>
      </c>
      <c r="R367" s="251">
        <v>0</v>
      </c>
      <c r="AG367" s="244" t="s">
        <v>2346</v>
      </c>
    </row>
    <row r="368" spans="1:33" hidden="1">
      <c r="A368" s="358">
        <f t="shared" si="17"/>
        <v>204</v>
      </c>
      <c r="B368" s="244" t="s">
        <v>239</v>
      </c>
      <c r="C368" s="8">
        <v>33.89</v>
      </c>
      <c r="D368" s="1" t="s">
        <v>781</v>
      </c>
      <c r="E368"/>
      <c r="H368" s="244" t="s">
        <v>2319</v>
      </c>
      <c r="I368"/>
      <c r="J368" s="4"/>
      <c r="K368" s="8" t="e">
        <f>(K367+C21)</f>
        <v>#REF!</v>
      </c>
      <c r="R368" s="248" t="s">
        <v>1667</v>
      </c>
      <c r="AG368" s="244" t="s">
        <v>2346</v>
      </c>
    </row>
    <row r="369" spans="1:33" hidden="1">
      <c r="A369" s="358">
        <f t="shared" si="17"/>
        <v>205</v>
      </c>
      <c r="B369" s="244" t="s">
        <v>993</v>
      </c>
      <c r="C369"/>
      <c r="D369"/>
      <c r="E369"/>
      <c r="H369" s="244" t="s">
        <v>382</v>
      </c>
      <c r="I369"/>
      <c r="J369" s="4"/>
      <c r="K369" s="8" t="e">
        <f>(K368+C21)</f>
        <v>#REF!</v>
      </c>
      <c r="O369" s="244" t="s">
        <v>440</v>
      </c>
      <c r="R369" s="251" t="e">
        <f>SUM(R361:R367)</f>
        <v>#REF!</v>
      </c>
      <c r="AG369" s="244" t="s">
        <v>2346</v>
      </c>
    </row>
    <row r="370" spans="1:33" hidden="1">
      <c r="A370" s="358">
        <f t="shared" si="17"/>
        <v>206</v>
      </c>
      <c r="B370" s="244" t="s">
        <v>237</v>
      </c>
      <c r="C370" s="8">
        <v>13.29</v>
      </c>
      <c r="D370" s="1" t="s">
        <v>781</v>
      </c>
      <c r="E370"/>
      <c r="H370" s="244" t="s">
        <v>485</v>
      </c>
      <c r="I370"/>
      <c r="J370" s="4"/>
      <c r="K370" s="8" t="e">
        <f>(K369+C21)</f>
        <v>#REF!</v>
      </c>
      <c r="R370" s="248" t="s">
        <v>1667</v>
      </c>
      <c r="AG370" s="244" t="s">
        <v>2346</v>
      </c>
    </row>
    <row r="371" spans="1:33" hidden="1">
      <c r="A371" s="358">
        <f t="shared" si="17"/>
        <v>207</v>
      </c>
      <c r="B371" s="244" t="s">
        <v>238</v>
      </c>
      <c r="C371" s="8">
        <v>18.02</v>
      </c>
      <c r="D371" s="1" t="s">
        <v>781</v>
      </c>
      <c r="E371"/>
      <c r="H371" s="244" t="s">
        <v>1908</v>
      </c>
      <c r="I371"/>
      <c r="J371" s="4"/>
      <c r="K371" s="8" t="e">
        <f>(K366+K367+K368)/3</f>
        <v>#REF!</v>
      </c>
      <c r="O371" s="244" t="s">
        <v>555</v>
      </c>
      <c r="R371" s="251" t="e">
        <f>(R369/10)</f>
        <v>#REF!</v>
      </c>
      <c r="AG371" s="244" t="s">
        <v>2346</v>
      </c>
    </row>
    <row r="372" spans="1:33" hidden="1">
      <c r="A372" s="358">
        <f t="shared" si="17"/>
        <v>208</v>
      </c>
      <c r="B372" s="244" t="s">
        <v>239</v>
      </c>
      <c r="C372" s="8">
        <v>23.17</v>
      </c>
      <c r="D372" s="1" t="s">
        <v>781</v>
      </c>
      <c r="E372"/>
      <c r="I372"/>
      <c r="J372" s="4"/>
      <c r="K372"/>
      <c r="R372" s="248" t="s">
        <v>2130</v>
      </c>
      <c r="AG372" s="244" t="s">
        <v>2346</v>
      </c>
    </row>
    <row r="373" spans="1:33" hidden="1">
      <c r="A373" s="358">
        <f t="shared" si="17"/>
        <v>209</v>
      </c>
      <c r="B373" s="244" t="s">
        <v>1909</v>
      </c>
      <c r="C373"/>
      <c r="D373" s="1" t="s">
        <v>995</v>
      </c>
      <c r="E373"/>
      <c r="H373" s="354" t="s">
        <v>1910</v>
      </c>
      <c r="I373"/>
      <c r="J373" s="4"/>
      <c r="K373"/>
      <c r="N373" s="244" t="s">
        <v>2338</v>
      </c>
      <c r="O373" s="244" t="s">
        <v>1911</v>
      </c>
      <c r="AG373" s="244" t="s">
        <v>2346</v>
      </c>
    </row>
    <row r="374" spans="1:33" hidden="1">
      <c r="A374" s="358">
        <f t="shared" si="17"/>
        <v>210</v>
      </c>
      <c r="B374" s="244" t="s">
        <v>237</v>
      </c>
      <c r="C374" s="8">
        <v>9</v>
      </c>
      <c r="D374" s="1" t="s">
        <v>781</v>
      </c>
      <c r="E374"/>
      <c r="H374" s="248" t="s">
        <v>1667</v>
      </c>
      <c r="I374"/>
      <c r="J374" s="4"/>
      <c r="K374"/>
      <c r="O374" s="248" t="s">
        <v>1667</v>
      </c>
      <c r="AG374" s="244" t="s">
        <v>2346</v>
      </c>
    </row>
    <row r="375" spans="1:33" hidden="1">
      <c r="A375" s="358">
        <f t="shared" si="17"/>
        <v>211</v>
      </c>
      <c r="B375" s="244" t="s">
        <v>238</v>
      </c>
      <c r="C375" s="8">
        <v>11.58</v>
      </c>
      <c r="D375" s="1" t="s">
        <v>781</v>
      </c>
      <c r="E375"/>
      <c r="F375" s="360">
        <v>10</v>
      </c>
      <c r="G375" s="250" t="s">
        <v>2338</v>
      </c>
      <c r="H375" s="244" t="s">
        <v>3282</v>
      </c>
      <c r="I375"/>
      <c r="J375" s="4"/>
      <c r="K375"/>
      <c r="M375" s="251">
        <v>0.05</v>
      </c>
      <c r="N375" s="244" t="s">
        <v>884</v>
      </c>
      <c r="O375" s="244" t="s">
        <v>2077</v>
      </c>
      <c r="P375" s="251">
        <f>(C84)</f>
        <v>773</v>
      </c>
      <c r="Q375" s="244" t="s">
        <v>884</v>
      </c>
      <c r="R375" s="251">
        <f>(M375*P375)</f>
        <v>38.65</v>
      </c>
      <c r="AG375" s="244" t="s">
        <v>2346</v>
      </c>
    </row>
    <row r="376" spans="1:33" hidden="1">
      <c r="A376" s="358">
        <f t="shared" si="17"/>
        <v>212</v>
      </c>
      <c r="B376" s="244" t="s">
        <v>239</v>
      </c>
      <c r="C376" s="8">
        <v>14.15</v>
      </c>
      <c r="D376" s="1" t="s">
        <v>781</v>
      </c>
      <c r="E376"/>
      <c r="H376" s="251" t="str">
        <f>H308</f>
        <v>Bricks of size 22x11x7 cm</v>
      </c>
      <c r="I376"/>
      <c r="J376" s="4"/>
      <c r="K376"/>
      <c r="M376" s="251">
        <v>1.1000000000000001</v>
      </c>
      <c r="N376" s="244" t="s">
        <v>883</v>
      </c>
      <c r="O376" s="244" t="s">
        <v>1791</v>
      </c>
      <c r="P376" s="251">
        <f>(C11)</f>
        <v>135</v>
      </c>
      <c r="Q376" s="244" t="s">
        <v>883</v>
      </c>
      <c r="R376" s="251">
        <f>(M376*P376)</f>
        <v>148.5</v>
      </c>
      <c r="AG376" s="244" t="s">
        <v>2346</v>
      </c>
    </row>
    <row r="377" spans="1:33" hidden="1">
      <c r="A377" s="358">
        <f t="shared" si="17"/>
        <v>213</v>
      </c>
      <c r="B377" s="244" t="s">
        <v>1912</v>
      </c>
      <c r="C377"/>
      <c r="D377"/>
      <c r="E377"/>
      <c r="H377" s="248" t="s">
        <v>1667</v>
      </c>
      <c r="I377"/>
      <c r="J377" s="4"/>
      <c r="K377"/>
      <c r="M377" s="251">
        <v>0.3</v>
      </c>
      <c r="N377" s="244" t="s">
        <v>883</v>
      </c>
      <c r="O377" s="244" t="s">
        <v>1979</v>
      </c>
      <c r="P377" s="251">
        <f>(C12)</f>
        <v>95</v>
      </c>
      <c r="Q377" s="244" t="s">
        <v>883</v>
      </c>
      <c r="R377" s="251">
        <f>(M377*P377)</f>
        <v>28.5</v>
      </c>
      <c r="AG377" s="244" t="s">
        <v>2346</v>
      </c>
    </row>
    <row r="378" spans="1:33" hidden="1">
      <c r="A378" s="358">
        <f t="shared" si="17"/>
        <v>214</v>
      </c>
      <c r="B378" s="244" t="s">
        <v>237</v>
      </c>
      <c r="C378" s="8">
        <v>4.29</v>
      </c>
      <c r="D378" s="1" t="s">
        <v>781</v>
      </c>
      <c r="E378"/>
      <c r="F378" s="251">
        <f>F310</f>
        <v>4800</v>
      </c>
      <c r="G378" s="250" t="s">
        <v>1485</v>
      </c>
      <c r="H378" s="251" t="str">
        <f>H308</f>
        <v>Bricks of size 22x11x7 cm</v>
      </c>
      <c r="I378" s="8" t="e">
        <f>(C80)</f>
        <v>#REF!</v>
      </c>
      <c r="J378" s="2" t="s">
        <v>1675</v>
      </c>
      <c r="K378" s="8" t="e">
        <f>(F378*I378)/1000</f>
        <v>#REF!</v>
      </c>
      <c r="M378" s="251">
        <v>1.9</v>
      </c>
      <c r="N378" s="244" t="s">
        <v>883</v>
      </c>
      <c r="O378" s="244" t="s">
        <v>324</v>
      </c>
      <c r="P378" s="251">
        <f>(C13)</f>
        <v>85</v>
      </c>
      <c r="Q378" s="244" t="s">
        <v>883</v>
      </c>
      <c r="R378" s="251">
        <f>(M378*P378)</f>
        <v>161.5</v>
      </c>
      <c r="AG378" s="244" t="s">
        <v>2346</v>
      </c>
    </row>
    <row r="379" spans="1:33" hidden="1">
      <c r="A379" s="358">
        <f t="shared" si="17"/>
        <v>215</v>
      </c>
      <c r="B379" s="244" t="s">
        <v>238</v>
      </c>
      <c r="C379" s="8">
        <v>6.01</v>
      </c>
      <c r="D379" s="1" t="s">
        <v>781</v>
      </c>
      <c r="E379"/>
      <c r="F379" s="251">
        <v>1.59</v>
      </c>
      <c r="G379" s="250" t="s">
        <v>884</v>
      </c>
      <c r="H379" s="244" t="s">
        <v>1364</v>
      </c>
      <c r="I379" s="8" t="e">
        <f>(K40)</f>
        <v>#REF!</v>
      </c>
      <c r="J379" s="2" t="s">
        <v>884</v>
      </c>
      <c r="K379" s="8" t="e">
        <f>(F379*I379)</f>
        <v>#REF!</v>
      </c>
      <c r="N379" s="244" t="s">
        <v>448</v>
      </c>
      <c r="O379" s="244" t="s">
        <v>1913</v>
      </c>
      <c r="P379" s="244" t="s">
        <v>995</v>
      </c>
      <c r="Q379" s="244" t="s">
        <v>448</v>
      </c>
      <c r="R379" s="251">
        <v>1.46</v>
      </c>
      <c r="AG379" s="244" t="s">
        <v>2346</v>
      </c>
    </row>
    <row r="380" spans="1:33" hidden="1">
      <c r="A380" s="358">
        <f t="shared" si="17"/>
        <v>216</v>
      </c>
      <c r="B380" s="244" t="s">
        <v>239</v>
      </c>
      <c r="C380" s="8">
        <v>6.86</v>
      </c>
      <c r="D380" s="1" t="s">
        <v>781</v>
      </c>
      <c r="E380"/>
      <c r="F380" s="251">
        <v>7</v>
      </c>
      <c r="G380" s="250" t="s">
        <v>883</v>
      </c>
      <c r="H380" s="244" t="s">
        <v>2082</v>
      </c>
      <c r="I380" s="8">
        <f>(C10)</f>
        <v>150</v>
      </c>
      <c r="J380" s="2" t="s">
        <v>883</v>
      </c>
      <c r="K380" s="8">
        <f>(F380*I380)</f>
        <v>1050</v>
      </c>
      <c r="R380" s="248" t="s">
        <v>1667</v>
      </c>
      <c r="AG380" s="244" t="s">
        <v>2346</v>
      </c>
    </row>
    <row r="381" spans="1:33" hidden="1">
      <c r="A381" s="358">
        <f t="shared" si="17"/>
        <v>217</v>
      </c>
      <c r="B381" s="244" t="s">
        <v>1914</v>
      </c>
      <c r="C381"/>
      <c r="D381" s="1" t="s">
        <v>995</v>
      </c>
      <c r="E381"/>
      <c r="F381" s="251">
        <v>7.1</v>
      </c>
      <c r="G381" s="250" t="s">
        <v>883</v>
      </c>
      <c r="H381" s="244" t="s">
        <v>1791</v>
      </c>
      <c r="I381" s="8">
        <f>(C11)</f>
        <v>135</v>
      </c>
      <c r="J381" s="2" t="s">
        <v>883</v>
      </c>
      <c r="K381" s="8">
        <f>(F381*I381)</f>
        <v>958.5</v>
      </c>
      <c r="O381" s="244" t="s">
        <v>1915</v>
      </c>
      <c r="R381" s="251">
        <f>SUM(R374:R379)</f>
        <v>378.61</v>
      </c>
      <c r="AG381" s="244" t="s">
        <v>2346</v>
      </c>
    </row>
    <row r="382" spans="1:33" hidden="1">
      <c r="A382" s="358">
        <f t="shared" si="17"/>
        <v>218</v>
      </c>
      <c r="B382" s="244" t="s">
        <v>237</v>
      </c>
      <c r="C382" s="8">
        <v>14.91</v>
      </c>
      <c r="D382" s="1" t="s">
        <v>781</v>
      </c>
      <c r="E382"/>
      <c r="F382" s="251">
        <v>7.1</v>
      </c>
      <c r="G382" s="250" t="s">
        <v>883</v>
      </c>
      <c r="H382" s="244" t="s">
        <v>1979</v>
      </c>
      <c r="I382" s="8">
        <f>(C12)</f>
        <v>95</v>
      </c>
      <c r="J382" s="2" t="s">
        <v>883</v>
      </c>
      <c r="K382" s="8">
        <f>(F382*I382)</f>
        <v>674.5</v>
      </c>
      <c r="R382" s="248" t="s">
        <v>1667</v>
      </c>
      <c r="AG382" s="244" t="s">
        <v>2346</v>
      </c>
    </row>
    <row r="383" spans="1:33" hidden="1">
      <c r="A383" s="358">
        <f t="shared" si="17"/>
        <v>219</v>
      </c>
      <c r="B383" s="244" t="s">
        <v>238</v>
      </c>
      <c r="C383" s="8">
        <v>17.579999999999998</v>
      </c>
      <c r="D383" s="1" t="s">
        <v>781</v>
      </c>
      <c r="E383"/>
      <c r="F383" s="251">
        <v>21.2</v>
      </c>
      <c r="G383" s="250" t="s">
        <v>883</v>
      </c>
      <c r="H383" s="244" t="s">
        <v>324</v>
      </c>
      <c r="I383" s="8">
        <f>(C13)</f>
        <v>85</v>
      </c>
      <c r="J383" s="2" t="s">
        <v>883</v>
      </c>
      <c r="K383" s="8">
        <f>(F383*I383)</f>
        <v>1802</v>
      </c>
      <c r="O383" s="244" t="s">
        <v>555</v>
      </c>
      <c r="R383" s="251">
        <f>(R381/100)</f>
        <v>3.79</v>
      </c>
      <c r="AG383" s="244" t="s">
        <v>2346</v>
      </c>
    </row>
    <row r="384" spans="1:33" hidden="1">
      <c r="A384" s="358">
        <f t="shared" ref="A384:A420" si="19">(A383+1)</f>
        <v>220</v>
      </c>
      <c r="B384" s="244" t="s">
        <v>239</v>
      </c>
      <c r="C384" s="8">
        <v>19.3</v>
      </c>
      <c r="D384" s="1" t="s">
        <v>781</v>
      </c>
      <c r="E384"/>
      <c r="G384" s="250" t="s">
        <v>448</v>
      </c>
      <c r="H384" s="244" t="s">
        <v>449</v>
      </c>
      <c r="I384" s="1" t="s">
        <v>995</v>
      </c>
      <c r="J384" s="2" t="s">
        <v>448</v>
      </c>
      <c r="K384" s="8">
        <v>0</v>
      </c>
      <c r="R384" s="248" t="s">
        <v>2130</v>
      </c>
      <c r="AG384" s="244" t="s">
        <v>2346</v>
      </c>
    </row>
    <row r="385" spans="1:33" hidden="1">
      <c r="A385" s="358">
        <f t="shared" si="19"/>
        <v>221</v>
      </c>
      <c r="B385" s="244" t="s">
        <v>1157</v>
      </c>
      <c r="C385"/>
      <c r="D385"/>
      <c r="E385"/>
      <c r="I385"/>
      <c r="J385" s="4"/>
      <c r="K385" s="5" t="s">
        <v>1667</v>
      </c>
      <c r="AG385" s="244" t="s">
        <v>325</v>
      </c>
    </row>
    <row r="386" spans="1:33" hidden="1">
      <c r="A386" s="358">
        <f t="shared" si="19"/>
        <v>222</v>
      </c>
      <c r="B386" s="244" t="s">
        <v>237</v>
      </c>
      <c r="C386" s="8">
        <v>15.87</v>
      </c>
      <c r="D386" s="1" t="s">
        <v>781</v>
      </c>
      <c r="E386"/>
      <c r="H386" s="244" t="s">
        <v>618</v>
      </c>
      <c r="I386"/>
      <c r="J386" s="4"/>
      <c r="K386" s="8" t="e">
        <f>SUM(K378:K384)</f>
        <v>#REF!</v>
      </c>
    </row>
    <row r="387" spans="1:33" hidden="1">
      <c r="A387" s="358">
        <f t="shared" si="19"/>
        <v>223</v>
      </c>
      <c r="B387" s="244" t="s">
        <v>238</v>
      </c>
      <c r="C387" s="8">
        <v>20.16</v>
      </c>
      <c r="D387" s="1" t="s">
        <v>781</v>
      </c>
      <c r="E387"/>
      <c r="I387"/>
      <c r="J387" s="4"/>
      <c r="K387" s="5" t="s">
        <v>1667</v>
      </c>
      <c r="N387" s="244" t="s">
        <v>685</v>
      </c>
      <c r="O387" s="244" t="s">
        <v>1158</v>
      </c>
    </row>
    <row r="388" spans="1:33" hidden="1">
      <c r="A388" s="358">
        <f t="shared" si="19"/>
        <v>224</v>
      </c>
      <c r="B388" s="244" t="s">
        <v>239</v>
      </c>
      <c r="C388" s="8">
        <v>22.31</v>
      </c>
      <c r="D388" s="1" t="s">
        <v>781</v>
      </c>
      <c r="E388"/>
      <c r="H388" s="244" t="s">
        <v>785</v>
      </c>
      <c r="I388"/>
      <c r="J388" s="4"/>
      <c r="K388" s="8" t="e">
        <f>(K386/10)</f>
        <v>#REF!</v>
      </c>
      <c r="O388" s="248" t="s">
        <v>1667</v>
      </c>
      <c r="AG388" s="244" t="s">
        <v>2346</v>
      </c>
    </row>
    <row r="389" spans="1:33" hidden="1">
      <c r="A389" s="358">
        <f t="shared" si="19"/>
        <v>225</v>
      </c>
      <c r="B389" s="244" t="s">
        <v>3283</v>
      </c>
      <c r="C389"/>
      <c r="D389" s="1" t="s">
        <v>995</v>
      </c>
      <c r="E389"/>
      <c r="I389"/>
      <c r="J389" s="4"/>
      <c r="K389" s="5" t="s">
        <v>2130</v>
      </c>
      <c r="M389" s="251">
        <v>7.0000000000000007E-2</v>
      </c>
      <c r="N389" s="244" t="s">
        <v>884</v>
      </c>
      <c r="O389" s="244" t="s">
        <v>2077</v>
      </c>
      <c r="P389" s="251">
        <f>(C84)</f>
        <v>773</v>
      </c>
      <c r="Q389" s="244" t="s">
        <v>884</v>
      </c>
      <c r="R389" s="251">
        <f>(M389*P389)</f>
        <v>54.11</v>
      </c>
      <c r="AG389" s="244" t="s">
        <v>2346</v>
      </c>
    </row>
    <row r="390" spans="1:33" hidden="1">
      <c r="A390" s="358">
        <f t="shared" si="19"/>
        <v>226</v>
      </c>
      <c r="B390" s="244" t="s">
        <v>1159</v>
      </c>
      <c r="C390" s="8">
        <v>26.4</v>
      </c>
      <c r="D390" s="1" t="s">
        <v>1854</v>
      </c>
      <c r="E390"/>
      <c r="I390"/>
      <c r="J390" s="4"/>
      <c r="K390"/>
      <c r="M390" s="251">
        <v>1.6</v>
      </c>
      <c r="N390" s="244" t="s">
        <v>883</v>
      </c>
      <c r="O390" s="244" t="s">
        <v>1791</v>
      </c>
      <c r="P390" s="251">
        <f>(C11)</f>
        <v>135</v>
      </c>
      <c r="Q390" s="244" t="s">
        <v>883</v>
      </c>
      <c r="R390" s="251">
        <f>(M390*P390)</f>
        <v>216</v>
      </c>
      <c r="AG390" s="244" t="s">
        <v>2346</v>
      </c>
    </row>
    <row r="391" spans="1:33" hidden="1">
      <c r="A391" s="358">
        <f t="shared" si="19"/>
        <v>227</v>
      </c>
      <c r="B391" s="244" t="s">
        <v>1160</v>
      </c>
      <c r="C391" s="8">
        <v>35.26</v>
      </c>
      <c r="D391" s="1" t="s">
        <v>1854</v>
      </c>
      <c r="E391"/>
      <c r="G391" s="250" t="s">
        <v>685</v>
      </c>
      <c r="H391" s="244" t="s">
        <v>3083</v>
      </c>
      <c r="I391"/>
      <c r="J391" s="4"/>
      <c r="K391"/>
      <c r="M391" s="251">
        <v>0.5</v>
      </c>
      <c r="N391" s="244" t="s">
        <v>883</v>
      </c>
      <c r="O391" s="244" t="s">
        <v>1979</v>
      </c>
      <c r="P391" s="251">
        <f>(C12)</f>
        <v>95</v>
      </c>
      <c r="Q391" s="244" t="s">
        <v>883</v>
      </c>
      <c r="R391" s="251">
        <f>(M391*P391)</f>
        <v>47.5</v>
      </c>
      <c r="AG391" s="244" t="s">
        <v>2346</v>
      </c>
    </row>
    <row r="392" spans="1:33" hidden="1">
      <c r="A392" s="358">
        <f t="shared" si="19"/>
        <v>228</v>
      </c>
      <c r="B392" s="244" t="s">
        <v>1161</v>
      </c>
      <c r="C392" s="8">
        <v>48.71</v>
      </c>
      <c r="D392" s="1" t="s">
        <v>1854</v>
      </c>
      <c r="E392"/>
      <c r="H392" s="248" t="s">
        <v>1667</v>
      </c>
      <c r="I392"/>
      <c r="J392" s="4"/>
      <c r="K392"/>
      <c r="M392" s="251">
        <v>2.7</v>
      </c>
      <c r="N392" s="244" t="s">
        <v>883</v>
      </c>
      <c r="O392" s="244" t="s">
        <v>324</v>
      </c>
      <c r="P392" s="251">
        <f>(C13)</f>
        <v>85</v>
      </c>
      <c r="Q392" s="244" t="s">
        <v>883</v>
      </c>
      <c r="R392" s="251">
        <f>(M392*P392)</f>
        <v>229.5</v>
      </c>
      <c r="AG392" s="244" t="s">
        <v>2346</v>
      </c>
    </row>
    <row r="393" spans="1:33" hidden="1">
      <c r="A393" s="358">
        <f t="shared" si="19"/>
        <v>229</v>
      </c>
      <c r="B393" s="244" t="s">
        <v>1162</v>
      </c>
      <c r="C393" s="8">
        <v>58.75</v>
      </c>
      <c r="D393" s="1" t="s">
        <v>1854</v>
      </c>
      <c r="E393"/>
      <c r="F393" s="251">
        <v>1.1000000000000001</v>
      </c>
      <c r="G393" s="250" t="s">
        <v>884</v>
      </c>
      <c r="H393" s="244" t="s">
        <v>1163</v>
      </c>
      <c r="I393" s="8" t="e">
        <f>(K388)</f>
        <v>#REF!</v>
      </c>
      <c r="J393" s="2" t="s">
        <v>883</v>
      </c>
      <c r="K393" s="8" t="e">
        <f>(F393*I393)</f>
        <v>#REF!</v>
      </c>
      <c r="N393" s="244" t="s">
        <v>448</v>
      </c>
      <c r="O393" s="244" t="s">
        <v>1913</v>
      </c>
      <c r="P393" s="244" t="s">
        <v>995</v>
      </c>
      <c r="Q393" s="244" t="s">
        <v>448</v>
      </c>
      <c r="R393" s="251">
        <v>2.09</v>
      </c>
      <c r="AG393" s="244" t="s">
        <v>2346</v>
      </c>
    </row>
    <row r="394" spans="1:33" hidden="1">
      <c r="A394" s="358">
        <f t="shared" si="19"/>
        <v>230</v>
      </c>
      <c r="B394" s="244" t="s">
        <v>1164</v>
      </c>
      <c r="C394" s="8">
        <v>70.2</v>
      </c>
      <c r="D394" s="1" t="s">
        <v>1854</v>
      </c>
      <c r="E394"/>
      <c r="F394" s="251">
        <v>1</v>
      </c>
      <c r="G394" s="250" t="s">
        <v>781</v>
      </c>
      <c r="H394" s="244" t="s">
        <v>2082</v>
      </c>
      <c r="I394" s="8">
        <f>(C10)</f>
        <v>150</v>
      </c>
      <c r="J394" s="2" t="s">
        <v>883</v>
      </c>
      <c r="K394" s="8">
        <f>(F394*I394)</f>
        <v>150</v>
      </c>
      <c r="R394" s="248" t="s">
        <v>1667</v>
      </c>
      <c r="AG394" s="244" t="s">
        <v>2346</v>
      </c>
    </row>
    <row r="395" spans="1:33" hidden="1">
      <c r="A395" s="358">
        <f t="shared" si="19"/>
        <v>231</v>
      </c>
      <c r="B395" s="244" t="s">
        <v>237</v>
      </c>
      <c r="C395" s="8">
        <v>91.85</v>
      </c>
      <c r="D395" s="1" t="s">
        <v>1854</v>
      </c>
      <c r="E395"/>
      <c r="G395" s="250" t="s">
        <v>448</v>
      </c>
      <c r="H395" s="244" t="s">
        <v>449</v>
      </c>
      <c r="I395" s="1" t="s">
        <v>995</v>
      </c>
      <c r="J395" s="2" t="s">
        <v>448</v>
      </c>
      <c r="K395" s="8">
        <v>0</v>
      </c>
      <c r="O395" s="244" t="s">
        <v>1915</v>
      </c>
      <c r="R395" s="251">
        <f>SUM(R388:R393)</f>
        <v>549.20000000000005</v>
      </c>
      <c r="AG395" s="244" t="s">
        <v>2346</v>
      </c>
    </row>
    <row r="396" spans="1:33" hidden="1">
      <c r="A396" s="358">
        <f t="shared" si="19"/>
        <v>232</v>
      </c>
      <c r="B396" s="244" t="s">
        <v>1165</v>
      </c>
      <c r="C396" s="8">
        <v>128</v>
      </c>
      <c r="D396" s="1" t="s">
        <v>1854</v>
      </c>
      <c r="E396"/>
      <c r="I396"/>
      <c r="J396" s="4"/>
      <c r="K396" s="5" t="s">
        <v>1667</v>
      </c>
      <c r="R396" s="248" t="s">
        <v>1667</v>
      </c>
      <c r="AG396" s="244" t="s">
        <v>2346</v>
      </c>
    </row>
    <row r="397" spans="1:33" hidden="1">
      <c r="A397" s="358">
        <f t="shared" si="19"/>
        <v>233</v>
      </c>
      <c r="B397" s="244" t="s">
        <v>2142</v>
      </c>
      <c r="C397"/>
      <c r="D397"/>
      <c r="E397"/>
      <c r="H397" s="244" t="s">
        <v>440</v>
      </c>
      <c r="I397"/>
      <c r="J397" s="4"/>
      <c r="K397" s="8" t="e">
        <f>SUM(K393:K395)</f>
        <v>#REF!</v>
      </c>
      <c r="O397" s="244" t="s">
        <v>555</v>
      </c>
      <c r="R397" s="251">
        <f>(R395/100)</f>
        <v>5.49</v>
      </c>
      <c r="AG397" s="244" t="s">
        <v>2346</v>
      </c>
    </row>
    <row r="398" spans="1:33" hidden="1">
      <c r="A398" s="358">
        <f t="shared" si="19"/>
        <v>234</v>
      </c>
      <c r="B398" s="244" t="s">
        <v>1159</v>
      </c>
      <c r="C398" s="8">
        <v>9</v>
      </c>
      <c r="D398" s="1" t="s">
        <v>883</v>
      </c>
      <c r="E398"/>
      <c r="I398"/>
      <c r="J398" s="4"/>
      <c r="K398" s="5" t="s">
        <v>1667</v>
      </c>
      <c r="R398" s="248" t="s">
        <v>2130</v>
      </c>
      <c r="AG398" s="244" t="s">
        <v>2346</v>
      </c>
    </row>
    <row r="399" spans="1:33" hidden="1">
      <c r="A399" s="358">
        <f t="shared" si="19"/>
        <v>235</v>
      </c>
      <c r="B399" s="244" t="s">
        <v>1160</v>
      </c>
      <c r="C399" s="8">
        <v>11</v>
      </c>
      <c r="D399" s="1" t="s">
        <v>883</v>
      </c>
      <c r="E399"/>
      <c r="H399" s="244" t="s">
        <v>555</v>
      </c>
      <c r="I399"/>
      <c r="J399" s="4"/>
      <c r="K399" s="8" t="e">
        <f>(K397/10)</f>
        <v>#REF!</v>
      </c>
      <c r="N399" s="244" t="s">
        <v>685</v>
      </c>
      <c r="O399" s="244" t="s">
        <v>354</v>
      </c>
      <c r="AG399" s="244" t="s">
        <v>2346</v>
      </c>
    </row>
    <row r="400" spans="1:33" hidden="1">
      <c r="A400" s="358">
        <f t="shared" si="19"/>
        <v>236</v>
      </c>
      <c r="B400" s="244" t="s">
        <v>1161</v>
      </c>
      <c r="C400" s="8">
        <v>18</v>
      </c>
      <c r="D400" s="1" t="s">
        <v>883</v>
      </c>
      <c r="E400"/>
      <c r="I400"/>
      <c r="J400" s="4"/>
      <c r="K400" s="5" t="s">
        <v>2130</v>
      </c>
      <c r="O400" s="248" t="s">
        <v>1667</v>
      </c>
      <c r="AG400" s="244" t="s">
        <v>2346</v>
      </c>
    </row>
    <row r="401" spans="1:33" hidden="1">
      <c r="A401" s="358">
        <f t="shared" si="19"/>
        <v>237</v>
      </c>
      <c r="B401" s="244" t="s">
        <v>1162</v>
      </c>
      <c r="C401" s="8">
        <v>24.6</v>
      </c>
      <c r="D401" s="1" t="s">
        <v>883</v>
      </c>
      <c r="E401"/>
      <c r="H401" s="244" t="s">
        <v>388</v>
      </c>
      <c r="I401"/>
      <c r="J401" s="4"/>
      <c r="K401" s="8" t="e">
        <f>(K399+C19/10*F393)</f>
        <v>#REF!</v>
      </c>
      <c r="M401" s="251">
        <v>10</v>
      </c>
      <c r="N401" s="244" t="s">
        <v>611</v>
      </c>
      <c r="O401" s="244" t="s">
        <v>1158</v>
      </c>
      <c r="P401" s="251">
        <f>(R397)</f>
        <v>5.49</v>
      </c>
      <c r="Q401" s="244" t="s">
        <v>611</v>
      </c>
      <c r="R401" s="251">
        <f>(M401*P401)</f>
        <v>54.9</v>
      </c>
      <c r="AG401" s="244" t="s">
        <v>2346</v>
      </c>
    </row>
    <row r="402" spans="1:33" hidden="1">
      <c r="A402" s="358">
        <f t="shared" si="19"/>
        <v>238</v>
      </c>
      <c r="B402" s="244" t="s">
        <v>1164</v>
      </c>
      <c r="C402" s="8">
        <v>31.46</v>
      </c>
      <c r="D402" s="1" t="s">
        <v>883</v>
      </c>
      <c r="E402"/>
      <c r="H402" s="244" t="s">
        <v>390</v>
      </c>
      <c r="I402"/>
      <c r="J402" s="4"/>
      <c r="K402" s="8" t="e">
        <f>(K401+C20/10*F393)</f>
        <v>#REF!</v>
      </c>
      <c r="M402" s="251">
        <v>10</v>
      </c>
      <c r="N402" s="244" t="s">
        <v>611</v>
      </c>
      <c r="O402" s="244" t="s">
        <v>1592</v>
      </c>
      <c r="P402" s="251">
        <f>(R397/2)</f>
        <v>2.75</v>
      </c>
      <c r="Q402" s="244" t="s">
        <v>611</v>
      </c>
      <c r="R402" s="251">
        <f>(M402*P402)</f>
        <v>27.5</v>
      </c>
      <c r="AG402" s="244" t="s">
        <v>2346</v>
      </c>
    </row>
    <row r="403" spans="1:33" hidden="1">
      <c r="A403" s="358">
        <f t="shared" si="19"/>
        <v>239</v>
      </c>
      <c r="B403" s="244" t="s">
        <v>237</v>
      </c>
      <c r="C403" s="8">
        <v>53.2</v>
      </c>
      <c r="D403" s="1" t="s">
        <v>883</v>
      </c>
      <c r="E403"/>
      <c r="H403" s="244" t="s">
        <v>2319</v>
      </c>
      <c r="I403"/>
      <c r="J403" s="4"/>
      <c r="K403" s="8" t="e">
        <f>(K402+C21/10*F393)</f>
        <v>#REF!</v>
      </c>
      <c r="O403" s="244" t="s">
        <v>1593</v>
      </c>
      <c r="R403" s="248" t="s">
        <v>1667</v>
      </c>
      <c r="AG403" s="244" t="s">
        <v>2346</v>
      </c>
    </row>
    <row r="404" spans="1:33" hidden="1">
      <c r="A404" s="358">
        <f t="shared" si="19"/>
        <v>240</v>
      </c>
      <c r="B404" s="244" t="s">
        <v>1165</v>
      </c>
      <c r="C404" s="8">
        <v>76.36</v>
      </c>
      <c r="D404" s="1" t="s">
        <v>883</v>
      </c>
      <c r="E404"/>
      <c r="H404" s="244" t="s">
        <v>382</v>
      </c>
      <c r="I404"/>
      <c r="J404" s="4"/>
      <c r="K404" s="8" t="e">
        <f>(K403+C21/10*F393)</f>
        <v>#REF!</v>
      </c>
      <c r="R404" s="251">
        <f>SUM(R401:R402)</f>
        <v>82.4</v>
      </c>
      <c r="AG404" s="244" t="s">
        <v>2346</v>
      </c>
    </row>
    <row r="405" spans="1:33" hidden="1">
      <c r="A405" s="358">
        <f t="shared" si="19"/>
        <v>241</v>
      </c>
      <c r="B405" s="244" t="s">
        <v>1594</v>
      </c>
      <c r="C405"/>
      <c r="D405" s="1" t="s">
        <v>995</v>
      </c>
      <c r="E405"/>
      <c r="H405" s="244" t="s">
        <v>1595</v>
      </c>
      <c r="I405"/>
      <c r="J405" s="4"/>
      <c r="K405" s="8" t="e">
        <f>(K404+C21/10*F393)</f>
        <v>#REF!</v>
      </c>
      <c r="O405" s="244" t="s">
        <v>440</v>
      </c>
      <c r="R405" s="248" t="s">
        <v>1667</v>
      </c>
      <c r="AG405" s="244" t="s">
        <v>2346</v>
      </c>
    </row>
    <row r="406" spans="1:33" hidden="1">
      <c r="A406" s="358">
        <f t="shared" si="19"/>
        <v>242</v>
      </c>
      <c r="B406" s="244" t="s">
        <v>1159</v>
      </c>
      <c r="C406" s="8">
        <v>5.5</v>
      </c>
      <c r="D406" s="1" t="s">
        <v>883</v>
      </c>
      <c r="E406"/>
      <c r="F406" s="360">
        <v>11</v>
      </c>
      <c r="G406" s="250" t="s">
        <v>2338</v>
      </c>
      <c r="H406" s="244" t="s">
        <v>3282</v>
      </c>
      <c r="I406"/>
      <c r="J406" s="4"/>
      <c r="K406"/>
      <c r="R406" s="251">
        <f>(R404/10)</f>
        <v>8.24</v>
      </c>
      <c r="AG406" s="244" t="s">
        <v>2346</v>
      </c>
    </row>
    <row r="407" spans="1:33" hidden="1">
      <c r="A407" s="358">
        <f t="shared" si="19"/>
        <v>243</v>
      </c>
      <c r="B407" s="244" t="s">
        <v>1160</v>
      </c>
      <c r="C407" s="8">
        <v>8</v>
      </c>
      <c r="D407" s="1" t="s">
        <v>883</v>
      </c>
      <c r="E407"/>
      <c r="H407" s="251" t="str">
        <f>H308</f>
        <v>Bricks of size 22x11x7 cm</v>
      </c>
      <c r="I407"/>
      <c r="J407" s="4"/>
      <c r="K407"/>
      <c r="O407" s="244" t="s">
        <v>555</v>
      </c>
      <c r="R407" s="248" t="s">
        <v>2130</v>
      </c>
      <c r="AG407" s="244" t="s">
        <v>2346</v>
      </c>
    </row>
    <row r="408" spans="1:33" hidden="1">
      <c r="A408" s="358">
        <f t="shared" si="19"/>
        <v>244</v>
      </c>
      <c r="B408" s="244" t="s">
        <v>1161</v>
      </c>
      <c r="C408" s="8">
        <v>10.4</v>
      </c>
      <c r="D408" s="1" t="s">
        <v>883</v>
      </c>
      <c r="E408"/>
      <c r="H408" s="248" t="s">
        <v>1667</v>
      </c>
      <c r="I408"/>
      <c r="J408" s="4"/>
      <c r="K408"/>
      <c r="AG408" s="244" t="s">
        <v>2346</v>
      </c>
    </row>
    <row r="409" spans="1:33" hidden="1">
      <c r="A409" s="358">
        <f t="shared" si="19"/>
        <v>245</v>
      </c>
      <c r="B409" s="244" t="s">
        <v>1162</v>
      </c>
      <c r="C409" s="8">
        <v>22.06</v>
      </c>
      <c r="D409" s="1" t="s">
        <v>883</v>
      </c>
      <c r="E409"/>
      <c r="F409" s="251">
        <f>F310</f>
        <v>4800</v>
      </c>
      <c r="G409" s="250" t="s">
        <v>1485</v>
      </c>
      <c r="H409" s="251" t="str">
        <f>H308</f>
        <v>Bricks of size 22x11x7 cm</v>
      </c>
      <c r="I409" s="8" t="e">
        <f>(C80)</f>
        <v>#REF!</v>
      </c>
      <c r="J409" s="2" t="s">
        <v>1596</v>
      </c>
      <c r="K409" s="8" t="e">
        <f>(F409*I409)/1000</f>
        <v>#REF!</v>
      </c>
      <c r="N409" s="244" t="s">
        <v>2338</v>
      </c>
      <c r="O409" s="244" t="s">
        <v>1597</v>
      </c>
      <c r="AG409" s="244" t="s">
        <v>2346</v>
      </c>
    </row>
    <row r="410" spans="1:33" hidden="1">
      <c r="A410" s="358">
        <f t="shared" si="19"/>
        <v>246</v>
      </c>
      <c r="B410" s="244" t="s">
        <v>1164</v>
      </c>
      <c r="C410" s="8">
        <v>27.91</v>
      </c>
      <c r="D410" s="1" t="s">
        <v>883</v>
      </c>
      <c r="E410"/>
      <c r="F410" s="251">
        <v>1.59</v>
      </c>
      <c r="G410" s="250" t="s">
        <v>884</v>
      </c>
      <c r="H410" s="244" t="s">
        <v>1364</v>
      </c>
      <c r="I410" s="8" t="e">
        <f>(K40)</f>
        <v>#REF!</v>
      </c>
      <c r="J410" s="2" t="s">
        <v>884</v>
      </c>
      <c r="K410" s="8" t="e">
        <f>(F410*I410)</f>
        <v>#REF!</v>
      </c>
      <c r="O410" s="244" t="s">
        <v>1598</v>
      </c>
      <c r="AG410" s="244" t="s">
        <v>2346</v>
      </c>
    </row>
    <row r="411" spans="1:33" hidden="1">
      <c r="A411" s="358">
        <f t="shared" si="19"/>
        <v>247</v>
      </c>
      <c r="B411" s="244" t="s">
        <v>237</v>
      </c>
      <c r="C411" s="8">
        <v>49.42</v>
      </c>
      <c r="D411" s="1" t="s">
        <v>883</v>
      </c>
      <c r="E411"/>
      <c r="F411" s="251">
        <v>7</v>
      </c>
      <c r="G411" s="250" t="s">
        <v>883</v>
      </c>
      <c r="H411" s="244" t="s">
        <v>2082</v>
      </c>
      <c r="I411" s="8">
        <f>(C10)</f>
        <v>150</v>
      </c>
      <c r="J411" s="2" t="s">
        <v>883</v>
      </c>
      <c r="K411" s="8">
        <f>(F411*I411)</f>
        <v>1050</v>
      </c>
      <c r="O411" s="248" t="s">
        <v>1667</v>
      </c>
      <c r="AG411" s="244" t="s">
        <v>2346</v>
      </c>
    </row>
    <row r="412" spans="1:33" hidden="1">
      <c r="A412" s="358">
        <f t="shared" si="19"/>
        <v>248</v>
      </c>
      <c r="B412" s="244" t="s">
        <v>1165</v>
      </c>
      <c r="C412" s="8">
        <v>86.94</v>
      </c>
      <c r="D412" s="1" t="s">
        <v>883</v>
      </c>
      <c r="E412"/>
      <c r="F412" s="251">
        <v>7.1</v>
      </c>
      <c r="G412" s="250" t="s">
        <v>883</v>
      </c>
      <c r="H412" s="244" t="s">
        <v>1791</v>
      </c>
      <c r="I412" s="8">
        <f>(C11)</f>
        <v>135</v>
      </c>
      <c r="J412" s="2" t="s">
        <v>883</v>
      </c>
      <c r="K412" s="8">
        <f>(F412*I412)</f>
        <v>958.5</v>
      </c>
      <c r="M412" s="251">
        <v>10</v>
      </c>
      <c r="N412" s="244" t="s">
        <v>611</v>
      </c>
      <c r="O412" s="244" t="s">
        <v>1911</v>
      </c>
      <c r="P412" s="251">
        <f>(R383)</f>
        <v>3.79</v>
      </c>
      <c r="Q412" s="244" t="s">
        <v>611</v>
      </c>
      <c r="R412" s="251">
        <f>(M412*P412)</f>
        <v>37.9</v>
      </c>
      <c r="AG412" s="244" t="s">
        <v>2346</v>
      </c>
    </row>
    <row r="413" spans="1:33" hidden="1">
      <c r="A413" s="358">
        <f t="shared" si="19"/>
        <v>249</v>
      </c>
      <c r="B413" s="244" t="s">
        <v>1599</v>
      </c>
      <c r="C413"/>
      <c r="D413" s="1" t="s">
        <v>995</v>
      </c>
      <c r="E413"/>
      <c r="F413" s="251">
        <v>7.1</v>
      </c>
      <c r="G413" s="250" t="s">
        <v>883</v>
      </c>
      <c r="H413" s="244" t="s">
        <v>1979</v>
      </c>
      <c r="I413" s="8">
        <f>(C12)</f>
        <v>95</v>
      </c>
      <c r="J413" s="2" t="s">
        <v>883</v>
      </c>
      <c r="K413" s="8">
        <f>(F413*I413)</f>
        <v>674.5</v>
      </c>
      <c r="M413" s="251">
        <v>10</v>
      </c>
      <c r="N413" s="244" t="s">
        <v>611</v>
      </c>
      <c r="O413" s="244" t="s">
        <v>354</v>
      </c>
      <c r="P413" s="251">
        <f>(R406)</f>
        <v>8.24</v>
      </c>
      <c r="Q413" s="244" t="s">
        <v>611</v>
      </c>
      <c r="R413" s="251">
        <f>(M413*P413)</f>
        <v>82.4</v>
      </c>
      <c r="AG413" s="244" t="s">
        <v>2346</v>
      </c>
    </row>
    <row r="414" spans="1:33" hidden="1">
      <c r="A414" s="358">
        <f t="shared" si="19"/>
        <v>250</v>
      </c>
      <c r="B414" s="244" t="s">
        <v>1159</v>
      </c>
      <c r="C414" s="8">
        <v>5.75</v>
      </c>
      <c r="D414" s="1" t="s">
        <v>883</v>
      </c>
      <c r="E414"/>
      <c r="F414" s="251">
        <v>21.2</v>
      </c>
      <c r="G414" s="250" t="s">
        <v>883</v>
      </c>
      <c r="H414" s="244" t="s">
        <v>324</v>
      </c>
      <c r="I414" s="8">
        <f>(C13)</f>
        <v>85</v>
      </c>
      <c r="J414" s="2" t="s">
        <v>883</v>
      </c>
      <c r="K414" s="8">
        <f>(F414*I414)</f>
        <v>1802</v>
      </c>
      <c r="O414" s="244" t="s">
        <v>995</v>
      </c>
      <c r="R414" s="248" t="s">
        <v>1667</v>
      </c>
      <c r="AG414" s="244" t="s">
        <v>2346</v>
      </c>
    </row>
    <row r="415" spans="1:33" hidden="1">
      <c r="A415" s="358">
        <f t="shared" si="19"/>
        <v>251</v>
      </c>
      <c r="B415" s="244" t="s">
        <v>1160</v>
      </c>
      <c r="C415" s="8">
        <v>8.5</v>
      </c>
      <c r="D415" s="1" t="s">
        <v>883</v>
      </c>
      <c r="E415"/>
      <c r="G415" s="250" t="s">
        <v>448</v>
      </c>
      <c r="H415" s="244" t="s">
        <v>449</v>
      </c>
      <c r="I415" s="1" t="s">
        <v>995</v>
      </c>
      <c r="J415" s="2" t="s">
        <v>448</v>
      </c>
      <c r="K415" s="8">
        <v>0</v>
      </c>
      <c r="R415" s="251">
        <f>SUM(R412:R413)</f>
        <v>120.3</v>
      </c>
      <c r="AG415" s="244" t="s">
        <v>2346</v>
      </c>
    </row>
    <row r="416" spans="1:33" hidden="1">
      <c r="A416" s="358">
        <f t="shared" si="19"/>
        <v>252</v>
      </c>
      <c r="B416" s="244" t="s">
        <v>1161</v>
      </c>
      <c r="C416" s="8">
        <v>14</v>
      </c>
      <c r="D416" s="1" t="s">
        <v>883</v>
      </c>
      <c r="E416"/>
      <c r="I416"/>
      <c r="J416" s="4"/>
      <c r="K416" s="5" t="s">
        <v>1667</v>
      </c>
      <c r="O416" s="244" t="s">
        <v>440</v>
      </c>
      <c r="R416" s="248" t="s">
        <v>1667</v>
      </c>
      <c r="AG416" s="244" t="s">
        <v>2346</v>
      </c>
    </row>
    <row r="417" spans="1:33" hidden="1">
      <c r="A417" s="358">
        <f t="shared" si="19"/>
        <v>253</v>
      </c>
      <c r="B417" s="244" t="s">
        <v>1162</v>
      </c>
      <c r="C417" s="8">
        <v>30.11</v>
      </c>
      <c r="D417" s="1" t="s">
        <v>883</v>
      </c>
      <c r="E417"/>
      <c r="H417" s="244" t="s">
        <v>618</v>
      </c>
      <c r="I417"/>
      <c r="J417" s="4"/>
      <c r="K417" s="8" t="e">
        <f>SUM(K409:K415)</f>
        <v>#REF!</v>
      </c>
      <c r="R417" s="251">
        <f>(R415/10)</f>
        <v>12.03</v>
      </c>
      <c r="AG417" s="244" t="s">
        <v>2346</v>
      </c>
    </row>
    <row r="418" spans="1:33" hidden="1">
      <c r="A418" s="358">
        <f t="shared" si="19"/>
        <v>254</v>
      </c>
      <c r="B418" s="244" t="s">
        <v>1164</v>
      </c>
      <c r="C418" s="8">
        <v>47.25</v>
      </c>
      <c r="D418" s="1" t="s">
        <v>883</v>
      </c>
      <c r="E418"/>
      <c r="I418"/>
      <c r="J418" s="4"/>
      <c r="K418" s="5" t="s">
        <v>1667</v>
      </c>
      <c r="O418" s="244" t="s">
        <v>555</v>
      </c>
      <c r="R418" s="248" t="s">
        <v>2130</v>
      </c>
      <c r="AG418" s="244" t="s">
        <v>2346</v>
      </c>
    </row>
    <row r="419" spans="1:33" hidden="1">
      <c r="A419" s="358">
        <f t="shared" si="19"/>
        <v>255</v>
      </c>
      <c r="B419" s="244" t="s">
        <v>237</v>
      </c>
      <c r="C419" s="8">
        <v>71.16</v>
      </c>
      <c r="D419" s="1" t="s">
        <v>883</v>
      </c>
      <c r="E419"/>
      <c r="H419" s="244" t="s">
        <v>785</v>
      </c>
      <c r="I419"/>
      <c r="J419" s="4"/>
      <c r="K419" s="8" t="e">
        <f>(K417/10)</f>
        <v>#REF!</v>
      </c>
      <c r="AG419" s="244" t="s">
        <v>2346</v>
      </c>
    </row>
    <row r="420" spans="1:33" hidden="1">
      <c r="A420" s="358">
        <f t="shared" si="19"/>
        <v>256</v>
      </c>
      <c r="B420" s="244" t="s">
        <v>1165</v>
      </c>
      <c r="C420" s="8">
        <v>125.84</v>
      </c>
      <c r="D420" s="1" t="s">
        <v>883</v>
      </c>
      <c r="E420"/>
      <c r="I420"/>
      <c r="J420" s="4"/>
      <c r="K420" s="5" t="s">
        <v>2130</v>
      </c>
      <c r="AG420" s="244" t="s">
        <v>2346</v>
      </c>
    </row>
    <row r="421" spans="1:33" hidden="1">
      <c r="C421"/>
      <c r="D421"/>
      <c r="E421"/>
      <c r="F421" s="244" t="s">
        <v>246</v>
      </c>
      <c r="I421"/>
      <c r="J421" s="4"/>
      <c r="K421"/>
    </row>
    <row r="422" spans="1:33" hidden="1">
      <c r="A422" s="358">
        <f>(A420+1)</f>
        <v>257</v>
      </c>
      <c r="B422" s="244" t="s">
        <v>1600</v>
      </c>
      <c r="C422"/>
      <c r="D422" s="1" t="s">
        <v>995</v>
      </c>
      <c r="E422"/>
      <c r="I422"/>
      <c r="J422" s="4"/>
      <c r="K422"/>
      <c r="O422" s="354" t="s">
        <v>1601</v>
      </c>
      <c r="AG422" s="244" t="s">
        <v>2346</v>
      </c>
    </row>
    <row r="423" spans="1:33" hidden="1">
      <c r="A423" s="358">
        <f t="shared" ref="A423:A455" si="20">(A422+1)</f>
        <v>258</v>
      </c>
      <c r="B423" s="244" t="s">
        <v>1159</v>
      </c>
      <c r="C423" s="8">
        <v>17</v>
      </c>
      <c r="D423" s="1" t="s">
        <v>883</v>
      </c>
      <c r="E423"/>
      <c r="G423" s="250" t="s">
        <v>1602</v>
      </c>
      <c r="H423" s="244" t="s">
        <v>429</v>
      </c>
      <c r="I423"/>
      <c r="J423" s="4"/>
      <c r="K423"/>
      <c r="O423" s="248" t="s">
        <v>1667</v>
      </c>
      <c r="AG423" s="244" t="s">
        <v>2346</v>
      </c>
    </row>
    <row r="424" spans="1:33" hidden="1">
      <c r="A424" s="358">
        <f t="shared" si="20"/>
        <v>259</v>
      </c>
      <c r="B424" s="244" t="s">
        <v>1160</v>
      </c>
      <c r="C424" s="8">
        <v>23.4</v>
      </c>
      <c r="D424" s="1" t="s">
        <v>883</v>
      </c>
      <c r="E424"/>
      <c r="H424" s="248" t="s">
        <v>1667</v>
      </c>
      <c r="I424"/>
      <c r="J424" s="4"/>
      <c r="K424"/>
      <c r="N424" s="244" t="s">
        <v>2338</v>
      </c>
      <c r="O424" s="244" t="s">
        <v>2124</v>
      </c>
      <c r="AG424" s="244" t="s">
        <v>2346</v>
      </c>
    </row>
    <row r="425" spans="1:33" hidden="1">
      <c r="A425" s="358">
        <f t="shared" si="20"/>
        <v>260</v>
      </c>
      <c r="B425" s="244" t="s">
        <v>1161</v>
      </c>
      <c r="C425" s="8">
        <v>33</v>
      </c>
      <c r="D425" s="1" t="s">
        <v>883</v>
      </c>
      <c r="E425"/>
      <c r="F425" s="251">
        <v>0.7</v>
      </c>
      <c r="G425" s="250" t="s">
        <v>884</v>
      </c>
      <c r="H425" s="244" t="s">
        <v>2367</v>
      </c>
      <c r="I425" s="8" t="e">
        <f>(K419)</f>
        <v>#REF!</v>
      </c>
      <c r="J425" s="2" t="s">
        <v>883</v>
      </c>
      <c r="K425" s="8" t="e">
        <f>(F425*I425)</f>
        <v>#REF!</v>
      </c>
      <c r="O425" s="244" t="s">
        <v>2125</v>
      </c>
      <c r="AG425" s="244" t="s">
        <v>2346</v>
      </c>
    </row>
    <row r="426" spans="1:33" hidden="1">
      <c r="A426" s="358">
        <f t="shared" si="20"/>
        <v>261</v>
      </c>
      <c r="B426" s="244" t="s">
        <v>1162</v>
      </c>
      <c r="C426" s="8">
        <v>34.22</v>
      </c>
      <c r="D426" s="1" t="s">
        <v>883</v>
      </c>
      <c r="E426"/>
      <c r="F426" s="251">
        <v>1</v>
      </c>
      <c r="G426" s="250" t="s">
        <v>781</v>
      </c>
      <c r="H426" s="244" t="s">
        <v>2082</v>
      </c>
      <c r="I426" s="8">
        <f>(C10)</f>
        <v>150</v>
      </c>
      <c r="J426" s="2" t="s">
        <v>883</v>
      </c>
      <c r="K426" s="8">
        <f>(F426*I426)</f>
        <v>150</v>
      </c>
      <c r="O426" s="244" t="s">
        <v>159</v>
      </c>
      <c r="AG426" s="244" t="s">
        <v>2346</v>
      </c>
    </row>
    <row r="427" spans="1:33" hidden="1">
      <c r="A427" s="358">
        <f t="shared" si="20"/>
        <v>262</v>
      </c>
      <c r="B427" s="244" t="s">
        <v>1164</v>
      </c>
      <c r="C427" s="8">
        <v>75.28</v>
      </c>
      <c r="D427" s="1" t="s">
        <v>883</v>
      </c>
      <c r="E427"/>
      <c r="G427" s="250" t="s">
        <v>448</v>
      </c>
      <c r="H427" s="244" t="s">
        <v>449</v>
      </c>
      <c r="I427" s="1" t="s">
        <v>995</v>
      </c>
      <c r="J427" s="2" t="s">
        <v>448</v>
      </c>
      <c r="K427" s="8">
        <v>0</v>
      </c>
      <c r="O427" s="248" t="s">
        <v>1667</v>
      </c>
      <c r="AG427" s="244" t="s">
        <v>2346</v>
      </c>
    </row>
    <row r="428" spans="1:33" hidden="1">
      <c r="A428" s="358">
        <f t="shared" si="20"/>
        <v>263</v>
      </c>
      <c r="B428" s="244" t="s">
        <v>237</v>
      </c>
      <c r="C428" s="8">
        <v>92.66</v>
      </c>
      <c r="D428" s="1" t="s">
        <v>883</v>
      </c>
      <c r="E428"/>
      <c r="I428"/>
      <c r="J428" s="4"/>
      <c r="K428" s="5" t="s">
        <v>1667</v>
      </c>
      <c r="N428" s="244" t="s">
        <v>160</v>
      </c>
      <c r="O428" s="354" t="s">
        <v>161</v>
      </c>
      <c r="AG428" s="244" t="s">
        <v>2346</v>
      </c>
    </row>
    <row r="429" spans="1:33" hidden="1">
      <c r="A429" s="358">
        <f t="shared" si="20"/>
        <v>264</v>
      </c>
      <c r="B429" s="244" t="s">
        <v>1165</v>
      </c>
      <c r="C429" s="8">
        <v>141.86000000000001</v>
      </c>
      <c r="D429" s="1" t="s">
        <v>883</v>
      </c>
      <c r="E429"/>
      <c r="H429" s="244" t="s">
        <v>440</v>
      </c>
      <c r="I429"/>
      <c r="J429" s="4"/>
      <c r="K429" s="8" t="e">
        <f>SUM(K425:K427)</f>
        <v>#REF!</v>
      </c>
      <c r="O429" s="248" t="s">
        <v>1667</v>
      </c>
      <c r="AG429" s="244" t="s">
        <v>2346</v>
      </c>
    </row>
    <row r="430" spans="1:33" hidden="1">
      <c r="A430" s="358">
        <f t="shared" si="20"/>
        <v>265</v>
      </c>
      <c r="B430" s="244" t="s">
        <v>162</v>
      </c>
      <c r="C430"/>
      <c r="D430" s="1" t="s">
        <v>995</v>
      </c>
      <c r="E430"/>
      <c r="I430"/>
      <c r="J430" s="4"/>
      <c r="K430" s="5" t="s">
        <v>1667</v>
      </c>
      <c r="M430" s="251">
        <v>8.1</v>
      </c>
      <c r="N430" s="244" t="s">
        <v>884</v>
      </c>
      <c r="O430" s="244" t="s">
        <v>621</v>
      </c>
      <c r="P430" s="251">
        <f>(C61)*2</f>
        <v>50</v>
      </c>
      <c r="Q430" s="244" t="s">
        <v>884</v>
      </c>
      <c r="R430" s="251">
        <f>(M430*P430)</f>
        <v>405</v>
      </c>
      <c r="AG430" s="244" t="s">
        <v>2346</v>
      </c>
    </row>
    <row r="431" spans="1:33" hidden="1">
      <c r="A431" s="358">
        <f t="shared" si="20"/>
        <v>266</v>
      </c>
      <c r="B431" s="244" t="s">
        <v>1159</v>
      </c>
      <c r="C431" s="8">
        <v>1.8</v>
      </c>
      <c r="D431" s="1" t="s">
        <v>883</v>
      </c>
      <c r="E431"/>
      <c r="H431" s="244" t="s">
        <v>555</v>
      </c>
      <c r="I431"/>
      <c r="J431" s="4"/>
      <c r="K431" s="8" t="e">
        <f>(K429/10)</f>
        <v>#REF!</v>
      </c>
      <c r="M431" s="251">
        <v>8.1</v>
      </c>
      <c r="N431" s="244" t="s">
        <v>884</v>
      </c>
      <c r="O431" s="244" t="s">
        <v>2232</v>
      </c>
      <c r="P431" s="251">
        <f>(C26)</f>
        <v>8.8000000000000007</v>
      </c>
      <c r="Q431" s="244" t="s">
        <v>884</v>
      </c>
      <c r="R431" s="251">
        <f>(M431*P431)</f>
        <v>71.28</v>
      </c>
      <c r="AG431" s="244" t="s">
        <v>2346</v>
      </c>
    </row>
    <row r="432" spans="1:33" hidden="1">
      <c r="A432" s="358">
        <f t="shared" si="20"/>
        <v>267</v>
      </c>
      <c r="B432" s="244" t="s">
        <v>1160</v>
      </c>
      <c r="C432" s="8">
        <v>2.9</v>
      </c>
      <c r="D432" s="1" t="s">
        <v>883</v>
      </c>
      <c r="E432"/>
      <c r="I432"/>
      <c r="J432" s="4"/>
      <c r="K432" s="5" t="s">
        <v>2130</v>
      </c>
      <c r="M432" s="251">
        <v>30</v>
      </c>
      <c r="N432" s="244" t="s">
        <v>1854</v>
      </c>
      <c r="O432" s="244" t="s">
        <v>2233</v>
      </c>
      <c r="P432" s="251">
        <f>(C42)</f>
        <v>1.75</v>
      </c>
      <c r="Q432" s="244" t="s">
        <v>1854</v>
      </c>
      <c r="R432" s="251">
        <f>(M432*P432)</f>
        <v>52.5</v>
      </c>
      <c r="AG432" s="244" t="s">
        <v>2346</v>
      </c>
    </row>
    <row r="433" spans="1:33" hidden="1">
      <c r="A433" s="358">
        <f t="shared" si="20"/>
        <v>268</v>
      </c>
      <c r="B433" s="244" t="s">
        <v>1161</v>
      </c>
      <c r="C433" s="8">
        <v>4</v>
      </c>
      <c r="D433" s="1" t="s">
        <v>883</v>
      </c>
      <c r="E433"/>
      <c r="H433" s="244" t="s">
        <v>388</v>
      </c>
      <c r="I433"/>
      <c r="J433" s="4"/>
      <c r="K433" s="8" t="e">
        <f>(K431+C19/10*F425)</f>
        <v>#REF!</v>
      </c>
      <c r="O433" s="244" t="s">
        <v>2234</v>
      </c>
      <c r="AG433" s="244" t="s">
        <v>2346</v>
      </c>
    </row>
    <row r="434" spans="1:33" hidden="1">
      <c r="A434" s="358">
        <f t="shared" si="20"/>
        <v>269</v>
      </c>
      <c r="B434" s="244" t="s">
        <v>1162</v>
      </c>
      <c r="C434" s="8">
        <v>6.86</v>
      </c>
      <c r="D434" s="1" t="s">
        <v>883</v>
      </c>
      <c r="E434"/>
      <c r="H434" s="244" t="s">
        <v>390</v>
      </c>
      <c r="I434"/>
      <c r="J434" s="4"/>
      <c r="K434" s="8" t="e">
        <f>(K433+C20/10*F425)</f>
        <v>#REF!</v>
      </c>
      <c r="O434" s="244" t="s">
        <v>2235</v>
      </c>
      <c r="AG434" s="244" t="s">
        <v>2346</v>
      </c>
    </row>
    <row r="435" spans="1:33" hidden="1">
      <c r="A435" s="358">
        <f t="shared" si="20"/>
        <v>270</v>
      </c>
      <c r="B435" s="244" t="s">
        <v>1164</v>
      </c>
      <c r="C435" s="8">
        <v>9.15</v>
      </c>
      <c r="D435" s="1" t="s">
        <v>883</v>
      </c>
      <c r="E435"/>
      <c r="H435" s="244" t="s">
        <v>2319</v>
      </c>
      <c r="I435"/>
      <c r="J435" s="4"/>
      <c r="K435" s="8" t="e">
        <f>(K434+C21/10*F425)</f>
        <v>#REF!</v>
      </c>
      <c r="O435" s="244" t="s">
        <v>2236</v>
      </c>
      <c r="AG435" s="244" t="s">
        <v>2346</v>
      </c>
    </row>
    <row r="436" spans="1:33" hidden="1">
      <c r="A436" s="358">
        <f t="shared" si="20"/>
        <v>271</v>
      </c>
      <c r="B436" s="244" t="s">
        <v>237</v>
      </c>
      <c r="C436" s="8">
        <v>14.59</v>
      </c>
      <c r="D436" s="1" t="s">
        <v>883</v>
      </c>
      <c r="E436"/>
      <c r="H436" s="244" t="s">
        <v>382</v>
      </c>
      <c r="I436"/>
      <c r="J436" s="4"/>
      <c r="K436" s="8" t="e">
        <f>(K435+C21/10*F425)</f>
        <v>#REF!</v>
      </c>
      <c r="O436" s="244" t="s">
        <v>2239</v>
      </c>
      <c r="AG436" s="244" t="s">
        <v>2346</v>
      </c>
    </row>
    <row r="437" spans="1:33" hidden="1">
      <c r="A437" s="358"/>
      <c r="B437" s="244"/>
      <c r="C437" s="8"/>
      <c r="D437" s="1"/>
      <c r="E437"/>
      <c r="H437" s="244" t="s">
        <v>847</v>
      </c>
      <c r="I437"/>
      <c r="J437" s="4"/>
      <c r="K437" s="8" t="e">
        <f>(K436+C22/10*F426)</f>
        <v>#REF!</v>
      </c>
      <c r="O437" s="244"/>
      <c r="AG437" s="244"/>
    </row>
    <row r="438" spans="1:33" hidden="1">
      <c r="A438" s="358">
        <f>(A436+1)</f>
        <v>272</v>
      </c>
      <c r="B438" s="244" t="s">
        <v>1165</v>
      </c>
      <c r="C438" s="8">
        <v>21.74</v>
      </c>
      <c r="D438" s="1" t="s">
        <v>883</v>
      </c>
      <c r="E438"/>
      <c r="H438" s="354" t="s">
        <v>2217</v>
      </c>
      <c r="I438"/>
      <c r="J438" s="4"/>
      <c r="K438"/>
      <c r="M438" s="251">
        <v>8</v>
      </c>
      <c r="N438" s="244" t="s">
        <v>781</v>
      </c>
      <c r="O438" s="244" t="s">
        <v>2218</v>
      </c>
      <c r="P438" s="251">
        <f>(C43)</f>
        <v>2.2000000000000002</v>
      </c>
      <c r="Q438" s="244" t="s">
        <v>781</v>
      </c>
      <c r="R438" s="251">
        <f>(M438*P438)</f>
        <v>17.600000000000001</v>
      </c>
      <c r="AG438" s="244" t="s">
        <v>2346</v>
      </c>
    </row>
    <row r="439" spans="1:33" hidden="1">
      <c r="A439" s="358">
        <f t="shared" si="20"/>
        <v>273</v>
      </c>
      <c r="B439" s="244" t="s">
        <v>2219</v>
      </c>
      <c r="C439"/>
      <c r="D439" s="1" t="s">
        <v>995</v>
      </c>
      <c r="E439"/>
      <c r="H439" s="354" t="s">
        <v>2192</v>
      </c>
      <c r="I439"/>
      <c r="J439" s="4"/>
      <c r="K439"/>
      <c r="M439" s="251">
        <v>8</v>
      </c>
      <c r="N439" s="244" t="s">
        <v>781</v>
      </c>
      <c r="O439" s="244" t="s">
        <v>467</v>
      </c>
      <c r="P439" s="251">
        <f>(C50)</f>
        <v>3.2</v>
      </c>
      <c r="Q439" s="244" t="s">
        <v>781</v>
      </c>
      <c r="R439" s="251">
        <f>(M439*P439)</f>
        <v>25.6</v>
      </c>
      <c r="AG439" s="244" t="s">
        <v>2346</v>
      </c>
    </row>
    <row r="440" spans="1:33" hidden="1">
      <c r="A440" s="358">
        <f t="shared" si="20"/>
        <v>274</v>
      </c>
      <c r="B440" s="244" t="s">
        <v>1159</v>
      </c>
      <c r="C440" s="8">
        <v>8.85</v>
      </c>
      <c r="D440" s="1" t="s">
        <v>883</v>
      </c>
      <c r="E440"/>
      <c r="F440" s="360">
        <v>12</v>
      </c>
      <c r="G440" s="250" t="s">
        <v>2338</v>
      </c>
      <c r="H440" s="244" t="s">
        <v>468</v>
      </c>
      <c r="I440"/>
      <c r="J440" s="4"/>
      <c r="K440"/>
      <c r="M440" s="251">
        <v>1</v>
      </c>
      <c r="N440" s="244" t="s">
        <v>448</v>
      </c>
      <c r="O440" s="244" t="s">
        <v>1770</v>
      </c>
      <c r="P440" s="251">
        <f>(C56)</f>
        <v>12.1</v>
      </c>
      <c r="Q440" s="244" t="s">
        <v>448</v>
      </c>
      <c r="R440" s="251">
        <f>(M440*P440)</f>
        <v>12.1</v>
      </c>
      <c r="AG440" s="244" t="s">
        <v>2346</v>
      </c>
    </row>
    <row r="441" spans="1:33" hidden="1">
      <c r="A441" s="358">
        <f t="shared" si="20"/>
        <v>275</v>
      </c>
      <c r="B441" s="244" t="s">
        <v>1160</v>
      </c>
      <c r="C441" s="8">
        <v>14</v>
      </c>
      <c r="D441" s="1" t="s">
        <v>883</v>
      </c>
      <c r="E441"/>
      <c r="H441" s="244" t="s">
        <v>1156</v>
      </c>
      <c r="I441"/>
      <c r="J441" s="4"/>
      <c r="K441"/>
      <c r="M441" s="251">
        <v>1</v>
      </c>
      <c r="N441" s="244" t="s">
        <v>448</v>
      </c>
      <c r="O441" s="244" t="s">
        <v>449</v>
      </c>
      <c r="Q441" s="244" t="s">
        <v>448</v>
      </c>
      <c r="R441" s="251">
        <v>0</v>
      </c>
      <c r="AG441" s="244" t="s">
        <v>2346</v>
      </c>
    </row>
    <row r="442" spans="1:33" hidden="1">
      <c r="A442" s="358">
        <f t="shared" si="20"/>
        <v>276</v>
      </c>
      <c r="B442" s="244" t="s">
        <v>1161</v>
      </c>
      <c r="C442" s="8">
        <v>20.7</v>
      </c>
      <c r="D442" s="1" t="s">
        <v>883</v>
      </c>
      <c r="E442"/>
      <c r="H442" s="248" t="s">
        <v>1667</v>
      </c>
      <c r="I442"/>
      <c r="J442" s="4"/>
      <c r="K442"/>
      <c r="R442" s="248" t="s">
        <v>1667</v>
      </c>
      <c r="AG442" s="244" t="s">
        <v>2346</v>
      </c>
    </row>
    <row r="443" spans="1:33" hidden="1">
      <c r="A443" s="358">
        <f t="shared" si="20"/>
        <v>277</v>
      </c>
      <c r="B443" s="244" t="s">
        <v>1162</v>
      </c>
      <c r="C443" s="8">
        <v>41.82</v>
      </c>
      <c r="D443" s="1" t="s">
        <v>883</v>
      </c>
      <c r="E443"/>
      <c r="F443" s="251">
        <v>6570</v>
      </c>
      <c r="G443" s="250" t="s">
        <v>1485</v>
      </c>
      <c r="H443" s="244" t="s">
        <v>1647</v>
      </c>
      <c r="I443" s="8" t="e">
        <f>(C77)</f>
        <v>#REF!</v>
      </c>
      <c r="J443" s="2" t="s">
        <v>1675</v>
      </c>
      <c r="K443" s="8" t="e">
        <f>(F443*I443)/1000</f>
        <v>#REF!</v>
      </c>
      <c r="O443" s="244" t="s">
        <v>1621</v>
      </c>
      <c r="R443" s="251">
        <f>SUM(R430:R441)</f>
        <v>584.08000000000004</v>
      </c>
      <c r="AG443" s="244" t="s">
        <v>325</v>
      </c>
    </row>
    <row r="444" spans="1:33" hidden="1">
      <c r="A444" s="358">
        <f t="shared" si="20"/>
        <v>278</v>
      </c>
      <c r="B444" s="244" t="s">
        <v>1164</v>
      </c>
      <c r="C444" s="8">
        <v>61.78</v>
      </c>
      <c r="D444" s="1" t="s">
        <v>883</v>
      </c>
      <c r="E444"/>
      <c r="F444" s="251">
        <v>1.91</v>
      </c>
      <c r="G444" s="250" t="s">
        <v>884</v>
      </c>
      <c r="H444" s="244" t="s">
        <v>1364</v>
      </c>
      <c r="I444" s="8" t="e">
        <f>(K40)</f>
        <v>#REF!</v>
      </c>
      <c r="J444" s="2" t="s">
        <v>884</v>
      </c>
      <c r="K444" s="8" t="e">
        <f>(F444*I444)</f>
        <v>#REF!</v>
      </c>
      <c r="R444" s="248" t="s">
        <v>1667</v>
      </c>
    </row>
    <row r="445" spans="1:33" hidden="1">
      <c r="A445" s="358">
        <f t="shared" si="20"/>
        <v>279</v>
      </c>
      <c r="B445" s="244" t="s">
        <v>237</v>
      </c>
      <c r="C445" s="8">
        <v>97.93</v>
      </c>
      <c r="D445" s="1" t="s">
        <v>883</v>
      </c>
      <c r="E445"/>
      <c r="F445" s="251">
        <v>7</v>
      </c>
      <c r="G445" s="250" t="s">
        <v>883</v>
      </c>
      <c r="H445" s="244" t="s">
        <v>2082</v>
      </c>
      <c r="I445" s="8">
        <f>(C10)</f>
        <v>150</v>
      </c>
      <c r="J445" s="2" t="s">
        <v>883</v>
      </c>
      <c r="K445" s="8">
        <f>(F445*I445)</f>
        <v>1050</v>
      </c>
      <c r="O445" s="244" t="s">
        <v>1622</v>
      </c>
      <c r="R445" s="251">
        <f>(R443/30)</f>
        <v>19.47</v>
      </c>
    </row>
    <row r="446" spans="1:33" hidden="1">
      <c r="A446" s="358">
        <f t="shared" si="20"/>
        <v>280</v>
      </c>
      <c r="B446" s="244" t="s">
        <v>1165</v>
      </c>
      <c r="C446" s="8">
        <v>156.5</v>
      </c>
      <c r="D446" s="1" t="s">
        <v>883</v>
      </c>
      <c r="E446"/>
      <c r="F446" s="251">
        <v>3.6</v>
      </c>
      <c r="G446" s="250" t="s">
        <v>883</v>
      </c>
      <c r="H446" s="244" t="s">
        <v>1791</v>
      </c>
      <c r="I446" s="8">
        <f>(C11)</f>
        <v>135</v>
      </c>
      <c r="J446" s="2" t="s">
        <v>883</v>
      </c>
      <c r="K446" s="8">
        <f>(F446*I446)</f>
        <v>486</v>
      </c>
      <c r="R446" s="248" t="s">
        <v>1667</v>
      </c>
      <c r="AG446" s="244" t="s">
        <v>2346</v>
      </c>
    </row>
    <row r="447" spans="1:33" hidden="1">
      <c r="A447" s="358">
        <f t="shared" si="20"/>
        <v>281</v>
      </c>
      <c r="B447" s="244" t="s">
        <v>1634</v>
      </c>
      <c r="C447"/>
      <c r="D447" s="1" t="s">
        <v>995</v>
      </c>
      <c r="E447"/>
      <c r="F447" s="251">
        <v>7.1</v>
      </c>
      <c r="G447" s="250" t="s">
        <v>883</v>
      </c>
      <c r="H447" s="244" t="s">
        <v>1979</v>
      </c>
      <c r="I447" s="8">
        <f>(C12)</f>
        <v>95</v>
      </c>
      <c r="J447" s="2" t="s">
        <v>883</v>
      </c>
      <c r="K447" s="8">
        <f>(F447*I447)</f>
        <v>674.5</v>
      </c>
      <c r="N447" s="244" t="s">
        <v>1635</v>
      </c>
      <c r="O447" s="354" t="s">
        <v>1036</v>
      </c>
      <c r="AG447" s="244" t="s">
        <v>2346</v>
      </c>
    </row>
    <row r="448" spans="1:33" hidden="1">
      <c r="A448" s="358">
        <f t="shared" si="20"/>
        <v>282</v>
      </c>
      <c r="B448" s="244" t="s">
        <v>1159</v>
      </c>
      <c r="C448" s="8">
        <v>3.2</v>
      </c>
      <c r="D448" s="1" t="s">
        <v>883</v>
      </c>
      <c r="E448"/>
      <c r="F448" s="251">
        <v>14.1</v>
      </c>
      <c r="G448" s="250" t="s">
        <v>883</v>
      </c>
      <c r="H448" s="244" t="s">
        <v>324</v>
      </c>
      <c r="I448" s="8">
        <f>(C13)</f>
        <v>85</v>
      </c>
      <c r="J448" s="2" t="s">
        <v>883</v>
      </c>
      <c r="K448" s="8">
        <f>(F448*I448)</f>
        <v>1198.5</v>
      </c>
      <c r="O448" s="248" t="s">
        <v>1667</v>
      </c>
      <c r="AG448" s="244" t="s">
        <v>2346</v>
      </c>
    </row>
    <row r="449" spans="1:33" hidden="1">
      <c r="A449" s="358">
        <f t="shared" si="20"/>
        <v>283</v>
      </c>
      <c r="B449" s="244" t="s">
        <v>1160</v>
      </c>
      <c r="C449" s="8">
        <v>4.7</v>
      </c>
      <c r="D449" s="1" t="s">
        <v>883</v>
      </c>
      <c r="E449"/>
      <c r="G449" s="250" t="s">
        <v>448</v>
      </c>
      <c r="H449" s="244" t="s">
        <v>449</v>
      </c>
      <c r="I449" s="1" t="s">
        <v>995</v>
      </c>
      <c r="J449" s="2" t="s">
        <v>448</v>
      </c>
      <c r="K449" s="8">
        <v>0</v>
      </c>
      <c r="M449" s="251">
        <v>8.1</v>
      </c>
      <c r="N449" s="244" t="s">
        <v>884</v>
      </c>
      <c r="O449" s="244" t="s">
        <v>621</v>
      </c>
      <c r="P449" s="251">
        <f>(C61)*2</f>
        <v>50</v>
      </c>
      <c r="Q449" s="244" t="s">
        <v>884</v>
      </c>
      <c r="R449" s="251">
        <f>(M449*P449)</f>
        <v>405</v>
      </c>
      <c r="AG449" s="244" t="s">
        <v>2346</v>
      </c>
    </row>
    <row r="450" spans="1:33" hidden="1">
      <c r="A450" s="358">
        <f t="shared" si="20"/>
        <v>284</v>
      </c>
      <c r="B450" s="244" t="s">
        <v>1161</v>
      </c>
      <c r="C450" s="8">
        <v>7.65</v>
      </c>
      <c r="D450" s="1" t="s">
        <v>883</v>
      </c>
      <c r="E450"/>
      <c r="I450"/>
      <c r="J450" s="4"/>
      <c r="K450" s="5" t="s">
        <v>1667</v>
      </c>
      <c r="M450" s="251">
        <v>8.1</v>
      </c>
      <c r="N450" s="244" t="s">
        <v>884</v>
      </c>
      <c r="O450" s="244" t="s">
        <v>2232</v>
      </c>
      <c r="P450" s="251">
        <f>(C26)</f>
        <v>8.8000000000000007</v>
      </c>
      <c r="Q450" s="244" t="s">
        <v>884</v>
      </c>
      <c r="R450" s="251">
        <f>(M450*P450)</f>
        <v>71.28</v>
      </c>
      <c r="AG450" s="244" t="s">
        <v>2346</v>
      </c>
    </row>
    <row r="451" spans="1:33" hidden="1">
      <c r="A451" s="358">
        <f t="shared" si="20"/>
        <v>285</v>
      </c>
      <c r="B451" s="244" t="s">
        <v>1162</v>
      </c>
      <c r="C451" s="8">
        <v>30.93</v>
      </c>
      <c r="D451" s="1" t="s">
        <v>883</v>
      </c>
      <c r="E451"/>
      <c r="H451" s="244" t="s">
        <v>618</v>
      </c>
      <c r="I451"/>
      <c r="J451" s="4"/>
      <c r="K451" s="8" t="e">
        <f>SUM(K443:K449)</f>
        <v>#REF!</v>
      </c>
      <c r="M451" s="251">
        <v>30</v>
      </c>
      <c r="N451" s="244" t="s">
        <v>1854</v>
      </c>
      <c r="O451" s="244" t="s">
        <v>2233</v>
      </c>
      <c r="P451" s="251">
        <f>(C42)</f>
        <v>1.75</v>
      </c>
      <c r="Q451" s="244" t="s">
        <v>1854</v>
      </c>
      <c r="R451" s="251">
        <f>(M451*P451)</f>
        <v>52.5</v>
      </c>
      <c r="AG451" s="244" t="s">
        <v>2346</v>
      </c>
    </row>
    <row r="452" spans="1:33" hidden="1">
      <c r="A452" s="358">
        <f t="shared" si="20"/>
        <v>286</v>
      </c>
      <c r="B452" s="244" t="s">
        <v>1164</v>
      </c>
      <c r="C452" s="8">
        <v>39.630000000000003</v>
      </c>
      <c r="D452" s="1" t="s">
        <v>883</v>
      </c>
      <c r="E452"/>
      <c r="I452"/>
      <c r="J452" s="4"/>
      <c r="K452" s="5" t="s">
        <v>1667</v>
      </c>
      <c r="O452" s="244" t="s">
        <v>2234</v>
      </c>
      <c r="AG452" s="244" t="s">
        <v>2346</v>
      </c>
    </row>
    <row r="453" spans="1:33" hidden="1">
      <c r="A453" s="358">
        <f t="shared" si="20"/>
        <v>287</v>
      </c>
      <c r="B453" s="244" t="s">
        <v>237</v>
      </c>
      <c r="C453" s="8">
        <v>70.47</v>
      </c>
      <c r="D453" s="1" t="s">
        <v>883</v>
      </c>
      <c r="E453"/>
      <c r="H453" s="244" t="s">
        <v>785</v>
      </c>
      <c r="I453"/>
      <c r="J453" s="4"/>
      <c r="K453" s="8" t="e">
        <f>(K451/10)</f>
        <v>#REF!</v>
      </c>
      <c r="O453" s="244" t="s">
        <v>2235</v>
      </c>
      <c r="AG453" s="244" t="s">
        <v>2346</v>
      </c>
    </row>
    <row r="454" spans="1:33" hidden="1">
      <c r="A454" s="358">
        <f t="shared" si="20"/>
        <v>288</v>
      </c>
      <c r="B454" s="244" t="s">
        <v>1165</v>
      </c>
      <c r="C454" s="8">
        <v>70.47</v>
      </c>
      <c r="D454" s="1" t="s">
        <v>883</v>
      </c>
      <c r="E454"/>
      <c r="I454"/>
      <c r="J454" s="4"/>
      <c r="K454" s="5" t="s">
        <v>2130</v>
      </c>
      <c r="O454" s="244" t="s">
        <v>2236</v>
      </c>
      <c r="AG454" s="244" t="s">
        <v>2346</v>
      </c>
    </row>
    <row r="455" spans="1:33" hidden="1">
      <c r="A455" s="358">
        <f t="shared" si="20"/>
        <v>289</v>
      </c>
      <c r="B455" s="244" t="s">
        <v>2376</v>
      </c>
      <c r="C455"/>
      <c r="D455" s="1" t="s">
        <v>995</v>
      </c>
      <c r="E455"/>
      <c r="I455"/>
      <c r="J455" s="4"/>
      <c r="K455"/>
      <c r="O455" s="244" t="s">
        <v>2239</v>
      </c>
      <c r="AG455" s="244" t="s">
        <v>2346</v>
      </c>
    </row>
    <row r="456" spans="1:33" hidden="1">
      <c r="A456" s="358">
        <f t="shared" ref="A456:A489" si="21">(A455+1)</f>
        <v>290</v>
      </c>
      <c r="B456" s="244" t="s">
        <v>1159</v>
      </c>
      <c r="C456" s="8">
        <v>158.91999999999999</v>
      </c>
      <c r="D456" s="1" t="s">
        <v>883</v>
      </c>
      <c r="E456"/>
      <c r="G456" s="250" t="s">
        <v>2338</v>
      </c>
      <c r="H456" s="244" t="s">
        <v>157</v>
      </c>
      <c r="I456"/>
      <c r="J456" s="4"/>
      <c r="K456"/>
      <c r="M456" s="251">
        <v>8</v>
      </c>
      <c r="N456" s="244" t="s">
        <v>781</v>
      </c>
      <c r="O456" s="244" t="s">
        <v>2218</v>
      </c>
      <c r="P456" s="251">
        <f>(C44)</f>
        <v>2.2000000000000002</v>
      </c>
      <c r="Q456" s="244" t="s">
        <v>781</v>
      </c>
      <c r="R456" s="251">
        <f>(M456*P456)</f>
        <v>17.600000000000001</v>
      </c>
      <c r="AG456" s="244" t="s">
        <v>2346</v>
      </c>
    </row>
    <row r="457" spans="1:33" hidden="1">
      <c r="A457" s="358">
        <f t="shared" si="21"/>
        <v>291</v>
      </c>
      <c r="B457" s="244" t="s">
        <v>1160</v>
      </c>
      <c r="C457" s="8">
        <v>263.04000000000002</v>
      </c>
      <c r="D457" s="1" t="s">
        <v>883</v>
      </c>
      <c r="E457"/>
      <c r="H457" s="248" t="s">
        <v>1667</v>
      </c>
      <c r="I457"/>
      <c r="J457" s="4"/>
      <c r="K457"/>
      <c r="M457" s="251">
        <v>8</v>
      </c>
      <c r="N457" s="244" t="s">
        <v>781</v>
      </c>
      <c r="O457" s="244" t="s">
        <v>467</v>
      </c>
      <c r="P457" s="251">
        <f>(C51)</f>
        <v>3.2</v>
      </c>
      <c r="Q457" s="244" t="s">
        <v>781</v>
      </c>
      <c r="R457" s="251">
        <f>(M457*P457)</f>
        <v>25.6</v>
      </c>
      <c r="AG457" s="244" t="s">
        <v>2346</v>
      </c>
    </row>
    <row r="458" spans="1:33" hidden="1">
      <c r="A458" s="358">
        <f t="shared" si="21"/>
        <v>292</v>
      </c>
      <c r="B458" s="244" t="s">
        <v>1161</v>
      </c>
      <c r="C458"/>
      <c r="D458" s="1" t="s">
        <v>995</v>
      </c>
      <c r="E458"/>
      <c r="F458" s="251">
        <v>0.5</v>
      </c>
      <c r="G458" s="250" t="s">
        <v>884</v>
      </c>
      <c r="H458" s="244" t="s">
        <v>2367</v>
      </c>
      <c r="I458" s="8" t="e">
        <f>(K453)</f>
        <v>#REF!</v>
      </c>
      <c r="J458" s="2" t="s">
        <v>883</v>
      </c>
      <c r="K458" s="8" t="e">
        <f>(F458*I458)</f>
        <v>#REF!</v>
      </c>
      <c r="M458" s="251">
        <v>1</v>
      </c>
      <c r="N458" s="244" t="s">
        <v>448</v>
      </c>
      <c r="O458" s="244" t="s">
        <v>1770</v>
      </c>
      <c r="P458" s="251">
        <f>(C56)</f>
        <v>12.1</v>
      </c>
      <c r="Q458" s="244" t="s">
        <v>448</v>
      </c>
      <c r="R458" s="251">
        <f>(M458*P458)</f>
        <v>12.1</v>
      </c>
      <c r="AG458" s="244" t="s">
        <v>2346</v>
      </c>
    </row>
    <row r="459" spans="1:33" hidden="1">
      <c r="A459" s="358">
        <f t="shared" si="21"/>
        <v>293</v>
      </c>
      <c r="B459" s="244" t="s">
        <v>1223</v>
      </c>
      <c r="C459" s="8">
        <v>1.2</v>
      </c>
      <c r="D459" s="1" t="s">
        <v>883</v>
      </c>
      <c r="E459"/>
      <c r="F459" s="251">
        <v>1</v>
      </c>
      <c r="G459" s="250" t="s">
        <v>781</v>
      </c>
      <c r="H459" s="244" t="s">
        <v>2082</v>
      </c>
      <c r="I459" s="8">
        <f>(C10)</f>
        <v>150</v>
      </c>
      <c r="J459" s="2" t="s">
        <v>883</v>
      </c>
      <c r="K459" s="8">
        <f>(F459*I459)</f>
        <v>150</v>
      </c>
      <c r="M459" s="251">
        <v>1</v>
      </c>
      <c r="N459" s="244" t="s">
        <v>448</v>
      </c>
      <c r="O459" s="244" t="s">
        <v>449</v>
      </c>
      <c r="Q459" s="244" t="s">
        <v>448</v>
      </c>
      <c r="R459" s="251">
        <v>0</v>
      </c>
      <c r="AG459" s="244" t="s">
        <v>2346</v>
      </c>
    </row>
    <row r="460" spans="1:33" hidden="1">
      <c r="A460" s="358">
        <f t="shared" si="21"/>
        <v>294</v>
      </c>
      <c r="B460" s="244" t="s">
        <v>1119</v>
      </c>
      <c r="C460" s="8">
        <v>0.85</v>
      </c>
      <c r="D460" s="1" t="s">
        <v>883</v>
      </c>
      <c r="E460"/>
      <c r="G460" s="250" t="s">
        <v>448</v>
      </c>
      <c r="H460" s="244" t="s">
        <v>449</v>
      </c>
      <c r="I460" s="1" t="s">
        <v>995</v>
      </c>
      <c r="J460" s="2" t="s">
        <v>448</v>
      </c>
      <c r="K460" s="8">
        <v>0</v>
      </c>
      <c r="R460" s="248" t="s">
        <v>1667</v>
      </c>
      <c r="AG460" s="244" t="s">
        <v>2346</v>
      </c>
    </row>
    <row r="461" spans="1:33" hidden="1">
      <c r="A461" s="358">
        <f t="shared" si="21"/>
        <v>295</v>
      </c>
      <c r="B461" s="244" t="s">
        <v>1120</v>
      </c>
      <c r="C461" s="8">
        <v>350</v>
      </c>
      <c r="D461" s="8">
        <v>375</v>
      </c>
      <c r="E461"/>
      <c r="I461"/>
      <c r="J461" s="4"/>
      <c r="K461" s="5" t="s">
        <v>1667</v>
      </c>
      <c r="O461" s="244" t="s">
        <v>1621</v>
      </c>
      <c r="R461" s="251">
        <f>SUM(R449:R459)</f>
        <v>584.08000000000004</v>
      </c>
      <c r="AG461" s="244" t="s">
        <v>2346</v>
      </c>
    </row>
    <row r="462" spans="1:33" hidden="1">
      <c r="A462" s="358">
        <f t="shared" si="21"/>
        <v>296</v>
      </c>
      <c r="B462" s="244" t="s">
        <v>2169</v>
      </c>
      <c r="C462" s="8">
        <v>400</v>
      </c>
      <c r="D462" s="8">
        <v>425</v>
      </c>
      <c r="E462"/>
      <c r="H462" s="244" t="s">
        <v>440</v>
      </c>
      <c r="I462"/>
      <c r="J462" s="4"/>
      <c r="K462" s="8" t="e">
        <f>SUM(K458:K460)</f>
        <v>#REF!</v>
      </c>
      <c r="R462" s="248" t="s">
        <v>1667</v>
      </c>
      <c r="AG462" s="244" t="s">
        <v>2346</v>
      </c>
    </row>
    <row r="463" spans="1:33" hidden="1">
      <c r="A463" s="358">
        <f t="shared" si="21"/>
        <v>297</v>
      </c>
      <c r="B463" s="244" t="s">
        <v>1091</v>
      </c>
      <c r="C463" s="8">
        <v>450</v>
      </c>
      <c r="D463" s="8">
        <v>500</v>
      </c>
      <c r="E463"/>
      <c r="I463"/>
      <c r="J463" s="4"/>
      <c r="K463" s="5" t="s">
        <v>1667</v>
      </c>
      <c r="O463" s="244" t="s">
        <v>1622</v>
      </c>
      <c r="R463" s="251">
        <f>(R461/30)</f>
        <v>19.47</v>
      </c>
      <c r="AG463" s="244" t="s">
        <v>2346</v>
      </c>
    </row>
    <row r="464" spans="1:33" hidden="1">
      <c r="A464" s="358">
        <f t="shared" si="21"/>
        <v>298</v>
      </c>
      <c r="B464" s="244" t="s">
        <v>2029</v>
      </c>
      <c r="C464" s="8">
        <v>77.819999999999993</v>
      </c>
      <c r="D464" s="1" t="s">
        <v>883</v>
      </c>
      <c r="E464"/>
      <c r="H464" s="244" t="s">
        <v>555</v>
      </c>
      <c r="I464"/>
      <c r="J464" s="4"/>
      <c r="K464" s="8" t="e">
        <f>(K462/10)</f>
        <v>#REF!</v>
      </c>
      <c r="R464" s="248" t="s">
        <v>1667</v>
      </c>
      <c r="AG464" s="244" t="s">
        <v>2346</v>
      </c>
    </row>
    <row r="465" spans="1:33" hidden="1">
      <c r="A465" s="358">
        <f t="shared" si="21"/>
        <v>299</v>
      </c>
      <c r="B465" s="244" t="s">
        <v>2030</v>
      </c>
      <c r="C465" s="8">
        <v>99.74</v>
      </c>
      <c r="D465" s="1" t="s">
        <v>883</v>
      </c>
      <c r="E465"/>
      <c r="I465"/>
      <c r="J465" s="4"/>
      <c r="K465" s="5" t="s">
        <v>2130</v>
      </c>
      <c r="N465" s="244" t="s">
        <v>2031</v>
      </c>
      <c r="O465" s="354" t="s">
        <v>2032</v>
      </c>
      <c r="AG465" s="244" t="s">
        <v>2346</v>
      </c>
    </row>
    <row r="466" spans="1:33" hidden="1">
      <c r="A466" s="358">
        <f t="shared" si="21"/>
        <v>300</v>
      </c>
      <c r="B466" s="244" t="s">
        <v>1161</v>
      </c>
      <c r="C466" s="8">
        <v>165</v>
      </c>
      <c r="D466" s="1" t="s">
        <v>883</v>
      </c>
      <c r="E466"/>
      <c r="H466" s="244" t="s">
        <v>388</v>
      </c>
      <c r="I466"/>
      <c r="J466" s="4"/>
      <c r="K466" s="8" t="e">
        <f>(K464+C19/10*F458)</f>
        <v>#REF!</v>
      </c>
      <c r="O466" s="248" t="s">
        <v>1667</v>
      </c>
      <c r="AG466" s="244" t="s">
        <v>2346</v>
      </c>
    </row>
    <row r="467" spans="1:33" hidden="1">
      <c r="A467" s="358">
        <f t="shared" si="21"/>
        <v>301</v>
      </c>
      <c r="B467" s="244" t="s">
        <v>1162</v>
      </c>
      <c r="C467" s="8">
        <v>258</v>
      </c>
      <c r="D467" s="1" t="s">
        <v>883</v>
      </c>
      <c r="E467"/>
      <c r="H467" s="244" t="s">
        <v>390</v>
      </c>
      <c r="I467"/>
      <c r="J467" s="4"/>
      <c r="K467" s="8" t="e">
        <f>(K466+C20/10*F458)</f>
        <v>#REF!</v>
      </c>
      <c r="M467" s="251">
        <v>8.1</v>
      </c>
      <c r="N467" s="244" t="s">
        <v>884</v>
      </c>
      <c r="O467" s="244" t="s">
        <v>621</v>
      </c>
      <c r="P467" s="251">
        <f>(C61)*2</f>
        <v>50</v>
      </c>
      <c r="Q467" s="244" t="s">
        <v>884</v>
      </c>
      <c r="R467" s="251">
        <f>(M467*P467)</f>
        <v>405</v>
      </c>
      <c r="AG467" s="244" t="s">
        <v>2346</v>
      </c>
    </row>
    <row r="468" spans="1:33" hidden="1">
      <c r="A468" s="358">
        <f t="shared" si="21"/>
        <v>302</v>
      </c>
      <c r="B468" s="244" t="s">
        <v>1164</v>
      </c>
      <c r="C468" s="8">
        <v>298</v>
      </c>
      <c r="D468" s="1" t="s">
        <v>883</v>
      </c>
      <c r="E468"/>
      <c r="H468" s="244" t="s">
        <v>2319</v>
      </c>
      <c r="I468"/>
      <c r="J468" s="4"/>
      <c r="K468" s="8" t="e">
        <f>(K467+C21/10*F458)</f>
        <v>#REF!</v>
      </c>
      <c r="M468" s="251">
        <v>8.1</v>
      </c>
      <c r="N468" s="244" t="s">
        <v>884</v>
      </c>
      <c r="O468" s="244" t="s">
        <v>2232</v>
      </c>
      <c r="P468" s="251">
        <f>(C26)</f>
        <v>8.8000000000000007</v>
      </c>
      <c r="Q468" s="244" t="s">
        <v>884</v>
      </c>
      <c r="R468" s="251">
        <f>(M468*P468)</f>
        <v>71.28</v>
      </c>
      <c r="AG468" s="244" t="s">
        <v>2346</v>
      </c>
    </row>
    <row r="469" spans="1:33" hidden="1">
      <c r="A469" s="358">
        <f t="shared" si="21"/>
        <v>303</v>
      </c>
      <c r="B469" s="244" t="s">
        <v>237</v>
      </c>
      <c r="C469" s="8">
        <v>398</v>
      </c>
      <c r="D469" s="1" t="s">
        <v>883</v>
      </c>
      <c r="E469"/>
      <c r="H469" s="244" t="s">
        <v>382</v>
      </c>
      <c r="I469"/>
      <c r="J469" s="4"/>
      <c r="K469" s="8" t="e">
        <f>(K468+C21/10*F458)</f>
        <v>#REF!</v>
      </c>
      <c r="M469" s="251">
        <v>30</v>
      </c>
      <c r="N469" s="244" t="s">
        <v>1854</v>
      </c>
      <c r="O469" s="244" t="s">
        <v>2233</v>
      </c>
      <c r="P469" s="251">
        <f>(C42)</f>
        <v>1.75</v>
      </c>
      <c r="Q469" s="244" t="s">
        <v>1854</v>
      </c>
      <c r="R469" s="251">
        <f>(M469*P469)</f>
        <v>52.5</v>
      </c>
      <c r="AG469" s="244" t="s">
        <v>2346</v>
      </c>
    </row>
    <row r="470" spans="1:33" hidden="1">
      <c r="A470" s="358">
        <f t="shared" si="21"/>
        <v>304</v>
      </c>
      <c r="B470" s="244" t="s">
        <v>1165</v>
      </c>
      <c r="C470"/>
      <c r="D470" s="1" t="s">
        <v>883</v>
      </c>
      <c r="E470"/>
      <c r="H470" s="244" t="s">
        <v>1595</v>
      </c>
      <c r="I470"/>
      <c r="J470" s="4"/>
      <c r="K470" s="8" t="e">
        <f>(K469+C22/10*F459)</f>
        <v>#REF!</v>
      </c>
      <c r="O470" s="244" t="s">
        <v>2234</v>
      </c>
      <c r="AG470" s="244" t="s">
        <v>2346</v>
      </c>
    </row>
    <row r="471" spans="1:33" hidden="1">
      <c r="A471" s="358">
        <f t="shared" si="21"/>
        <v>305</v>
      </c>
      <c r="B471" s="244" t="s">
        <v>3084</v>
      </c>
      <c r="C471"/>
      <c r="D471" s="1" t="s">
        <v>883</v>
      </c>
      <c r="E471"/>
      <c r="F471" s="354" t="s">
        <v>2033</v>
      </c>
      <c r="G471" s="250" t="s">
        <v>2338</v>
      </c>
      <c r="H471" s="244" t="s">
        <v>2034</v>
      </c>
      <c r="I471"/>
      <c r="J471" s="4"/>
      <c r="K471"/>
      <c r="O471" s="244" t="s">
        <v>2235</v>
      </c>
      <c r="AG471" s="244" t="s">
        <v>2346</v>
      </c>
    </row>
    <row r="472" spans="1:33" hidden="1">
      <c r="A472" s="358">
        <f t="shared" si="21"/>
        <v>306</v>
      </c>
      <c r="B472" s="244" t="s">
        <v>1159</v>
      </c>
      <c r="C472" s="8">
        <v>130</v>
      </c>
      <c r="D472" s="1" t="s">
        <v>883</v>
      </c>
      <c r="E472"/>
      <c r="H472" s="244" t="s">
        <v>2325</v>
      </c>
      <c r="I472"/>
      <c r="J472" s="4"/>
      <c r="K472"/>
      <c r="O472" s="244" t="s">
        <v>2236</v>
      </c>
      <c r="AG472" s="244" t="s">
        <v>2346</v>
      </c>
    </row>
    <row r="473" spans="1:33" hidden="1">
      <c r="A473" s="358">
        <f t="shared" si="21"/>
        <v>307</v>
      </c>
      <c r="B473" s="244" t="s">
        <v>1160</v>
      </c>
      <c r="C473" s="8">
        <v>178</v>
      </c>
      <c r="D473" s="1" t="s">
        <v>883</v>
      </c>
      <c r="E473"/>
      <c r="H473" s="248" t="s">
        <v>1667</v>
      </c>
      <c r="I473"/>
      <c r="J473" s="4"/>
      <c r="K473"/>
      <c r="O473" s="244" t="s">
        <v>2239</v>
      </c>
      <c r="AG473" s="244" t="s">
        <v>2346</v>
      </c>
    </row>
    <row r="474" spans="1:33" hidden="1">
      <c r="A474" s="358">
        <f t="shared" si="21"/>
        <v>308</v>
      </c>
      <c r="B474" s="244" t="s">
        <v>1161</v>
      </c>
      <c r="C474" s="8">
        <v>279</v>
      </c>
      <c r="D474" s="1" t="s">
        <v>883</v>
      </c>
      <c r="E474"/>
      <c r="F474" s="251">
        <v>1</v>
      </c>
      <c r="G474" s="250" t="s">
        <v>884</v>
      </c>
      <c r="H474" s="244" t="s">
        <v>2326</v>
      </c>
      <c r="I474" s="8">
        <f>(C26)</f>
        <v>8.8000000000000007</v>
      </c>
      <c r="J474" s="2" t="s">
        <v>884</v>
      </c>
      <c r="K474" s="8">
        <f>(F474*I474)</f>
        <v>8.8000000000000007</v>
      </c>
      <c r="M474" s="251">
        <v>8</v>
      </c>
      <c r="N474" s="244" t="s">
        <v>781</v>
      </c>
      <c r="O474" s="244" t="s">
        <v>2218</v>
      </c>
      <c r="P474" s="251">
        <f>(C45)</f>
        <v>2.7</v>
      </c>
      <c r="Q474" s="244" t="s">
        <v>781</v>
      </c>
      <c r="R474" s="251">
        <f>(M474*P474)</f>
        <v>21.6</v>
      </c>
      <c r="AG474" s="244" t="s">
        <v>2346</v>
      </c>
    </row>
    <row r="475" spans="1:33" hidden="1">
      <c r="A475" s="358">
        <f t="shared" si="21"/>
        <v>309</v>
      </c>
      <c r="B475" s="244" t="s">
        <v>1162</v>
      </c>
      <c r="C475" s="8">
        <v>394</v>
      </c>
      <c r="D475" s="1" t="s">
        <v>883</v>
      </c>
      <c r="E475"/>
      <c r="I475"/>
      <c r="J475" s="4"/>
      <c r="K475" s="5" t="s">
        <v>2130</v>
      </c>
      <c r="M475" s="251">
        <v>8</v>
      </c>
      <c r="N475" s="244" t="s">
        <v>781</v>
      </c>
      <c r="O475" s="244" t="s">
        <v>467</v>
      </c>
      <c r="P475" s="251">
        <f>(C52)</f>
        <v>6.4</v>
      </c>
      <c r="Q475" s="244" t="s">
        <v>781</v>
      </c>
      <c r="R475" s="251">
        <f>(M475*P475)</f>
        <v>51.2</v>
      </c>
      <c r="AG475" s="244" t="s">
        <v>2346</v>
      </c>
    </row>
    <row r="476" spans="1:33" hidden="1">
      <c r="A476" s="358">
        <f t="shared" si="21"/>
        <v>310</v>
      </c>
      <c r="B476" s="244" t="s">
        <v>1164</v>
      </c>
      <c r="C476" s="8">
        <v>508</v>
      </c>
      <c r="D476" s="1" t="s">
        <v>883</v>
      </c>
      <c r="E476"/>
      <c r="F476" s="364">
        <v>7.3</v>
      </c>
      <c r="G476" s="250" t="s">
        <v>2338</v>
      </c>
      <c r="H476" s="244" t="s">
        <v>2327</v>
      </c>
      <c r="I476"/>
      <c r="J476" s="4"/>
      <c r="K476"/>
      <c r="M476" s="251">
        <v>1</v>
      </c>
      <c r="N476" s="244" t="s">
        <v>448</v>
      </c>
      <c r="O476" s="244" t="s">
        <v>1770</v>
      </c>
      <c r="P476" s="251">
        <f>(C56)</f>
        <v>12.1</v>
      </c>
      <c r="Q476" s="244" t="s">
        <v>448</v>
      </c>
      <c r="R476" s="251">
        <f>(M476*P476)</f>
        <v>12.1</v>
      </c>
      <c r="AG476" s="244" t="s">
        <v>2346</v>
      </c>
    </row>
    <row r="477" spans="1:33" hidden="1">
      <c r="A477" s="358">
        <f t="shared" si="21"/>
        <v>311</v>
      </c>
      <c r="B477" s="244" t="s">
        <v>237</v>
      </c>
      <c r="C477" s="8">
        <v>709</v>
      </c>
      <c r="D477" s="1" t="s">
        <v>883</v>
      </c>
      <c r="E477"/>
      <c r="F477" s="244" t="s">
        <v>995</v>
      </c>
      <c r="H477" s="244" t="s">
        <v>982</v>
      </c>
      <c r="I477"/>
      <c r="J477" s="4"/>
      <c r="K477"/>
      <c r="M477" s="251">
        <v>1</v>
      </c>
      <c r="N477" s="244" t="s">
        <v>448</v>
      </c>
      <c r="O477" s="244" t="s">
        <v>449</v>
      </c>
      <c r="Q477" s="244" t="s">
        <v>448</v>
      </c>
      <c r="R477" s="251">
        <v>0</v>
      </c>
      <c r="AG477" s="244" t="s">
        <v>2346</v>
      </c>
    </row>
    <row r="478" spans="1:33" hidden="1">
      <c r="A478" s="358">
        <f t="shared" si="21"/>
        <v>312</v>
      </c>
      <c r="B478" s="244" t="s">
        <v>1165</v>
      </c>
      <c r="C478"/>
      <c r="D478" s="1" t="s">
        <v>883</v>
      </c>
      <c r="E478"/>
      <c r="F478" s="244" t="s">
        <v>995</v>
      </c>
      <c r="H478" s="248" t="s">
        <v>1667</v>
      </c>
      <c r="I478"/>
      <c r="J478" s="4"/>
      <c r="K478"/>
      <c r="R478" s="248" t="s">
        <v>1667</v>
      </c>
      <c r="AG478" s="244" t="s">
        <v>2346</v>
      </c>
    </row>
    <row r="479" spans="1:33" hidden="1">
      <c r="A479" s="358">
        <f t="shared" si="21"/>
        <v>313</v>
      </c>
      <c r="B479" s="244" t="s">
        <v>3085</v>
      </c>
      <c r="C479"/>
      <c r="D479" s="1" t="s">
        <v>883</v>
      </c>
      <c r="E479"/>
      <c r="F479" s="251">
        <v>0.13</v>
      </c>
      <c r="G479" s="250" t="s">
        <v>884</v>
      </c>
      <c r="H479" s="244" t="s">
        <v>1364</v>
      </c>
      <c r="I479" s="8" t="e">
        <f>(K40)</f>
        <v>#REF!</v>
      </c>
      <c r="J479" s="2" t="s">
        <v>884</v>
      </c>
      <c r="K479" s="8" t="e">
        <f t="shared" ref="K479:K484" si="22">(F479*I479)</f>
        <v>#REF!</v>
      </c>
      <c r="O479" s="244" t="s">
        <v>1621</v>
      </c>
      <c r="R479" s="251">
        <f>SUM(R467:R477)</f>
        <v>613.67999999999995</v>
      </c>
      <c r="AG479" s="244" t="s">
        <v>2346</v>
      </c>
    </row>
    <row r="480" spans="1:33" hidden="1">
      <c r="A480" s="358">
        <f t="shared" si="21"/>
        <v>314</v>
      </c>
      <c r="B480" s="244" t="s">
        <v>1159</v>
      </c>
      <c r="C480" s="8">
        <v>77</v>
      </c>
      <c r="D480" s="1" t="s">
        <v>883</v>
      </c>
      <c r="E480"/>
      <c r="F480" s="251">
        <v>0.7</v>
      </c>
      <c r="G480" s="250" t="s">
        <v>781</v>
      </c>
      <c r="H480" s="244" t="s">
        <v>2082</v>
      </c>
      <c r="I480" s="8">
        <f>(C10)</f>
        <v>150</v>
      </c>
      <c r="J480" s="2" t="s">
        <v>781</v>
      </c>
      <c r="K480" s="8">
        <f t="shared" si="22"/>
        <v>105</v>
      </c>
      <c r="R480" s="248" t="s">
        <v>1667</v>
      </c>
      <c r="AG480" s="244" t="s">
        <v>2346</v>
      </c>
    </row>
    <row r="481" spans="1:33" hidden="1">
      <c r="A481" s="358">
        <f t="shared" si="21"/>
        <v>315</v>
      </c>
      <c r="B481" s="244" t="s">
        <v>1160</v>
      </c>
      <c r="C481" s="8">
        <v>119</v>
      </c>
      <c r="D481" s="1" t="s">
        <v>883</v>
      </c>
      <c r="E481"/>
      <c r="F481" s="251">
        <v>0.7</v>
      </c>
      <c r="G481" s="250" t="s">
        <v>781</v>
      </c>
      <c r="H481" s="244" t="s">
        <v>1791</v>
      </c>
      <c r="I481" s="8">
        <f>(C11)</f>
        <v>135</v>
      </c>
      <c r="J481" s="2" t="s">
        <v>781</v>
      </c>
      <c r="K481" s="8">
        <f t="shared" si="22"/>
        <v>94.5</v>
      </c>
      <c r="O481" s="244" t="s">
        <v>1622</v>
      </c>
      <c r="R481" s="251">
        <f>(R479/30)</f>
        <v>20.46</v>
      </c>
      <c r="AG481" s="244" t="s">
        <v>2346</v>
      </c>
    </row>
    <row r="482" spans="1:33" hidden="1">
      <c r="A482" s="358">
        <f t="shared" si="21"/>
        <v>316</v>
      </c>
      <c r="B482" s="244" t="s">
        <v>1161</v>
      </c>
      <c r="C482" s="8">
        <v>175</v>
      </c>
      <c r="D482" s="1" t="s">
        <v>883</v>
      </c>
      <c r="E482"/>
      <c r="F482" s="251">
        <v>1.5</v>
      </c>
      <c r="G482" s="250" t="s">
        <v>781</v>
      </c>
      <c r="H482" s="244" t="s">
        <v>1979</v>
      </c>
      <c r="I482" s="8">
        <f>(C12)</f>
        <v>95</v>
      </c>
      <c r="J482" s="2" t="s">
        <v>781</v>
      </c>
      <c r="K482" s="8">
        <f t="shared" si="22"/>
        <v>142.5</v>
      </c>
      <c r="R482" s="248" t="s">
        <v>1667</v>
      </c>
      <c r="AG482" s="244" t="s">
        <v>2346</v>
      </c>
    </row>
    <row r="483" spans="1:33" hidden="1">
      <c r="A483" s="358">
        <f t="shared" si="21"/>
        <v>317</v>
      </c>
      <c r="B483" s="244" t="s">
        <v>1162</v>
      </c>
      <c r="C483" s="8">
        <v>277</v>
      </c>
      <c r="D483" s="1" t="s">
        <v>883</v>
      </c>
      <c r="E483"/>
      <c r="F483" s="251">
        <v>0.5</v>
      </c>
      <c r="G483" s="250" t="s">
        <v>781</v>
      </c>
      <c r="H483" s="244" t="s">
        <v>324</v>
      </c>
      <c r="I483" s="8">
        <f>(C13)</f>
        <v>85</v>
      </c>
      <c r="J483" s="2" t="s">
        <v>781</v>
      </c>
      <c r="K483" s="8">
        <f t="shared" si="22"/>
        <v>42.5</v>
      </c>
      <c r="M483" s="244" t="s">
        <v>995</v>
      </c>
      <c r="AG483" s="244" t="s">
        <v>2346</v>
      </c>
    </row>
    <row r="484" spans="1:33" hidden="1">
      <c r="A484" s="358">
        <f t="shared" si="21"/>
        <v>318</v>
      </c>
      <c r="B484" s="244" t="s">
        <v>1164</v>
      </c>
      <c r="C484" s="8">
        <v>353</v>
      </c>
      <c r="D484" s="1" t="s">
        <v>883</v>
      </c>
      <c r="E484"/>
      <c r="F484" s="251">
        <v>0.94</v>
      </c>
      <c r="G484" s="250" t="s">
        <v>1730</v>
      </c>
      <c r="H484" s="244" t="s">
        <v>927</v>
      </c>
      <c r="I484" s="8">
        <f>C631</f>
        <v>30</v>
      </c>
      <c r="J484" s="2" t="s">
        <v>1730</v>
      </c>
      <c r="K484" s="8">
        <f t="shared" si="22"/>
        <v>28.2</v>
      </c>
      <c r="N484" s="244" t="s">
        <v>2338</v>
      </c>
      <c r="O484" s="244" t="s">
        <v>2124</v>
      </c>
      <c r="AG484" s="244" t="s">
        <v>2346</v>
      </c>
    </row>
    <row r="485" spans="1:33" hidden="1">
      <c r="A485" s="358">
        <f t="shared" si="21"/>
        <v>319</v>
      </c>
      <c r="B485" s="244" t="s">
        <v>237</v>
      </c>
      <c r="C485" s="8">
        <v>584</v>
      </c>
      <c r="D485" s="1" t="s">
        <v>883</v>
      </c>
      <c r="E485"/>
      <c r="H485" s="244" t="s">
        <v>449</v>
      </c>
      <c r="I485" s="1" t="s">
        <v>995</v>
      </c>
      <c r="J485" s="2" t="s">
        <v>448</v>
      </c>
      <c r="K485" s="8">
        <v>0</v>
      </c>
      <c r="O485" s="244" t="s">
        <v>2125</v>
      </c>
      <c r="AG485" s="244" t="s">
        <v>2346</v>
      </c>
    </row>
    <row r="486" spans="1:33" hidden="1">
      <c r="A486" s="358">
        <f t="shared" si="21"/>
        <v>320</v>
      </c>
      <c r="B486" s="244" t="s">
        <v>1165</v>
      </c>
      <c r="C486"/>
      <c r="D486" s="1" t="s">
        <v>883</v>
      </c>
      <c r="E486"/>
      <c r="I486"/>
      <c r="J486" s="4"/>
      <c r="K486" s="5" t="s">
        <v>1667</v>
      </c>
      <c r="O486" s="244" t="s">
        <v>967</v>
      </c>
      <c r="AG486" s="244" t="s">
        <v>2346</v>
      </c>
    </row>
    <row r="487" spans="1:33" hidden="1">
      <c r="A487" s="358">
        <f t="shared" si="21"/>
        <v>321</v>
      </c>
      <c r="B487" s="244" t="s">
        <v>968</v>
      </c>
      <c r="C487"/>
      <c r="D487" s="1" t="s">
        <v>883</v>
      </c>
      <c r="E487"/>
      <c r="H487" s="244" t="s">
        <v>618</v>
      </c>
      <c r="I487"/>
      <c r="J487" s="4"/>
      <c r="K487" s="8" t="e">
        <f>SUM(K478:K485)</f>
        <v>#REF!</v>
      </c>
      <c r="O487" s="248" t="s">
        <v>1667</v>
      </c>
      <c r="AG487" s="244" t="s">
        <v>2346</v>
      </c>
    </row>
    <row r="488" spans="1:33" hidden="1">
      <c r="A488" s="358">
        <f t="shared" si="21"/>
        <v>322</v>
      </c>
      <c r="B488" s="244" t="s">
        <v>971</v>
      </c>
      <c r="C488" s="8">
        <v>8.75</v>
      </c>
      <c r="D488" s="1" t="s">
        <v>883</v>
      </c>
      <c r="E488"/>
      <c r="I488"/>
      <c r="J488" s="4"/>
      <c r="K488" s="5" t="s">
        <v>1667</v>
      </c>
      <c r="N488" s="244" t="s">
        <v>160</v>
      </c>
      <c r="O488" s="354" t="s">
        <v>972</v>
      </c>
      <c r="AG488" s="244" t="s">
        <v>2346</v>
      </c>
    </row>
    <row r="489" spans="1:33" hidden="1">
      <c r="A489" s="358">
        <f t="shared" si="21"/>
        <v>323</v>
      </c>
      <c r="B489" s="244" t="s">
        <v>756</v>
      </c>
      <c r="C489" s="8">
        <v>11.5</v>
      </c>
      <c r="D489" s="1" t="s">
        <v>883</v>
      </c>
      <c r="E489"/>
      <c r="H489" s="244" t="s">
        <v>785</v>
      </c>
      <c r="I489"/>
      <c r="J489" s="4"/>
      <c r="K489" s="8" t="e">
        <f>(K487/10)</f>
        <v>#REF!</v>
      </c>
      <c r="O489" s="248" t="s">
        <v>1667</v>
      </c>
      <c r="AG489" s="244" t="s">
        <v>2346</v>
      </c>
    </row>
    <row r="490" spans="1:33" hidden="1">
      <c r="C490"/>
      <c r="D490"/>
      <c r="E490"/>
      <c r="F490" s="244" t="s">
        <v>995</v>
      </c>
      <c r="I490"/>
      <c r="J490" s="4"/>
      <c r="K490"/>
    </row>
    <row r="491" spans="1:33" hidden="1">
      <c r="A491" s="358">
        <f>(A489+1)</f>
        <v>324</v>
      </c>
      <c r="B491" s="244" t="s">
        <v>1749</v>
      </c>
      <c r="C491" s="8">
        <v>11.5</v>
      </c>
      <c r="D491" s="1" t="s">
        <v>883</v>
      </c>
      <c r="E491"/>
      <c r="I491"/>
      <c r="J491" s="4"/>
      <c r="K491" s="5" t="s">
        <v>2130</v>
      </c>
      <c r="M491" s="251">
        <v>30</v>
      </c>
      <c r="N491" s="244" t="s">
        <v>1854</v>
      </c>
      <c r="O491" s="244" t="s">
        <v>1750</v>
      </c>
      <c r="P491" s="251">
        <f>(C42)</f>
        <v>1.75</v>
      </c>
      <c r="Q491" s="244" t="s">
        <v>1854</v>
      </c>
      <c r="R491" s="251">
        <f>(M491*P491)</f>
        <v>52.5</v>
      </c>
      <c r="AG491" s="244" t="s">
        <v>2346</v>
      </c>
    </row>
    <row r="492" spans="1:33" hidden="1">
      <c r="A492" s="358">
        <f t="shared" ref="A492:A523" si="23">(A491+1)</f>
        <v>325</v>
      </c>
      <c r="B492" s="244" t="s">
        <v>1751</v>
      </c>
      <c r="C492" s="8">
        <v>56.74</v>
      </c>
      <c r="D492" s="1" t="s">
        <v>883</v>
      </c>
      <c r="E492"/>
      <c r="F492" s="354"/>
      <c r="G492" s="250" t="s">
        <v>2338</v>
      </c>
      <c r="H492" s="244" t="s">
        <v>1752</v>
      </c>
      <c r="I492"/>
      <c r="J492" s="4"/>
      <c r="K492"/>
      <c r="M492" s="244" t="s">
        <v>995</v>
      </c>
      <c r="O492" s="244" t="s">
        <v>1753</v>
      </c>
      <c r="P492" s="244" t="s">
        <v>995</v>
      </c>
      <c r="R492" s="244" t="s">
        <v>995</v>
      </c>
      <c r="AG492" s="244" t="s">
        <v>2346</v>
      </c>
    </row>
    <row r="493" spans="1:33" hidden="1">
      <c r="A493" s="358">
        <f t="shared" si="23"/>
        <v>326</v>
      </c>
      <c r="B493" s="244" t="s">
        <v>1754</v>
      </c>
      <c r="C493" s="8">
        <v>56.74</v>
      </c>
      <c r="D493" s="1" t="s">
        <v>883</v>
      </c>
      <c r="E493"/>
      <c r="H493" s="244" t="s">
        <v>2356</v>
      </c>
      <c r="I493"/>
      <c r="J493" s="4"/>
      <c r="K493"/>
      <c r="M493" s="251">
        <v>8</v>
      </c>
      <c r="N493" s="244" t="s">
        <v>883</v>
      </c>
      <c r="O493" s="244" t="s">
        <v>2218</v>
      </c>
      <c r="P493" s="251">
        <f>(C43)</f>
        <v>2.2000000000000002</v>
      </c>
      <c r="Q493" s="244" t="s">
        <v>883</v>
      </c>
      <c r="R493" s="251">
        <f t="shared" ref="R493:R498" si="24">(M493*P493)</f>
        <v>17.600000000000001</v>
      </c>
      <c r="AG493" s="244" t="s">
        <v>2346</v>
      </c>
    </row>
    <row r="494" spans="1:33" hidden="1">
      <c r="A494" s="358">
        <f t="shared" si="23"/>
        <v>327</v>
      </c>
      <c r="B494" s="244" t="s">
        <v>1755</v>
      </c>
      <c r="C494"/>
      <c r="D494" s="1" t="s">
        <v>995</v>
      </c>
      <c r="E494"/>
      <c r="H494" s="248" t="s">
        <v>1667</v>
      </c>
      <c r="I494"/>
      <c r="J494" s="4"/>
      <c r="K494"/>
      <c r="M494" s="251">
        <v>8</v>
      </c>
      <c r="N494" s="244" t="s">
        <v>883</v>
      </c>
      <c r="O494" s="244" t="s">
        <v>467</v>
      </c>
      <c r="P494" s="251">
        <f>(C50)</f>
        <v>3.2</v>
      </c>
      <c r="Q494" s="244" t="s">
        <v>883</v>
      </c>
      <c r="R494" s="251">
        <f t="shared" si="24"/>
        <v>25.6</v>
      </c>
      <c r="AG494" s="244" t="s">
        <v>2346</v>
      </c>
    </row>
    <row r="495" spans="1:33" hidden="1">
      <c r="A495" s="358">
        <f t="shared" si="23"/>
        <v>328</v>
      </c>
      <c r="B495" s="244" t="s">
        <v>971</v>
      </c>
      <c r="C495" s="8">
        <v>15.6</v>
      </c>
      <c r="D495" s="1" t="s">
        <v>883</v>
      </c>
      <c r="E495"/>
      <c r="F495" s="251">
        <v>9</v>
      </c>
      <c r="G495" s="250" t="s">
        <v>884</v>
      </c>
      <c r="H495" s="244" t="s">
        <v>1756</v>
      </c>
      <c r="I495" s="8" t="e">
        <f>(C70)</f>
        <v>#REF!</v>
      </c>
      <c r="J495" s="2" t="s">
        <v>884</v>
      </c>
      <c r="K495" s="8" t="e">
        <f t="shared" ref="K495:K500" si="25">(F495*I495)</f>
        <v>#REF!</v>
      </c>
      <c r="M495" s="251">
        <v>3</v>
      </c>
      <c r="N495" s="244" t="s">
        <v>883</v>
      </c>
      <c r="O495" s="244" t="s">
        <v>1922</v>
      </c>
      <c r="P495" s="251">
        <f>(C41)</f>
        <v>110</v>
      </c>
      <c r="Q495" s="244" t="s">
        <v>883</v>
      </c>
      <c r="R495" s="251">
        <f t="shared" si="24"/>
        <v>330</v>
      </c>
      <c r="AG495" s="244" t="s">
        <v>2346</v>
      </c>
    </row>
    <row r="496" spans="1:33" hidden="1">
      <c r="A496" s="358">
        <f t="shared" si="23"/>
        <v>329</v>
      </c>
      <c r="B496" s="244" t="s">
        <v>756</v>
      </c>
      <c r="C496" s="8">
        <v>15.6</v>
      </c>
      <c r="D496" s="1" t="s">
        <v>883</v>
      </c>
      <c r="E496"/>
      <c r="F496" s="363">
        <v>3.2309999999999999</v>
      </c>
      <c r="G496" s="250" t="s">
        <v>876</v>
      </c>
      <c r="H496" s="244" t="s">
        <v>877</v>
      </c>
      <c r="I496" s="8">
        <f>(C67)</f>
        <v>3800</v>
      </c>
      <c r="J496" s="2" t="s">
        <v>876</v>
      </c>
      <c r="K496" s="8">
        <f t="shared" si="25"/>
        <v>12277.8</v>
      </c>
      <c r="M496" s="251">
        <v>1</v>
      </c>
      <c r="N496" s="244" t="s">
        <v>883</v>
      </c>
      <c r="O496" s="244" t="s">
        <v>1923</v>
      </c>
      <c r="P496" s="251">
        <f>(C10)</f>
        <v>150</v>
      </c>
      <c r="Q496" s="244" t="s">
        <v>883</v>
      </c>
      <c r="R496" s="251">
        <f t="shared" si="24"/>
        <v>150</v>
      </c>
      <c r="AG496" s="244" t="s">
        <v>2346</v>
      </c>
    </row>
    <row r="497" spans="1:33" hidden="1">
      <c r="A497" s="358">
        <f t="shared" si="23"/>
        <v>330</v>
      </c>
      <c r="B497" s="244" t="s">
        <v>1749</v>
      </c>
      <c r="C497" s="8">
        <v>15.6</v>
      </c>
      <c r="D497" s="1" t="s">
        <v>883</v>
      </c>
      <c r="E497"/>
      <c r="F497" s="251">
        <v>4.5</v>
      </c>
      <c r="G497" s="250" t="s">
        <v>884</v>
      </c>
      <c r="H497" s="244" t="s">
        <v>885</v>
      </c>
      <c r="I497" s="8" t="e">
        <f>(C78)</f>
        <v>#REF!</v>
      </c>
      <c r="J497" s="2" t="s">
        <v>884</v>
      </c>
      <c r="K497" s="8" t="e">
        <f t="shared" si="25"/>
        <v>#REF!</v>
      </c>
      <c r="M497" s="251">
        <v>2</v>
      </c>
      <c r="N497" s="244" t="s">
        <v>883</v>
      </c>
      <c r="O497" s="244" t="s">
        <v>1979</v>
      </c>
      <c r="P497" s="251">
        <f>(C12)</f>
        <v>95</v>
      </c>
      <c r="Q497" s="244" t="s">
        <v>883</v>
      </c>
      <c r="R497" s="251">
        <f t="shared" si="24"/>
        <v>190</v>
      </c>
      <c r="AG497" s="244" t="s">
        <v>2346</v>
      </c>
    </row>
    <row r="498" spans="1:33" hidden="1">
      <c r="A498" s="358">
        <f t="shared" si="23"/>
        <v>331</v>
      </c>
      <c r="B498" s="244" t="s">
        <v>1751</v>
      </c>
      <c r="C498" s="8">
        <v>100.3</v>
      </c>
      <c r="D498" s="1" t="s">
        <v>883</v>
      </c>
      <c r="E498"/>
      <c r="F498" s="251">
        <v>3.5</v>
      </c>
      <c r="G498" s="250" t="s">
        <v>883</v>
      </c>
      <c r="H498" s="244" t="s">
        <v>1791</v>
      </c>
      <c r="I498" s="8">
        <f>(C11)</f>
        <v>135</v>
      </c>
      <c r="J498" s="2" t="s">
        <v>883</v>
      </c>
      <c r="K498" s="8">
        <f t="shared" si="25"/>
        <v>472.5</v>
      </c>
      <c r="M498" s="251">
        <v>1</v>
      </c>
      <c r="N498" s="244" t="s">
        <v>883</v>
      </c>
      <c r="O498" s="244" t="s">
        <v>324</v>
      </c>
      <c r="P498" s="251">
        <f>(C13)</f>
        <v>85</v>
      </c>
      <c r="Q498" s="244" t="s">
        <v>883</v>
      </c>
      <c r="R498" s="251">
        <f t="shared" si="24"/>
        <v>85</v>
      </c>
      <c r="AG498" s="244" t="s">
        <v>325</v>
      </c>
    </row>
    <row r="499" spans="1:33" hidden="1">
      <c r="A499" s="358">
        <f t="shared" si="23"/>
        <v>332</v>
      </c>
      <c r="B499" s="244" t="s">
        <v>1754</v>
      </c>
      <c r="C499" s="8">
        <v>100.3</v>
      </c>
      <c r="D499" s="1" t="s">
        <v>883</v>
      </c>
      <c r="E499"/>
      <c r="F499" s="251">
        <v>21.2</v>
      </c>
      <c r="G499" s="250" t="s">
        <v>883</v>
      </c>
      <c r="H499" s="244" t="s">
        <v>1979</v>
      </c>
      <c r="I499" s="8">
        <f>(C12)</f>
        <v>95</v>
      </c>
      <c r="J499" s="2" t="s">
        <v>883</v>
      </c>
      <c r="K499" s="8">
        <f t="shared" si="25"/>
        <v>2014</v>
      </c>
      <c r="N499" s="244" t="s">
        <v>448</v>
      </c>
      <c r="O499" s="244" t="s">
        <v>1924</v>
      </c>
      <c r="P499" s="244" t="s">
        <v>995</v>
      </c>
      <c r="Q499" s="244" t="s">
        <v>448</v>
      </c>
      <c r="R499" s="251">
        <f>(C56)</f>
        <v>12.1</v>
      </c>
    </row>
    <row r="500" spans="1:33" hidden="1">
      <c r="A500" s="358">
        <f t="shared" si="23"/>
        <v>333</v>
      </c>
      <c r="B500" s="244" t="s">
        <v>1925</v>
      </c>
      <c r="C500"/>
      <c r="D500" s="1" t="s">
        <v>995</v>
      </c>
      <c r="E500"/>
      <c r="F500" s="251">
        <v>35.299999999999997</v>
      </c>
      <c r="G500" s="250" t="s">
        <v>883</v>
      </c>
      <c r="H500" s="244" t="s">
        <v>324</v>
      </c>
      <c r="I500" s="8">
        <f>(C13)</f>
        <v>85</v>
      </c>
      <c r="J500" s="2" t="s">
        <v>883</v>
      </c>
      <c r="K500" s="8">
        <f t="shared" si="25"/>
        <v>3000.5</v>
      </c>
      <c r="O500" s="244" t="s">
        <v>1926</v>
      </c>
      <c r="P500" s="244" t="s">
        <v>995</v>
      </c>
      <c r="R500" s="244" t="s">
        <v>995</v>
      </c>
    </row>
    <row r="501" spans="1:33" hidden="1">
      <c r="A501" s="358">
        <f t="shared" si="23"/>
        <v>334</v>
      </c>
      <c r="B501" s="244" t="s">
        <v>971</v>
      </c>
      <c r="C501" s="8">
        <v>9.4499999999999993</v>
      </c>
      <c r="D501" s="1" t="s">
        <v>883</v>
      </c>
      <c r="E501"/>
      <c r="G501" s="250" t="s">
        <v>448</v>
      </c>
      <c r="H501" s="244" t="s">
        <v>449</v>
      </c>
      <c r="I501" s="1" t="s">
        <v>995</v>
      </c>
      <c r="J501" s="2" t="s">
        <v>448</v>
      </c>
      <c r="K501" s="8">
        <v>0</v>
      </c>
      <c r="N501" s="244" t="s">
        <v>448</v>
      </c>
      <c r="O501" s="244" t="s">
        <v>449</v>
      </c>
      <c r="Q501" s="244" t="s">
        <v>448</v>
      </c>
      <c r="R501" s="251">
        <v>0</v>
      </c>
      <c r="AG501" s="244" t="s">
        <v>2346</v>
      </c>
    </row>
    <row r="502" spans="1:33" hidden="1">
      <c r="A502" s="358">
        <f t="shared" si="23"/>
        <v>335</v>
      </c>
      <c r="B502" s="244" t="s">
        <v>756</v>
      </c>
      <c r="C502" s="8">
        <v>15.6</v>
      </c>
      <c r="D502" s="1" t="s">
        <v>883</v>
      </c>
      <c r="E502"/>
      <c r="I502"/>
      <c r="J502" s="4"/>
      <c r="K502" s="5" t="s">
        <v>1667</v>
      </c>
      <c r="R502" s="248" t="s">
        <v>1667</v>
      </c>
      <c r="AG502" s="244" t="s">
        <v>2346</v>
      </c>
    </row>
    <row r="503" spans="1:33" hidden="1">
      <c r="A503" s="358">
        <f t="shared" si="23"/>
        <v>336</v>
      </c>
      <c r="B503" s="244" t="s">
        <v>1749</v>
      </c>
      <c r="C503" s="8">
        <v>15.6</v>
      </c>
      <c r="D503" s="1" t="s">
        <v>883</v>
      </c>
      <c r="E503"/>
      <c r="H503" s="244" t="s">
        <v>2246</v>
      </c>
      <c r="I503"/>
      <c r="J503" s="4"/>
      <c r="K503" s="8" t="e">
        <f>SUM(K495:K501)</f>
        <v>#REF!</v>
      </c>
      <c r="O503" s="244" t="s">
        <v>1927</v>
      </c>
      <c r="R503" s="251">
        <f>SUM(R491:R501)</f>
        <v>862.8</v>
      </c>
      <c r="AG503" s="244" t="s">
        <v>2346</v>
      </c>
    </row>
    <row r="504" spans="1:33" hidden="1">
      <c r="A504" s="358">
        <f t="shared" si="23"/>
        <v>337</v>
      </c>
      <c r="B504" s="244" t="s">
        <v>1928</v>
      </c>
      <c r="C504" s="8">
        <v>36.61</v>
      </c>
      <c r="D504" s="1" t="s">
        <v>883</v>
      </c>
      <c r="E504"/>
      <c r="I504"/>
      <c r="J504" s="4"/>
      <c r="K504" s="5" t="s">
        <v>1667</v>
      </c>
      <c r="R504" s="248" t="s">
        <v>1667</v>
      </c>
      <c r="AG504" s="244" t="s">
        <v>2346</v>
      </c>
    </row>
    <row r="505" spans="1:33" hidden="1">
      <c r="A505" s="358">
        <f t="shared" si="23"/>
        <v>338</v>
      </c>
      <c r="B505" s="244" t="s">
        <v>1751</v>
      </c>
      <c r="C505" s="8">
        <v>78.709999999999994</v>
      </c>
      <c r="D505" s="1" t="s">
        <v>883</v>
      </c>
      <c r="E505"/>
      <c r="H505" s="244" t="s">
        <v>785</v>
      </c>
      <c r="I505"/>
      <c r="J505" s="4"/>
      <c r="K505" s="8" t="e">
        <f>(K503/10)</f>
        <v>#REF!</v>
      </c>
      <c r="O505" s="244" t="s">
        <v>1622</v>
      </c>
      <c r="R505" s="251">
        <f>(R503/30)</f>
        <v>28.76</v>
      </c>
      <c r="AG505" s="244" t="s">
        <v>2346</v>
      </c>
    </row>
    <row r="506" spans="1:33" hidden="1">
      <c r="A506" s="358">
        <f t="shared" si="23"/>
        <v>339</v>
      </c>
      <c r="B506" s="244" t="s">
        <v>1754</v>
      </c>
      <c r="C506" s="8">
        <v>78.709999999999994</v>
      </c>
      <c r="D506" s="1" t="s">
        <v>883</v>
      </c>
      <c r="E506"/>
      <c r="I506"/>
      <c r="J506" s="4"/>
      <c r="K506"/>
      <c r="R506" s="248" t="s">
        <v>1667</v>
      </c>
      <c r="AG506" s="244" t="s">
        <v>2346</v>
      </c>
    </row>
    <row r="507" spans="1:33" hidden="1">
      <c r="A507" s="358">
        <f t="shared" si="23"/>
        <v>340</v>
      </c>
      <c r="B507" s="244" t="s">
        <v>1929</v>
      </c>
      <c r="C507"/>
      <c r="D507" s="1" t="s">
        <v>221</v>
      </c>
      <c r="E507"/>
      <c r="F507" s="251">
        <v>1</v>
      </c>
      <c r="G507" s="250" t="s">
        <v>884</v>
      </c>
      <c r="H507" s="244" t="s">
        <v>50</v>
      </c>
      <c r="I507"/>
      <c r="J507" s="4"/>
      <c r="K507" s="8">
        <f>(C25)</f>
        <v>20.7</v>
      </c>
      <c r="N507" s="244" t="s">
        <v>1635</v>
      </c>
      <c r="O507" s="354" t="s">
        <v>222</v>
      </c>
      <c r="AG507" s="244" t="s">
        <v>2346</v>
      </c>
    </row>
    <row r="508" spans="1:33" hidden="1">
      <c r="A508" s="358">
        <f t="shared" si="23"/>
        <v>341</v>
      </c>
      <c r="B508" s="244" t="s">
        <v>1108</v>
      </c>
      <c r="C508" s="8">
        <v>20.55</v>
      </c>
      <c r="D508" s="1" t="s">
        <v>1854</v>
      </c>
      <c r="E508"/>
      <c r="I508"/>
      <c r="J508" s="4"/>
      <c r="K508" s="5" t="s">
        <v>1667</v>
      </c>
      <c r="O508" s="248" t="s">
        <v>1667</v>
      </c>
      <c r="AG508" s="244" t="s">
        <v>2346</v>
      </c>
    </row>
    <row r="509" spans="1:33" hidden="1">
      <c r="A509" s="358">
        <f t="shared" si="23"/>
        <v>342</v>
      </c>
      <c r="B509" s="244" t="s">
        <v>1298</v>
      </c>
      <c r="C509" s="8">
        <v>32.9</v>
      </c>
      <c r="D509" s="1" t="s">
        <v>1854</v>
      </c>
      <c r="E509">
        <v>70</v>
      </c>
      <c r="H509" s="244" t="s">
        <v>1299</v>
      </c>
      <c r="I509"/>
      <c r="J509" s="4"/>
      <c r="K509" s="8" t="e">
        <f>SUM(K505:K507)</f>
        <v>#REF!</v>
      </c>
      <c r="M509" s="251">
        <v>30</v>
      </c>
      <c r="N509" s="244" t="s">
        <v>1854</v>
      </c>
      <c r="O509" s="244" t="s">
        <v>1750</v>
      </c>
      <c r="P509" s="251">
        <f>(C42)</f>
        <v>1.75</v>
      </c>
      <c r="Q509" s="244" t="s">
        <v>1854</v>
      </c>
      <c r="R509" s="251">
        <f>(M509*P509)</f>
        <v>52.5</v>
      </c>
      <c r="AG509" s="244" t="s">
        <v>2346</v>
      </c>
    </row>
    <row r="510" spans="1:33" hidden="1">
      <c r="A510" s="358">
        <f t="shared" si="23"/>
        <v>343</v>
      </c>
      <c r="B510" s="244" t="s">
        <v>1300</v>
      </c>
      <c r="C510" s="8">
        <v>48.8</v>
      </c>
      <c r="D510" s="1" t="s">
        <v>1854</v>
      </c>
      <c r="E510"/>
      <c r="I510"/>
      <c r="J510" s="4"/>
      <c r="K510" s="5" t="s">
        <v>1667</v>
      </c>
      <c r="M510" s="244" t="s">
        <v>995</v>
      </c>
      <c r="O510" s="244" t="s">
        <v>1753</v>
      </c>
      <c r="P510" s="244" t="s">
        <v>995</v>
      </c>
      <c r="R510" s="244" t="s">
        <v>995</v>
      </c>
      <c r="AG510" s="244" t="s">
        <v>2346</v>
      </c>
    </row>
    <row r="511" spans="1:33" hidden="1">
      <c r="A511" s="358">
        <f t="shared" si="23"/>
        <v>344</v>
      </c>
      <c r="B511" s="244" t="s">
        <v>1301</v>
      </c>
      <c r="C511" s="8">
        <v>65.7</v>
      </c>
      <c r="D511" s="1" t="s">
        <v>1854</v>
      </c>
      <c r="E511"/>
      <c r="G511" s="250" t="s">
        <v>1302</v>
      </c>
      <c r="H511" s="244" t="s">
        <v>388</v>
      </c>
      <c r="I511"/>
      <c r="J511" s="4"/>
      <c r="K511" s="8" t="e">
        <f>(K509+C22)</f>
        <v>#REF!</v>
      </c>
      <c r="M511" s="251">
        <v>8</v>
      </c>
      <c r="N511" s="244" t="s">
        <v>883</v>
      </c>
      <c r="O511" s="244" t="s">
        <v>2218</v>
      </c>
      <c r="P511" s="251">
        <f>(C44)</f>
        <v>2.2000000000000002</v>
      </c>
      <c r="Q511" s="244" t="s">
        <v>883</v>
      </c>
      <c r="R511" s="251">
        <f t="shared" ref="R511:R516" si="26">(M511*P511)</f>
        <v>17.600000000000001</v>
      </c>
      <c r="AG511" s="244" t="s">
        <v>2346</v>
      </c>
    </row>
    <row r="512" spans="1:33" hidden="1">
      <c r="A512" s="358">
        <f t="shared" si="23"/>
        <v>345</v>
      </c>
      <c r="B512" s="244" t="s">
        <v>1303</v>
      </c>
      <c r="C512" s="8">
        <v>69.099999999999994</v>
      </c>
      <c r="D512" s="8">
        <v>21</v>
      </c>
      <c r="E512"/>
      <c r="G512" s="250" t="s">
        <v>1304</v>
      </c>
      <c r="H512" s="244" t="s">
        <v>390</v>
      </c>
      <c r="I512"/>
      <c r="J512" s="4"/>
      <c r="K512" s="8" t="e">
        <f>(K511+C23)</f>
        <v>#REF!</v>
      </c>
      <c r="M512" s="251">
        <v>8</v>
      </c>
      <c r="N512" s="244" t="s">
        <v>883</v>
      </c>
      <c r="O512" s="244" t="s">
        <v>467</v>
      </c>
      <c r="P512" s="251">
        <f>(C51)</f>
        <v>3.2</v>
      </c>
      <c r="Q512" s="244" t="s">
        <v>883</v>
      </c>
      <c r="R512" s="251">
        <f t="shared" si="26"/>
        <v>25.6</v>
      </c>
      <c r="AG512" s="244" t="s">
        <v>2346</v>
      </c>
    </row>
    <row r="513" spans="1:33" hidden="1">
      <c r="A513" s="358">
        <f t="shared" si="23"/>
        <v>346</v>
      </c>
      <c r="B513" s="244" t="s">
        <v>378</v>
      </c>
      <c r="C513" s="8">
        <v>94.12</v>
      </c>
      <c r="D513" s="8">
        <v>37.15</v>
      </c>
      <c r="E513"/>
      <c r="G513" s="250" t="s">
        <v>424</v>
      </c>
      <c r="H513" s="244" t="s">
        <v>2319</v>
      </c>
      <c r="I513"/>
      <c r="J513" s="4"/>
      <c r="K513" s="8" t="e">
        <f>(K512+C24)</f>
        <v>#REF!</v>
      </c>
      <c r="M513" s="251">
        <v>3</v>
      </c>
      <c r="N513" s="244" t="s">
        <v>883</v>
      </c>
      <c r="O513" s="244" t="s">
        <v>1922</v>
      </c>
      <c r="P513" s="251">
        <f>(C41)</f>
        <v>110</v>
      </c>
      <c r="Q513" s="244" t="s">
        <v>883</v>
      </c>
      <c r="R513" s="251">
        <f t="shared" si="26"/>
        <v>330</v>
      </c>
      <c r="AG513" s="244" t="s">
        <v>2346</v>
      </c>
    </row>
    <row r="514" spans="1:33" hidden="1">
      <c r="A514" s="358">
        <f t="shared" si="23"/>
        <v>347</v>
      </c>
      <c r="B514" s="244" t="s">
        <v>1014</v>
      </c>
      <c r="C514"/>
      <c r="D514" s="1" t="s">
        <v>995</v>
      </c>
      <c r="E514"/>
      <c r="G514" s="250" t="s">
        <v>1015</v>
      </c>
      <c r="H514" s="244" t="s">
        <v>382</v>
      </c>
      <c r="I514"/>
      <c r="J514" s="4"/>
      <c r="K514" s="8" t="e">
        <f>(K513+C24)</f>
        <v>#REF!</v>
      </c>
      <c r="M514" s="251">
        <v>1</v>
      </c>
      <c r="N514" s="244" t="s">
        <v>883</v>
      </c>
      <c r="O514" s="244" t="s">
        <v>1923</v>
      </c>
      <c r="P514" s="251">
        <f>(C10)</f>
        <v>150</v>
      </c>
      <c r="Q514" s="244" t="s">
        <v>883</v>
      </c>
      <c r="R514" s="251">
        <f t="shared" si="26"/>
        <v>150</v>
      </c>
      <c r="AG514" s="244" t="s">
        <v>2346</v>
      </c>
    </row>
    <row r="515" spans="1:33" hidden="1">
      <c r="A515" s="358">
        <f t="shared" si="23"/>
        <v>348</v>
      </c>
      <c r="B515" s="244" t="s">
        <v>1159</v>
      </c>
      <c r="C515" s="8">
        <v>4.1900000000000004</v>
      </c>
      <c r="D515" s="1" t="s">
        <v>883</v>
      </c>
      <c r="E515"/>
      <c r="I515"/>
      <c r="J515" s="4"/>
      <c r="K515"/>
      <c r="M515" s="251">
        <v>2</v>
      </c>
      <c r="N515" s="244" t="s">
        <v>883</v>
      </c>
      <c r="O515" s="244" t="s">
        <v>1979</v>
      </c>
      <c r="P515" s="251">
        <f>(C12)</f>
        <v>95</v>
      </c>
      <c r="Q515" s="244" t="s">
        <v>883</v>
      </c>
      <c r="R515" s="251">
        <f t="shared" si="26"/>
        <v>190</v>
      </c>
      <c r="AG515" s="244" t="s">
        <v>2346</v>
      </c>
    </row>
    <row r="516" spans="1:33" hidden="1">
      <c r="A516" s="358">
        <f t="shared" si="23"/>
        <v>349</v>
      </c>
      <c r="B516" s="244" t="s">
        <v>1160</v>
      </c>
      <c r="C516" s="8">
        <v>5</v>
      </c>
      <c r="D516" s="1" t="s">
        <v>883</v>
      </c>
      <c r="E516"/>
      <c r="F516" s="354" t="s">
        <v>1016</v>
      </c>
      <c r="G516" s="250" t="s">
        <v>2338</v>
      </c>
      <c r="H516" s="244" t="s">
        <v>1017</v>
      </c>
      <c r="I516"/>
      <c r="J516" s="4"/>
      <c r="K516"/>
      <c r="M516" s="251">
        <v>1</v>
      </c>
      <c r="N516" s="244" t="s">
        <v>883</v>
      </c>
      <c r="O516" s="244" t="s">
        <v>324</v>
      </c>
      <c r="P516" s="251">
        <f>(C13)</f>
        <v>85</v>
      </c>
      <c r="Q516" s="244" t="s">
        <v>883</v>
      </c>
      <c r="R516" s="251">
        <f t="shared" si="26"/>
        <v>85</v>
      </c>
      <c r="AG516" s="244" t="s">
        <v>2346</v>
      </c>
    </row>
    <row r="517" spans="1:33" hidden="1">
      <c r="A517" s="358">
        <f t="shared" si="23"/>
        <v>350</v>
      </c>
      <c r="B517" s="244" t="s">
        <v>1161</v>
      </c>
      <c r="C517" s="8">
        <v>8.06</v>
      </c>
      <c r="D517" s="1" t="s">
        <v>883</v>
      </c>
      <c r="E517"/>
      <c r="H517" s="248" t="s">
        <v>1667</v>
      </c>
      <c r="I517"/>
      <c r="J517" s="4"/>
      <c r="K517"/>
      <c r="N517" s="244" t="s">
        <v>448</v>
      </c>
      <c r="O517" s="244" t="s">
        <v>1924</v>
      </c>
      <c r="P517" s="244" t="s">
        <v>995</v>
      </c>
      <c r="Q517" s="244" t="s">
        <v>448</v>
      </c>
      <c r="R517" s="251">
        <f>(C56)</f>
        <v>12.1</v>
      </c>
      <c r="AG517" s="244" t="s">
        <v>2346</v>
      </c>
    </row>
    <row r="518" spans="1:33" hidden="1">
      <c r="A518" s="358">
        <f t="shared" si="23"/>
        <v>351</v>
      </c>
      <c r="B518" s="244" t="s">
        <v>1162</v>
      </c>
      <c r="C518" s="8">
        <v>11.86</v>
      </c>
      <c r="D518" s="1" t="s">
        <v>883</v>
      </c>
      <c r="E518"/>
      <c r="F518" s="363">
        <v>1.4999999999999999E-2</v>
      </c>
      <c r="G518" s="250" t="s">
        <v>884</v>
      </c>
      <c r="H518" s="244" t="s">
        <v>1018</v>
      </c>
      <c r="I518" s="8" t="e">
        <f>(K505)</f>
        <v>#REF!</v>
      </c>
      <c r="J518" s="2" t="s">
        <v>884</v>
      </c>
      <c r="K518" s="8" t="e">
        <f>(F518*I518)</f>
        <v>#REF!</v>
      </c>
      <c r="O518" s="244" t="s">
        <v>1926</v>
      </c>
      <c r="P518" s="244" t="s">
        <v>995</v>
      </c>
      <c r="R518" s="244" t="s">
        <v>995</v>
      </c>
      <c r="AG518" s="244" t="s">
        <v>2346</v>
      </c>
    </row>
    <row r="519" spans="1:33" hidden="1">
      <c r="A519" s="358">
        <f t="shared" si="23"/>
        <v>352</v>
      </c>
      <c r="B519" s="244" t="s">
        <v>1164</v>
      </c>
      <c r="C519" s="8">
        <v>18.88</v>
      </c>
      <c r="D519" s="1" t="s">
        <v>883</v>
      </c>
      <c r="E519"/>
      <c r="F519" s="251">
        <v>0.5</v>
      </c>
      <c r="G519" s="250" t="s">
        <v>781</v>
      </c>
      <c r="H519" s="244" t="s">
        <v>2082</v>
      </c>
      <c r="I519" s="8">
        <f>(C10)</f>
        <v>150</v>
      </c>
      <c r="J519" s="2" t="s">
        <v>781</v>
      </c>
      <c r="K519" s="8">
        <f>(F519*I519)</f>
        <v>75</v>
      </c>
      <c r="N519" s="244" t="s">
        <v>448</v>
      </c>
      <c r="O519" s="244" t="s">
        <v>449</v>
      </c>
      <c r="Q519" s="244" t="s">
        <v>448</v>
      </c>
      <c r="R519" s="251">
        <v>0</v>
      </c>
      <c r="AG519" s="244" t="s">
        <v>2346</v>
      </c>
    </row>
    <row r="520" spans="1:33" hidden="1">
      <c r="A520" s="358">
        <f t="shared" si="23"/>
        <v>353</v>
      </c>
      <c r="B520" s="244" t="s">
        <v>237</v>
      </c>
      <c r="C520" s="8">
        <v>26</v>
      </c>
      <c r="D520" s="1" t="s">
        <v>883</v>
      </c>
      <c r="E520"/>
      <c r="F520" s="251">
        <v>0.75</v>
      </c>
      <c r="G520" s="250" t="s">
        <v>781</v>
      </c>
      <c r="H520" s="244" t="s">
        <v>1979</v>
      </c>
      <c r="I520" s="8">
        <f>(C12)</f>
        <v>95</v>
      </c>
      <c r="J520" s="2" t="s">
        <v>781</v>
      </c>
      <c r="K520" s="8">
        <f>(F520*I520)</f>
        <v>71.25</v>
      </c>
      <c r="R520" s="248" t="s">
        <v>1667</v>
      </c>
      <c r="AG520" s="244" t="s">
        <v>2346</v>
      </c>
    </row>
    <row r="521" spans="1:33" hidden="1">
      <c r="A521" s="358">
        <f t="shared" si="23"/>
        <v>354</v>
      </c>
      <c r="B521" s="244" t="s">
        <v>692</v>
      </c>
      <c r="C521"/>
      <c r="D521" s="1" t="s">
        <v>995</v>
      </c>
      <c r="E521"/>
      <c r="G521" s="250" t="s">
        <v>448</v>
      </c>
      <c r="H521" s="244" t="s">
        <v>449</v>
      </c>
      <c r="I521"/>
      <c r="J521" s="2" t="s">
        <v>448</v>
      </c>
      <c r="K521" s="8">
        <v>0</v>
      </c>
      <c r="O521" s="244" t="s">
        <v>1927</v>
      </c>
      <c r="R521" s="251">
        <f>SUM(R509:R519)</f>
        <v>862.8</v>
      </c>
      <c r="AG521" s="244" t="s">
        <v>2346</v>
      </c>
    </row>
    <row r="522" spans="1:33" hidden="1">
      <c r="A522" s="358">
        <f t="shared" si="23"/>
        <v>355</v>
      </c>
      <c r="B522" s="244" t="s">
        <v>1159</v>
      </c>
      <c r="C522" s="8">
        <v>4.62</v>
      </c>
      <c r="D522" s="1" t="s">
        <v>883</v>
      </c>
      <c r="E522"/>
      <c r="I522"/>
      <c r="J522" s="4"/>
      <c r="K522" s="5" t="s">
        <v>1667</v>
      </c>
      <c r="R522" s="248" t="s">
        <v>1667</v>
      </c>
      <c r="AG522" s="244" t="s">
        <v>2346</v>
      </c>
    </row>
    <row r="523" spans="1:33" hidden="1">
      <c r="A523" s="358">
        <f t="shared" si="23"/>
        <v>356</v>
      </c>
      <c r="B523" s="244" t="s">
        <v>1160</v>
      </c>
      <c r="C523" s="8">
        <v>7.83</v>
      </c>
      <c r="D523" s="1" t="s">
        <v>883</v>
      </c>
      <c r="E523"/>
      <c r="H523" s="244" t="s">
        <v>1831</v>
      </c>
      <c r="I523"/>
      <c r="J523" s="4"/>
      <c r="K523" s="8" t="e">
        <f>SUM(K518:K521)</f>
        <v>#REF!</v>
      </c>
      <c r="O523" s="244" t="s">
        <v>1622</v>
      </c>
      <c r="R523" s="251">
        <f>(R521/30)</f>
        <v>28.76</v>
      </c>
      <c r="AG523" s="244" t="s">
        <v>2346</v>
      </c>
    </row>
    <row r="524" spans="1:33" hidden="1">
      <c r="A524" s="358">
        <f t="shared" ref="A524:A546" si="27">(A523+1)</f>
        <v>357</v>
      </c>
      <c r="B524" s="244" t="s">
        <v>1161</v>
      </c>
      <c r="C524" s="8">
        <v>11.38</v>
      </c>
      <c r="D524" s="1" t="s">
        <v>883</v>
      </c>
      <c r="E524"/>
      <c r="I524"/>
      <c r="J524" s="4"/>
      <c r="K524" s="5" t="s">
        <v>1667</v>
      </c>
      <c r="R524" s="248" t="s">
        <v>1667</v>
      </c>
      <c r="AG524" s="244" t="s">
        <v>2346</v>
      </c>
    </row>
    <row r="525" spans="1:33" hidden="1">
      <c r="A525" s="358">
        <f t="shared" si="27"/>
        <v>358</v>
      </c>
      <c r="B525" s="244" t="s">
        <v>1162</v>
      </c>
      <c r="C525" s="8">
        <v>18.75</v>
      </c>
      <c r="D525" s="1" t="s">
        <v>883</v>
      </c>
      <c r="E525"/>
      <c r="H525" s="244" t="s">
        <v>555</v>
      </c>
      <c r="I525"/>
      <c r="J525" s="4"/>
      <c r="K525" s="8" t="e">
        <f>(K523/0.743)</f>
        <v>#REF!</v>
      </c>
      <c r="AG525" s="244" t="s">
        <v>2346</v>
      </c>
    </row>
    <row r="526" spans="1:33" hidden="1">
      <c r="A526" s="358">
        <f t="shared" si="27"/>
        <v>359</v>
      </c>
      <c r="B526" s="244" t="s">
        <v>1164</v>
      </c>
      <c r="C526" s="8">
        <v>35.1</v>
      </c>
      <c r="D526" s="1" t="s">
        <v>883</v>
      </c>
      <c r="E526"/>
      <c r="I526"/>
      <c r="J526" s="4"/>
      <c r="K526" s="5" t="s">
        <v>2130</v>
      </c>
      <c r="AG526" s="244" t="s">
        <v>2346</v>
      </c>
    </row>
    <row r="527" spans="1:33" hidden="1">
      <c r="A527" s="358">
        <f t="shared" si="27"/>
        <v>360</v>
      </c>
      <c r="B527" s="244" t="s">
        <v>237</v>
      </c>
      <c r="C527" s="8">
        <v>45.57</v>
      </c>
      <c r="D527" s="1" t="s">
        <v>883</v>
      </c>
      <c r="E527"/>
      <c r="H527" s="244" t="s">
        <v>388</v>
      </c>
      <c r="I527" s="8" t="e">
        <f>K525</f>
        <v>#REF!</v>
      </c>
      <c r="J527" s="2">
        <f>C22*0.02</f>
        <v>0.53</v>
      </c>
      <c r="K527" s="8" t="e">
        <f>I527+J527</f>
        <v>#REF!</v>
      </c>
      <c r="N527" s="244" t="s">
        <v>2031</v>
      </c>
      <c r="O527" s="354" t="s">
        <v>1332</v>
      </c>
      <c r="AG527" s="244" t="s">
        <v>2346</v>
      </c>
    </row>
    <row r="528" spans="1:33" hidden="1">
      <c r="A528" s="358">
        <f t="shared" si="27"/>
        <v>361</v>
      </c>
      <c r="B528" s="244" t="s">
        <v>1171</v>
      </c>
      <c r="C528"/>
      <c r="D528" s="1" t="s">
        <v>995</v>
      </c>
      <c r="E528"/>
      <c r="H528" s="244" t="s">
        <v>390</v>
      </c>
      <c r="I528" s="8" t="e">
        <f>K527</f>
        <v>#REF!</v>
      </c>
      <c r="J528" s="2">
        <f>C23*0.02</f>
        <v>1.06</v>
      </c>
      <c r="K528" s="8" t="e">
        <f>I528+J528</f>
        <v>#REF!</v>
      </c>
      <c r="O528" s="248" t="s">
        <v>1667</v>
      </c>
      <c r="AG528" s="244" t="s">
        <v>2346</v>
      </c>
    </row>
    <row r="529" spans="1:33" hidden="1">
      <c r="A529" s="358">
        <f t="shared" si="27"/>
        <v>362</v>
      </c>
      <c r="B529" s="244" t="s">
        <v>1159</v>
      </c>
      <c r="C529" s="8">
        <v>7.8</v>
      </c>
      <c r="D529" s="1" t="s">
        <v>883</v>
      </c>
      <c r="E529"/>
      <c r="H529" s="244" t="s">
        <v>2319</v>
      </c>
      <c r="I529" s="8" t="e">
        <f>K528</f>
        <v>#REF!</v>
      </c>
      <c r="J529" s="2">
        <f>C23*0.02</f>
        <v>1.06</v>
      </c>
      <c r="K529" s="8" t="e">
        <f>I529+J529</f>
        <v>#REF!</v>
      </c>
      <c r="M529" s="251">
        <v>30</v>
      </c>
      <c r="N529" s="244" t="s">
        <v>1854</v>
      </c>
      <c r="O529" s="244" t="s">
        <v>1750</v>
      </c>
      <c r="P529" s="251">
        <f>(C42)</f>
        <v>1.75</v>
      </c>
      <c r="Q529" s="244" t="s">
        <v>1854</v>
      </c>
      <c r="R529" s="251">
        <f>(M529*P529)</f>
        <v>52.5</v>
      </c>
      <c r="AG529" s="244" t="s">
        <v>2346</v>
      </c>
    </row>
    <row r="530" spans="1:33" hidden="1">
      <c r="A530" s="358">
        <f t="shared" si="27"/>
        <v>363</v>
      </c>
      <c r="B530" s="244" t="s">
        <v>1160</v>
      </c>
      <c r="C530" s="8">
        <v>9.49</v>
      </c>
      <c r="D530" s="1" t="s">
        <v>883</v>
      </c>
      <c r="E530"/>
      <c r="H530" s="244" t="s">
        <v>382</v>
      </c>
      <c r="I530" s="8" t="e">
        <f>K529</f>
        <v>#REF!</v>
      </c>
      <c r="J530" s="2">
        <f>C23*0.02</f>
        <v>1.06</v>
      </c>
      <c r="K530" s="8" t="e">
        <f>I530+J530</f>
        <v>#REF!</v>
      </c>
      <c r="M530" s="244" t="s">
        <v>995</v>
      </c>
      <c r="O530" s="244" t="s">
        <v>1753</v>
      </c>
      <c r="P530" s="244" t="s">
        <v>995</v>
      </c>
      <c r="R530" s="244" t="s">
        <v>995</v>
      </c>
      <c r="AG530" s="244" t="s">
        <v>2346</v>
      </c>
    </row>
    <row r="531" spans="1:33" hidden="1">
      <c r="A531" s="358">
        <f t="shared" si="27"/>
        <v>364</v>
      </c>
      <c r="B531" s="244" t="s">
        <v>1161</v>
      </c>
      <c r="C531" s="8">
        <v>13.91</v>
      </c>
      <c r="D531" s="1" t="s">
        <v>883</v>
      </c>
      <c r="E531"/>
      <c r="H531" s="244" t="s">
        <v>390</v>
      </c>
      <c r="I531" s="8" t="e">
        <f>K530</f>
        <v>#REF!</v>
      </c>
      <c r="J531" s="2">
        <f>C24*0.02</f>
        <v>1.06</v>
      </c>
      <c r="K531" s="8" t="e">
        <f>I531+J531</f>
        <v>#REF!</v>
      </c>
      <c r="M531" s="251">
        <v>8</v>
      </c>
      <c r="N531" s="244" t="s">
        <v>883</v>
      </c>
      <c r="O531" s="244" t="s">
        <v>2218</v>
      </c>
      <c r="P531" s="251">
        <f>(C45)</f>
        <v>2.7</v>
      </c>
      <c r="Q531" s="244" t="s">
        <v>883</v>
      </c>
      <c r="R531" s="251">
        <f t="shared" ref="R531:R536" si="28">(M531*P531)</f>
        <v>21.6</v>
      </c>
      <c r="AG531" s="244" t="s">
        <v>2346</v>
      </c>
    </row>
    <row r="532" spans="1:33" hidden="1">
      <c r="A532" s="358">
        <f t="shared" si="27"/>
        <v>365</v>
      </c>
      <c r="B532" s="244" t="s">
        <v>1162</v>
      </c>
      <c r="C532" s="8">
        <v>26.59</v>
      </c>
      <c r="D532" s="1" t="s">
        <v>883</v>
      </c>
      <c r="E532"/>
      <c r="F532" s="354" t="s">
        <v>1172</v>
      </c>
      <c r="G532" s="250" t="s">
        <v>2338</v>
      </c>
      <c r="H532" s="244" t="s">
        <v>255</v>
      </c>
      <c r="I532"/>
      <c r="J532" s="4"/>
      <c r="K532"/>
      <c r="M532" s="251">
        <v>8</v>
      </c>
      <c r="N532" s="244" t="s">
        <v>883</v>
      </c>
      <c r="O532" s="244" t="s">
        <v>467</v>
      </c>
      <c r="P532" s="251">
        <f>(C52)</f>
        <v>6.4</v>
      </c>
      <c r="Q532" s="244" t="s">
        <v>883</v>
      </c>
      <c r="R532" s="251">
        <f t="shared" si="28"/>
        <v>51.2</v>
      </c>
      <c r="AG532" s="244" t="s">
        <v>2346</v>
      </c>
    </row>
    <row r="533" spans="1:33" hidden="1">
      <c r="A533" s="358">
        <f t="shared" si="27"/>
        <v>366</v>
      </c>
      <c r="B533" s="244" t="s">
        <v>1164</v>
      </c>
      <c r="C533" s="8">
        <v>39.909999999999997</v>
      </c>
      <c r="D533" s="1" t="s">
        <v>883</v>
      </c>
      <c r="E533"/>
      <c r="H533" s="248" t="s">
        <v>1667</v>
      </c>
      <c r="I533"/>
      <c r="J533" s="4"/>
      <c r="K533"/>
      <c r="M533" s="251">
        <v>3</v>
      </c>
      <c r="N533" s="244" t="s">
        <v>883</v>
      </c>
      <c r="O533" s="244" t="s">
        <v>1922</v>
      </c>
      <c r="P533" s="251">
        <f>(C41)</f>
        <v>110</v>
      </c>
      <c r="Q533" s="244" t="s">
        <v>883</v>
      </c>
      <c r="R533" s="251">
        <f t="shared" si="28"/>
        <v>330</v>
      </c>
      <c r="AG533" s="244" t="s">
        <v>2346</v>
      </c>
    </row>
    <row r="534" spans="1:33" hidden="1">
      <c r="A534" s="358">
        <f t="shared" si="27"/>
        <v>367</v>
      </c>
      <c r="B534" s="244" t="s">
        <v>237</v>
      </c>
      <c r="C534" s="8">
        <v>66</v>
      </c>
      <c r="D534" s="1" t="s">
        <v>883</v>
      </c>
      <c r="E534"/>
      <c r="F534" s="251">
        <v>0.03</v>
      </c>
      <c r="G534" s="250" t="s">
        <v>884</v>
      </c>
      <c r="H534" s="244" t="s">
        <v>1018</v>
      </c>
      <c r="I534" s="8" t="e">
        <f>(K505)</f>
        <v>#REF!</v>
      </c>
      <c r="J534" s="2" t="s">
        <v>884</v>
      </c>
      <c r="K534" s="8" t="e">
        <f>(F534*I534)</f>
        <v>#REF!</v>
      </c>
      <c r="M534" s="251">
        <v>1</v>
      </c>
      <c r="N534" s="244" t="s">
        <v>883</v>
      </c>
      <c r="O534" s="244" t="s">
        <v>1923</v>
      </c>
      <c r="P534" s="251">
        <f>(C10)</f>
        <v>150</v>
      </c>
      <c r="Q534" s="244" t="s">
        <v>883</v>
      </c>
      <c r="R534" s="251">
        <f t="shared" si="28"/>
        <v>150</v>
      </c>
      <c r="AG534" s="244" t="s">
        <v>2346</v>
      </c>
    </row>
    <row r="535" spans="1:33" hidden="1">
      <c r="A535" s="358">
        <f t="shared" si="27"/>
        <v>368</v>
      </c>
      <c r="B535" s="244" t="s">
        <v>1173</v>
      </c>
      <c r="C535"/>
      <c r="D535" s="1" t="s">
        <v>995</v>
      </c>
      <c r="E535"/>
      <c r="F535" s="251">
        <v>0.5</v>
      </c>
      <c r="G535" s="250" t="s">
        <v>781</v>
      </c>
      <c r="H535" s="244" t="s">
        <v>2082</v>
      </c>
      <c r="I535" s="8">
        <f>(C10)</f>
        <v>150</v>
      </c>
      <c r="J535" s="2" t="s">
        <v>781</v>
      </c>
      <c r="K535" s="8">
        <f>(F535*I535)</f>
        <v>75</v>
      </c>
      <c r="M535" s="251">
        <v>2</v>
      </c>
      <c r="N535" s="244" t="s">
        <v>883</v>
      </c>
      <c r="O535" s="244" t="s">
        <v>1979</v>
      </c>
      <c r="P535" s="251">
        <f>(C12)</f>
        <v>95</v>
      </c>
      <c r="Q535" s="244" t="s">
        <v>883</v>
      </c>
      <c r="R535" s="251">
        <f t="shared" si="28"/>
        <v>190</v>
      </c>
      <c r="AG535" s="244" t="s">
        <v>2346</v>
      </c>
    </row>
    <row r="536" spans="1:33" hidden="1">
      <c r="A536" s="358">
        <f t="shared" si="27"/>
        <v>369</v>
      </c>
      <c r="B536" s="244" t="s">
        <v>971</v>
      </c>
      <c r="C536" s="8">
        <v>4.75</v>
      </c>
      <c r="D536" s="1" t="s">
        <v>883</v>
      </c>
      <c r="E536"/>
      <c r="F536" s="251">
        <v>0.75</v>
      </c>
      <c r="G536" s="250" t="s">
        <v>781</v>
      </c>
      <c r="H536" s="244" t="s">
        <v>1979</v>
      </c>
      <c r="I536" s="8">
        <f>(C12)</f>
        <v>95</v>
      </c>
      <c r="J536" s="2" t="s">
        <v>781</v>
      </c>
      <c r="K536" s="8">
        <f>(F536*I536)</f>
        <v>71.25</v>
      </c>
      <c r="M536" s="251">
        <v>1</v>
      </c>
      <c r="N536" s="244" t="s">
        <v>883</v>
      </c>
      <c r="O536" s="244" t="s">
        <v>324</v>
      </c>
      <c r="P536" s="251">
        <f>(C13)</f>
        <v>85</v>
      </c>
      <c r="Q536" s="244" t="s">
        <v>883</v>
      </c>
      <c r="R536" s="251">
        <f t="shared" si="28"/>
        <v>85</v>
      </c>
      <c r="AG536" s="244" t="s">
        <v>2346</v>
      </c>
    </row>
    <row r="537" spans="1:33" hidden="1">
      <c r="A537" s="358">
        <f t="shared" si="27"/>
        <v>370</v>
      </c>
      <c r="B537" s="244" t="s">
        <v>756</v>
      </c>
      <c r="C537" s="8">
        <v>6.89</v>
      </c>
      <c r="D537" s="1" t="s">
        <v>883</v>
      </c>
      <c r="E537"/>
      <c r="G537" s="250" t="s">
        <v>448</v>
      </c>
      <c r="H537" s="244" t="s">
        <v>449</v>
      </c>
      <c r="I537"/>
      <c r="J537" s="2" t="s">
        <v>448</v>
      </c>
      <c r="K537" s="8">
        <v>0</v>
      </c>
      <c r="N537" s="244" t="s">
        <v>448</v>
      </c>
      <c r="O537" s="244" t="s">
        <v>1924</v>
      </c>
      <c r="P537" s="244" t="s">
        <v>995</v>
      </c>
      <c r="Q537" s="244" t="s">
        <v>448</v>
      </c>
      <c r="R537" s="251">
        <f>(C56)</f>
        <v>12.1</v>
      </c>
      <c r="AG537" s="244" t="s">
        <v>2346</v>
      </c>
    </row>
    <row r="538" spans="1:33" hidden="1">
      <c r="A538" s="358">
        <f t="shared" si="27"/>
        <v>371</v>
      </c>
      <c r="B538" s="244" t="s">
        <v>1749</v>
      </c>
      <c r="C538" s="8">
        <v>6.18</v>
      </c>
      <c r="D538" s="1" t="s">
        <v>883</v>
      </c>
      <c r="E538"/>
      <c r="I538"/>
      <c r="J538" s="4"/>
      <c r="K538" s="5" t="s">
        <v>1667</v>
      </c>
      <c r="O538" s="244" t="s">
        <v>1926</v>
      </c>
      <c r="P538" s="244" t="s">
        <v>995</v>
      </c>
      <c r="R538" s="244" t="s">
        <v>995</v>
      </c>
      <c r="AG538" s="244" t="s">
        <v>2346</v>
      </c>
    </row>
    <row r="539" spans="1:33" hidden="1">
      <c r="A539" s="358">
        <f t="shared" si="27"/>
        <v>372</v>
      </c>
      <c r="B539" s="244" t="s">
        <v>1174</v>
      </c>
      <c r="C539" s="8">
        <v>13.29</v>
      </c>
      <c r="D539" s="1" t="s">
        <v>883</v>
      </c>
      <c r="E539"/>
      <c r="H539" s="244" t="s">
        <v>1831</v>
      </c>
      <c r="I539"/>
      <c r="J539" s="4"/>
      <c r="K539" s="8" t="e">
        <f>SUM(K534:K537)</f>
        <v>#REF!</v>
      </c>
      <c r="N539" s="244" t="s">
        <v>448</v>
      </c>
      <c r="O539" s="244" t="s">
        <v>449</v>
      </c>
      <c r="Q539" s="244" t="s">
        <v>448</v>
      </c>
      <c r="R539" s="251">
        <v>0</v>
      </c>
      <c r="AG539" s="244" t="s">
        <v>2346</v>
      </c>
    </row>
    <row r="540" spans="1:33" hidden="1">
      <c r="A540" s="358">
        <f t="shared" si="27"/>
        <v>373</v>
      </c>
      <c r="B540" s="244" t="s">
        <v>1175</v>
      </c>
      <c r="C540" s="8">
        <v>14.11</v>
      </c>
      <c r="D540" s="1" t="s">
        <v>883</v>
      </c>
      <c r="E540"/>
      <c r="I540"/>
      <c r="J540" s="4"/>
      <c r="K540" s="5" t="s">
        <v>1667</v>
      </c>
      <c r="R540" s="248" t="s">
        <v>1667</v>
      </c>
      <c r="AG540" s="244" t="s">
        <v>2346</v>
      </c>
    </row>
    <row r="541" spans="1:33" hidden="1">
      <c r="A541" s="358">
        <f t="shared" si="27"/>
        <v>374</v>
      </c>
      <c r="B541" s="244" t="s">
        <v>1176</v>
      </c>
      <c r="C541" s="8">
        <v>14.69</v>
      </c>
      <c r="D541" s="1" t="s">
        <v>883</v>
      </c>
      <c r="E541"/>
      <c r="H541" s="244" t="s">
        <v>555</v>
      </c>
      <c r="I541"/>
      <c r="J541" s="4"/>
      <c r="K541" s="8" t="e">
        <f>(K539/0.743)</f>
        <v>#REF!</v>
      </c>
      <c r="O541" s="244" t="s">
        <v>1927</v>
      </c>
      <c r="R541" s="251">
        <f>SUM(R529:R539)</f>
        <v>892.4</v>
      </c>
      <c r="AG541" s="244" t="s">
        <v>2346</v>
      </c>
    </row>
    <row r="542" spans="1:33" hidden="1">
      <c r="A542" s="358">
        <f t="shared" si="27"/>
        <v>375</v>
      </c>
      <c r="B542" s="244" t="s">
        <v>1941</v>
      </c>
      <c r="C542"/>
      <c r="D542" s="1" t="s">
        <v>995</v>
      </c>
      <c r="E542"/>
      <c r="I542"/>
      <c r="J542" s="4"/>
      <c r="K542" s="5" t="s">
        <v>2130</v>
      </c>
      <c r="R542" s="248" t="s">
        <v>1667</v>
      </c>
      <c r="AG542" s="244" t="s">
        <v>2346</v>
      </c>
    </row>
    <row r="543" spans="1:33" hidden="1">
      <c r="A543" s="358">
        <f t="shared" si="27"/>
        <v>376</v>
      </c>
      <c r="B543" s="244" t="s">
        <v>971</v>
      </c>
      <c r="C543" s="8">
        <v>10.3</v>
      </c>
      <c r="D543" s="1" t="s">
        <v>883</v>
      </c>
      <c r="E543"/>
      <c r="H543" s="244" t="s">
        <v>388</v>
      </c>
      <c r="I543" s="8" t="e">
        <f>K541</f>
        <v>#REF!</v>
      </c>
      <c r="J543" s="2">
        <f>C22*0.04</f>
        <v>1.06</v>
      </c>
      <c r="K543" s="8" t="e">
        <f>I543+J543</f>
        <v>#REF!</v>
      </c>
      <c r="O543" s="244" t="s">
        <v>1622</v>
      </c>
      <c r="R543" s="251">
        <f>(R541/30)</f>
        <v>29.75</v>
      </c>
      <c r="AG543" s="244" t="s">
        <v>2346</v>
      </c>
    </row>
    <row r="544" spans="1:33" hidden="1">
      <c r="A544" s="358">
        <f t="shared" si="27"/>
        <v>377</v>
      </c>
      <c r="B544" s="244" t="s">
        <v>756</v>
      </c>
      <c r="C544" s="8">
        <v>19.05</v>
      </c>
      <c r="D544" s="1" t="s">
        <v>883</v>
      </c>
      <c r="E544"/>
      <c r="H544" s="244" t="s">
        <v>390</v>
      </c>
      <c r="I544" s="8" t="e">
        <f>K543</f>
        <v>#REF!</v>
      </c>
      <c r="J544" s="2">
        <f>C23*0.04</f>
        <v>2.11</v>
      </c>
      <c r="K544" s="8" t="e">
        <f>I544+J544</f>
        <v>#REF!</v>
      </c>
      <c r="R544" s="248" t="s">
        <v>1667</v>
      </c>
      <c r="AG544" s="244" t="s">
        <v>2346</v>
      </c>
    </row>
    <row r="545" spans="1:33" hidden="1">
      <c r="A545" s="358">
        <f t="shared" si="27"/>
        <v>378</v>
      </c>
      <c r="B545" s="244" t="s">
        <v>1749</v>
      </c>
      <c r="C545" s="8">
        <v>15.34</v>
      </c>
      <c r="D545" s="1" t="s">
        <v>883</v>
      </c>
      <c r="E545"/>
      <c r="H545" s="244" t="s">
        <v>2319</v>
      </c>
      <c r="I545" s="8" t="e">
        <f>K544</f>
        <v>#REF!</v>
      </c>
      <c r="J545" s="2">
        <f>C23*0.04</f>
        <v>2.11</v>
      </c>
      <c r="K545" s="8" t="e">
        <f>I545+J545</f>
        <v>#REF!</v>
      </c>
      <c r="N545" s="244" t="s">
        <v>2338</v>
      </c>
      <c r="O545" s="244" t="s">
        <v>2124</v>
      </c>
      <c r="AG545" s="244" t="s">
        <v>2346</v>
      </c>
    </row>
    <row r="546" spans="1:33" hidden="1">
      <c r="A546" s="358">
        <f t="shared" si="27"/>
        <v>379</v>
      </c>
      <c r="B546" s="244" t="s">
        <v>1942</v>
      </c>
      <c r="C546" s="8">
        <v>29.41</v>
      </c>
      <c r="D546" s="1" t="s">
        <v>883</v>
      </c>
      <c r="E546"/>
      <c r="H546" s="244" t="s">
        <v>382</v>
      </c>
      <c r="I546" s="8" t="e">
        <f>K545</f>
        <v>#REF!</v>
      </c>
      <c r="J546" s="2">
        <f>C23*0.04</f>
        <v>2.11</v>
      </c>
      <c r="K546" s="8" t="e">
        <f>I546+J546</f>
        <v>#REF!</v>
      </c>
      <c r="O546" s="244" t="s">
        <v>1943</v>
      </c>
      <c r="AG546" s="244" t="s">
        <v>2346</v>
      </c>
    </row>
    <row r="547" spans="1:33" hidden="1">
      <c r="C547"/>
      <c r="D547"/>
      <c r="E547"/>
      <c r="F547" s="244" t="s">
        <v>995</v>
      </c>
      <c r="H547" s="244" t="s">
        <v>390</v>
      </c>
      <c r="I547" s="8" t="e">
        <f>K546</f>
        <v>#REF!</v>
      </c>
      <c r="J547" s="2">
        <f>C24*0.04</f>
        <v>2.11</v>
      </c>
      <c r="K547" s="8" t="e">
        <f>I547+J547</f>
        <v>#REF!</v>
      </c>
    </row>
    <row r="548" spans="1:33" hidden="1">
      <c r="A548" s="358">
        <f>(A546+1)</f>
        <v>380</v>
      </c>
      <c r="B548" s="244" t="s">
        <v>1175</v>
      </c>
      <c r="C548" s="8">
        <v>38.35</v>
      </c>
      <c r="D548" s="1" t="s">
        <v>883</v>
      </c>
      <c r="E548"/>
      <c r="I548"/>
      <c r="J548" s="4"/>
      <c r="K548"/>
      <c r="O548" s="244" t="s">
        <v>159</v>
      </c>
      <c r="AG548" s="244" t="s">
        <v>2346</v>
      </c>
    </row>
    <row r="549" spans="1:33" hidden="1">
      <c r="A549" s="358">
        <f t="shared" ref="A549:A564" si="29">(A548+1)</f>
        <v>381</v>
      </c>
      <c r="B549" s="244" t="s">
        <v>1176</v>
      </c>
      <c r="C549" s="8">
        <v>37.96</v>
      </c>
      <c r="D549" s="1" t="s">
        <v>883</v>
      </c>
      <c r="E549"/>
      <c r="F549" s="364"/>
      <c r="G549" s="250" t="s">
        <v>995</v>
      </c>
      <c r="H549" s="244" t="s">
        <v>137</v>
      </c>
      <c r="I549"/>
      <c r="J549" s="4"/>
      <c r="K549"/>
      <c r="O549" s="248" t="s">
        <v>1667</v>
      </c>
      <c r="AG549" s="244" t="s">
        <v>2346</v>
      </c>
    </row>
    <row r="550" spans="1:33" hidden="1">
      <c r="A550" s="358">
        <f t="shared" si="29"/>
        <v>382</v>
      </c>
      <c r="B550" s="244" t="s">
        <v>138</v>
      </c>
      <c r="C550"/>
      <c r="D550" s="1" t="s">
        <v>995</v>
      </c>
      <c r="E550"/>
      <c r="H550" s="244" t="s">
        <v>1325</v>
      </c>
      <c r="I550"/>
      <c r="J550" s="4"/>
      <c r="K550"/>
      <c r="AG550" s="244" t="s">
        <v>2346</v>
      </c>
    </row>
    <row r="551" spans="1:33" hidden="1">
      <c r="A551" s="358">
        <f t="shared" si="29"/>
        <v>383</v>
      </c>
      <c r="B551" s="244" t="s">
        <v>971</v>
      </c>
      <c r="C551" s="8">
        <v>6.68</v>
      </c>
      <c r="D551" s="1" t="s">
        <v>883</v>
      </c>
      <c r="E551"/>
      <c r="H551" s="244" t="s">
        <v>1326</v>
      </c>
      <c r="I551"/>
      <c r="J551" s="4"/>
      <c r="K551"/>
      <c r="N551" s="244" t="s">
        <v>160</v>
      </c>
      <c r="O551" s="244" t="s">
        <v>1050</v>
      </c>
      <c r="AG551" s="244" t="s">
        <v>2346</v>
      </c>
    </row>
    <row r="552" spans="1:33" hidden="1">
      <c r="A552" s="358">
        <f t="shared" si="29"/>
        <v>384</v>
      </c>
      <c r="B552" s="244" t="s">
        <v>756</v>
      </c>
      <c r="C552" s="8">
        <v>9.4499999999999993</v>
      </c>
      <c r="D552" s="1" t="s">
        <v>883</v>
      </c>
      <c r="E552"/>
      <c r="H552" s="244" t="s">
        <v>1051</v>
      </c>
      <c r="I552"/>
      <c r="J552" s="4"/>
      <c r="K552"/>
      <c r="O552" s="248" t="s">
        <v>1667</v>
      </c>
      <c r="AG552" s="244" t="s">
        <v>2346</v>
      </c>
    </row>
    <row r="553" spans="1:33" hidden="1">
      <c r="A553" s="358">
        <f t="shared" si="29"/>
        <v>385</v>
      </c>
      <c r="B553" s="244" t="s">
        <v>1749</v>
      </c>
      <c r="C553" s="8">
        <v>33.04</v>
      </c>
      <c r="D553" s="1" t="s">
        <v>883</v>
      </c>
      <c r="E553"/>
      <c r="H553" s="244" t="s">
        <v>1052</v>
      </c>
      <c r="I553"/>
      <c r="J553" s="4"/>
      <c r="K553"/>
      <c r="M553" s="251">
        <v>8.1</v>
      </c>
      <c r="N553" s="244" t="s">
        <v>884</v>
      </c>
      <c r="O553" s="244" t="s">
        <v>621</v>
      </c>
      <c r="P553" s="251">
        <f>(C61)*2</f>
        <v>50</v>
      </c>
      <c r="Q553" s="244" t="s">
        <v>884</v>
      </c>
      <c r="R553" s="251">
        <f>(M553*P553)</f>
        <v>405</v>
      </c>
      <c r="AG553" s="244" t="s">
        <v>2346</v>
      </c>
    </row>
    <row r="554" spans="1:33" hidden="1">
      <c r="A554" s="358">
        <f t="shared" si="29"/>
        <v>386</v>
      </c>
      <c r="B554" s="244" t="s">
        <v>1942</v>
      </c>
      <c r="C554" s="8">
        <v>33.04</v>
      </c>
      <c r="D554" s="1" t="s">
        <v>883</v>
      </c>
      <c r="E554"/>
      <c r="H554" s="244" t="s">
        <v>1306</v>
      </c>
      <c r="I554"/>
      <c r="J554" s="4"/>
      <c r="K554"/>
      <c r="M554" s="251">
        <v>8.1</v>
      </c>
      <c r="N554" s="244" t="s">
        <v>884</v>
      </c>
      <c r="O554" s="244" t="s">
        <v>2232</v>
      </c>
      <c r="P554" s="251">
        <f>(C26)</f>
        <v>8.8000000000000007</v>
      </c>
      <c r="Q554" s="244" t="s">
        <v>884</v>
      </c>
      <c r="R554" s="251">
        <f>(M554*P554)</f>
        <v>71.28</v>
      </c>
      <c r="AG554" s="244" t="s">
        <v>2346</v>
      </c>
    </row>
    <row r="555" spans="1:33" hidden="1">
      <c r="A555" s="358">
        <f t="shared" si="29"/>
        <v>387</v>
      </c>
      <c r="B555" s="244" t="s">
        <v>1307</v>
      </c>
      <c r="C555" s="8">
        <v>33.04</v>
      </c>
      <c r="D555" s="1" t="s">
        <v>883</v>
      </c>
      <c r="E555"/>
      <c r="H555" s="244" t="s">
        <v>2532</v>
      </c>
      <c r="I555"/>
      <c r="J555" s="4"/>
      <c r="K555"/>
      <c r="M555" s="251">
        <v>30</v>
      </c>
      <c r="N555" s="244" t="s">
        <v>1854</v>
      </c>
      <c r="O555" s="244" t="s">
        <v>2233</v>
      </c>
      <c r="P555" s="251">
        <f>(C639)</f>
        <v>3</v>
      </c>
      <c r="Q555" s="244" t="s">
        <v>1854</v>
      </c>
      <c r="R555" s="251">
        <f>(M555*P555)</f>
        <v>90</v>
      </c>
      <c r="AG555" s="244" t="s">
        <v>325</v>
      </c>
    </row>
    <row r="556" spans="1:33" hidden="1">
      <c r="A556" s="358">
        <f t="shared" si="29"/>
        <v>388</v>
      </c>
      <c r="B556" s="244" t="s">
        <v>1308</v>
      </c>
      <c r="C556" s="8">
        <v>33.04</v>
      </c>
      <c r="D556" s="1" t="s">
        <v>883</v>
      </c>
      <c r="E556"/>
      <c r="H556" s="248" t="s">
        <v>1667</v>
      </c>
      <c r="I556" s="5" t="s">
        <v>1667</v>
      </c>
      <c r="J556" s="4"/>
      <c r="K556"/>
      <c r="O556" s="244" t="s">
        <v>1309</v>
      </c>
    </row>
    <row r="557" spans="1:33" hidden="1">
      <c r="A557" s="358">
        <f t="shared" si="29"/>
        <v>389</v>
      </c>
      <c r="B557" s="244" t="s">
        <v>612</v>
      </c>
      <c r="C557" s="8">
        <v>538</v>
      </c>
      <c r="D557" s="1" t="s">
        <v>883</v>
      </c>
      <c r="E557"/>
      <c r="G557" s="250" t="s">
        <v>699</v>
      </c>
      <c r="H557" s="244" t="s">
        <v>613</v>
      </c>
      <c r="I557"/>
      <c r="J557" s="4"/>
      <c r="K557"/>
      <c r="O557" s="244" t="s">
        <v>2235</v>
      </c>
    </row>
    <row r="558" spans="1:33" hidden="1">
      <c r="A558" s="358">
        <f t="shared" si="29"/>
        <v>390</v>
      </c>
      <c r="B558" s="244" t="s">
        <v>2368</v>
      </c>
      <c r="C558" s="8">
        <v>340</v>
      </c>
      <c r="D558" s="1" t="s">
        <v>883</v>
      </c>
      <c r="E558"/>
      <c r="H558" s="244" t="s">
        <v>2369</v>
      </c>
      <c r="I558"/>
      <c r="J558" s="4"/>
      <c r="K558"/>
      <c r="O558" s="244" t="s">
        <v>2236</v>
      </c>
      <c r="AG558" s="244" t="s">
        <v>2346</v>
      </c>
    </row>
    <row r="559" spans="1:33" hidden="1">
      <c r="A559" s="358">
        <f t="shared" si="29"/>
        <v>391</v>
      </c>
      <c r="B559" s="244" t="s">
        <v>2370</v>
      </c>
      <c r="C559" s="8">
        <v>1039</v>
      </c>
      <c r="D559" s="1" t="s">
        <v>883</v>
      </c>
      <c r="E559"/>
      <c r="F559" s="251">
        <v>10</v>
      </c>
      <c r="G559" s="250" t="s">
        <v>2371</v>
      </c>
      <c r="H559" s="244" t="s">
        <v>561</v>
      </c>
      <c r="I559" s="8">
        <f>C721</f>
        <v>227</v>
      </c>
      <c r="J559" s="2" t="s">
        <v>2371</v>
      </c>
      <c r="K559" s="8">
        <f>(F559*I559)</f>
        <v>2270</v>
      </c>
      <c r="O559" s="244" t="s">
        <v>2239</v>
      </c>
      <c r="AG559" s="244" t="s">
        <v>2346</v>
      </c>
    </row>
    <row r="560" spans="1:33" hidden="1">
      <c r="A560" s="358">
        <f t="shared" si="29"/>
        <v>392</v>
      </c>
      <c r="B560" s="244" t="s">
        <v>562</v>
      </c>
      <c r="C560" s="8">
        <v>100.44</v>
      </c>
      <c r="D560" s="1" t="s">
        <v>883</v>
      </c>
      <c r="E560"/>
      <c r="F560" s="251">
        <v>1</v>
      </c>
      <c r="G560" s="250" t="s">
        <v>563</v>
      </c>
      <c r="H560" s="244" t="s">
        <v>564</v>
      </c>
      <c r="I560" s="8">
        <f>C10</f>
        <v>150</v>
      </c>
      <c r="J560" s="2" t="s">
        <v>1458</v>
      </c>
      <c r="K560" s="8">
        <f>(F560*I560)</f>
        <v>150</v>
      </c>
      <c r="M560" s="251">
        <v>8</v>
      </c>
      <c r="N560" s="244" t="s">
        <v>781</v>
      </c>
      <c r="O560" s="244" t="s">
        <v>2218</v>
      </c>
      <c r="P560" s="251">
        <f>(C641)</f>
        <v>2.2000000000000002</v>
      </c>
      <c r="Q560" s="244" t="s">
        <v>781</v>
      </c>
      <c r="R560" s="251">
        <f>(M560*P560)</f>
        <v>17.600000000000001</v>
      </c>
      <c r="AG560" s="244" t="s">
        <v>2346</v>
      </c>
    </row>
    <row r="561" spans="1:33" hidden="1">
      <c r="A561" s="358">
        <f t="shared" si="29"/>
        <v>393</v>
      </c>
      <c r="B561" s="244" t="s">
        <v>837</v>
      </c>
      <c r="C561" s="8">
        <v>31</v>
      </c>
      <c r="D561" s="1" t="s">
        <v>1199</v>
      </c>
      <c r="E561"/>
      <c r="F561" s="251">
        <v>1</v>
      </c>
      <c r="G561" s="250" t="s">
        <v>563</v>
      </c>
      <c r="H561" s="244" t="s">
        <v>838</v>
      </c>
      <c r="I561" s="8">
        <f>C12</f>
        <v>95</v>
      </c>
      <c r="J561" s="2" t="s">
        <v>1458</v>
      </c>
      <c r="K561" s="8">
        <f>(F561*I561)</f>
        <v>95</v>
      </c>
      <c r="M561" s="251">
        <v>8</v>
      </c>
      <c r="N561" s="244" t="s">
        <v>781</v>
      </c>
      <c r="O561" s="244" t="s">
        <v>467</v>
      </c>
      <c r="P561" s="251">
        <f>(C642)</f>
        <v>3.2</v>
      </c>
      <c r="Q561" s="244" t="s">
        <v>781</v>
      </c>
      <c r="R561" s="251">
        <f>(M561*P561)</f>
        <v>25.6</v>
      </c>
      <c r="AG561" s="244" t="s">
        <v>2346</v>
      </c>
    </row>
    <row r="562" spans="1:33" hidden="1">
      <c r="A562" s="358">
        <f t="shared" si="29"/>
        <v>394</v>
      </c>
      <c r="B562" s="244" t="s">
        <v>3086</v>
      </c>
      <c r="C562" s="8">
        <v>71.239999999999995</v>
      </c>
      <c r="D562" s="1" t="s">
        <v>883</v>
      </c>
      <c r="E562"/>
      <c r="G562" s="250" t="s">
        <v>448</v>
      </c>
      <c r="H562" s="244" t="s">
        <v>64</v>
      </c>
      <c r="I562"/>
      <c r="J562" s="2" t="s">
        <v>448</v>
      </c>
      <c r="K562" s="8">
        <v>120</v>
      </c>
      <c r="M562" s="251">
        <v>1</v>
      </c>
      <c r="N562" s="244" t="s">
        <v>448</v>
      </c>
      <c r="O562" s="244" t="s">
        <v>1770</v>
      </c>
      <c r="P562" s="251">
        <f>(C643)</f>
        <v>4</v>
      </c>
      <c r="Q562" s="244" t="s">
        <v>448</v>
      </c>
      <c r="R562" s="251">
        <f>(M562*P562)</f>
        <v>4</v>
      </c>
      <c r="AG562" s="244" t="s">
        <v>2346</v>
      </c>
    </row>
    <row r="563" spans="1:33" hidden="1">
      <c r="A563" s="358">
        <f t="shared" si="29"/>
        <v>395</v>
      </c>
      <c r="B563" s="244" t="s">
        <v>65</v>
      </c>
      <c r="C563" s="8">
        <v>82.2</v>
      </c>
      <c r="D563" s="1" t="s">
        <v>883</v>
      </c>
      <c r="E563"/>
      <c r="H563" s="244" t="s">
        <v>946</v>
      </c>
      <c r="I563"/>
      <c r="J563" s="4"/>
      <c r="K563" s="5" t="s">
        <v>1667</v>
      </c>
      <c r="M563" s="251">
        <v>1</v>
      </c>
      <c r="N563" s="244" t="s">
        <v>448</v>
      </c>
      <c r="O563" s="244" t="s">
        <v>449</v>
      </c>
      <c r="Q563" s="244" t="s">
        <v>448</v>
      </c>
      <c r="R563" s="251">
        <v>0</v>
      </c>
      <c r="AG563" s="244" t="s">
        <v>2346</v>
      </c>
    </row>
    <row r="564" spans="1:33" hidden="1">
      <c r="A564" s="358">
        <f t="shared" si="29"/>
        <v>396</v>
      </c>
      <c r="B564" s="244" t="s">
        <v>1092</v>
      </c>
      <c r="C564" s="8">
        <v>57.51</v>
      </c>
      <c r="D564" s="1" t="s">
        <v>883</v>
      </c>
      <c r="E564"/>
      <c r="H564" s="354" t="s">
        <v>1093</v>
      </c>
      <c r="I564"/>
      <c r="J564" s="4"/>
      <c r="K564" s="8">
        <f>SUM(K559:K562)</f>
        <v>2635</v>
      </c>
      <c r="R564" s="248" t="s">
        <v>1667</v>
      </c>
      <c r="AG564" s="244" t="s">
        <v>2346</v>
      </c>
    </row>
    <row r="565" spans="1:33" hidden="1">
      <c r="C565"/>
      <c r="D565"/>
      <c r="E565"/>
      <c r="F565" s="244" t="s">
        <v>995</v>
      </c>
      <c r="I565"/>
      <c r="J565" s="4"/>
      <c r="K565"/>
    </row>
    <row r="566" spans="1:33" hidden="1">
      <c r="A566" s="358">
        <f>(A564+1)</f>
        <v>397</v>
      </c>
      <c r="B566" s="244" t="s">
        <v>933</v>
      </c>
      <c r="C566" s="8">
        <v>28.5</v>
      </c>
      <c r="D566" s="1" t="s">
        <v>883</v>
      </c>
      <c r="E566"/>
      <c r="I566"/>
      <c r="J566" s="4"/>
      <c r="K566" s="5" t="s">
        <v>1667</v>
      </c>
      <c r="O566" s="244" t="s">
        <v>1621</v>
      </c>
      <c r="R566" s="251">
        <f>SUM(R553:R563)</f>
        <v>613.48</v>
      </c>
      <c r="AG566" s="244" t="s">
        <v>2346</v>
      </c>
    </row>
    <row r="567" spans="1:33" hidden="1">
      <c r="A567" s="358">
        <f t="shared" ref="A567:A614" si="30">(A566+1)</f>
        <v>398</v>
      </c>
      <c r="B567" s="244" t="s">
        <v>500</v>
      </c>
      <c r="C567" s="8">
        <v>57.51</v>
      </c>
      <c r="D567" s="1" t="s">
        <v>883</v>
      </c>
      <c r="E567"/>
      <c r="H567" s="354" t="s">
        <v>501</v>
      </c>
      <c r="I567"/>
      <c r="J567" s="4"/>
      <c r="K567" s="8">
        <f>K564/10</f>
        <v>263.5</v>
      </c>
      <c r="R567" s="248" t="s">
        <v>1667</v>
      </c>
      <c r="AG567" s="244" t="s">
        <v>2346</v>
      </c>
    </row>
    <row r="568" spans="1:33" hidden="1">
      <c r="A568" s="358">
        <f t="shared" si="30"/>
        <v>399</v>
      </c>
      <c r="B568" s="244" t="s">
        <v>1983</v>
      </c>
      <c r="C568" s="8">
        <v>20</v>
      </c>
      <c r="D568" s="1" t="s">
        <v>883</v>
      </c>
      <c r="E568"/>
      <c r="H568" s="244" t="s">
        <v>388</v>
      </c>
      <c r="I568" s="8">
        <f>K567</f>
        <v>263.5</v>
      </c>
      <c r="J568" s="2">
        <f>C22*0.02</f>
        <v>0.53</v>
      </c>
      <c r="K568" s="8">
        <f>I568+J568</f>
        <v>264.02999999999997</v>
      </c>
      <c r="O568" s="244" t="s">
        <v>1622</v>
      </c>
      <c r="R568" s="251">
        <f>(R566/30)</f>
        <v>20.45</v>
      </c>
      <c r="AG568" s="244" t="s">
        <v>2346</v>
      </c>
    </row>
    <row r="569" spans="1:33" hidden="1">
      <c r="A569" s="358">
        <f t="shared" si="30"/>
        <v>400</v>
      </c>
      <c r="B569" s="244" t="s">
        <v>1984</v>
      </c>
      <c r="C569" s="8">
        <v>21.92</v>
      </c>
      <c r="D569" s="1" t="s">
        <v>883</v>
      </c>
      <c r="E569"/>
      <c r="H569" s="244" t="s">
        <v>390</v>
      </c>
      <c r="I569" s="8">
        <f>K568</f>
        <v>264.02999999999997</v>
      </c>
      <c r="J569" s="2">
        <f>C23*0.02</f>
        <v>1.06</v>
      </c>
      <c r="K569" s="8">
        <f>I569+J569</f>
        <v>265.08999999999997</v>
      </c>
      <c r="N569" s="244" t="s">
        <v>2338</v>
      </c>
      <c r="O569" s="244" t="s">
        <v>1985</v>
      </c>
      <c r="AG569" s="244" t="s">
        <v>2346</v>
      </c>
    </row>
    <row r="570" spans="1:33" hidden="1">
      <c r="A570" s="358">
        <f t="shared" si="30"/>
        <v>401</v>
      </c>
      <c r="B570" s="244" t="s">
        <v>235</v>
      </c>
      <c r="C570" s="8">
        <v>28.5</v>
      </c>
      <c r="D570" s="1" t="s">
        <v>883</v>
      </c>
      <c r="E570"/>
      <c r="H570" s="244" t="s">
        <v>2319</v>
      </c>
      <c r="I570" s="8">
        <f>K569</f>
        <v>265.08999999999997</v>
      </c>
      <c r="J570" s="2">
        <f>C23*0.02</f>
        <v>1.06</v>
      </c>
      <c r="K570" s="8">
        <f>I570+J570</f>
        <v>266.14999999999998</v>
      </c>
      <c r="O570" s="244" t="s">
        <v>236</v>
      </c>
      <c r="AG570" s="244" t="s">
        <v>2346</v>
      </c>
    </row>
    <row r="571" spans="1:33" hidden="1">
      <c r="A571" s="358">
        <f t="shared" si="30"/>
        <v>402</v>
      </c>
      <c r="B571" s="244" t="s">
        <v>2140</v>
      </c>
      <c r="C571" s="8">
        <v>535</v>
      </c>
      <c r="D571" s="1" t="s">
        <v>883</v>
      </c>
      <c r="E571"/>
      <c r="H571" s="244" t="s">
        <v>382</v>
      </c>
      <c r="I571" s="8">
        <f>K570</f>
        <v>266.14999999999998</v>
      </c>
      <c r="J571" s="2">
        <f>C23*0.02</f>
        <v>1.06</v>
      </c>
      <c r="K571" s="8">
        <f>I571+J571</f>
        <v>267.20999999999998</v>
      </c>
      <c r="O571" s="248" t="s">
        <v>1667</v>
      </c>
      <c r="AG571" s="244" t="s">
        <v>2346</v>
      </c>
    </row>
    <row r="572" spans="1:33" hidden="1">
      <c r="A572" s="358"/>
      <c r="B572" s="244"/>
      <c r="C572" s="8"/>
      <c r="D572" s="1"/>
      <c r="E572"/>
      <c r="H572" s="244" t="s">
        <v>1427</v>
      </c>
      <c r="I572" s="8">
        <f>K571</f>
        <v>267.20999999999998</v>
      </c>
      <c r="J572" s="2">
        <f>C24*0.02</f>
        <v>1.06</v>
      </c>
      <c r="K572" s="8">
        <f>I572+J572</f>
        <v>268.27</v>
      </c>
      <c r="O572" s="248"/>
      <c r="AG572" s="244"/>
    </row>
    <row r="573" spans="1:33" hidden="1">
      <c r="A573" s="358">
        <f>(A571+1)</f>
        <v>403</v>
      </c>
      <c r="B573" s="244" t="s">
        <v>545</v>
      </c>
      <c r="C573" s="8">
        <v>21</v>
      </c>
      <c r="D573" s="1" t="s">
        <v>883</v>
      </c>
      <c r="E573"/>
      <c r="F573" s="364">
        <v>15.2</v>
      </c>
      <c r="G573" s="250" t="s">
        <v>699</v>
      </c>
      <c r="H573" s="244" t="s">
        <v>802</v>
      </c>
      <c r="I573"/>
      <c r="J573" s="4"/>
      <c r="K573"/>
      <c r="M573" s="251">
        <v>1.08</v>
      </c>
      <c r="N573" s="244" t="s">
        <v>884</v>
      </c>
      <c r="O573" s="244" t="s">
        <v>803</v>
      </c>
      <c r="P573" s="251">
        <f>(K88)</f>
        <v>52.93</v>
      </c>
      <c r="Q573" s="244" t="s">
        <v>884</v>
      </c>
      <c r="R573" s="251">
        <f>(M573*P573)</f>
        <v>57.16</v>
      </c>
      <c r="AG573" s="244" t="s">
        <v>2346</v>
      </c>
    </row>
    <row r="574" spans="1:33" hidden="1">
      <c r="A574" s="358">
        <f t="shared" si="30"/>
        <v>404</v>
      </c>
      <c r="B574" s="244" t="s">
        <v>804</v>
      </c>
      <c r="C574" s="8">
        <v>150</v>
      </c>
      <c r="D574" s="1" t="s">
        <v>883</v>
      </c>
      <c r="E574"/>
      <c r="H574" s="244" t="s">
        <v>2369</v>
      </c>
      <c r="I574"/>
      <c r="J574" s="4"/>
      <c r="K574"/>
      <c r="M574" s="363">
        <v>0.216</v>
      </c>
      <c r="N574" s="244" t="s">
        <v>884</v>
      </c>
      <c r="O574" s="244" t="s">
        <v>805</v>
      </c>
      <c r="P574" s="251" t="e">
        <f>(R60)</f>
        <v>#REF!</v>
      </c>
      <c r="Q574" s="244" t="s">
        <v>884</v>
      </c>
      <c r="R574" s="251" t="e">
        <f>(M574*P574)</f>
        <v>#REF!</v>
      </c>
      <c r="AG574" s="244" t="s">
        <v>2346</v>
      </c>
    </row>
    <row r="575" spans="1:33" hidden="1">
      <c r="A575" s="358">
        <f t="shared" si="30"/>
        <v>405</v>
      </c>
      <c r="B575" s="244" t="s">
        <v>2051</v>
      </c>
      <c r="C575" s="8">
        <v>16.440000000000001</v>
      </c>
      <c r="D575" s="1" t="s">
        <v>883</v>
      </c>
      <c r="E575"/>
      <c r="F575" s="251">
        <v>1</v>
      </c>
      <c r="G575" s="250" t="s">
        <v>2371</v>
      </c>
      <c r="H575" s="244" t="s">
        <v>561</v>
      </c>
      <c r="I575" s="8">
        <f>D721</f>
        <v>247</v>
      </c>
      <c r="J575" s="2" t="s">
        <v>2371</v>
      </c>
      <c r="K575" s="8">
        <f>(F575*I575)</f>
        <v>247</v>
      </c>
      <c r="M575" s="363">
        <v>0.48699999999999999</v>
      </c>
      <c r="N575" s="244" t="s">
        <v>884</v>
      </c>
      <c r="O575" s="244" t="s">
        <v>2052</v>
      </c>
      <c r="P575" s="251" t="e">
        <f>(R89)</f>
        <v>#REF!</v>
      </c>
      <c r="Q575" s="244" t="s">
        <v>884</v>
      </c>
      <c r="R575" s="251" t="e">
        <f>(M575*P575)</f>
        <v>#REF!</v>
      </c>
      <c r="AG575" s="244" t="s">
        <v>2346</v>
      </c>
    </row>
    <row r="576" spans="1:33" hidden="1">
      <c r="A576" s="358">
        <f t="shared" si="30"/>
        <v>406</v>
      </c>
      <c r="B576" s="244" t="s">
        <v>3087</v>
      </c>
      <c r="C576" s="8">
        <v>30</v>
      </c>
      <c r="D576" s="8">
        <v>25</v>
      </c>
      <c r="E576"/>
      <c r="F576" s="251">
        <v>0.75</v>
      </c>
      <c r="G576" s="250" t="s">
        <v>563</v>
      </c>
      <c r="H576" s="244" t="s">
        <v>564</v>
      </c>
      <c r="I576" s="8">
        <f>C10</f>
        <v>150</v>
      </c>
      <c r="J576" s="2" t="s">
        <v>1458</v>
      </c>
      <c r="K576" s="8">
        <f>(F576*I576)</f>
        <v>112.5</v>
      </c>
      <c r="M576" s="363">
        <v>5.36</v>
      </c>
      <c r="N576" s="244" t="s">
        <v>611</v>
      </c>
      <c r="O576" s="244" t="s">
        <v>2053</v>
      </c>
      <c r="P576" s="251" t="e">
        <f>(R303)</f>
        <v>#REF!</v>
      </c>
      <c r="Q576" s="244" t="s">
        <v>611</v>
      </c>
      <c r="R576" s="251" t="e">
        <f>(M576*P576)</f>
        <v>#REF!</v>
      </c>
      <c r="AG576" s="244" t="s">
        <v>2346</v>
      </c>
    </row>
    <row r="577" spans="1:33" hidden="1">
      <c r="A577" s="358">
        <f t="shared" si="30"/>
        <v>407</v>
      </c>
      <c r="B577" s="244" t="s">
        <v>422</v>
      </c>
      <c r="C577" s="8">
        <v>208.5</v>
      </c>
      <c r="D577" s="1" t="s">
        <v>883</v>
      </c>
      <c r="E577"/>
      <c r="F577" s="251">
        <v>0.75</v>
      </c>
      <c r="G577" s="250" t="s">
        <v>563</v>
      </c>
      <c r="H577" s="244" t="s">
        <v>838</v>
      </c>
      <c r="I577" s="8">
        <f>C12</f>
        <v>95</v>
      </c>
      <c r="J577" s="2" t="s">
        <v>1458</v>
      </c>
      <c r="K577" s="8">
        <f>(F577*I577)</f>
        <v>71.25</v>
      </c>
      <c r="M577" s="363">
        <v>3.2000000000000001E-2</v>
      </c>
      <c r="N577" s="244" t="s">
        <v>884</v>
      </c>
      <c r="O577" s="244" t="s">
        <v>795</v>
      </c>
      <c r="P577" s="251" t="e">
        <f>(K614)</f>
        <v>#REF!</v>
      </c>
      <c r="Q577" s="244" t="s">
        <v>884</v>
      </c>
      <c r="R577" s="251" t="e">
        <f>(M577*P577)</f>
        <v>#REF!</v>
      </c>
      <c r="AG577" s="244" t="s">
        <v>2346</v>
      </c>
    </row>
    <row r="578" spans="1:33" hidden="1">
      <c r="A578" s="358">
        <f t="shared" si="30"/>
        <v>408</v>
      </c>
      <c r="B578" s="244" t="s">
        <v>2117</v>
      </c>
      <c r="C578" s="8">
        <v>95</v>
      </c>
      <c r="D578" s="1" t="s">
        <v>883</v>
      </c>
      <c r="E578"/>
      <c r="F578" s="251">
        <v>0.5</v>
      </c>
      <c r="G578" s="250" t="s">
        <v>563</v>
      </c>
      <c r="H578" s="244" t="s">
        <v>2118</v>
      </c>
      <c r="I578" s="8">
        <f>C41</f>
        <v>110</v>
      </c>
      <c r="J578" s="2" t="s">
        <v>1458</v>
      </c>
      <c r="K578" s="8">
        <f>(F578*I578)</f>
        <v>55</v>
      </c>
      <c r="O578" s="244" t="s">
        <v>290</v>
      </c>
      <c r="R578" s="244" t="s">
        <v>995</v>
      </c>
      <c r="AG578" s="244" t="s">
        <v>2346</v>
      </c>
    </row>
    <row r="579" spans="1:33" hidden="1">
      <c r="A579" s="358">
        <f t="shared" si="30"/>
        <v>409</v>
      </c>
      <c r="B579" s="244" t="s">
        <v>3088</v>
      </c>
      <c r="C579" s="6">
        <v>301</v>
      </c>
      <c r="D579" s="1" t="s">
        <v>611</v>
      </c>
      <c r="E579"/>
      <c r="G579" s="250" t="s">
        <v>448</v>
      </c>
      <c r="H579" s="244" t="s">
        <v>64</v>
      </c>
      <c r="I579"/>
      <c r="J579" s="2" t="s">
        <v>448</v>
      </c>
      <c r="K579" s="8">
        <v>53.5</v>
      </c>
      <c r="N579" s="244" t="s">
        <v>448</v>
      </c>
      <c r="O579" s="244" t="s">
        <v>345</v>
      </c>
      <c r="Q579" s="244" t="s">
        <v>448</v>
      </c>
      <c r="R579" s="251">
        <v>2.92</v>
      </c>
      <c r="AG579" s="244" t="s">
        <v>2346</v>
      </c>
    </row>
    <row r="580" spans="1:33" hidden="1">
      <c r="A580" s="358">
        <f t="shared" si="30"/>
        <v>410</v>
      </c>
      <c r="B580" s="244" t="s">
        <v>3089</v>
      </c>
      <c r="C580" s="8">
        <v>325</v>
      </c>
      <c r="D580" s="1" t="s">
        <v>611</v>
      </c>
      <c r="E580" s="1" t="s">
        <v>995</v>
      </c>
      <c r="H580" s="244" t="s">
        <v>946</v>
      </c>
      <c r="I580"/>
      <c r="J580" s="4"/>
      <c r="K580" s="5" t="s">
        <v>1667</v>
      </c>
      <c r="R580" s="248" t="s">
        <v>1667</v>
      </c>
      <c r="AG580" s="244" t="s">
        <v>2346</v>
      </c>
    </row>
    <row r="581" spans="1:33" hidden="1">
      <c r="A581" s="358">
        <f t="shared" si="30"/>
        <v>411</v>
      </c>
      <c r="B581" s="244" t="s">
        <v>346</v>
      </c>
      <c r="C581" s="8">
        <v>75</v>
      </c>
      <c r="D581" s="1" t="s">
        <v>883</v>
      </c>
      <c r="E581"/>
      <c r="H581" s="354" t="s">
        <v>1833</v>
      </c>
      <c r="I581"/>
      <c r="J581" s="4"/>
      <c r="K581" s="8">
        <f>SUM(K575:K579)</f>
        <v>539.25</v>
      </c>
      <c r="O581" s="244" t="s">
        <v>1834</v>
      </c>
      <c r="R581" s="251" t="e">
        <f>SUM(R573:R579)</f>
        <v>#REF!</v>
      </c>
      <c r="AG581" s="244" t="s">
        <v>2346</v>
      </c>
    </row>
    <row r="582" spans="1:33" hidden="1">
      <c r="A582" s="358">
        <f t="shared" si="30"/>
        <v>412</v>
      </c>
      <c r="B582" s="244" t="s">
        <v>1835</v>
      </c>
      <c r="C582" s="8">
        <v>125</v>
      </c>
      <c r="D582" s="1" t="s">
        <v>883</v>
      </c>
      <c r="E582"/>
      <c r="I582"/>
      <c r="J582" s="4"/>
      <c r="K582" s="5" t="s">
        <v>1667</v>
      </c>
      <c r="R582" s="248" t="s">
        <v>1667</v>
      </c>
      <c r="AG582" s="244" t="s">
        <v>2346</v>
      </c>
    </row>
    <row r="583" spans="1:33" hidden="1">
      <c r="A583" s="358">
        <f t="shared" si="30"/>
        <v>413</v>
      </c>
      <c r="B583" s="244" t="s">
        <v>1836</v>
      </c>
      <c r="C583" s="8">
        <v>190</v>
      </c>
      <c r="D583" s="1" t="s">
        <v>883</v>
      </c>
      <c r="E583"/>
      <c r="H583" s="244" t="s">
        <v>388</v>
      </c>
      <c r="I583" s="8">
        <f>K581</f>
        <v>539.25</v>
      </c>
      <c r="J583" s="2">
        <f>C22*0.04</f>
        <v>1.06</v>
      </c>
      <c r="K583" s="8">
        <f>(K581+C22*0.04)</f>
        <v>540.30999999999995</v>
      </c>
      <c r="N583" s="244" t="s">
        <v>2338</v>
      </c>
      <c r="O583" s="244" t="s">
        <v>1985</v>
      </c>
      <c r="AG583" s="244" t="s">
        <v>2346</v>
      </c>
    </row>
    <row r="584" spans="1:33" hidden="1">
      <c r="A584" s="358">
        <f t="shared" si="30"/>
        <v>414</v>
      </c>
      <c r="B584" s="244" t="s">
        <v>1837</v>
      </c>
      <c r="C584" s="8">
        <v>16</v>
      </c>
      <c r="D584" s="1" t="s">
        <v>883</v>
      </c>
      <c r="E584"/>
      <c r="H584" s="244" t="s">
        <v>390</v>
      </c>
      <c r="I584" s="8">
        <f>K583</f>
        <v>540.30999999999995</v>
      </c>
      <c r="J584" s="2">
        <f>C23*0.04</f>
        <v>2.11</v>
      </c>
      <c r="K584" s="8">
        <f>(K583+C23*0.04)</f>
        <v>542.41999999999996</v>
      </c>
      <c r="O584" s="244" t="s">
        <v>1838</v>
      </c>
      <c r="AG584" s="244" t="s">
        <v>2346</v>
      </c>
    </row>
    <row r="585" spans="1:33" hidden="1">
      <c r="A585" s="358">
        <f t="shared" si="30"/>
        <v>415</v>
      </c>
      <c r="B585" s="244" t="s">
        <v>1839</v>
      </c>
      <c r="C585" s="8">
        <v>7</v>
      </c>
      <c r="D585" s="1" t="s">
        <v>1730</v>
      </c>
      <c r="E585"/>
      <c r="H585" s="244" t="s">
        <v>2319</v>
      </c>
      <c r="I585" s="8">
        <f>K584</f>
        <v>542.41999999999996</v>
      </c>
      <c r="J585" s="2">
        <f>C23*0.04</f>
        <v>2.11</v>
      </c>
      <c r="K585" s="8">
        <f>(K584+C24*0.04)</f>
        <v>544.53</v>
      </c>
      <c r="O585" s="248" t="s">
        <v>1667</v>
      </c>
      <c r="AG585" s="244" t="s">
        <v>2346</v>
      </c>
    </row>
    <row r="586" spans="1:33" hidden="1">
      <c r="A586" s="358">
        <f t="shared" si="30"/>
        <v>416</v>
      </c>
      <c r="B586" s="244" t="s">
        <v>3090</v>
      </c>
      <c r="C586" s="8">
        <v>19</v>
      </c>
      <c r="D586" s="1" t="s">
        <v>1730</v>
      </c>
      <c r="E586"/>
      <c r="H586" s="244" t="s">
        <v>382</v>
      </c>
      <c r="I586" s="8">
        <f>K585</f>
        <v>544.53</v>
      </c>
      <c r="J586" s="2">
        <f>C23*0.04</f>
        <v>2.11</v>
      </c>
      <c r="K586" s="8">
        <f>(K585+C24*0.04)</f>
        <v>546.64</v>
      </c>
      <c r="M586" s="251">
        <v>1.3</v>
      </c>
      <c r="N586" s="244" t="s">
        <v>884</v>
      </c>
      <c r="O586" s="244" t="s">
        <v>803</v>
      </c>
      <c r="P586" s="251">
        <f>(K88)</f>
        <v>52.93</v>
      </c>
      <c r="Q586" s="244" t="s">
        <v>884</v>
      </c>
      <c r="R586" s="251">
        <f>(M586*P586)</f>
        <v>68.81</v>
      </c>
      <c r="AG586" s="244" t="s">
        <v>2346</v>
      </c>
    </row>
    <row r="587" spans="1:33" hidden="1">
      <c r="A587" s="358"/>
      <c r="B587" s="244"/>
      <c r="C587" s="8"/>
      <c r="D587" s="1"/>
      <c r="E587"/>
      <c r="H587" s="244" t="s">
        <v>1427</v>
      </c>
      <c r="I587" s="8">
        <f>K586</f>
        <v>546.64</v>
      </c>
      <c r="J587" s="2">
        <f>C24*0.04</f>
        <v>2.11</v>
      </c>
      <c r="K587" s="8">
        <f>(K586+C25*0.04)</f>
        <v>547.47</v>
      </c>
      <c r="M587" s="251"/>
      <c r="N587" s="244"/>
      <c r="O587" s="244"/>
      <c r="P587" s="251"/>
      <c r="Q587" s="244"/>
      <c r="R587" s="251"/>
      <c r="AG587" s="244"/>
    </row>
    <row r="588" spans="1:33" hidden="1">
      <c r="A588" s="358">
        <f>(A586+1)</f>
        <v>417</v>
      </c>
      <c r="B588" s="244" t="s">
        <v>3091</v>
      </c>
      <c r="C588" s="8">
        <v>20</v>
      </c>
      <c r="D588" s="1" t="s">
        <v>1730</v>
      </c>
      <c r="E588"/>
      <c r="F588" s="375">
        <v>15.1</v>
      </c>
      <c r="G588" s="250" t="s">
        <v>1840</v>
      </c>
      <c r="H588" s="244" t="s">
        <v>1689</v>
      </c>
      <c r="I588"/>
      <c r="J588" s="4"/>
      <c r="K588"/>
      <c r="M588" s="363">
        <v>0.216</v>
      </c>
      <c r="N588" s="244" t="s">
        <v>884</v>
      </c>
      <c r="O588" s="244" t="s">
        <v>805</v>
      </c>
      <c r="P588" s="251" t="e">
        <f>(R60)</f>
        <v>#REF!</v>
      </c>
      <c r="Q588" s="244" t="s">
        <v>884</v>
      </c>
      <c r="R588" s="251" t="e">
        <f>(M588*P588)</f>
        <v>#REF!</v>
      </c>
      <c r="AG588" s="244" t="s">
        <v>2346</v>
      </c>
    </row>
    <row r="589" spans="1:33" hidden="1">
      <c r="A589" s="358">
        <f t="shared" si="30"/>
        <v>418</v>
      </c>
      <c r="B589" s="244" t="s">
        <v>1841</v>
      </c>
      <c r="C589" s="8">
        <v>7.5</v>
      </c>
      <c r="D589" s="1" t="s">
        <v>781</v>
      </c>
      <c r="E589"/>
      <c r="H589" s="244" t="s">
        <v>2369</v>
      </c>
      <c r="I589"/>
      <c r="J589" s="4"/>
      <c r="K589"/>
      <c r="M589" s="363">
        <v>0.60099999999999998</v>
      </c>
      <c r="N589" s="244" t="s">
        <v>884</v>
      </c>
      <c r="O589" s="244" t="s">
        <v>2052</v>
      </c>
      <c r="P589" s="251" t="e">
        <f>(R89)</f>
        <v>#REF!</v>
      </c>
      <c r="Q589" s="244" t="s">
        <v>884</v>
      </c>
      <c r="R589" s="251" t="e">
        <f>(M589*P589)</f>
        <v>#REF!</v>
      </c>
      <c r="AG589" s="244" t="s">
        <v>2346</v>
      </c>
    </row>
    <row r="590" spans="1:33" hidden="1">
      <c r="A590" s="358">
        <f t="shared" si="30"/>
        <v>419</v>
      </c>
      <c r="B590" s="244" t="s">
        <v>797</v>
      </c>
      <c r="C590" s="8">
        <v>16</v>
      </c>
      <c r="D590" s="1" t="s">
        <v>781</v>
      </c>
      <c r="E590" t="s">
        <v>1640</v>
      </c>
      <c r="F590" s="251">
        <v>10</v>
      </c>
      <c r="G590" s="250" t="s">
        <v>2371</v>
      </c>
      <c r="H590" s="244" t="s">
        <v>561</v>
      </c>
      <c r="I590" s="8">
        <f>C721</f>
        <v>227</v>
      </c>
      <c r="J590" s="2" t="s">
        <v>2371</v>
      </c>
      <c r="K590" s="8">
        <f>(F590*I590)</f>
        <v>2270</v>
      </c>
      <c r="M590" s="363">
        <v>6.35</v>
      </c>
      <c r="N590" s="244" t="s">
        <v>611</v>
      </c>
      <c r="O590" s="244" t="s">
        <v>2053</v>
      </c>
      <c r="P590" s="251" t="e">
        <f>(R303)</f>
        <v>#REF!</v>
      </c>
      <c r="Q590" s="244" t="s">
        <v>611</v>
      </c>
      <c r="R590" s="251" t="e">
        <f>(M590*P590)</f>
        <v>#REF!</v>
      </c>
      <c r="AG590" s="244" t="s">
        <v>2346</v>
      </c>
    </row>
    <row r="591" spans="1:33" hidden="1">
      <c r="A591" s="358">
        <f t="shared" si="30"/>
        <v>420</v>
      </c>
      <c r="B591" s="244" t="s">
        <v>798</v>
      </c>
      <c r="C591" s="8">
        <v>1700</v>
      </c>
      <c r="D591" s="1" t="s">
        <v>799</v>
      </c>
      <c r="E591">
        <v>2000</v>
      </c>
      <c r="F591" s="251">
        <v>0.12</v>
      </c>
      <c r="G591" s="250" t="s">
        <v>884</v>
      </c>
      <c r="H591" s="244" t="s">
        <v>800</v>
      </c>
      <c r="I591" s="8" t="e">
        <f>K32</f>
        <v>#REF!</v>
      </c>
      <c r="J591" s="2" t="s">
        <v>884</v>
      </c>
      <c r="K591" s="8" t="e">
        <f>(F591*I591)</f>
        <v>#REF!</v>
      </c>
      <c r="M591" s="363">
        <v>3.2000000000000001E-2</v>
      </c>
      <c r="N591" s="244" t="s">
        <v>884</v>
      </c>
      <c r="O591" s="244" t="s">
        <v>795</v>
      </c>
      <c r="P591" s="251" t="e">
        <f>(K614)</f>
        <v>#REF!</v>
      </c>
      <c r="Q591" s="244" t="s">
        <v>884</v>
      </c>
      <c r="R591" s="251" t="e">
        <f>(M591*P591)</f>
        <v>#REF!</v>
      </c>
      <c r="AG591" s="244" t="s">
        <v>2346</v>
      </c>
    </row>
    <row r="592" spans="1:33" hidden="1">
      <c r="A592" s="358">
        <f t="shared" si="30"/>
        <v>421</v>
      </c>
      <c r="B592" s="244" t="s">
        <v>801</v>
      </c>
      <c r="C592" s="8">
        <v>805</v>
      </c>
      <c r="D592" s="1" t="s">
        <v>799</v>
      </c>
      <c r="E592"/>
      <c r="F592" s="251">
        <v>1</v>
      </c>
      <c r="G592" s="250" t="s">
        <v>563</v>
      </c>
      <c r="H592" s="244" t="s">
        <v>564</v>
      </c>
      <c r="I592" s="8">
        <f>C10</f>
        <v>150</v>
      </c>
      <c r="J592" s="2" t="s">
        <v>1458</v>
      </c>
      <c r="K592" s="8">
        <f>(F592*I592)</f>
        <v>150</v>
      </c>
      <c r="O592" s="244" t="s">
        <v>290</v>
      </c>
      <c r="R592" s="244" t="s">
        <v>995</v>
      </c>
      <c r="AG592" s="244" t="s">
        <v>2346</v>
      </c>
    </row>
    <row r="593" spans="1:33" hidden="1">
      <c r="A593" s="358">
        <f t="shared" si="30"/>
        <v>422</v>
      </c>
      <c r="B593" s="244" t="s">
        <v>2137</v>
      </c>
      <c r="C593" s="8">
        <f>204+53</f>
        <v>257</v>
      </c>
      <c r="D593" s="1" t="s">
        <v>799</v>
      </c>
      <c r="E593"/>
      <c r="F593" s="251">
        <v>1</v>
      </c>
      <c r="G593" s="250" t="s">
        <v>563</v>
      </c>
      <c r="H593" s="244" t="s">
        <v>838</v>
      </c>
      <c r="I593" s="8">
        <f>C12</f>
        <v>95</v>
      </c>
      <c r="J593" s="2" t="s">
        <v>1458</v>
      </c>
      <c r="K593" s="8">
        <f>(F593*I593)</f>
        <v>95</v>
      </c>
      <c r="N593" s="244" t="s">
        <v>448</v>
      </c>
      <c r="O593" s="244" t="s">
        <v>345</v>
      </c>
      <c r="Q593" s="244" t="s">
        <v>448</v>
      </c>
      <c r="R593" s="251">
        <v>2.1</v>
      </c>
      <c r="AG593" s="244" t="s">
        <v>2346</v>
      </c>
    </row>
    <row r="594" spans="1:33" hidden="1">
      <c r="A594" s="358">
        <f t="shared" si="30"/>
        <v>423</v>
      </c>
      <c r="B594" s="244" t="s">
        <v>3092</v>
      </c>
      <c r="C594" s="8">
        <v>53</v>
      </c>
      <c r="D594" s="1" t="s">
        <v>781</v>
      </c>
      <c r="E594"/>
      <c r="G594" s="250" t="s">
        <v>448</v>
      </c>
      <c r="H594" s="244" t="s">
        <v>64</v>
      </c>
      <c r="I594"/>
      <c r="J594" s="2" t="s">
        <v>448</v>
      </c>
      <c r="K594" s="8">
        <v>0.33</v>
      </c>
      <c r="R594" s="248" t="s">
        <v>1667</v>
      </c>
      <c r="AG594" s="244" t="s">
        <v>2346</v>
      </c>
    </row>
    <row r="595" spans="1:33" hidden="1">
      <c r="A595" s="358">
        <f t="shared" si="30"/>
        <v>424</v>
      </c>
      <c r="B595" s="244" t="s">
        <v>311</v>
      </c>
      <c r="C595" s="8">
        <v>1050</v>
      </c>
      <c r="D595" s="1" t="s">
        <v>781</v>
      </c>
      <c r="E595"/>
      <c r="H595" s="244" t="s">
        <v>946</v>
      </c>
      <c r="I595"/>
      <c r="J595" s="4"/>
      <c r="K595" s="5" t="s">
        <v>1667</v>
      </c>
      <c r="O595" s="244" t="s">
        <v>1834</v>
      </c>
      <c r="R595" s="251" t="e">
        <f>SUM(R586:R593)</f>
        <v>#REF!</v>
      </c>
      <c r="AG595" s="244" t="s">
        <v>2346</v>
      </c>
    </row>
    <row r="596" spans="1:33" hidden="1">
      <c r="A596" s="358">
        <f t="shared" si="30"/>
        <v>425</v>
      </c>
      <c r="B596" s="244" t="s">
        <v>405</v>
      </c>
      <c r="C596" s="8">
        <v>196</v>
      </c>
      <c r="D596" s="1" t="s">
        <v>781</v>
      </c>
      <c r="E596"/>
      <c r="H596" s="354" t="s">
        <v>406</v>
      </c>
      <c r="I596"/>
      <c r="J596" s="4"/>
      <c r="K596" s="8" t="e">
        <f>SUM(K590:K594)</f>
        <v>#REF!</v>
      </c>
      <c r="R596" s="248" t="s">
        <v>1667</v>
      </c>
      <c r="AG596" s="244" t="s">
        <v>2346</v>
      </c>
    </row>
    <row r="597" spans="1:33" hidden="1">
      <c r="A597" s="358">
        <f t="shared" si="30"/>
        <v>426</v>
      </c>
      <c r="B597" s="244" t="s">
        <v>407</v>
      </c>
      <c r="C597" s="8">
        <v>206.9</v>
      </c>
      <c r="D597" s="1" t="s">
        <v>781</v>
      </c>
      <c r="E597"/>
      <c r="I597"/>
      <c r="J597" s="4"/>
      <c r="K597" s="5" t="s">
        <v>1667</v>
      </c>
      <c r="N597" s="244" t="s">
        <v>2338</v>
      </c>
      <c r="O597" s="244" t="s">
        <v>408</v>
      </c>
      <c r="AG597" s="244" t="s">
        <v>2346</v>
      </c>
    </row>
    <row r="598" spans="1:33" hidden="1">
      <c r="A598" s="358">
        <f t="shared" si="30"/>
        <v>427</v>
      </c>
      <c r="B598" s="244" t="s">
        <v>409</v>
      </c>
      <c r="C598" s="8">
        <v>120</v>
      </c>
      <c r="D598" s="1" t="s">
        <v>1854</v>
      </c>
      <c r="E598"/>
      <c r="H598" s="354" t="s">
        <v>410</v>
      </c>
      <c r="I598"/>
      <c r="J598" s="4"/>
      <c r="K598" s="8" t="e">
        <f>K596/10</f>
        <v>#REF!</v>
      </c>
      <c r="O598" s="244" t="s">
        <v>411</v>
      </c>
      <c r="AG598" s="244" t="s">
        <v>2346</v>
      </c>
    </row>
    <row r="599" spans="1:33" hidden="1">
      <c r="A599" s="358">
        <f t="shared" si="30"/>
        <v>428</v>
      </c>
      <c r="B599" s="244" t="s">
        <v>412</v>
      </c>
      <c r="C599" s="8">
        <v>80</v>
      </c>
      <c r="D599" s="1" t="s">
        <v>1854</v>
      </c>
      <c r="E599"/>
      <c r="H599" s="244" t="s">
        <v>388</v>
      </c>
      <c r="I599"/>
      <c r="J599" s="4"/>
      <c r="K599" s="8" t="e">
        <f>(K598+C22*0.02)</f>
        <v>#REF!</v>
      </c>
      <c r="O599" s="248" t="s">
        <v>1667</v>
      </c>
      <c r="AG599" s="244" t="s">
        <v>2346</v>
      </c>
    </row>
    <row r="600" spans="1:33" hidden="1">
      <c r="A600" s="358">
        <f t="shared" si="30"/>
        <v>429</v>
      </c>
      <c r="B600" s="244" t="s">
        <v>413</v>
      </c>
      <c r="C600"/>
      <c r="D600" s="1" t="s">
        <v>1854</v>
      </c>
      <c r="E600"/>
      <c r="H600" s="244" t="s">
        <v>390</v>
      </c>
      <c r="I600"/>
      <c r="J600" s="4"/>
      <c r="K600" s="8" t="e">
        <f>(K599+C24*0.02)</f>
        <v>#REF!</v>
      </c>
      <c r="M600" s="251">
        <v>10.37</v>
      </c>
      <c r="N600" s="244" t="s">
        <v>884</v>
      </c>
      <c r="O600" s="244" t="s">
        <v>414</v>
      </c>
      <c r="P600" s="251">
        <f>(C61*2)</f>
        <v>50</v>
      </c>
      <c r="Q600" s="244" t="s">
        <v>884</v>
      </c>
      <c r="R600" s="251">
        <f t="shared" ref="R600:R608" si="31">(M600*P600)</f>
        <v>518.5</v>
      </c>
      <c r="AG600" s="244" t="s">
        <v>2346</v>
      </c>
    </row>
    <row r="601" spans="1:33" hidden="1">
      <c r="A601" s="358">
        <f t="shared" si="30"/>
        <v>430</v>
      </c>
      <c r="B601" s="244" t="s">
        <v>2135</v>
      </c>
      <c r="C601" s="8">
        <v>65</v>
      </c>
      <c r="D601" s="1" t="s">
        <v>883</v>
      </c>
      <c r="E601"/>
      <c r="H601" s="244" t="s">
        <v>2319</v>
      </c>
      <c r="I601"/>
      <c r="J601" s="4"/>
      <c r="K601" s="8" t="e">
        <f>(K600+C24*0.02)</f>
        <v>#REF!</v>
      </c>
      <c r="M601" s="251">
        <v>0.65</v>
      </c>
      <c r="N601" s="244" t="s">
        <v>884</v>
      </c>
      <c r="O601" s="244" t="s">
        <v>2136</v>
      </c>
      <c r="P601" s="251" t="e">
        <f>R60</f>
        <v>#REF!</v>
      </c>
      <c r="Q601" s="244" t="s">
        <v>884</v>
      </c>
      <c r="R601" s="251" t="e">
        <f t="shared" si="31"/>
        <v>#REF!</v>
      </c>
      <c r="AG601" s="244" t="s">
        <v>2346</v>
      </c>
    </row>
    <row r="602" spans="1:33" hidden="1">
      <c r="A602" s="358">
        <f t="shared" si="30"/>
        <v>431</v>
      </c>
      <c r="B602" s="244" t="s">
        <v>1865</v>
      </c>
      <c r="C602" s="8">
        <v>40</v>
      </c>
      <c r="D602" s="1" t="s">
        <v>883</v>
      </c>
      <c r="E602"/>
      <c r="H602" s="244" t="s">
        <v>382</v>
      </c>
      <c r="I602"/>
      <c r="J602" s="4"/>
      <c r="K602" s="8" t="e">
        <f>(K601+C24*0.02)</f>
        <v>#REF!</v>
      </c>
      <c r="M602" s="251">
        <v>1.1399999999999999</v>
      </c>
      <c r="N602" s="244" t="s">
        <v>884</v>
      </c>
      <c r="O602" s="244" t="s">
        <v>330</v>
      </c>
      <c r="P602" s="251" t="e">
        <f>K320</f>
        <v>#REF!</v>
      </c>
      <c r="Q602" s="244" t="s">
        <v>884</v>
      </c>
      <c r="R602" s="251" t="e">
        <f t="shared" si="31"/>
        <v>#REF!</v>
      </c>
      <c r="AG602" s="244" t="s">
        <v>2346</v>
      </c>
    </row>
    <row r="603" spans="1:33" hidden="1">
      <c r="A603" s="358">
        <f t="shared" si="30"/>
        <v>432</v>
      </c>
      <c r="B603" s="244" t="s">
        <v>332</v>
      </c>
      <c r="C603"/>
      <c r="D603" s="1" t="s">
        <v>883</v>
      </c>
      <c r="E603"/>
      <c r="H603" s="244" t="s">
        <v>1427</v>
      </c>
      <c r="I603"/>
      <c r="J603" s="4"/>
      <c r="K603" s="8" t="e">
        <f>(K602+C25*0.02)</f>
        <v>#REF!</v>
      </c>
      <c r="M603" s="251">
        <v>0.85</v>
      </c>
      <c r="N603" s="244" t="s">
        <v>884</v>
      </c>
      <c r="O603" s="244" t="s">
        <v>1692</v>
      </c>
      <c r="P603" s="251" t="e">
        <f>K320-K311/10</f>
        <v>#REF!</v>
      </c>
      <c r="Q603" s="244" t="s">
        <v>884</v>
      </c>
      <c r="R603" s="251" t="e">
        <f t="shared" si="31"/>
        <v>#REF!</v>
      </c>
      <c r="AG603" s="244" t="s">
        <v>2346</v>
      </c>
    </row>
    <row r="604" spans="1:33" hidden="1">
      <c r="A604" s="358">
        <f t="shared" si="30"/>
        <v>433</v>
      </c>
      <c r="B604" s="244" t="s">
        <v>1693</v>
      </c>
      <c r="C604" s="8">
        <v>45</v>
      </c>
      <c r="D604" s="1" t="s">
        <v>883</v>
      </c>
      <c r="E604"/>
      <c r="F604" s="354" t="s">
        <v>1694</v>
      </c>
      <c r="G604" s="250" t="s">
        <v>2338</v>
      </c>
      <c r="H604" s="244" t="s">
        <v>897</v>
      </c>
      <c r="I604"/>
      <c r="J604" s="4"/>
      <c r="K604"/>
      <c r="M604" s="251">
        <v>0.98</v>
      </c>
      <c r="N604" s="244" t="s">
        <v>884</v>
      </c>
      <c r="O604" s="244" t="s">
        <v>2298</v>
      </c>
      <c r="P604" s="251" t="e">
        <f>(C73)</f>
        <v>#REF!</v>
      </c>
      <c r="Q604" s="244" t="s">
        <v>884</v>
      </c>
      <c r="R604" s="251" t="e">
        <f t="shared" si="31"/>
        <v>#REF!</v>
      </c>
      <c r="AG604" s="244" t="s">
        <v>2346</v>
      </c>
    </row>
    <row r="605" spans="1:33" hidden="1">
      <c r="A605" s="358">
        <f t="shared" si="30"/>
        <v>434</v>
      </c>
      <c r="B605" s="244" t="s">
        <v>1131</v>
      </c>
      <c r="C605" s="8">
        <v>36.520000000000003</v>
      </c>
      <c r="D605" s="1" t="s">
        <v>883</v>
      </c>
      <c r="E605"/>
      <c r="H605" s="244" t="s">
        <v>1132</v>
      </c>
      <c r="I605"/>
      <c r="J605" s="4"/>
      <c r="K605"/>
      <c r="M605" s="251">
        <v>2.68</v>
      </c>
      <c r="N605" s="244" t="s">
        <v>884</v>
      </c>
      <c r="O605" s="244" t="s">
        <v>1064</v>
      </c>
      <c r="P605" s="251" t="e">
        <f>(C79)</f>
        <v>#REF!</v>
      </c>
      <c r="Q605" s="244" t="s">
        <v>884</v>
      </c>
      <c r="R605" s="251" t="e">
        <f t="shared" si="31"/>
        <v>#REF!</v>
      </c>
      <c r="AG605" s="244" t="s">
        <v>2346</v>
      </c>
    </row>
    <row r="606" spans="1:33" hidden="1">
      <c r="A606" s="358">
        <f t="shared" si="30"/>
        <v>435</v>
      </c>
      <c r="B606" s="244" t="s">
        <v>1695</v>
      </c>
      <c r="C606"/>
      <c r="D606" s="1" t="s">
        <v>883</v>
      </c>
      <c r="E606"/>
      <c r="H606" s="244" t="s">
        <v>1696</v>
      </c>
      <c r="I606"/>
      <c r="J606" s="4"/>
      <c r="K606"/>
      <c r="M606" s="251">
        <v>7.24</v>
      </c>
      <c r="N606" s="244" t="s">
        <v>611</v>
      </c>
      <c r="O606" s="244" t="s">
        <v>1697</v>
      </c>
      <c r="P606" s="251" t="e">
        <f>(K1332)</f>
        <v>#REF!</v>
      </c>
      <c r="Q606" s="244" t="s">
        <v>611</v>
      </c>
      <c r="R606" s="251" t="e">
        <f t="shared" si="31"/>
        <v>#REF!</v>
      </c>
      <c r="AG606" s="244" t="s">
        <v>2346</v>
      </c>
    </row>
    <row r="607" spans="1:33" hidden="1">
      <c r="A607" s="358">
        <f t="shared" si="30"/>
        <v>436</v>
      </c>
      <c r="B607" s="244" t="s">
        <v>1538</v>
      </c>
      <c r="C607" s="8">
        <v>73.48</v>
      </c>
      <c r="D607" s="8">
        <v>93.72</v>
      </c>
      <c r="E607"/>
      <c r="H607" s="248" t="s">
        <v>1667</v>
      </c>
      <c r="I607"/>
      <c r="J607" s="4"/>
      <c r="K607"/>
      <c r="M607" s="251">
        <v>1</v>
      </c>
      <c r="N607" s="244" t="s">
        <v>883</v>
      </c>
      <c r="O607" s="244" t="s">
        <v>1539</v>
      </c>
      <c r="P607" s="251">
        <f>(C202)</f>
        <v>75</v>
      </c>
      <c r="Q607" s="244" t="s">
        <v>883</v>
      </c>
      <c r="R607" s="251">
        <f t="shared" si="31"/>
        <v>75</v>
      </c>
      <c r="AG607" s="244" t="s">
        <v>2346</v>
      </c>
    </row>
    <row r="608" spans="1:33" hidden="1">
      <c r="A608" s="358">
        <f t="shared" si="30"/>
        <v>437</v>
      </c>
      <c r="B608" s="244" t="s">
        <v>1540</v>
      </c>
      <c r="C608" s="8">
        <v>43.12</v>
      </c>
      <c r="D608" s="1" t="s">
        <v>883</v>
      </c>
      <c r="E608"/>
      <c r="F608" s="251">
        <v>0.01</v>
      </c>
      <c r="G608" s="250" t="s">
        <v>884</v>
      </c>
      <c r="H608" s="244" t="s">
        <v>1541</v>
      </c>
      <c r="I608" s="8" t="e">
        <f>(K279)</f>
        <v>#REF!</v>
      </c>
      <c r="J608" s="2" t="s">
        <v>884</v>
      </c>
      <c r="K608" s="8" t="e">
        <f>(F608*I608)</f>
        <v>#REF!</v>
      </c>
      <c r="M608" s="363">
        <v>0.13600000000000001</v>
      </c>
      <c r="N608" s="244" t="s">
        <v>884</v>
      </c>
      <c r="O608" s="244" t="s">
        <v>1002</v>
      </c>
      <c r="P608" s="251" t="e">
        <f>(K614)</f>
        <v>#REF!</v>
      </c>
      <c r="Q608" s="244" t="s">
        <v>884</v>
      </c>
      <c r="R608" s="251" t="e">
        <f t="shared" si="31"/>
        <v>#REF!</v>
      </c>
      <c r="AG608" s="244" t="s">
        <v>2346</v>
      </c>
    </row>
    <row r="609" spans="1:33" hidden="1">
      <c r="A609" s="358">
        <f t="shared" si="30"/>
        <v>438</v>
      </c>
      <c r="B609" s="244" t="s">
        <v>1003</v>
      </c>
      <c r="C609"/>
      <c r="D609" s="1" t="s">
        <v>883</v>
      </c>
      <c r="E609"/>
      <c r="F609" s="251">
        <v>0.01</v>
      </c>
      <c r="G609" s="250" t="s">
        <v>884</v>
      </c>
      <c r="H609" s="244" t="s">
        <v>1004</v>
      </c>
      <c r="I609"/>
      <c r="J609" s="2" t="s">
        <v>448</v>
      </c>
      <c r="K609" s="8">
        <v>1.1499999999999999</v>
      </c>
      <c r="O609" s="244" t="s">
        <v>132</v>
      </c>
      <c r="AG609" s="244" t="s">
        <v>2346</v>
      </c>
    </row>
    <row r="610" spans="1:33" hidden="1">
      <c r="A610" s="358">
        <f t="shared" si="30"/>
        <v>439</v>
      </c>
      <c r="B610" s="244" t="s">
        <v>133</v>
      </c>
      <c r="C610" s="8">
        <v>121.88</v>
      </c>
      <c r="D610" s="1" t="s">
        <v>883</v>
      </c>
      <c r="E610"/>
      <c r="H610" s="244" t="s">
        <v>134</v>
      </c>
      <c r="I610"/>
      <c r="J610" s="4"/>
      <c r="K610"/>
      <c r="N610" s="244" t="s">
        <v>448</v>
      </c>
      <c r="O610" s="244" t="s">
        <v>345</v>
      </c>
      <c r="Q610" s="244" t="s">
        <v>448</v>
      </c>
      <c r="R610" s="251">
        <v>1.5</v>
      </c>
      <c r="AG610" s="244" t="s">
        <v>2346</v>
      </c>
    </row>
    <row r="611" spans="1:33" hidden="1">
      <c r="A611" s="358">
        <f t="shared" si="30"/>
        <v>440</v>
      </c>
      <c r="B611" s="244" t="s">
        <v>1547</v>
      </c>
      <c r="C611" s="8">
        <v>66</v>
      </c>
      <c r="D611" s="1" t="s">
        <v>883</v>
      </c>
      <c r="E611"/>
      <c r="I611"/>
      <c r="J611" s="4"/>
      <c r="K611" s="5" t="s">
        <v>1667</v>
      </c>
      <c r="R611" s="248" t="s">
        <v>1667</v>
      </c>
      <c r="AG611" s="244" t="s">
        <v>2346</v>
      </c>
    </row>
    <row r="612" spans="1:33" hidden="1">
      <c r="A612" s="358">
        <f t="shared" si="30"/>
        <v>441</v>
      </c>
      <c r="B612" s="244" t="s">
        <v>1548</v>
      </c>
      <c r="C612"/>
      <c r="D612" s="1" t="s">
        <v>883</v>
      </c>
      <c r="E612"/>
      <c r="H612" s="244" t="s">
        <v>1549</v>
      </c>
      <c r="I612"/>
      <c r="J612" s="4"/>
      <c r="K612" s="8" t="e">
        <f>SUM(K608:K610)</f>
        <v>#REF!</v>
      </c>
      <c r="O612" s="244" t="s">
        <v>1834</v>
      </c>
      <c r="R612" s="251" t="e">
        <f>SUM(R600:R610)</f>
        <v>#REF!</v>
      </c>
      <c r="AG612" s="244" t="s">
        <v>325</v>
      </c>
    </row>
    <row r="613" spans="1:33" hidden="1">
      <c r="A613" s="358">
        <f t="shared" si="30"/>
        <v>442</v>
      </c>
      <c r="B613" s="244" t="s">
        <v>432</v>
      </c>
      <c r="C613" s="8">
        <v>149.16</v>
      </c>
      <c r="D613" s="1" t="s">
        <v>883</v>
      </c>
      <c r="E613"/>
      <c r="I613"/>
      <c r="J613" s="4"/>
      <c r="K613" s="5" t="s">
        <v>1667</v>
      </c>
      <c r="R613" s="248" t="s">
        <v>1667</v>
      </c>
    </row>
    <row r="614" spans="1:33" hidden="1">
      <c r="A614" s="358">
        <f t="shared" si="30"/>
        <v>443</v>
      </c>
      <c r="B614" s="244" t="s">
        <v>433</v>
      </c>
      <c r="C614" s="8">
        <v>84.92</v>
      </c>
      <c r="D614" s="1" t="s">
        <v>883</v>
      </c>
      <c r="E614"/>
      <c r="H614" s="244" t="s">
        <v>785</v>
      </c>
      <c r="I614"/>
      <c r="J614" s="4"/>
      <c r="K614" s="8" t="e">
        <f>ROUND(K612*100,0)</f>
        <v>#REF!</v>
      </c>
      <c r="N614" s="244" t="s">
        <v>2338</v>
      </c>
      <c r="O614" s="244" t="s">
        <v>434</v>
      </c>
    </row>
    <row r="615" spans="1:33" hidden="1">
      <c r="C615"/>
      <c r="D615"/>
      <c r="E615"/>
      <c r="F615" s="244" t="s">
        <v>995</v>
      </c>
      <c r="I615"/>
      <c r="J615" s="4"/>
      <c r="K615"/>
    </row>
    <row r="616" spans="1:33" hidden="1">
      <c r="A616" s="358">
        <f>(A614+1)</f>
        <v>444</v>
      </c>
      <c r="B616" s="244" t="s">
        <v>1136</v>
      </c>
      <c r="C616"/>
      <c r="D616" s="1" t="s">
        <v>883</v>
      </c>
      <c r="E616"/>
      <c r="I616"/>
      <c r="J616" s="4"/>
      <c r="K616" s="5" t="s">
        <v>2130</v>
      </c>
      <c r="O616" s="244" t="s">
        <v>1137</v>
      </c>
      <c r="AG616" s="244" t="s">
        <v>2346</v>
      </c>
    </row>
    <row r="617" spans="1:33" hidden="1">
      <c r="A617" s="358">
        <f t="shared" ref="A617:A648" si="32">(A616+1)</f>
        <v>445</v>
      </c>
      <c r="B617" s="244" t="s">
        <v>1010</v>
      </c>
      <c r="C617" s="8">
        <v>195.36</v>
      </c>
      <c r="D617" s="1" t="s">
        <v>883</v>
      </c>
      <c r="E617"/>
      <c r="G617" s="250" t="s">
        <v>685</v>
      </c>
      <c r="H617" s="244" t="s">
        <v>1011</v>
      </c>
      <c r="I617"/>
      <c r="J617" s="4"/>
      <c r="K617"/>
      <c r="O617" s="248" t="s">
        <v>1667</v>
      </c>
      <c r="AG617" s="244" t="s">
        <v>2346</v>
      </c>
    </row>
    <row r="618" spans="1:33" hidden="1">
      <c r="A618" s="358">
        <f t="shared" si="32"/>
        <v>446</v>
      </c>
      <c r="B618" s="244" t="s">
        <v>1737</v>
      </c>
      <c r="C618" s="8">
        <v>137.28</v>
      </c>
      <c r="D618" s="1" t="s">
        <v>883</v>
      </c>
      <c r="E618"/>
      <c r="H618" s="244" t="s">
        <v>1738</v>
      </c>
      <c r="I618"/>
      <c r="J618" s="4"/>
      <c r="K618"/>
      <c r="M618" s="251">
        <v>3</v>
      </c>
      <c r="N618" s="244" t="s">
        <v>884</v>
      </c>
      <c r="O618" s="244" t="s">
        <v>1739</v>
      </c>
      <c r="P618" s="251">
        <f>(C61*2)</f>
        <v>50</v>
      </c>
      <c r="Q618" s="244" t="s">
        <v>884</v>
      </c>
      <c r="R618" s="251">
        <f>(M618*P618)</f>
        <v>150</v>
      </c>
      <c r="AG618" s="244" t="s">
        <v>2346</v>
      </c>
    </row>
    <row r="619" spans="1:33" hidden="1">
      <c r="A619" s="358">
        <f t="shared" si="32"/>
        <v>447</v>
      </c>
      <c r="B619" s="244" t="s">
        <v>630</v>
      </c>
      <c r="C619"/>
      <c r="D619" s="1" t="s">
        <v>883</v>
      </c>
      <c r="E619"/>
      <c r="H619" s="248" t="s">
        <v>1667</v>
      </c>
      <c r="I619"/>
      <c r="J619" s="4"/>
      <c r="K619"/>
      <c r="M619" s="251">
        <v>2.4</v>
      </c>
      <c r="N619" s="244" t="s">
        <v>884</v>
      </c>
      <c r="O619" s="244" t="s">
        <v>1718</v>
      </c>
      <c r="P619" s="251" t="e">
        <f>(C81)</f>
        <v>#REF!</v>
      </c>
      <c r="Q619" s="244" t="s">
        <v>884</v>
      </c>
      <c r="R619" s="251" t="e">
        <f>(M619*P619)</f>
        <v>#REF!</v>
      </c>
      <c r="AG619" s="244" t="s">
        <v>2346</v>
      </c>
    </row>
    <row r="620" spans="1:33" hidden="1">
      <c r="A620" s="358">
        <f t="shared" si="32"/>
        <v>448</v>
      </c>
      <c r="B620" s="244" t="s">
        <v>1498</v>
      </c>
      <c r="C620" s="8">
        <v>97.68</v>
      </c>
      <c r="D620" s="1" t="s">
        <v>883</v>
      </c>
      <c r="E620"/>
      <c r="F620" s="363">
        <v>1.4E-2</v>
      </c>
      <c r="G620" s="250" t="s">
        <v>884</v>
      </c>
      <c r="H620" s="244" t="s">
        <v>1383</v>
      </c>
      <c r="I620" s="8" t="e">
        <f>(K614)</f>
        <v>#REF!</v>
      </c>
      <c r="J620" s="2" t="s">
        <v>884</v>
      </c>
      <c r="K620" s="8" t="e">
        <f>(F620*I620)</f>
        <v>#REF!</v>
      </c>
      <c r="M620" s="251">
        <v>5</v>
      </c>
      <c r="N620" s="244" t="s">
        <v>883</v>
      </c>
      <c r="O620" s="244" t="s">
        <v>609</v>
      </c>
      <c r="P620" s="251">
        <f>(C203)</f>
        <v>40</v>
      </c>
      <c r="Q620" s="244" t="s">
        <v>883</v>
      </c>
      <c r="R620" s="251">
        <f>(M620*P620)</f>
        <v>200</v>
      </c>
      <c r="AG620" s="244" t="s">
        <v>2346</v>
      </c>
    </row>
    <row r="621" spans="1:33" hidden="1">
      <c r="A621" s="358">
        <f t="shared" si="32"/>
        <v>449</v>
      </c>
      <c r="B621" s="244" t="s">
        <v>1856</v>
      </c>
      <c r="C621" s="8">
        <v>54.12</v>
      </c>
      <c r="D621" s="1" t="s">
        <v>883</v>
      </c>
      <c r="E621"/>
      <c r="F621" s="363"/>
      <c r="H621" s="244" t="s">
        <v>1857</v>
      </c>
      <c r="I621"/>
      <c r="J621" s="4"/>
      <c r="K621" s="1" t="s">
        <v>995</v>
      </c>
      <c r="O621" s="244" t="s">
        <v>449</v>
      </c>
      <c r="Q621" s="244" t="s">
        <v>448</v>
      </c>
      <c r="R621" s="251">
        <v>0.08</v>
      </c>
      <c r="AG621" s="244" t="s">
        <v>2346</v>
      </c>
    </row>
    <row r="622" spans="1:33" hidden="1">
      <c r="A622" s="358">
        <f t="shared" si="32"/>
        <v>450</v>
      </c>
      <c r="B622" s="244" t="s">
        <v>1858</v>
      </c>
      <c r="C622"/>
      <c r="D622" s="1" t="s">
        <v>883</v>
      </c>
      <c r="E622"/>
      <c r="F622" s="251">
        <v>0.5</v>
      </c>
      <c r="G622" s="250" t="s">
        <v>781</v>
      </c>
      <c r="H622" s="244" t="s">
        <v>2082</v>
      </c>
      <c r="I622" s="8">
        <f>(C10)</f>
        <v>150</v>
      </c>
      <c r="J622" s="2" t="s">
        <v>781</v>
      </c>
      <c r="K622" s="8">
        <f>(F622*I622)</f>
        <v>75</v>
      </c>
      <c r="R622" s="248" t="s">
        <v>1667</v>
      </c>
      <c r="S622" s="244" t="s">
        <v>995</v>
      </c>
      <c r="AG622" s="244" t="s">
        <v>2346</v>
      </c>
    </row>
    <row r="623" spans="1:33" hidden="1">
      <c r="A623" s="358">
        <f t="shared" si="32"/>
        <v>451</v>
      </c>
      <c r="B623" s="244" t="s">
        <v>1719</v>
      </c>
      <c r="C623" s="8">
        <v>110</v>
      </c>
      <c r="D623" s="1" t="s">
        <v>883</v>
      </c>
      <c r="E623"/>
      <c r="F623" s="251">
        <v>0.75</v>
      </c>
      <c r="G623" s="250" t="s">
        <v>781</v>
      </c>
      <c r="H623" s="244" t="s">
        <v>1979</v>
      </c>
      <c r="I623" s="8">
        <f>(C12)</f>
        <v>95</v>
      </c>
      <c r="J623" s="2" t="s">
        <v>781</v>
      </c>
      <c r="K623" s="8">
        <f>(F623*I623)</f>
        <v>71.25</v>
      </c>
      <c r="O623" s="244" t="s">
        <v>1834</v>
      </c>
      <c r="R623" s="251" t="e">
        <f>SUM(R618:R621)</f>
        <v>#REF!</v>
      </c>
      <c r="AG623" s="244" t="s">
        <v>2346</v>
      </c>
    </row>
    <row r="624" spans="1:33" hidden="1">
      <c r="A624" s="358">
        <f t="shared" si="32"/>
        <v>452</v>
      </c>
      <c r="B624" s="244" t="s">
        <v>1720</v>
      </c>
      <c r="C624" s="8">
        <v>70</v>
      </c>
      <c r="D624" s="1" t="s">
        <v>883</v>
      </c>
      <c r="E624"/>
      <c r="G624" s="250" t="s">
        <v>448</v>
      </c>
      <c r="H624" s="244" t="s">
        <v>449</v>
      </c>
      <c r="I624"/>
      <c r="J624" s="2" t="s">
        <v>448</v>
      </c>
      <c r="K624" s="8">
        <v>0</v>
      </c>
      <c r="R624" s="248" t="s">
        <v>1667</v>
      </c>
      <c r="AG624" s="244" t="s">
        <v>2346</v>
      </c>
    </row>
    <row r="625" spans="1:33" hidden="1">
      <c r="A625" s="358">
        <f t="shared" si="32"/>
        <v>453</v>
      </c>
      <c r="B625" s="244" t="s">
        <v>1721</v>
      </c>
      <c r="C625"/>
      <c r="D625" s="1" t="s">
        <v>883</v>
      </c>
      <c r="E625"/>
      <c r="I625"/>
      <c r="J625" s="4"/>
      <c r="K625" s="5" t="s">
        <v>1667</v>
      </c>
      <c r="AG625" s="244" t="s">
        <v>2346</v>
      </c>
    </row>
    <row r="626" spans="1:33" hidden="1">
      <c r="A626" s="358">
        <f t="shared" si="32"/>
        <v>454</v>
      </c>
      <c r="B626" s="244" t="s">
        <v>104</v>
      </c>
      <c r="C626" s="8">
        <v>12</v>
      </c>
      <c r="D626" s="1" t="s">
        <v>883</v>
      </c>
      <c r="E626"/>
      <c r="H626" s="244" t="s">
        <v>105</v>
      </c>
      <c r="I626"/>
      <c r="J626" s="4"/>
      <c r="K626" s="8" t="e">
        <f>SUM(K620:K624)</f>
        <v>#REF!</v>
      </c>
      <c r="N626" s="244" t="s">
        <v>2338</v>
      </c>
      <c r="O626" s="244" t="s">
        <v>66</v>
      </c>
      <c r="AG626" s="244" t="s">
        <v>2346</v>
      </c>
    </row>
    <row r="627" spans="1:33" hidden="1">
      <c r="A627" s="358">
        <f t="shared" si="32"/>
        <v>455</v>
      </c>
      <c r="B627" s="244" t="s">
        <v>2036</v>
      </c>
      <c r="C627" s="8">
        <v>7.5</v>
      </c>
      <c r="D627" s="1" t="s">
        <v>883</v>
      </c>
      <c r="E627"/>
      <c r="I627"/>
      <c r="J627" s="4"/>
      <c r="K627" s="5" t="s">
        <v>1667</v>
      </c>
      <c r="O627" s="244" t="s">
        <v>2037</v>
      </c>
      <c r="AG627" s="244" t="s">
        <v>2346</v>
      </c>
    </row>
    <row r="628" spans="1:33" hidden="1">
      <c r="A628" s="358">
        <f t="shared" si="32"/>
        <v>456</v>
      </c>
      <c r="B628" s="244" t="s">
        <v>2038</v>
      </c>
      <c r="C628"/>
      <c r="D628" s="1" t="s">
        <v>883</v>
      </c>
      <c r="E628"/>
      <c r="H628" s="244" t="s">
        <v>555</v>
      </c>
      <c r="I628"/>
      <c r="J628" s="4"/>
      <c r="K628" s="8" t="e">
        <f>(K626/0.372)</f>
        <v>#REF!</v>
      </c>
      <c r="O628" s="244" t="s">
        <v>2039</v>
      </c>
      <c r="AG628" s="244" t="s">
        <v>2346</v>
      </c>
    </row>
    <row r="629" spans="1:33" hidden="1">
      <c r="A629" s="358">
        <f t="shared" si="32"/>
        <v>457</v>
      </c>
      <c r="B629" s="244" t="s">
        <v>2040</v>
      </c>
      <c r="C629" s="8">
        <v>155.32</v>
      </c>
      <c r="D629" s="1" t="s">
        <v>883</v>
      </c>
      <c r="E629"/>
      <c r="I629"/>
      <c r="J629" s="4"/>
      <c r="K629" s="5" t="s">
        <v>2130</v>
      </c>
      <c r="O629" s="248" t="s">
        <v>1667</v>
      </c>
      <c r="AG629" s="244" t="s">
        <v>2346</v>
      </c>
    </row>
    <row r="630" spans="1:33" hidden="1">
      <c r="A630" s="358">
        <f t="shared" si="32"/>
        <v>458</v>
      </c>
      <c r="B630" s="244" t="s">
        <v>1850</v>
      </c>
      <c r="C630" s="8">
        <v>91.08</v>
      </c>
      <c r="D630" s="1" t="s">
        <v>883</v>
      </c>
      <c r="E630"/>
      <c r="H630" s="244" t="s">
        <v>388</v>
      </c>
      <c r="I630"/>
      <c r="J630" s="4"/>
      <c r="K630" s="8" t="e">
        <f>(K628+C22*0.014/0.372)</f>
        <v>#REF!</v>
      </c>
      <c r="M630" s="251">
        <v>9.5</v>
      </c>
      <c r="N630" s="244" t="s">
        <v>884</v>
      </c>
      <c r="O630" s="244" t="s">
        <v>1739</v>
      </c>
      <c r="P630" s="251">
        <f>(C61*2)</f>
        <v>50</v>
      </c>
      <c r="Q630" s="244" t="s">
        <v>884</v>
      </c>
      <c r="R630" s="251">
        <f t="shared" ref="R630:R638" si="33">(M630*P630)</f>
        <v>475</v>
      </c>
      <c r="AG630" s="244" t="s">
        <v>2346</v>
      </c>
    </row>
    <row r="631" spans="1:33" hidden="1">
      <c r="A631" s="358">
        <f t="shared" si="32"/>
        <v>459</v>
      </c>
      <c r="B631" s="244" t="s">
        <v>3093</v>
      </c>
      <c r="C631" s="8">
        <v>30</v>
      </c>
      <c r="D631" s="1" t="s">
        <v>1730</v>
      </c>
      <c r="E631"/>
      <c r="H631" s="244" t="s">
        <v>390</v>
      </c>
      <c r="I631"/>
      <c r="J631" s="4"/>
      <c r="K631" s="8" t="e">
        <f>(K630+C23*0.014/0.372)</f>
        <v>#REF!</v>
      </c>
      <c r="M631" s="251">
        <v>0.47</v>
      </c>
      <c r="N631" s="244" t="s">
        <v>884</v>
      </c>
      <c r="O631" s="244" t="s">
        <v>347</v>
      </c>
      <c r="P631" s="251" t="e">
        <f>(R74)</f>
        <v>#REF!</v>
      </c>
      <c r="Q631" s="244" t="s">
        <v>884</v>
      </c>
      <c r="R631" s="251" t="e">
        <f t="shared" si="33"/>
        <v>#REF!</v>
      </c>
      <c r="AG631" s="244" t="s">
        <v>2346</v>
      </c>
    </row>
    <row r="632" spans="1:33" hidden="1">
      <c r="A632" s="358">
        <f t="shared" si="32"/>
        <v>460</v>
      </c>
      <c r="B632" s="244" t="s">
        <v>1919</v>
      </c>
      <c r="C632" s="8">
        <v>0.3</v>
      </c>
      <c r="D632" s="1" t="s">
        <v>883</v>
      </c>
      <c r="E632"/>
      <c r="H632" s="244" t="s">
        <v>2319</v>
      </c>
      <c r="I632"/>
      <c r="J632" s="4"/>
      <c r="K632" s="8" t="e">
        <f>(K631+C24*0.014/0.372)</f>
        <v>#REF!</v>
      </c>
      <c r="M632" s="251">
        <v>1.62</v>
      </c>
      <c r="N632" s="244" t="s">
        <v>884</v>
      </c>
      <c r="O632" s="244" t="s">
        <v>2052</v>
      </c>
      <c r="P632" s="251" t="e">
        <f>(R89)</f>
        <v>#REF!</v>
      </c>
      <c r="Q632" s="244" t="s">
        <v>884</v>
      </c>
      <c r="R632" s="251" t="e">
        <f t="shared" si="33"/>
        <v>#REF!</v>
      </c>
      <c r="AG632" s="244" t="s">
        <v>2346</v>
      </c>
    </row>
    <row r="633" spans="1:33" hidden="1">
      <c r="A633" s="358">
        <f t="shared" si="32"/>
        <v>461</v>
      </c>
      <c r="B633" s="244" t="s">
        <v>3094</v>
      </c>
      <c r="C633" s="8">
        <v>99</v>
      </c>
      <c r="D633" s="1" t="s">
        <v>611</v>
      </c>
      <c r="E633"/>
      <c r="H633" s="244" t="s">
        <v>382</v>
      </c>
      <c r="I633"/>
      <c r="J633" s="4"/>
      <c r="K633" s="8" t="e">
        <f>(K632+C24*0.014/0.372)</f>
        <v>#REF!</v>
      </c>
      <c r="M633" s="251">
        <v>15.22</v>
      </c>
      <c r="N633" s="244" t="s">
        <v>611</v>
      </c>
      <c r="O633" s="244" t="s">
        <v>2209</v>
      </c>
      <c r="P633" s="251" t="e">
        <f>(R303)</f>
        <v>#REF!</v>
      </c>
      <c r="Q633" s="244" t="s">
        <v>611</v>
      </c>
      <c r="R633" s="251" t="e">
        <f t="shared" si="33"/>
        <v>#REF!</v>
      </c>
      <c r="AG633" s="244" t="s">
        <v>2346</v>
      </c>
    </row>
    <row r="634" spans="1:33" hidden="1">
      <c r="A634" s="358">
        <f t="shared" si="32"/>
        <v>462</v>
      </c>
      <c r="B634" s="244" t="s">
        <v>2091</v>
      </c>
      <c r="C634" s="8">
        <v>97.31</v>
      </c>
      <c r="D634" s="1" t="s">
        <v>611</v>
      </c>
      <c r="E634"/>
      <c r="H634" s="244" t="s">
        <v>1427</v>
      </c>
      <c r="I634"/>
      <c r="J634" s="4"/>
      <c r="K634" s="8" t="e">
        <f>(K633+C25*0.014/0.372)</f>
        <v>#REF!</v>
      </c>
      <c r="M634" s="251">
        <v>0.18</v>
      </c>
      <c r="N634" s="244" t="s">
        <v>884</v>
      </c>
      <c r="O634" s="244" t="s">
        <v>1392</v>
      </c>
      <c r="P634" s="251" t="e">
        <f>(K279)</f>
        <v>#REF!</v>
      </c>
      <c r="Q634" s="244" t="s">
        <v>884</v>
      </c>
      <c r="R634" s="251" t="e">
        <f t="shared" si="33"/>
        <v>#REF!</v>
      </c>
      <c r="AG634" s="244" t="s">
        <v>2346</v>
      </c>
    </row>
    <row r="635" spans="1:33" hidden="1">
      <c r="A635" s="358">
        <f t="shared" si="32"/>
        <v>463</v>
      </c>
      <c r="B635" s="244" t="s">
        <v>3095</v>
      </c>
      <c r="C635" s="8">
        <v>105.28</v>
      </c>
      <c r="D635" s="1" t="s">
        <v>1199</v>
      </c>
      <c r="E635"/>
      <c r="F635" s="354" t="s">
        <v>1393</v>
      </c>
      <c r="H635" s="244" t="s">
        <v>772</v>
      </c>
      <c r="I635"/>
      <c r="J635" s="4"/>
      <c r="K635"/>
      <c r="M635" s="251">
        <v>0.36</v>
      </c>
      <c r="N635" s="244" t="s">
        <v>611</v>
      </c>
      <c r="O635" s="244" t="s">
        <v>773</v>
      </c>
      <c r="P635" s="251" t="e">
        <f>(K466)</f>
        <v>#REF!</v>
      </c>
      <c r="Q635" s="244" t="s">
        <v>611</v>
      </c>
      <c r="R635" s="251" t="e">
        <f t="shared" si="33"/>
        <v>#REF!</v>
      </c>
      <c r="AG635" s="244" t="s">
        <v>2346</v>
      </c>
    </row>
    <row r="636" spans="1:33" hidden="1">
      <c r="A636" s="358">
        <f t="shared" si="32"/>
        <v>464</v>
      </c>
      <c r="B636" s="244" t="s">
        <v>3096</v>
      </c>
      <c r="C636" s="8">
        <v>106.75</v>
      </c>
      <c r="D636" s="1" t="s">
        <v>1199</v>
      </c>
      <c r="E636"/>
      <c r="H636" s="244" t="s">
        <v>1469</v>
      </c>
      <c r="I636"/>
      <c r="J636" s="4"/>
      <c r="K636"/>
      <c r="M636" s="251">
        <v>1</v>
      </c>
      <c r="N636" s="244" t="s">
        <v>883</v>
      </c>
      <c r="O636" s="244" t="s">
        <v>1211</v>
      </c>
      <c r="P636" s="251">
        <f>(C202)</f>
        <v>75</v>
      </c>
      <c r="Q636" s="244" t="s">
        <v>883</v>
      </c>
      <c r="R636" s="251">
        <f t="shared" si="33"/>
        <v>75</v>
      </c>
      <c r="AG636" s="244" t="s">
        <v>2346</v>
      </c>
    </row>
    <row r="637" spans="1:33" hidden="1">
      <c r="A637" s="358">
        <f t="shared" si="32"/>
        <v>465</v>
      </c>
      <c r="B637" s="244" t="s">
        <v>1212</v>
      </c>
      <c r="C637" s="8">
        <v>1</v>
      </c>
      <c r="D637" s="1" t="s">
        <v>883</v>
      </c>
      <c r="E637" t="s">
        <v>154</v>
      </c>
      <c r="H637" s="244" t="s">
        <v>339</v>
      </c>
      <c r="I637"/>
      <c r="J637" s="4"/>
      <c r="K637"/>
      <c r="M637" s="251">
        <v>1.8</v>
      </c>
      <c r="N637" s="244" t="s">
        <v>340</v>
      </c>
      <c r="O637" s="244" t="s">
        <v>341</v>
      </c>
      <c r="P637" s="251">
        <f>(C324)</f>
        <v>14.91</v>
      </c>
      <c r="Q637" s="244" t="s">
        <v>340</v>
      </c>
      <c r="R637" s="251">
        <f t="shared" si="33"/>
        <v>26.84</v>
      </c>
      <c r="AG637" s="244" t="s">
        <v>2346</v>
      </c>
    </row>
    <row r="638" spans="1:33" hidden="1">
      <c r="A638" s="358">
        <f t="shared" si="32"/>
        <v>466</v>
      </c>
      <c r="B638" s="244" t="s">
        <v>3097</v>
      </c>
      <c r="C638" s="8">
        <v>37</v>
      </c>
      <c r="D638" s="1" t="s">
        <v>1730</v>
      </c>
      <c r="E638"/>
      <c r="H638" s="244" t="s">
        <v>1566</v>
      </c>
      <c r="I638"/>
      <c r="J638" s="4"/>
      <c r="K638"/>
      <c r="M638" s="251">
        <v>1</v>
      </c>
      <c r="N638" s="244" t="s">
        <v>883</v>
      </c>
      <c r="O638" s="244" t="s">
        <v>1987</v>
      </c>
      <c r="P638" s="251">
        <f>(C370)</f>
        <v>13.29</v>
      </c>
      <c r="Q638" s="244" t="s">
        <v>883</v>
      </c>
      <c r="R638" s="251">
        <f t="shared" si="33"/>
        <v>13.29</v>
      </c>
      <c r="AG638" s="244" t="s">
        <v>2346</v>
      </c>
    </row>
    <row r="639" spans="1:33" hidden="1">
      <c r="A639" s="358">
        <f t="shared" si="32"/>
        <v>467</v>
      </c>
      <c r="B639" s="376" t="s">
        <v>1988</v>
      </c>
      <c r="C639" s="8">
        <v>3</v>
      </c>
      <c r="D639" s="1" t="s">
        <v>1854</v>
      </c>
      <c r="E639">
        <v>5</v>
      </c>
      <c r="H639" s="244" t="s">
        <v>173</v>
      </c>
      <c r="I639"/>
      <c r="J639" s="4"/>
      <c r="K639"/>
      <c r="N639" s="244" t="s">
        <v>448</v>
      </c>
      <c r="O639" s="244" t="s">
        <v>345</v>
      </c>
      <c r="Q639" s="244" t="s">
        <v>448</v>
      </c>
      <c r="R639" s="251">
        <v>1.6</v>
      </c>
      <c r="AG639" s="244" t="s">
        <v>2346</v>
      </c>
    </row>
    <row r="640" spans="1:33" hidden="1">
      <c r="A640" s="358">
        <f t="shared" si="32"/>
        <v>468</v>
      </c>
      <c r="B640" s="376" t="s">
        <v>174</v>
      </c>
      <c r="C640" s="8">
        <v>2.2000000000000002</v>
      </c>
      <c r="D640" s="1" t="s">
        <v>1854</v>
      </c>
      <c r="E640"/>
      <c r="H640" s="244" t="s">
        <v>175</v>
      </c>
      <c r="I640"/>
      <c r="J640" s="4"/>
      <c r="K640"/>
      <c r="R640" s="244" t="s">
        <v>995</v>
      </c>
      <c r="AG640" s="244" t="s">
        <v>2346</v>
      </c>
    </row>
    <row r="641" spans="1:33" hidden="1">
      <c r="A641" s="358">
        <f t="shared" si="32"/>
        <v>469</v>
      </c>
      <c r="B641" s="244" t="s">
        <v>3098</v>
      </c>
      <c r="C641" s="8">
        <v>2.2000000000000002</v>
      </c>
      <c r="D641" s="1">
        <v>2.7</v>
      </c>
      <c r="E641">
        <v>2</v>
      </c>
      <c r="H641" s="244" t="s">
        <v>176</v>
      </c>
      <c r="I641"/>
      <c r="J641" s="4"/>
      <c r="K641"/>
      <c r="R641" s="248" t="s">
        <v>1667</v>
      </c>
      <c r="AG641" s="244" t="s">
        <v>2346</v>
      </c>
    </row>
    <row r="642" spans="1:33" hidden="1">
      <c r="A642" s="358">
        <f t="shared" si="32"/>
        <v>470</v>
      </c>
      <c r="B642" s="244" t="s">
        <v>177</v>
      </c>
      <c r="C642" s="8">
        <v>3.2</v>
      </c>
      <c r="D642" s="8">
        <v>3.2</v>
      </c>
      <c r="E642"/>
      <c r="H642" s="248" t="s">
        <v>1667</v>
      </c>
      <c r="I642" s="5" t="s">
        <v>1667</v>
      </c>
      <c r="J642" s="4"/>
      <c r="K642"/>
      <c r="O642" s="244" t="s">
        <v>1834</v>
      </c>
      <c r="R642" s="251" t="e">
        <f>SUM(R630:R640)</f>
        <v>#REF!</v>
      </c>
      <c r="AG642" s="244" t="s">
        <v>2346</v>
      </c>
    </row>
    <row r="643" spans="1:33" hidden="1">
      <c r="A643" s="358">
        <f t="shared" si="32"/>
        <v>471</v>
      </c>
      <c r="B643" s="244" t="s">
        <v>178</v>
      </c>
      <c r="C643" s="8">
        <v>4</v>
      </c>
      <c r="D643" s="1" t="s">
        <v>448</v>
      </c>
      <c r="E643"/>
      <c r="F643" s="251">
        <v>1</v>
      </c>
      <c r="G643" s="250" t="s">
        <v>611</v>
      </c>
      <c r="H643" s="244" t="s">
        <v>179</v>
      </c>
      <c r="I643" s="8">
        <f>D76</f>
        <v>240</v>
      </c>
      <c r="J643" s="2" t="s">
        <v>611</v>
      </c>
      <c r="K643" s="8">
        <f>(F643*I643)</f>
        <v>240</v>
      </c>
      <c r="R643" s="248" t="s">
        <v>1667</v>
      </c>
      <c r="AG643" s="244" t="s">
        <v>2346</v>
      </c>
    </row>
    <row r="644" spans="1:33" hidden="1">
      <c r="A644" s="358">
        <f t="shared" si="32"/>
        <v>472</v>
      </c>
      <c r="B644" s="244" t="s">
        <v>417</v>
      </c>
      <c r="C644" s="8">
        <v>5</v>
      </c>
      <c r="D644" s="1" t="s">
        <v>448</v>
      </c>
      <c r="E644"/>
      <c r="F644" s="251">
        <v>1</v>
      </c>
      <c r="G644" s="250" t="s">
        <v>611</v>
      </c>
      <c r="H644" s="244" t="s">
        <v>1499</v>
      </c>
      <c r="I644" s="8">
        <f>C75</f>
        <v>20</v>
      </c>
      <c r="J644" s="2" t="s">
        <v>611</v>
      </c>
      <c r="K644" s="8">
        <f>(F644*I644)</f>
        <v>20</v>
      </c>
      <c r="O644" s="244" t="s">
        <v>1500</v>
      </c>
      <c r="AG644" s="244" t="s">
        <v>2346</v>
      </c>
    </row>
    <row r="645" spans="1:33" hidden="1">
      <c r="A645" s="358">
        <f t="shared" si="32"/>
        <v>473</v>
      </c>
      <c r="B645" s="244" t="s">
        <v>1679</v>
      </c>
      <c r="C645" s="8">
        <v>96</v>
      </c>
      <c r="D645" s="1" t="s">
        <v>883</v>
      </c>
      <c r="E645"/>
      <c r="F645" s="251">
        <v>1</v>
      </c>
      <c r="G645" s="250" t="s">
        <v>448</v>
      </c>
      <c r="H645" s="244" t="s">
        <v>1680</v>
      </c>
      <c r="I645" s="8">
        <v>15</v>
      </c>
      <c r="J645" s="2" t="s">
        <v>448</v>
      </c>
      <c r="K645" s="8">
        <f>(F645*I645)</f>
        <v>15</v>
      </c>
      <c r="N645" s="244" t="s">
        <v>2338</v>
      </c>
      <c r="O645" s="244" t="s">
        <v>1681</v>
      </c>
      <c r="AG645" s="244" t="s">
        <v>2346</v>
      </c>
    </row>
    <row r="646" spans="1:33" hidden="1">
      <c r="A646" s="358">
        <f t="shared" si="32"/>
        <v>474</v>
      </c>
      <c r="B646" s="244" t="s">
        <v>1682</v>
      </c>
      <c r="C646" s="8">
        <v>75</v>
      </c>
      <c r="D646" s="1" t="s">
        <v>883</v>
      </c>
      <c r="E646"/>
      <c r="I646"/>
      <c r="J646" s="4"/>
      <c r="K646" s="5" t="s">
        <v>1667</v>
      </c>
      <c r="O646" s="244" t="s">
        <v>1683</v>
      </c>
      <c r="AG646" s="244" t="s">
        <v>2346</v>
      </c>
    </row>
    <row r="647" spans="1:33" hidden="1">
      <c r="A647" s="358">
        <f t="shared" si="32"/>
        <v>475</v>
      </c>
      <c r="B647" s="244" t="s">
        <v>1684</v>
      </c>
      <c r="C647" s="8">
        <v>6.4</v>
      </c>
      <c r="D647" s="8">
        <v>12.65</v>
      </c>
      <c r="E647">
        <v>3</v>
      </c>
      <c r="H647" s="244" t="s">
        <v>555</v>
      </c>
      <c r="I647"/>
      <c r="J647" s="4"/>
      <c r="K647" s="8">
        <f>SUM(K641:K645)</f>
        <v>275</v>
      </c>
      <c r="O647" s="248" t="s">
        <v>1667</v>
      </c>
      <c r="AG647" s="244" t="s">
        <v>2346</v>
      </c>
    </row>
    <row r="648" spans="1:33" hidden="1">
      <c r="A648" s="358">
        <f t="shared" si="32"/>
        <v>476</v>
      </c>
      <c r="B648" s="244" t="s">
        <v>1662</v>
      </c>
      <c r="C648" s="8">
        <v>80</v>
      </c>
      <c r="D648" s="1" t="s">
        <v>883</v>
      </c>
      <c r="E648"/>
      <c r="H648" s="244" t="s">
        <v>1663</v>
      </c>
      <c r="I648"/>
      <c r="J648" s="4"/>
      <c r="K648" s="5" t="s">
        <v>2130</v>
      </c>
      <c r="M648" s="251">
        <v>1</v>
      </c>
      <c r="N648" s="244" t="s">
        <v>883</v>
      </c>
      <c r="O648" s="244" t="s">
        <v>1664</v>
      </c>
      <c r="P648" s="251">
        <f>(C382)</f>
        <v>14.91</v>
      </c>
      <c r="Q648" s="244" t="s">
        <v>883</v>
      </c>
      <c r="R648" s="251">
        <f>(M648*P648)</f>
        <v>14.91</v>
      </c>
      <c r="AG648" s="244" t="s">
        <v>2346</v>
      </c>
    </row>
    <row r="649" spans="1:33" hidden="1">
      <c r="A649" s="358">
        <f t="shared" ref="A649:A673" si="34">(A648+1)</f>
        <v>477</v>
      </c>
      <c r="B649" s="244" t="s">
        <v>139</v>
      </c>
      <c r="C649" s="8">
        <v>64</v>
      </c>
      <c r="D649" s="1" t="s">
        <v>883</v>
      </c>
      <c r="E649"/>
      <c r="H649" s="244" t="s">
        <v>388</v>
      </c>
      <c r="I649"/>
      <c r="J649" s="4"/>
      <c r="K649" s="8">
        <f>(K647+C19*0.05)</f>
        <v>275.88</v>
      </c>
      <c r="N649" s="244" t="s">
        <v>448</v>
      </c>
      <c r="O649" s="244" t="s">
        <v>140</v>
      </c>
      <c r="Q649" s="244" t="s">
        <v>448</v>
      </c>
      <c r="R649" s="251">
        <v>2.09</v>
      </c>
      <c r="AG649" s="244" t="s">
        <v>2346</v>
      </c>
    </row>
    <row r="650" spans="1:33" hidden="1">
      <c r="A650" s="358">
        <f t="shared" si="34"/>
        <v>478</v>
      </c>
      <c r="B650" s="244" t="s">
        <v>141</v>
      </c>
      <c r="C650" s="8">
        <v>40.5</v>
      </c>
      <c r="D650" s="1" t="s">
        <v>883</v>
      </c>
      <c r="E650"/>
      <c r="H650" s="244" t="s">
        <v>390</v>
      </c>
      <c r="I650"/>
      <c r="J650" s="4"/>
      <c r="K650" s="8">
        <f>(K649+C20*0.05)</f>
        <v>277.64</v>
      </c>
      <c r="O650" s="244" t="s">
        <v>142</v>
      </c>
      <c r="R650" s="244" t="s">
        <v>995</v>
      </c>
      <c r="AG650" s="244" t="s">
        <v>2346</v>
      </c>
    </row>
    <row r="651" spans="1:33" hidden="1">
      <c r="A651" s="358">
        <f t="shared" si="34"/>
        <v>479</v>
      </c>
      <c r="B651" s="244" t="s">
        <v>1524</v>
      </c>
      <c r="C651" s="8">
        <v>92</v>
      </c>
      <c r="D651" s="1" t="s">
        <v>883</v>
      </c>
      <c r="E651"/>
      <c r="H651" s="244" t="s">
        <v>2319</v>
      </c>
      <c r="I651"/>
      <c r="J651" s="4"/>
      <c r="K651" s="8">
        <f>(K650+C21*0.05)</f>
        <v>279.39999999999998</v>
      </c>
      <c r="R651" s="248" t="s">
        <v>1667</v>
      </c>
      <c r="AG651" s="244" t="s">
        <v>2346</v>
      </c>
    </row>
    <row r="652" spans="1:33" hidden="1">
      <c r="A652" s="358">
        <f t="shared" si="34"/>
        <v>480</v>
      </c>
      <c r="B652" s="244" t="s">
        <v>1645</v>
      </c>
      <c r="C652" s="8">
        <v>60</v>
      </c>
      <c r="D652" s="1" t="s">
        <v>883</v>
      </c>
      <c r="E652"/>
      <c r="H652" s="244" t="s">
        <v>382</v>
      </c>
      <c r="I652"/>
      <c r="J652" s="4"/>
      <c r="K652" s="8">
        <f>(K651+C21*0.05)</f>
        <v>281.16000000000003</v>
      </c>
      <c r="O652" s="244" t="s">
        <v>1646</v>
      </c>
      <c r="R652" s="251">
        <f>SUM(R648:R650)</f>
        <v>17</v>
      </c>
      <c r="AG652" s="244" t="s">
        <v>2346</v>
      </c>
    </row>
    <row r="653" spans="1:33" hidden="1">
      <c r="A653" s="358">
        <f t="shared" si="34"/>
        <v>481</v>
      </c>
      <c r="B653" s="244" t="s">
        <v>1426</v>
      </c>
      <c r="C653" s="8">
        <v>49.87</v>
      </c>
      <c r="D653" s="1" t="s">
        <v>883</v>
      </c>
      <c r="E653"/>
      <c r="H653" s="244" t="s">
        <v>1427</v>
      </c>
      <c r="I653"/>
      <c r="J653" s="4"/>
      <c r="K653" s="8">
        <f>(K652+C21*0.05)</f>
        <v>282.92</v>
      </c>
      <c r="R653" s="248" t="s">
        <v>1667</v>
      </c>
      <c r="AG653" s="244" t="s">
        <v>2346</v>
      </c>
    </row>
    <row r="654" spans="1:33" hidden="1">
      <c r="A654" s="358">
        <f t="shared" si="34"/>
        <v>482</v>
      </c>
      <c r="B654" s="244" t="s">
        <v>1893</v>
      </c>
      <c r="C654" s="8">
        <v>80</v>
      </c>
      <c r="D654" s="1" t="s">
        <v>883</v>
      </c>
      <c r="E654"/>
      <c r="F654" s="354" t="s">
        <v>1894</v>
      </c>
      <c r="H654" s="244" t="s">
        <v>772</v>
      </c>
      <c r="I654"/>
      <c r="J654" s="4"/>
      <c r="K654"/>
      <c r="AG654" s="244" t="s">
        <v>2346</v>
      </c>
    </row>
    <row r="655" spans="1:33" hidden="1">
      <c r="A655" s="358">
        <f t="shared" si="34"/>
        <v>483</v>
      </c>
      <c r="B655" s="244" t="s">
        <v>1895</v>
      </c>
      <c r="C655" s="8">
        <v>52</v>
      </c>
      <c r="D655" s="1" t="s">
        <v>883</v>
      </c>
      <c r="E655"/>
      <c r="H655" s="244" t="s">
        <v>1896</v>
      </c>
      <c r="I655"/>
      <c r="J655" s="4"/>
      <c r="K655"/>
      <c r="N655" s="244" t="s">
        <v>2338</v>
      </c>
      <c r="O655" s="244" t="s">
        <v>910</v>
      </c>
      <c r="AG655" s="244" t="s">
        <v>2346</v>
      </c>
    </row>
    <row r="656" spans="1:33" hidden="1">
      <c r="A656" s="358">
        <f t="shared" si="34"/>
        <v>484</v>
      </c>
      <c r="B656" s="244" t="s">
        <v>1232</v>
      </c>
      <c r="C656" s="8">
        <v>39</v>
      </c>
      <c r="D656" s="1" t="s">
        <v>883</v>
      </c>
      <c r="E656"/>
      <c r="H656" s="244" t="s">
        <v>339</v>
      </c>
      <c r="I656"/>
      <c r="J656" s="4"/>
      <c r="K656"/>
      <c r="O656" s="244" t="s">
        <v>1683</v>
      </c>
      <c r="AG656" s="244" t="s">
        <v>2346</v>
      </c>
    </row>
    <row r="657" spans="1:33" hidden="1">
      <c r="A657" s="358">
        <f t="shared" si="34"/>
        <v>485</v>
      </c>
      <c r="B657" s="244" t="s">
        <v>1311</v>
      </c>
      <c r="C657" s="8">
        <v>90</v>
      </c>
      <c r="D657" s="1" t="s">
        <v>883</v>
      </c>
      <c r="E657"/>
      <c r="H657" s="244" t="s">
        <v>1566</v>
      </c>
      <c r="I657"/>
      <c r="J657" s="4"/>
      <c r="K657"/>
      <c r="O657" s="248" t="s">
        <v>1667</v>
      </c>
      <c r="AG657" s="244" t="s">
        <v>2346</v>
      </c>
    </row>
    <row r="658" spans="1:33" hidden="1">
      <c r="A658" s="358">
        <f t="shared" si="34"/>
        <v>486</v>
      </c>
      <c r="B658" s="244" t="s">
        <v>1312</v>
      </c>
      <c r="C658" s="8">
        <v>60</v>
      </c>
      <c r="D658" s="1" t="s">
        <v>883</v>
      </c>
      <c r="E658"/>
      <c r="H658" s="244" t="s">
        <v>173</v>
      </c>
      <c r="I658"/>
      <c r="J658" s="4"/>
      <c r="K658"/>
      <c r="M658" s="251">
        <v>1</v>
      </c>
      <c r="N658" s="244" t="s">
        <v>883</v>
      </c>
      <c r="O658" s="244" t="s">
        <v>1121</v>
      </c>
      <c r="P658" s="251">
        <f>(C383)</f>
        <v>17.579999999999998</v>
      </c>
      <c r="Q658" s="244" t="s">
        <v>883</v>
      </c>
      <c r="R658" s="251">
        <f>(M658*P658)</f>
        <v>17.579999999999998</v>
      </c>
      <c r="AG658" s="244" t="s">
        <v>2346</v>
      </c>
    </row>
    <row r="659" spans="1:33" hidden="1">
      <c r="A659" s="358">
        <f t="shared" si="34"/>
        <v>487</v>
      </c>
      <c r="B659" s="244" t="s">
        <v>1122</v>
      </c>
      <c r="C659" s="8">
        <v>43.5</v>
      </c>
      <c r="D659" s="1" t="s">
        <v>883</v>
      </c>
      <c r="E659"/>
      <c r="H659" s="244" t="s">
        <v>175</v>
      </c>
      <c r="I659"/>
      <c r="J659" s="4"/>
      <c r="K659"/>
      <c r="N659" s="244" t="s">
        <v>448</v>
      </c>
      <c r="O659" s="244" t="s">
        <v>140</v>
      </c>
      <c r="Q659" s="244" t="s">
        <v>448</v>
      </c>
      <c r="R659" s="251">
        <v>2.09</v>
      </c>
      <c r="AG659" s="244" t="s">
        <v>2346</v>
      </c>
    </row>
    <row r="660" spans="1:33" hidden="1">
      <c r="A660" s="358">
        <f t="shared" si="34"/>
        <v>488</v>
      </c>
      <c r="B660" s="244" t="s">
        <v>244</v>
      </c>
      <c r="C660" s="8">
        <v>75</v>
      </c>
      <c r="D660" s="1" t="s">
        <v>883</v>
      </c>
      <c r="E660"/>
      <c r="H660" s="244" t="s">
        <v>2143</v>
      </c>
      <c r="I660"/>
      <c r="J660" s="4"/>
      <c r="K660"/>
      <c r="O660" s="244" t="s">
        <v>142</v>
      </c>
      <c r="R660" s="244" t="s">
        <v>995</v>
      </c>
      <c r="AG660" s="244" t="s">
        <v>2346</v>
      </c>
    </row>
    <row r="661" spans="1:33" hidden="1">
      <c r="A661" s="358">
        <f t="shared" si="34"/>
        <v>489</v>
      </c>
      <c r="B661" s="244" t="s">
        <v>2101</v>
      </c>
      <c r="C661" s="8">
        <v>52</v>
      </c>
      <c r="D661" s="1" t="s">
        <v>883</v>
      </c>
      <c r="E661"/>
      <c r="H661" s="248" t="s">
        <v>1667</v>
      </c>
      <c r="I661" s="5" t="s">
        <v>1667</v>
      </c>
      <c r="J661" s="4"/>
      <c r="K661"/>
      <c r="R661" s="248" t="s">
        <v>1667</v>
      </c>
      <c r="AG661" s="244" t="s">
        <v>2346</v>
      </c>
    </row>
    <row r="662" spans="1:33" hidden="1">
      <c r="A662" s="358">
        <f t="shared" si="34"/>
        <v>490</v>
      </c>
      <c r="B662" s="244" t="s">
        <v>1232</v>
      </c>
      <c r="C662" s="8">
        <v>35.25</v>
      </c>
      <c r="D662" s="1" t="s">
        <v>883</v>
      </c>
      <c r="E662"/>
      <c r="F662" s="251">
        <v>1</v>
      </c>
      <c r="G662" s="250" t="s">
        <v>611</v>
      </c>
      <c r="H662" s="244" t="s">
        <v>941</v>
      </c>
      <c r="I662" s="8">
        <f>C76</f>
        <v>514.62</v>
      </c>
      <c r="J662" s="2" t="s">
        <v>611</v>
      </c>
      <c r="K662" s="8">
        <f>(F662*I662)</f>
        <v>514.62</v>
      </c>
      <c r="O662" s="244" t="s">
        <v>1646</v>
      </c>
      <c r="R662" s="251">
        <f>SUM(R658:R660)</f>
        <v>19.670000000000002</v>
      </c>
      <c r="AG662" s="244" t="s">
        <v>2346</v>
      </c>
    </row>
    <row r="663" spans="1:33" hidden="1">
      <c r="A663" s="358">
        <f t="shared" si="34"/>
        <v>491</v>
      </c>
      <c r="B663" s="244" t="s">
        <v>942</v>
      </c>
      <c r="C663" s="8">
        <v>37.5</v>
      </c>
      <c r="D663" s="1" t="s">
        <v>883</v>
      </c>
      <c r="E663"/>
      <c r="F663" s="251">
        <v>1</v>
      </c>
      <c r="G663" s="250" t="s">
        <v>611</v>
      </c>
      <c r="H663" s="244" t="s">
        <v>1499</v>
      </c>
      <c r="I663" s="8">
        <f>C75</f>
        <v>20</v>
      </c>
      <c r="J663" s="2" t="s">
        <v>611</v>
      </c>
      <c r="K663" s="8">
        <f>(F663*I663)</f>
        <v>20</v>
      </c>
      <c r="R663" s="248" t="s">
        <v>1667</v>
      </c>
      <c r="AG663" s="244" t="s">
        <v>2346</v>
      </c>
    </row>
    <row r="664" spans="1:33" hidden="1">
      <c r="A664" s="358">
        <f t="shared" si="34"/>
        <v>492</v>
      </c>
      <c r="B664" s="244" t="s">
        <v>943</v>
      </c>
      <c r="C664" s="8">
        <v>24</v>
      </c>
      <c r="D664" s="1" t="s">
        <v>883</v>
      </c>
      <c r="E664"/>
      <c r="F664" s="251">
        <v>1</v>
      </c>
      <c r="G664" s="250" t="s">
        <v>448</v>
      </c>
      <c r="H664" s="244" t="s">
        <v>1680</v>
      </c>
      <c r="I664" s="8">
        <v>15</v>
      </c>
      <c r="J664" s="2" t="s">
        <v>448</v>
      </c>
      <c r="K664" s="8">
        <f>(F664*I664)</f>
        <v>15</v>
      </c>
      <c r="AG664" s="244" t="s">
        <v>2346</v>
      </c>
    </row>
    <row r="665" spans="1:33" hidden="1">
      <c r="A665" s="358">
        <f t="shared" si="34"/>
        <v>493</v>
      </c>
      <c r="B665" s="244" t="s">
        <v>944</v>
      </c>
      <c r="C665" s="8">
        <v>16</v>
      </c>
      <c r="D665" s="1" t="s">
        <v>883</v>
      </c>
      <c r="E665"/>
      <c r="H665" s="244" t="s">
        <v>449</v>
      </c>
      <c r="I665"/>
      <c r="J665" s="2" t="s">
        <v>448</v>
      </c>
      <c r="K665" s="8">
        <v>0</v>
      </c>
      <c r="N665" s="244" t="s">
        <v>2338</v>
      </c>
      <c r="O665" s="244" t="s">
        <v>476</v>
      </c>
      <c r="AG665" s="244" t="s">
        <v>2346</v>
      </c>
    </row>
    <row r="666" spans="1:33" hidden="1">
      <c r="A666" s="358">
        <f t="shared" si="34"/>
        <v>494</v>
      </c>
      <c r="B666" s="244" t="s">
        <v>477</v>
      </c>
      <c r="C666" s="8">
        <v>18</v>
      </c>
      <c r="D666" s="1" t="s">
        <v>883</v>
      </c>
      <c r="E666"/>
      <c r="I666"/>
      <c r="J666" s="4"/>
      <c r="K666" s="5" t="s">
        <v>1667</v>
      </c>
      <c r="O666" s="244" t="s">
        <v>1683</v>
      </c>
      <c r="AG666" s="244" t="s">
        <v>2346</v>
      </c>
    </row>
    <row r="667" spans="1:33" hidden="1">
      <c r="A667" s="358">
        <f t="shared" si="34"/>
        <v>495</v>
      </c>
      <c r="B667" s="244" t="s">
        <v>478</v>
      </c>
      <c r="C667" s="8">
        <v>6</v>
      </c>
      <c r="D667" s="1" t="s">
        <v>883</v>
      </c>
      <c r="E667"/>
      <c r="H667" s="244" t="s">
        <v>555</v>
      </c>
      <c r="I667"/>
      <c r="J667" s="4"/>
      <c r="K667" s="8">
        <f>SUM(K662:K665)</f>
        <v>549.62</v>
      </c>
      <c r="O667" s="248" t="s">
        <v>1667</v>
      </c>
      <c r="AG667" s="244" t="s">
        <v>2346</v>
      </c>
    </row>
    <row r="668" spans="1:33" hidden="1">
      <c r="A668" s="358">
        <f t="shared" si="34"/>
        <v>496</v>
      </c>
      <c r="B668" s="244" t="s">
        <v>479</v>
      </c>
      <c r="C668" s="8">
        <v>152.5</v>
      </c>
      <c r="D668" s="1" t="s">
        <v>1854</v>
      </c>
      <c r="E668"/>
      <c r="H668" s="244" t="s">
        <v>1663</v>
      </c>
      <c r="I668"/>
      <c r="J668" s="4"/>
      <c r="K668" s="5" t="s">
        <v>2130</v>
      </c>
      <c r="M668" s="251">
        <v>1</v>
      </c>
      <c r="N668" s="244" t="s">
        <v>883</v>
      </c>
      <c r="O668" s="244" t="s">
        <v>480</v>
      </c>
      <c r="P668" s="251">
        <f>(C384)</f>
        <v>19.3</v>
      </c>
      <c r="Q668" s="244" t="s">
        <v>883</v>
      </c>
      <c r="R668" s="251">
        <f>(M668*P668)</f>
        <v>19.3</v>
      </c>
      <c r="AG668" s="244" t="s">
        <v>2346</v>
      </c>
    </row>
    <row r="669" spans="1:33" hidden="1">
      <c r="A669" s="358">
        <f t="shared" si="34"/>
        <v>497</v>
      </c>
      <c r="B669" s="244" t="s">
        <v>1029</v>
      </c>
      <c r="C669" s="8">
        <v>108.68</v>
      </c>
      <c r="D669" s="1" t="s">
        <v>883</v>
      </c>
      <c r="E669"/>
      <c r="H669" s="244" t="s">
        <v>388</v>
      </c>
      <c r="I669"/>
      <c r="J669" s="2" t="s">
        <v>995</v>
      </c>
      <c r="K669" s="8">
        <f>(K667+C19*0.11)</f>
        <v>551.55999999999995</v>
      </c>
      <c r="N669" s="244" t="s">
        <v>448</v>
      </c>
      <c r="O669" s="244" t="s">
        <v>140</v>
      </c>
      <c r="Q669" s="244" t="s">
        <v>448</v>
      </c>
      <c r="R669" s="251">
        <v>2.09</v>
      </c>
      <c r="AG669" s="244" t="s">
        <v>2346</v>
      </c>
    </row>
    <row r="670" spans="1:33" hidden="1">
      <c r="A670" s="358">
        <f t="shared" si="34"/>
        <v>498</v>
      </c>
      <c r="B670" s="244" t="s">
        <v>551</v>
      </c>
      <c r="C670" s="8">
        <v>119.89</v>
      </c>
      <c r="D670" s="1" t="s">
        <v>883</v>
      </c>
      <c r="E670"/>
      <c r="H670" s="244" t="s">
        <v>390</v>
      </c>
      <c r="I670"/>
      <c r="J670" s="4"/>
      <c r="K670" s="8">
        <f>(K669+C20*0.11)</f>
        <v>555.42999999999995</v>
      </c>
      <c r="O670" s="244" t="s">
        <v>142</v>
      </c>
      <c r="R670" s="244" t="s">
        <v>995</v>
      </c>
      <c r="AG670" s="244" t="s">
        <v>2346</v>
      </c>
    </row>
    <row r="671" spans="1:33" hidden="1">
      <c r="A671" s="358">
        <f t="shared" si="34"/>
        <v>499</v>
      </c>
      <c r="B671" s="244" t="s">
        <v>552</v>
      </c>
      <c r="C671" s="8">
        <v>297.44</v>
      </c>
      <c r="D671" s="1" t="s">
        <v>883</v>
      </c>
      <c r="E671"/>
      <c r="H671" s="244" t="s">
        <v>2319</v>
      </c>
      <c r="I671"/>
      <c r="J671" s="4"/>
      <c r="K671" s="8">
        <f>(K670+C21*0.11)</f>
        <v>559.29999999999995</v>
      </c>
      <c r="R671" s="248" t="s">
        <v>1667</v>
      </c>
      <c r="AG671" s="244" t="s">
        <v>325</v>
      </c>
    </row>
    <row r="672" spans="1:33" hidden="1">
      <c r="A672" s="358">
        <f t="shared" si="34"/>
        <v>500</v>
      </c>
      <c r="B672" s="244" t="s">
        <v>553</v>
      </c>
      <c r="C672" s="8">
        <v>28.6</v>
      </c>
      <c r="D672" s="1" t="s">
        <v>883</v>
      </c>
      <c r="E672"/>
      <c r="H672" s="244" t="s">
        <v>382</v>
      </c>
      <c r="I672"/>
      <c r="J672" s="4"/>
      <c r="K672" s="8">
        <f>(K671+C21*0.11)</f>
        <v>563.16999999999996</v>
      </c>
      <c r="O672" s="244" t="s">
        <v>1646</v>
      </c>
      <c r="R672" s="251">
        <f>SUM(R668:R670)</f>
        <v>21.39</v>
      </c>
    </row>
    <row r="673" spans="1:33" hidden="1">
      <c r="A673" s="358">
        <f t="shared" si="34"/>
        <v>501</v>
      </c>
      <c r="B673" s="244" t="s">
        <v>187</v>
      </c>
      <c r="C673" s="8">
        <v>228.86</v>
      </c>
      <c r="D673" s="1" t="s">
        <v>883</v>
      </c>
      <c r="E673"/>
      <c r="H673" s="244" t="s">
        <v>1427</v>
      </c>
      <c r="I673"/>
      <c r="J673" s="4"/>
      <c r="K673" s="8">
        <f>(K672+C21*0.11)</f>
        <v>567.04</v>
      </c>
      <c r="R673" s="248" t="s">
        <v>1667</v>
      </c>
    </row>
    <row r="674" spans="1:33" hidden="1">
      <c r="C674"/>
      <c r="D674"/>
      <c r="E674"/>
      <c r="F674" s="244" t="s">
        <v>995</v>
      </c>
      <c r="I674"/>
      <c r="J674" s="4"/>
      <c r="K674"/>
    </row>
    <row r="675" spans="1:33" hidden="1">
      <c r="A675" s="358">
        <f>(A673+1)</f>
        <v>502</v>
      </c>
      <c r="B675" s="244" t="s">
        <v>188</v>
      </c>
      <c r="C675" s="8">
        <v>70.47</v>
      </c>
      <c r="D675" s="1" t="s">
        <v>883</v>
      </c>
      <c r="E675"/>
      <c r="I675"/>
      <c r="J675" s="4"/>
      <c r="K675"/>
      <c r="AG675" s="244" t="s">
        <v>2346</v>
      </c>
    </row>
    <row r="676" spans="1:33" hidden="1">
      <c r="A676" s="358">
        <f t="shared" ref="A676:A707" si="35">(A675+1)</f>
        <v>503</v>
      </c>
      <c r="B676" s="244" t="s">
        <v>189</v>
      </c>
      <c r="C676" s="8">
        <v>133.62</v>
      </c>
      <c r="D676" s="1" t="s">
        <v>883</v>
      </c>
      <c r="E676"/>
      <c r="F676" s="354" t="s">
        <v>1416</v>
      </c>
      <c r="H676" s="244" t="s">
        <v>190</v>
      </c>
      <c r="I676"/>
      <c r="J676" s="4"/>
      <c r="K676"/>
      <c r="N676" s="244" t="s">
        <v>2338</v>
      </c>
      <c r="O676" s="244" t="s">
        <v>1515</v>
      </c>
      <c r="AG676" s="244" t="s">
        <v>2346</v>
      </c>
    </row>
    <row r="677" spans="1:33" hidden="1">
      <c r="A677" s="358">
        <f t="shared" si="35"/>
        <v>504</v>
      </c>
      <c r="B677" s="244" t="s">
        <v>1516</v>
      </c>
      <c r="C677" s="8">
        <v>133.62</v>
      </c>
      <c r="D677" s="1" t="s">
        <v>883</v>
      </c>
      <c r="E677"/>
      <c r="H677" s="244" t="s">
        <v>1517</v>
      </c>
      <c r="I677"/>
      <c r="J677" s="4"/>
      <c r="K677"/>
      <c r="O677" s="244" t="s">
        <v>1518</v>
      </c>
      <c r="AG677" s="244" t="s">
        <v>2346</v>
      </c>
    </row>
    <row r="678" spans="1:33" hidden="1">
      <c r="A678" s="358">
        <f t="shared" si="35"/>
        <v>505</v>
      </c>
      <c r="B678" s="244" t="s">
        <v>1519</v>
      </c>
      <c r="C678" s="8">
        <v>215</v>
      </c>
      <c r="D678" s="1" t="s">
        <v>883</v>
      </c>
      <c r="E678"/>
      <c r="H678" s="244" t="s">
        <v>1520</v>
      </c>
      <c r="I678"/>
      <c r="J678" s="4"/>
      <c r="K678"/>
      <c r="O678" s="248" t="s">
        <v>1667</v>
      </c>
      <c r="AG678" s="244" t="s">
        <v>2346</v>
      </c>
    </row>
    <row r="679" spans="1:33" hidden="1">
      <c r="A679" s="358">
        <f t="shared" si="35"/>
        <v>506</v>
      </c>
      <c r="B679" s="244" t="s">
        <v>1271</v>
      </c>
      <c r="C679" s="8">
        <v>215</v>
      </c>
      <c r="D679" s="1" t="s">
        <v>883</v>
      </c>
      <c r="E679"/>
      <c r="H679" s="248" t="s">
        <v>1667</v>
      </c>
      <c r="I679"/>
      <c r="J679" s="4"/>
      <c r="K679"/>
      <c r="M679" s="251">
        <v>1</v>
      </c>
      <c r="N679" s="244" t="s">
        <v>883</v>
      </c>
      <c r="O679" s="244" t="s">
        <v>1272</v>
      </c>
      <c r="P679" s="251">
        <f>(C392/1*0.3)</f>
        <v>14.61</v>
      </c>
      <c r="Q679" s="244" t="s">
        <v>883</v>
      </c>
      <c r="R679" s="251">
        <f>(M679*P679)</f>
        <v>14.61</v>
      </c>
      <c r="AG679" s="244" t="s">
        <v>2346</v>
      </c>
    </row>
    <row r="680" spans="1:33" hidden="1">
      <c r="A680" s="358">
        <f t="shared" si="35"/>
        <v>507</v>
      </c>
      <c r="B680" s="244" t="s">
        <v>1273</v>
      </c>
      <c r="C680" s="8">
        <v>107.64</v>
      </c>
      <c r="D680" s="1" t="s">
        <v>611</v>
      </c>
      <c r="E680"/>
      <c r="F680" s="251">
        <v>0.4</v>
      </c>
      <c r="G680" s="250" t="s">
        <v>884</v>
      </c>
      <c r="H680" s="244" t="s">
        <v>1274</v>
      </c>
      <c r="I680" s="8">
        <f>(C267)</f>
        <v>10705</v>
      </c>
      <c r="J680" s="2" t="s">
        <v>884</v>
      </c>
      <c r="K680" s="8">
        <f>(F680*I680)</f>
        <v>4282</v>
      </c>
      <c r="N680" s="244" t="s">
        <v>448</v>
      </c>
      <c r="O680" s="244" t="s">
        <v>140</v>
      </c>
      <c r="Q680" s="244" t="s">
        <v>448</v>
      </c>
      <c r="R680" s="251">
        <v>1.65</v>
      </c>
      <c r="AG680" s="244" t="s">
        <v>2346</v>
      </c>
    </row>
    <row r="681" spans="1:33" hidden="1">
      <c r="A681" s="358">
        <f t="shared" si="35"/>
        <v>508</v>
      </c>
      <c r="B681" s="244" t="s">
        <v>1275</v>
      </c>
      <c r="C681"/>
      <c r="D681"/>
      <c r="E681"/>
      <c r="F681" s="251">
        <v>0.12</v>
      </c>
      <c r="G681" s="250" t="s">
        <v>884</v>
      </c>
      <c r="H681" s="244" t="s">
        <v>1224</v>
      </c>
      <c r="I681" s="8">
        <f>(C268)</f>
        <v>9395</v>
      </c>
      <c r="J681" s="2" t="s">
        <v>884</v>
      </c>
      <c r="K681" s="8">
        <f>(F681*I681)</f>
        <v>1127.4000000000001</v>
      </c>
      <c r="O681" s="244" t="s">
        <v>142</v>
      </c>
      <c r="R681" s="244" t="s">
        <v>995</v>
      </c>
      <c r="AG681" s="244" t="s">
        <v>2346</v>
      </c>
    </row>
    <row r="682" spans="1:33" hidden="1">
      <c r="A682" s="358">
        <f t="shared" si="35"/>
        <v>509</v>
      </c>
      <c r="B682" s="244" t="s">
        <v>2190</v>
      </c>
      <c r="C682" s="8">
        <v>11.55</v>
      </c>
      <c r="D682" s="1" t="s">
        <v>883</v>
      </c>
      <c r="E682"/>
      <c r="H682" s="244" t="s">
        <v>2191</v>
      </c>
      <c r="I682" s="1" t="s">
        <v>995</v>
      </c>
      <c r="J682" s="4"/>
      <c r="K682" s="1" t="s">
        <v>995</v>
      </c>
      <c r="R682" s="248" t="s">
        <v>1667</v>
      </c>
      <c r="AG682" s="244" t="s">
        <v>2346</v>
      </c>
    </row>
    <row r="683" spans="1:33" hidden="1">
      <c r="A683" s="358">
        <f t="shared" si="35"/>
        <v>510</v>
      </c>
      <c r="B683" s="244" t="s">
        <v>1160</v>
      </c>
      <c r="C683" s="8">
        <v>16.399999999999999</v>
      </c>
      <c r="D683" s="1" t="s">
        <v>883</v>
      </c>
      <c r="E683"/>
      <c r="F683" s="251">
        <v>98.5</v>
      </c>
      <c r="G683" s="250" t="s">
        <v>1854</v>
      </c>
      <c r="H683" s="244" t="s">
        <v>1486</v>
      </c>
      <c r="I683" s="8">
        <f>(C269)</f>
        <v>15</v>
      </c>
      <c r="J683" s="2" t="s">
        <v>1854</v>
      </c>
      <c r="K683" s="8">
        <f>(F683*I683)</f>
        <v>1477.5</v>
      </c>
      <c r="O683" s="244" t="s">
        <v>1646</v>
      </c>
      <c r="R683" s="251">
        <f>SUM(R679:R681)</f>
        <v>16.260000000000002</v>
      </c>
      <c r="AG683" s="244" t="s">
        <v>2346</v>
      </c>
    </row>
    <row r="684" spans="1:33" hidden="1">
      <c r="A684" s="358">
        <f t="shared" si="35"/>
        <v>511</v>
      </c>
      <c r="B684" s="244" t="s">
        <v>1161</v>
      </c>
      <c r="C684" s="8">
        <v>27.85</v>
      </c>
      <c r="D684" s="1" t="s">
        <v>883</v>
      </c>
      <c r="E684"/>
      <c r="H684" s="244" t="s">
        <v>316</v>
      </c>
      <c r="I684" s="1" t="s">
        <v>995</v>
      </c>
      <c r="J684" s="4"/>
      <c r="K684" s="1" t="s">
        <v>246</v>
      </c>
      <c r="R684" s="248" t="s">
        <v>1667</v>
      </c>
      <c r="AG684" s="244" t="s">
        <v>2346</v>
      </c>
    </row>
    <row r="685" spans="1:33" hidden="1">
      <c r="A685" s="358">
        <f t="shared" si="35"/>
        <v>512</v>
      </c>
      <c r="B685" s="244" t="s">
        <v>1162</v>
      </c>
      <c r="C685" s="8">
        <v>49.9</v>
      </c>
      <c r="D685" s="1" t="s">
        <v>883</v>
      </c>
      <c r="E685"/>
      <c r="I685"/>
      <c r="J685" s="4"/>
      <c r="K685" s="5" t="s">
        <v>1667</v>
      </c>
      <c r="O685" s="354" t="s">
        <v>672</v>
      </c>
      <c r="R685" s="244" t="s">
        <v>995</v>
      </c>
      <c r="AG685" s="244" t="s">
        <v>2346</v>
      </c>
    </row>
    <row r="686" spans="1:33" hidden="1">
      <c r="A686" s="358">
        <f t="shared" si="35"/>
        <v>513</v>
      </c>
      <c r="B686" s="244" t="s">
        <v>1164</v>
      </c>
      <c r="C686" s="8">
        <v>69.25</v>
      </c>
      <c r="D686" s="1" t="s">
        <v>883</v>
      </c>
      <c r="E686"/>
      <c r="H686" s="244" t="s">
        <v>673</v>
      </c>
      <c r="I686"/>
      <c r="J686" s="4"/>
      <c r="K686" s="8">
        <f>SUM(K680:K684)</f>
        <v>6886.9</v>
      </c>
      <c r="M686" s="374"/>
      <c r="O686" s="354" t="s">
        <v>2158</v>
      </c>
      <c r="AG686" s="244" t="s">
        <v>2346</v>
      </c>
    </row>
    <row r="687" spans="1:33" hidden="1">
      <c r="A687" s="358">
        <f t="shared" si="35"/>
        <v>514</v>
      </c>
      <c r="B687" s="244" t="s">
        <v>1980</v>
      </c>
      <c r="C687"/>
      <c r="D687" s="1" t="s">
        <v>995</v>
      </c>
      <c r="E687"/>
      <c r="H687" s="244" t="s">
        <v>995</v>
      </c>
      <c r="I687"/>
      <c r="J687" s="4"/>
      <c r="K687" s="5" t="s">
        <v>1667</v>
      </c>
      <c r="M687" s="354" t="s">
        <v>1602</v>
      </c>
      <c r="N687" s="244" t="s">
        <v>1981</v>
      </c>
      <c r="O687" s="244" t="s">
        <v>3099</v>
      </c>
      <c r="AG687" s="244" t="s">
        <v>2346</v>
      </c>
    </row>
    <row r="688" spans="1:33" hidden="1">
      <c r="A688" s="358">
        <f t="shared" si="35"/>
        <v>515</v>
      </c>
      <c r="B688" s="244" t="s">
        <v>238</v>
      </c>
      <c r="C688" s="8">
        <v>20</v>
      </c>
      <c r="D688" s="1" t="s">
        <v>883</v>
      </c>
      <c r="E688"/>
      <c r="F688" s="251">
        <v>10</v>
      </c>
      <c r="G688" s="250" t="s">
        <v>611</v>
      </c>
      <c r="H688" s="244" t="s">
        <v>497</v>
      </c>
      <c r="I688" s="8">
        <f>(K686/50)</f>
        <v>137.74</v>
      </c>
      <c r="J688" s="2" t="s">
        <v>611</v>
      </c>
      <c r="K688" s="8">
        <f>(F688*I688)</f>
        <v>1377.4</v>
      </c>
      <c r="O688" s="248" t="s">
        <v>1667</v>
      </c>
      <c r="AG688" s="244" t="s">
        <v>2346</v>
      </c>
    </row>
    <row r="689" spans="1:33" hidden="1">
      <c r="A689" s="358">
        <f t="shared" si="35"/>
        <v>516</v>
      </c>
      <c r="B689" s="244" t="s">
        <v>498</v>
      </c>
      <c r="C689" s="8">
        <v>45</v>
      </c>
      <c r="D689" s="1" t="s">
        <v>883</v>
      </c>
      <c r="E689"/>
      <c r="F689" s="251">
        <v>3.8</v>
      </c>
      <c r="G689" s="250" t="s">
        <v>781</v>
      </c>
      <c r="H689" s="244" t="s">
        <v>499</v>
      </c>
      <c r="I689" s="8">
        <f>(C16)</f>
        <v>150</v>
      </c>
      <c r="J689" s="2" t="s">
        <v>781</v>
      </c>
      <c r="K689" s="8">
        <f>(F689*I689)</f>
        <v>570</v>
      </c>
      <c r="M689" s="374">
        <v>2.69E-2</v>
      </c>
      <c r="N689" s="244" t="s">
        <v>884</v>
      </c>
      <c r="O689" s="244" t="s">
        <v>1372</v>
      </c>
      <c r="P689" s="251">
        <f>C86+2500</f>
        <v>23105</v>
      </c>
      <c r="Q689" s="244" t="s">
        <v>884</v>
      </c>
      <c r="R689" s="251">
        <f t="shared" ref="R689:R695" si="36">M689*P689</f>
        <v>621.52</v>
      </c>
      <c r="AG689" s="244" t="s">
        <v>2346</v>
      </c>
    </row>
    <row r="690" spans="1:33" hidden="1">
      <c r="A690" s="358">
        <f t="shared" si="35"/>
        <v>517</v>
      </c>
      <c r="B690" s="244" t="s">
        <v>1373</v>
      </c>
      <c r="C690"/>
      <c r="D690" s="1" t="s">
        <v>246</v>
      </c>
      <c r="E690"/>
      <c r="F690" s="251">
        <v>5.4</v>
      </c>
      <c r="G690" s="250" t="s">
        <v>781</v>
      </c>
      <c r="H690" s="244" t="s">
        <v>1979</v>
      </c>
      <c r="I690" s="8">
        <f>(C12)</f>
        <v>95</v>
      </c>
      <c r="J690" s="2" t="s">
        <v>781</v>
      </c>
      <c r="K690" s="8">
        <f>(F690*I690)</f>
        <v>513</v>
      </c>
      <c r="M690" s="374">
        <v>1.2949999999999999</v>
      </c>
      <c r="N690" s="244" t="s">
        <v>611</v>
      </c>
      <c r="O690" s="244" t="s">
        <v>1355</v>
      </c>
      <c r="P690" s="251">
        <f>C753</f>
        <v>381.37</v>
      </c>
      <c r="Q690" s="244" t="s">
        <v>611</v>
      </c>
      <c r="R690" s="251">
        <f t="shared" si="36"/>
        <v>493.87</v>
      </c>
      <c r="AG690" s="244" t="s">
        <v>2346</v>
      </c>
    </row>
    <row r="691" spans="1:33" hidden="1">
      <c r="A691" s="358">
        <f t="shared" si="35"/>
        <v>518</v>
      </c>
      <c r="B691" s="244" t="s">
        <v>238</v>
      </c>
      <c r="C691" s="8">
        <v>19.09</v>
      </c>
      <c r="D691" s="1" t="s">
        <v>883</v>
      </c>
      <c r="E691"/>
      <c r="G691" s="250" t="s">
        <v>448</v>
      </c>
      <c r="H691" s="244" t="s">
        <v>1356</v>
      </c>
      <c r="I691"/>
      <c r="J691" s="2" t="s">
        <v>448</v>
      </c>
      <c r="K691" s="8">
        <v>5</v>
      </c>
      <c r="M691" s="374">
        <v>1.8149999999999999</v>
      </c>
      <c r="N691" s="244" t="s">
        <v>611</v>
      </c>
      <c r="O691" s="244" t="s">
        <v>2164</v>
      </c>
      <c r="P691" s="251">
        <f>C31</f>
        <v>342</v>
      </c>
      <c r="Q691" s="244" t="s">
        <v>611</v>
      </c>
      <c r="R691" s="251">
        <f t="shared" si="36"/>
        <v>620.73</v>
      </c>
      <c r="AG691" s="244" t="s">
        <v>2346</v>
      </c>
    </row>
    <row r="692" spans="1:33" hidden="1">
      <c r="A692" s="358">
        <f t="shared" si="35"/>
        <v>519</v>
      </c>
      <c r="B692" s="244" t="s">
        <v>498</v>
      </c>
      <c r="C692" s="8">
        <v>50.66</v>
      </c>
      <c r="D692" s="1" t="s">
        <v>883</v>
      </c>
      <c r="E692"/>
      <c r="I692"/>
      <c r="J692" s="4"/>
      <c r="K692" s="5" t="s">
        <v>1667</v>
      </c>
      <c r="M692" s="251">
        <v>2</v>
      </c>
      <c r="N692" s="244" t="s">
        <v>883</v>
      </c>
      <c r="O692" s="244" t="s">
        <v>1803</v>
      </c>
      <c r="P692" s="251">
        <f>C298</f>
        <v>10.5</v>
      </c>
      <c r="Q692" s="244" t="s">
        <v>883</v>
      </c>
      <c r="R692" s="251">
        <f t="shared" si="36"/>
        <v>21</v>
      </c>
      <c r="AG692" s="244" t="s">
        <v>2346</v>
      </c>
    </row>
    <row r="693" spans="1:33" hidden="1">
      <c r="A693" s="358">
        <f t="shared" si="35"/>
        <v>520</v>
      </c>
      <c r="B693" s="244" t="s">
        <v>1701</v>
      </c>
      <c r="C693" s="8">
        <v>1183.82</v>
      </c>
      <c r="D693" s="1" t="s">
        <v>611</v>
      </c>
      <c r="E693"/>
      <c r="H693" s="244" t="s">
        <v>440</v>
      </c>
      <c r="I693"/>
      <c r="J693" s="4"/>
      <c r="K693" s="8">
        <f>SUM(K688:K691)</f>
        <v>2465.4</v>
      </c>
      <c r="M693" s="251">
        <v>3</v>
      </c>
      <c r="N693" s="244" t="s">
        <v>883</v>
      </c>
      <c r="O693" s="244" t="s">
        <v>1702</v>
      </c>
      <c r="P693" s="251">
        <f>C294</f>
        <v>8.5</v>
      </c>
      <c r="Q693" s="244" t="s">
        <v>883</v>
      </c>
      <c r="R693" s="251">
        <f t="shared" si="36"/>
        <v>25.5</v>
      </c>
      <c r="AG693" s="244" t="s">
        <v>2346</v>
      </c>
    </row>
    <row r="694" spans="1:33" hidden="1">
      <c r="A694" s="358">
        <f t="shared" si="35"/>
        <v>521</v>
      </c>
      <c r="B694" s="244" t="s">
        <v>1703</v>
      </c>
      <c r="C694" s="8">
        <v>1605</v>
      </c>
      <c r="D694" s="1" t="s">
        <v>611</v>
      </c>
      <c r="E694"/>
      <c r="I694"/>
      <c r="J694" s="4"/>
      <c r="K694" s="5" t="s">
        <v>1667</v>
      </c>
      <c r="M694" s="251">
        <v>1</v>
      </c>
      <c r="N694" s="244" t="s">
        <v>883</v>
      </c>
      <c r="O694" s="244" t="s">
        <v>1786</v>
      </c>
      <c r="P694" s="251">
        <f>C300</f>
        <v>21</v>
      </c>
      <c r="Q694" s="244" t="s">
        <v>883</v>
      </c>
      <c r="R694" s="251">
        <f t="shared" si="36"/>
        <v>21</v>
      </c>
      <c r="AG694" s="244" t="s">
        <v>2346</v>
      </c>
    </row>
    <row r="695" spans="1:33" hidden="1">
      <c r="A695" s="358">
        <f t="shared" si="35"/>
        <v>522</v>
      </c>
      <c r="B695" s="244" t="s">
        <v>1795</v>
      </c>
      <c r="C695" s="1" t="s">
        <v>3100</v>
      </c>
      <c r="D695" s="1" t="s">
        <v>1796</v>
      </c>
      <c r="E695"/>
      <c r="H695" s="244" t="s">
        <v>555</v>
      </c>
      <c r="I695"/>
      <c r="J695" s="4"/>
      <c r="K695" s="8">
        <f>(K693/10)</f>
        <v>246.54</v>
      </c>
      <c r="M695" s="251">
        <v>1</v>
      </c>
      <c r="N695" s="244" t="s">
        <v>883</v>
      </c>
      <c r="O695" s="244" t="s">
        <v>2056</v>
      </c>
      <c r="P695" s="251">
        <f>C302</f>
        <v>4</v>
      </c>
      <c r="Q695" s="244" t="s">
        <v>883</v>
      </c>
      <c r="R695" s="251">
        <f t="shared" si="36"/>
        <v>4</v>
      </c>
      <c r="AG695" s="244" t="s">
        <v>2346</v>
      </c>
    </row>
    <row r="696" spans="1:33" hidden="1">
      <c r="A696" s="358">
        <f t="shared" si="35"/>
        <v>523</v>
      </c>
      <c r="B696" s="244" t="s">
        <v>1797</v>
      </c>
      <c r="C696" s="8">
        <v>147.6</v>
      </c>
      <c r="D696" s="1" t="s">
        <v>1854</v>
      </c>
      <c r="E696"/>
      <c r="I696"/>
      <c r="J696" s="4"/>
      <c r="K696" s="5" t="s">
        <v>2130</v>
      </c>
      <c r="N696" s="244" t="s">
        <v>448</v>
      </c>
      <c r="O696" s="244" t="s">
        <v>449</v>
      </c>
      <c r="Q696" s="244" t="s">
        <v>448</v>
      </c>
      <c r="R696" s="251">
        <v>0</v>
      </c>
      <c r="AG696" s="244" t="s">
        <v>2346</v>
      </c>
    </row>
    <row r="697" spans="1:33" hidden="1">
      <c r="A697" s="358">
        <f t="shared" si="35"/>
        <v>524</v>
      </c>
      <c r="B697" s="244" t="s">
        <v>1798</v>
      </c>
      <c r="C697" s="8">
        <v>147.6</v>
      </c>
      <c r="D697" s="1" t="s">
        <v>1854</v>
      </c>
      <c r="E697"/>
      <c r="I697"/>
      <c r="J697" s="4"/>
      <c r="K697"/>
      <c r="R697" s="248" t="s">
        <v>1667</v>
      </c>
      <c r="AG697" s="244" t="s">
        <v>2346</v>
      </c>
    </row>
    <row r="698" spans="1:33" hidden="1">
      <c r="A698" s="358">
        <f t="shared" si="35"/>
        <v>525</v>
      </c>
      <c r="B698" s="244" t="s">
        <v>1799</v>
      </c>
      <c r="C698" s="8">
        <v>147.6</v>
      </c>
      <c r="D698" s="1" t="s">
        <v>1854</v>
      </c>
      <c r="E698"/>
      <c r="F698" s="354" t="s">
        <v>2121</v>
      </c>
      <c r="G698" s="250" t="s">
        <v>2338</v>
      </c>
      <c r="H698" s="244" t="s">
        <v>10</v>
      </c>
      <c r="I698"/>
      <c r="J698" s="4"/>
      <c r="K698"/>
      <c r="O698" s="354" t="s">
        <v>11</v>
      </c>
      <c r="R698" s="251">
        <f>SUM(R689:R696)</f>
        <v>1807.62</v>
      </c>
      <c r="AG698" s="244" t="s">
        <v>2346</v>
      </c>
    </row>
    <row r="699" spans="1:33" hidden="1">
      <c r="A699" s="358">
        <f t="shared" si="35"/>
        <v>526</v>
      </c>
      <c r="B699" s="244" t="s">
        <v>656</v>
      </c>
      <c r="C699" s="8">
        <v>1250</v>
      </c>
      <c r="D699" s="1" t="s">
        <v>611</v>
      </c>
      <c r="E699"/>
      <c r="H699" s="244" t="s">
        <v>657</v>
      </c>
      <c r="I699"/>
      <c r="J699" s="4"/>
      <c r="K699"/>
      <c r="R699" s="248" t="s">
        <v>1667</v>
      </c>
      <c r="AG699" s="244" t="s">
        <v>2346</v>
      </c>
    </row>
    <row r="700" spans="1:33" hidden="1">
      <c r="A700" s="358">
        <f t="shared" si="35"/>
        <v>527</v>
      </c>
      <c r="B700" s="244" t="s">
        <v>658</v>
      </c>
      <c r="C700" s="8">
        <v>1250</v>
      </c>
      <c r="D700" s="1" t="s">
        <v>611</v>
      </c>
      <c r="E700"/>
      <c r="H700" s="244" t="s">
        <v>659</v>
      </c>
      <c r="I700"/>
      <c r="J700" s="4"/>
      <c r="K700"/>
      <c r="N700" s="244" t="s">
        <v>995</v>
      </c>
      <c r="O700" s="354" t="s">
        <v>555</v>
      </c>
      <c r="R700" s="251">
        <f>R698/M690</f>
        <v>1395.85</v>
      </c>
      <c r="AG700" s="244" t="s">
        <v>2346</v>
      </c>
    </row>
    <row r="701" spans="1:33" hidden="1">
      <c r="A701" s="358">
        <f t="shared" si="35"/>
        <v>528</v>
      </c>
      <c r="B701" s="244" t="s">
        <v>1294</v>
      </c>
      <c r="C701" s="8">
        <v>1250</v>
      </c>
      <c r="D701" s="1" t="s">
        <v>611</v>
      </c>
      <c r="E701"/>
      <c r="H701" s="244" t="s">
        <v>516</v>
      </c>
      <c r="I701"/>
      <c r="J701" s="4"/>
      <c r="K701"/>
      <c r="R701" s="248" t="s">
        <v>2130</v>
      </c>
      <c r="AG701" s="244" t="s">
        <v>2346</v>
      </c>
    </row>
    <row r="702" spans="1:33" hidden="1">
      <c r="A702" s="358">
        <f t="shared" si="35"/>
        <v>529</v>
      </c>
      <c r="B702" s="244" t="s">
        <v>517</v>
      </c>
      <c r="C702" s="8">
        <v>1250</v>
      </c>
      <c r="D702" s="1" t="s">
        <v>611</v>
      </c>
      <c r="E702"/>
      <c r="H702" s="244" t="s">
        <v>518</v>
      </c>
      <c r="I702"/>
      <c r="J702" s="4"/>
      <c r="K702"/>
      <c r="M702" s="354" t="s">
        <v>1602</v>
      </c>
      <c r="N702" s="244" t="s">
        <v>519</v>
      </c>
      <c r="O702" s="244" t="s">
        <v>520</v>
      </c>
      <c r="AG702" s="244" t="s">
        <v>2346</v>
      </c>
    </row>
    <row r="703" spans="1:33" hidden="1">
      <c r="A703" s="358">
        <f t="shared" si="35"/>
        <v>530</v>
      </c>
      <c r="B703" s="244" t="s">
        <v>521</v>
      </c>
      <c r="C703" s="8">
        <v>1250</v>
      </c>
      <c r="D703" s="1" t="s">
        <v>611</v>
      </c>
      <c r="E703"/>
      <c r="H703" s="244" t="s">
        <v>1</v>
      </c>
      <c r="I703"/>
      <c r="J703" s="4"/>
      <c r="K703"/>
      <c r="O703" s="248" t="s">
        <v>1667</v>
      </c>
      <c r="AG703" s="244" t="s">
        <v>2346</v>
      </c>
    </row>
    <row r="704" spans="1:33" hidden="1">
      <c r="A704" s="358">
        <f t="shared" si="35"/>
        <v>531</v>
      </c>
      <c r="B704" s="244" t="s">
        <v>774</v>
      </c>
      <c r="C704" s="8">
        <v>1250</v>
      </c>
      <c r="D704" s="1" t="s">
        <v>611</v>
      </c>
      <c r="E704"/>
      <c r="H704" s="244" t="s">
        <v>1285</v>
      </c>
      <c r="I704"/>
      <c r="J704" s="4"/>
      <c r="K704"/>
      <c r="M704" s="374">
        <v>2.5499999999999998E-2</v>
      </c>
      <c r="N704" s="244" t="s">
        <v>884</v>
      </c>
      <c r="O704" s="244" t="s">
        <v>1372</v>
      </c>
      <c r="P704" s="251">
        <f>C86+2500</f>
        <v>23105</v>
      </c>
      <c r="Q704" s="244" t="s">
        <v>884</v>
      </c>
      <c r="R704" s="251">
        <f t="shared" ref="R704:R710" si="37">M704*P704</f>
        <v>589.17999999999995</v>
      </c>
      <c r="AG704" s="244" t="s">
        <v>2346</v>
      </c>
    </row>
    <row r="705" spans="1:33" hidden="1">
      <c r="A705" s="358">
        <f t="shared" si="35"/>
        <v>532</v>
      </c>
      <c r="B705" s="244" t="s">
        <v>1286</v>
      </c>
      <c r="C705" s="8">
        <v>1250</v>
      </c>
      <c r="D705" s="1" t="s">
        <v>611</v>
      </c>
      <c r="E705"/>
      <c r="H705" s="248" t="s">
        <v>1667</v>
      </c>
      <c r="I705" s="5" t="s">
        <v>1667</v>
      </c>
      <c r="J705" s="2" t="s">
        <v>1667</v>
      </c>
      <c r="K705"/>
      <c r="M705" s="374">
        <v>1.1299999999999999</v>
      </c>
      <c r="N705" s="244" t="s">
        <v>611</v>
      </c>
      <c r="O705" s="244" t="s">
        <v>1355</v>
      </c>
      <c r="P705" s="251">
        <f>C753</f>
        <v>381.37</v>
      </c>
      <c r="Q705" s="244" t="s">
        <v>611</v>
      </c>
      <c r="R705" s="251">
        <f t="shared" si="37"/>
        <v>430.95</v>
      </c>
      <c r="AG705" s="244" t="s">
        <v>2346</v>
      </c>
    </row>
    <row r="706" spans="1:33" hidden="1">
      <c r="A706" s="358">
        <f t="shared" si="35"/>
        <v>533</v>
      </c>
      <c r="B706" s="244" t="s">
        <v>1287</v>
      </c>
      <c r="C706" s="8">
        <v>1250</v>
      </c>
      <c r="D706" s="1" t="s">
        <v>611</v>
      </c>
      <c r="E706"/>
      <c r="F706" s="251">
        <v>13.46</v>
      </c>
      <c r="G706" s="250" t="s">
        <v>267</v>
      </c>
      <c r="H706" s="244" t="s">
        <v>268</v>
      </c>
      <c r="I706" s="8">
        <f>C34/1000</f>
        <v>30</v>
      </c>
      <c r="J706" s="2" t="s">
        <v>267</v>
      </c>
      <c r="K706" s="8">
        <f>(F706*I706)</f>
        <v>403.8</v>
      </c>
      <c r="M706" s="374">
        <v>1.6191</v>
      </c>
      <c r="N706" s="244" t="s">
        <v>611</v>
      </c>
      <c r="O706" s="244" t="s">
        <v>2164</v>
      </c>
      <c r="P706" s="251">
        <f>C31</f>
        <v>342</v>
      </c>
      <c r="Q706" s="244" t="s">
        <v>611</v>
      </c>
      <c r="R706" s="251">
        <f t="shared" si="37"/>
        <v>553.73</v>
      </c>
      <c r="AG706" s="244" t="s">
        <v>2346</v>
      </c>
    </row>
    <row r="707" spans="1:33" hidden="1">
      <c r="A707" s="358">
        <f t="shared" si="35"/>
        <v>534</v>
      </c>
      <c r="B707" s="244" t="s">
        <v>998</v>
      </c>
      <c r="C707" s="8">
        <v>1250</v>
      </c>
      <c r="D707" s="1" t="s">
        <v>611</v>
      </c>
      <c r="E707"/>
      <c r="H707" s="244" t="s">
        <v>999</v>
      </c>
      <c r="I707"/>
      <c r="J707" s="4"/>
      <c r="K707"/>
      <c r="M707" s="251">
        <v>2</v>
      </c>
      <c r="N707" s="244" t="s">
        <v>883</v>
      </c>
      <c r="O707" s="244" t="s">
        <v>1803</v>
      </c>
      <c r="P707" s="251">
        <f>C298</f>
        <v>10.5</v>
      </c>
      <c r="Q707" s="244" t="s">
        <v>883</v>
      </c>
      <c r="R707" s="251">
        <f t="shared" si="37"/>
        <v>21</v>
      </c>
      <c r="AG707" s="244" t="s">
        <v>2346</v>
      </c>
    </row>
    <row r="708" spans="1:33" hidden="1">
      <c r="A708" s="358">
        <f t="shared" ref="A708:A733" si="38">(A707+1)</f>
        <v>535</v>
      </c>
      <c r="B708" s="244" t="s">
        <v>1000</v>
      </c>
      <c r="C708" s="8">
        <v>1250</v>
      </c>
      <c r="D708" s="1" t="s">
        <v>611</v>
      </c>
      <c r="E708"/>
      <c r="F708" s="251">
        <v>4</v>
      </c>
      <c r="G708" s="250" t="s">
        <v>267</v>
      </c>
      <c r="H708" s="244" t="s">
        <v>1001</v>
      </c>
      <c r="I708" s="8">
        <f>D34/1000</f>
        <v>30</v>
      </c>
      <c r="J708" s="2" t="s">
        <v>267</v>
      </c>
      <c r="K708" s="8">
        <f>(F708*I708)</f>
        <v>120</v>
      </c>
      <c r="M708" s="251">
        <v>3</v>
      </c>
      <c r="N708" s="244" t="s">
        <v>883</v>
      </c>
      <c r="O708" s="244" t="s">
        <v>1702</v>
      </c>
      <c r="P708" s="251">
        <f>C294</f>
        <v>8.5</v>
      </c>
      <c r="Q708" s="244" t="s">
        <v>883</v>
      </c>
      <c r="R708" s="251">
        <f t="shared" si="37"/>
        <v>25.5</v>
      </c>
      <c r="AG708" s="244" t="s">
        <v>2346</v>
      </c>
    </row>
    <row r="709" spans="1:33" hidden="1">
      <c r="A709" s="358">
        <f t="shared" si="38"/>
        <v>536</v>
      </c>
      <c r="B709" s="244" t="s">
        <v>961</v>
      </c>
      <c r="C709" s="8">
        <v>1250</v>
      </c>
      <c r="D709" s="1" t="s">
        <v>611</v>
      </c>
      <c r="E709"/>
      <c r="H709" s="244" t="s">
        <v>1058</v>
      </c>
      <c r="I709"/>
      <c r="J709" s="4"/>
      <c r="K709"/>
      <c r="M709" s="251">
        <v>1</v>
      </c>
      <c r="N709" s="244" t="s">
        <v>883</v>
      </c>
      <c r="O709" s="244" t="s">
        <v>1786</v>
      </c>
      <c r="P709" s="251">
        <f>C300</f>
        <v>21</v>
      </c>
      <c r="Q709" s="244" t="s">
        <v>883</v>
      </c>
      <c r="R709" s="251">
        <f t="shared" si="37"/>
        <v>21</v>
      </c>
      <c r="AG709" s="244" t="s">
        <v>2346</v>
      </c>
    </row>
    <row r="710" spans="1:33" hidden="1">
      <c r="A710" s="358">
        <f t="shared" si="38"/>
        <v>537</v>
      </c>
      <c r="B710" s="244" t="s">
        <v>1286</v>
      </c>
      <c r="C710" s="8">
        <v>1250</v>
      </c>
      <c r="D710" s="1" t="s">
        <v>611</v>
      </c>
      <c r="E710"/>
      <c r="F710" s="251"/>
      <c r="G710" s="250" t="s">
        <v>448</v>
      </c>
      <c r="H710" s="244" t="s">
        <v>1742</v>
      </c>
      <c r="I710"/>
      <c r="J710" s="2" t="s">
        <v>448</v>
      </c>
      <c r="K710" s="8">
        <v>40</v>
      </c>
      <c r="M710" s="251">
        <v>1</v>
      </c>
      <c r="N710" s="244" t="s">
        <v>883</v>
      </c>
      <c r="O710" s="244" t="s">
        <v>2056</v>
      </c>
      <c r="P710" s="251">
        <f>C302</f>
        <v>4</v>
      </c>
      <c r="Q710" s="244" t="s">
        <v>883</v>
      </c>
      <c r="R710" s="251">
        <f t="shared" si="37"/>
        <v>4</v>
      </c>
      <c r="AG710" s="244" t="s">
        <v>2346</v>
      </c>
    </row>
    <row r="711" spans="1:33" hidden="1">
      <c r="A711" s="358">
        <f t="shared" si="38"/>
        <v>538</v>
      </c>
      <c r="B711" s="244" t="s">
        <v>1743</v>
      </c>
      <c r="C711"/>
      <c r="D711" s="1" t="s">
        <v>995</v>
      </c>
      <c r="E711"/>
      <c r="H711" s="244" t="s">
        <v>1744</v>
      </c>
      <c r="I711"/>
      <c r="J711" s="4"/>
      <c r="K711" s="5" t="s">
        <v>1667</v>
      </c>
      <c r="N711" s="244" t="s">
        <v>448</v>
      </c>
      <c r="O711" s="244" t="s">
        <v>449</v>
      </c>
      <c r="Q711" s="244" t="s">
        <v>448</v>
      </c>
      <c r="R711" s="251">
        <v>0</v>
      </c>
      <c r="AG711" s="244" t="s">
        <v>2346</v>
      </c>
    </row>
    <row r="712" spans="1:33" hidden="1">
      <c r="A712" s="358">
        <f t="shared" si="38"/>
        <v>539</v>
      </c>
      <c r="B712" s="244" t="s">
        <v>1745</v>
      </c>
      <c r="C712" s="8">
        <v>65</v>
      </c>
      <c r="D712" s="1" t="s">
        <v>1796</v>
      </c>
      <c r="E712"/>
      <c r="H712" s="354" t="s">
        <v>24</v>
      </c>
      <c r="I712"/>
      <c r="J712" s="4"/>
      <c r="K712" s="8">
        <f>SUM(K706:K710)</f>
        <v>563.79999999999995</v>
      </c>
      <c r="R712" s="248" t="s">
        <v>1667</v>
      </c>
      <c r="AG712" s="244" t="s">
        <v>2346</v>
      </c>
    </row>
    <row r="713" spans="1:33" hidden="1">
      <c r="A713" s="358">
        <f t="shared" si="38"/>
        <v>540</v>
      </c>
      <c r="B713" s="244" t="s">
        <v>25</v>
      </c>
      <c r="C713" s="8">
        <v>64.55</v>
      </c>
      <c r="D713" s="1" t="s">
        <v>1796</v>
      </c>
      <c r="E713"/>
      <c r="I713"/>
      <c r="J713" s="4"/>
      <c r="K713" s="5" t="s">
        <v>1667</v>
      </c>
      <c r="O713" s="354" t="s">
        <v>26</v>
      </c>
      <c r="R713" s="251">
        <f>SUM(R704:R711)</f>
        <v>1645.36</v>
      </c>
      <c r="AG713" s="244" t="s">
        <v>2346</v>
      </c>
    </row>
    <row r="714" spans="1:33" hidden="1">
      <c r="A714" s="358">
        <f t="shared" si="38"/>
        <v>541</v>
      </c>
      <c r="B714" s="244" t="s">
        <v>27</v>
      </c>
      <c r="C714" s="8">
        <v>110.95</v>
      </c>
      <c r="D714" s="1" t="s">
        <v>1796</v>
      </c>
      <c r="E714"/>
      <c r="H714" s="354" t="s">
        <v>28</v>
      </c>
      <c r="I714"/>
      <c r="J714" s="4"/>
      <c r="K714" s="8">
        <f>K712/40</f>
        <v>14.1</v>
      </c>
      <c r="R714" s="248" t="s">
        <v>1667</v>
      </c>
      <c r="AG714" s="244" t="s">
        <v>2346</v>
      </c>
    </row>
    <row r="715" spans="1:33" hidden="1">
      <c r="A715" s="358">
        <f t="shared" si="38"/>
        <v>542</v>
      </c>
      <c r="B715" s="244" t="s">
        <v>1040</v>
      </c>
      <c r="C715" s="8">
        <v>399</v>
      </c>
      <c r="D715" s="1" t="s">
        <v>1796</v>
      </c>
      <c r="E715"/>
      <c r="I715"/>
      <c r="J715" s="4"/>
      <c r="K715" s="5" t="s">
        <v>1667</v>
      </c>
      <c r="O715" s="354" t="s">
        <v>555</v>
      </c>
      <c r="R715" s="251">
        <f>R713/M706</f>
        <v>1016.22</v>
      </c>
      <c r="AG715" s="244" t="s">
        <v>2346</v>
      </c>
    </row>
    <row r="716" spans="1:33" hidden="1">
      <c r="A716" s="358">
        <f t="shared" si="38"/>
        <v>543</v>
      </c>
      <c r="B716" s="244" t="s">
        <v>914</v>
      </c>
      <c r="C716" s="8">
        <v>92</v>
      </c>
      <c r="D716" s="1" t="s">
        <v>1796</v>
      </c>
      <c r="E716"/>
      <c r="H716" s="244" t="s">
        <v>915</v>
      </c>
      <c r="I716"/>
      <c r="J716" s="4"/>
      <c r="K716"/>
      <c r="R716" s="248" t="s">
        <v>2130</v>
      </c>
      <c r="AG716" s="244" t="s">
        <v>2346</v>
      </c>
    </row>
    <row r="717" spans="1:33" hidden="1">
      <c r="A717" s="358">
        <f t="shared" si="38"/>
        <v>544</v>
      </c>
      <c r="B717" s="244" t="s">
        <v>317</v>
      </c>
      <c r="C717" s="8">
        <v>174.24</v>
      </c>
      <c r="D717" s="1" t="s">
        <v>1796</v>
      </c>
      <c r="E717"/>
      <c r="H717" s="244" t="s">
        <v>318</v>
      </c>
      <c r="I717"/>
      <c r="J717" s="4"/>
      <c r="K717"/>
      <c r="AG717" s="244" t="s">
        <v>2346</v>
      </c>
    </row>
    <row r="718" spans="1:33" hidden="1">
      <c r="A718" s="358">
        <f t="shared" si="38"/>
        <v>545</v>
      </c>
      <c r="B718" s="244" t="s">
        <v>319</v>
      </c>
      <c r="C718" s="8">
        <v>215.06</v>
      </c>
      <c r="D718" s="1" t="s">
        <v>1796</v>
      </c>
      <c r="E718"/>
      <c r="H718" s="244" t="s">
        <v>320</v>
      </c>
      <c r="I718"/>
      <c r="J718" s="4"/>
      <c r="K718"/>
      <c r="M718" s="354" t="s">
        <v>1602</v>
      </c>
      <c r="N718" s="244" t="s">
        <v>321</v>
      </c>
      <c r="O718" s="244" t="s">
        <v>1706</v>
      </c>
      <c r="AG718" s="244" t="s">
        <v>2346</v>
      </c>
    </row>
    <row r="719" spans="1:33" hidden="1">
      <c r="A719" s="358">
        <f t="shared" si="38"/>
        <v>546</v>
      </c>
      <c r="B719" s="244" t="s">
        <v>1707</v>
      </c>
      <c r="C719" s="8">
        <v>97.24</v>
      </c>
      <c r="D719" s="1" t="s">
        <v>1796</v>
      </c>
      <c r="E719"/>
      <c r="I719"/>
      <c r="J719" s="4"/>
      <c r="K719"/>
      <c r="O719" s="248" t="s">
        <v>1667</v>
      </c>
      <c r="AG719" s="244" t="s">
        <v>2346</v>
      </c>
    </row>
    <row r="720" spans="1:33" hidden="1">
      <c r="A720" s="358">
        <f t="shared" si="38"/>
        <v>547</v>
      </c>
      <c r="B720" s="244" t="s">
        <v>1491</v>
      </c>
      <c r="C720" s="8">
        <v>168.96</v>
      </c>
      <c r="D720" s="1" t="s">
        <v>1796</v>
      </c>
      <c r="E720"/>
      <c r="F720" s="251">
        <v>19</v>
      </c>
      <c r="G720" s="250" t="s">
        <v>1492</v>
      </c>
      <c r="H720" s="244" t="s">
        <v>73</v>
      </c>
      <c r="I720" s="8">
        <f>K714</f>
        <v>14.1</v>
      </c>
      <c r="J720" s="2" t="s">
        <v>258</v>
      </c>
      <c r="K720" s="8">
        <f>(F720*I720)</f>
        <v>267.89999999999998</v>
      </c>
      <c r="M720" s="374">
        <v>2.35E-2</v>
      </c>
      <c r="N720" s="244" t="s">
        <v>884</v>
      </c>
      <c r="O720" s="244" t="s">
        <v>1372</v>
      </c>
      <c r="P720" s="251">
        <f>C86+2500</f>
        <v>23105</v>
      </c>
      <c r="Q720" s="244" t="s">
        <v>884</v>
      </c>
      <c r="R720" s="251">
        <f t="shared" ref="R720:R726" si="39">M720*P720</f>
        <v>542.97</v>
      </c>
      <c r="AG720" s="244" t="s">
        <v>2346</v>
      </c>
    </row>
    <row r="721" spans="1:33" hidden="1">
      <c r="A721" s="358">
        <f t="shared" si="38"/>
        <v>548</v>
      </c>
      <c r="B721" s="244" t="s">
        <v>3101</v>
      </c>
      <c r="C721" s="8">
        <v>227</v>
      </c>
      <c r="D721" s="8">
        <v>247</v>
      </c>
      <c r="E721"/>
      <c r="H721" s="244" t="s">
        <v>1746</v>
      </c>
      <c r="I721"/>
      <c r="J721" s="4"/>
      <c r="K721"/>
      <c r="M721" s="374">
        <v>0.872</v>
      </c>
      <c r="N721" s="244" t="s">
        <v>611</v>
      </c>
      <c r="O721" s="244" t="s">
        <v>1355</v>
      </c>
      <c r="P721" s="251">
        <f>C753</f>
        <v>381.37</v>
      </c>
      <c r="Q721" s="244" t="s">
        <v>611</v>
      </c>
      <c r="R721" s="251">
        <f t="shared" si="39"/>
        <v>332.55</v>
      </c>
      <c r="AG721" s="244" t="s">
        <v>2346</v>
      </c>
    </row>
    <row r="722" spans="1:33" hidden="1">
      <c r="A722" s="358">
        <f t="shared" si="38"/>
        <v>549</v>
      </c>
      <c r="B722" s="244" t="s">
        <v>2225</v>
      </c>
      <c r="C722" s="8">
        <v>250</v>
      </c>
      <c r="D722" s="1" t="s">
        <v>1796</v>
      </c>
      <c r="E722"/>
      <c r="F722" s="251">
        <v>0.12</v>
      </c>
      <c r="G722" s="250" t="s">
        <v>2226</v>
      </c>
      <c r="H722" s="244" t="s">
        <v>3102</v>
      </c>
      <c r="I722" s="8">
        <f>C268/5</f>
        <v>1879</v>
      </c>
      <c r="J722" s="2" t="s">
        <v>258</v>
      </c>
      <c r="K722" s="8">
        <f t="shared" ref="K722:K729" si="40">(F722*I722)</f>
        <v>225.48</v>
      </c>
      <c r="M722" s="374">
        <v>1.3247</v>
      </c>
      <c r="N722" s="244" t="s">
        <v>611</v>
      </c>
      <c r="O722" s="244" t="s">
        <v>2164</v>
      </c>
      <c r="P722" s="251">
        <f>C31</f>
        <v>342</v>
      </c>
      <c r="Q722" s="244" t="s">
        <v>611</v>
      </c>
      <c r="R722" s="251">
        <f t="shared" si="39"/>
        <v>453.05</v>
      </c>
      <c r="AG722" s="244" t="s">
        <v>2346</v>
      </c>
    </row>
    <row r="723" spans="1:33" hidden="1">
      <c r="A723" s="358">
        <f t="shared" si="38"/>
        <v>550</v>
      </c>
      <c r="B723" s="244" t="s">
        <v>839</v>
      </c>
      <c r="C723" s="8">
        <v>210</v>
      </c>
      <c r="D723" s="1" t="s">
        <v>1796</v>
      </c>
      <c r="E723"/>
      <c r="F723" s="251">
        <v>98.5</v>
      </c>
      <c r="G723" s="250" t="s">
        <v>840</v>
      </c>
      <c r="H723" s="244" t="s">
        <v>841</v>
      </c>
      <c r="I723" s="8">
        <f>C269/5</f>
        <v>3</v>
      </c>
      <c r="J723" s="2" t="s">
        <v>258</v>
      </c>
      <c r="K723" s="8">
        <f t="shared" si="40"/>
        <v>295.5</v>
      </c>
      <c r="M723" s="251">
        <v>1</v>
      </c>
      <c r="N723" s="244" t="s">
        <v>883</v>
      </c>
      <c r="O723" s="244" t="s">
        <v>1803</v>
      </c>
      <c r="P723" s="251">
        <f>C298</f>
        <v>10.5</v>
      </c>
      <c r="Q723" s="244" t="s">
        <v>883</v>
      </c>
      <c r="R723" s="251">
        <f t="shared" si="39"/>
        <v>10.5</v>
      </c>
      <c r="AG723" s="244" t="s">
        <v>2346</v>
      </c>
    </row>
    <row r="724" spans="1:33" hidden="1">
      <c r="A724" s="358">
        <f t="shared" si="38"/>
        <v>551</v>
      </c>
      <c r="B724" s="244" t="s">
        <v>3103</v>
      </c>
      <c r="C724" s="8">
        <v>1022.58</v>
      </c>
      <c r="D724" s="1" t="s">
        <v>611</v>
      </c>
      <c r="E724"/>
      <c r="F724" s="251">
        <v>1</v>
      </c>
      <c r="G724" s="250" t="s">
        <v>448</v>
      </c>
      <c r="H724" s="244" t="s">
        <v>1451</v>
      </c>
      <c r="I724" s="8">
        <v>11</v>
      </c>
      <c r="J724" s="2" t="s">
        <v>448</v>
      </c>
      <c r="K724" s="8">
        <f t="shared" si="40"/>
        <v>11</v>
      </c>
      <c r="M724" s="251">
        <v>3</v>
      </c>
      <c r="N724" s="244" t="s">
        <v>883</v>
      </c>
      <c r="O724" s="244" t="s">
        <v>1452</v>
      </c>
      <c r="P724" s="251">
        <f>C293</f>
        <v>5.75</v>
      </c>
      <c r="Q724" s="244" t="s">
        <v>883</v>
      </c>
      <c r="R724" s="251">
        <f t="shared" si="39"/>
        <v>17.25</v>
      </c>
      <c r="AG724" s="244" t="s">
        <v>2346</v>
      </c>
    </row>
    <row r="725" spans="1:33" hidden="1">
      <c r="A725" s="358">
        <f t="shared" si="38"/>
        <v>552</v>
      </c>
      <c r="B725" s="244" t="s">
        <v>1453</v>
      </c>
      <c r="C725"/>
      <c r="D725" s="1" t="s">
        <v>995</v>
      </c>
      <c r="E725"/>
      <c r="F725" s="251">
        <v>3.8</v>
      </c>
      <c r="G725" s="250" t="s">
        <v>1454</v>
      </c>
      <c r="H725" s="244" t="s">
        <v>1455</v>
      </c>
      <c r="I725" s="8">
        <f>C16</f>
        <v>150</v>
      </c>
      <c r="J725" s="2" t="s">
        <v>1458</v>
      </c>
      <c r="K725" s="8">
        <f t="shared" si="40"/>
        <v>570</v>
      </c>
      <c r="M725" s="251">
        <v>1</v>
      </c>
      <c r="N725" s="244" t="s">
        <v>883</v>
      </c>
      <c r="O725" s="244" t="s">
        <v>1456</v>
      </c>
      <c r="P725" s="251">
        <f>C301</f>
        <v>10</v>
      </c>
      <c r="Q725" s="244" t="s">
        <v>883</v>
      </c>
      <c r="R725" s="251">
        <f t="shared" si="39"/>
        <v>10</v>
      </c>
      <c r="AG725" s="244" t="s">
        <v>2346</v>
      </c>
    </row>
    <row r="726" spans="1:33" hidden="1">
      <c r="A726" s="358">
        <f t="shared" si="38"/>
        <v>553</v>
      </c>
      <c r="B726" s="244" t="s">
        <v>1457</v>
      </c>
      <c r="C726"/>
      <c r="D726"/>
      <c r="E726"/>
      <c r="F726" s="251">
        <v>5.4</v>
      </c>
      <c r="G726" s="250" t="s">
        <v>1454</v>
      </c>
      <c r="H726" s="244" t="s">
        <v>838</v>
      </c>
      <c r="I726" s="8">
        <f>C12</f>
        <v>95</v>
      </c>
      <c r="J726" s="2" t="s">
        <v>1458</v>
      </c>
      <c r="K726" s="8">
        <f t="shared" si="40"/>
        <v>513</v>
      </c>
      <c r="M726" s="251">
        <v>1</v>
      </c>
      <c r="N726" s="244" t="s">
        <v>883</v>
      </c>
      <c r="O726" s="244" t="s">
        <v>2056</v>
      </c>
      <c r="P726" s="251">
        <f>C302</f>
        <v>4</v>
      </c>
      <c r="Q726" s="244" t="s">
        <v>883</v>
      </c>
      <c r="R726" s="251">
        <f t="shared" si="39"/>
        <v>4</v>
      </c>
      <c r="AG726" s="244" t="s">
        <v>2346</v>
      </c>
    </row>
    <row r="727" spans="1:33" hidden="1">
      <c r="A727" s="358">
        <f t="shared" si="38"/>
        <v>554</v>
      </c>
      <c r="B727" s="244" t="s">
        <v>2254</v>
      </c>
      <c r="C727" s="8">
        <v>300</v>
      </c>
      <c r="D727" s="1" t="s">
        <v>2373</v>
      </c>
      <c r="E727"/>
      <c r="F727" s="251">
        <v>1</v>
      </c>
      <c r="G727" s="250" t="s">
        <v>1454</v>
      </c>
      <c r="H727" s="244" t="s">
        <v>2374</v>
      </c>
      <c r="I727" s="8">
        <f>C66</f>
        <v>120</v>
      </c>
      <c r="J727" s="2" t="s">
        <v>1458</v>
      </c>
      <c r="K727" s="8">
        <f t="shared" si="40"/>
        <v>120</v>
      </c>
      <c r="N727" s="244" t="s">
        <v>448</v>
      </c>
      <c r="O727" s="244" t="s">
        <v>449</v>
      </c>
      <c r="Q727" s="244" t="s">
        <v>448</v>
      </c>
      <c r="R727" s="251">
        <v>0</v>
      </c>
      <c r="AG727" s="244" t="s">
        <v>2346</v>
      </c>
    </row>
    <row r="728" spans="1:33" hidden="1">
      <c r="A728" s="358">
        <f t="shared" si="38"/>
        <v>555</v>
      </c>
      <c r="B728" s="354" t="s">
        <v>786</v>
      </c>
      <c r="C728" s="8">
        <v>302</v>
      </c>
      <c r="D728" s="1" t="s">
        <v>2373</v>
      </c>
      <c r="E728"/>
      <c r="F728" s="251">
        <v>1</v>
      </c>
      <c r="G728" s="250" t="s">
        <v>448</v>
      </c>
      <c r="H728" s="244" t="s">
        <v>787</v>
      </c>
      <c r="I728" s="8">
        <v>10</v>
      </c>
      <c r="J728" s="2" t="s">
        <v>448</v>
      </c>
      <c r="K728" s="8">
        <f t="shared" si="40"/>
        <v>10</v>
      </c>
      <c r="R728" s="248" t="s">
        <v>1667</v>
      </c>
      <c r="AG728" s="244" t="s">
        <v>2346</v>
      </c>
    </row>
    <row r="729" spans="1:33" hidden="1">
      <c r="A729" s="358">
        <f t="shared" si="38"/>
        <v>556</v>
      </c>
      <c r="B729" s="244" t="s">
        <v>788</v>
      </c>
      <c r="C729" s="8">
        <v>382</v>
      </c>
      <c r="D729" s="1" t="s">
        <v>2373</v>
      </c>
      <c r="E729"/>
      <c r="F729" s="251">
        <v>19</v>
      </c>
      <c r="G729" s="250" t="s">
        <v>1492</v>
      </c>
      <c r="H729" s="244" t="s">
        <v>789</v>
      </c>
      <c r="I729" s="8">
        <v>2</v>
      </c>
      <c r="J729" s="2" t="s">
        <v>1492</v>
      </c>
      <c r="K729" s="8">
        <f t="shared" si="40"/>
        <v>38</v>
      </c>
      <c r="O729" s="354" t="s">
        <v>757</v>
      </c>
      <c r="R729" s="251">
        <f>SUM(R720:R727)</f>
        <v>1370.32</v>
      </c>
      <c r="AG729" s="244" t="s">
        <v>2346</v>
      </c>
    </row>
    <row r="730" spans="1:33" hidden="1">
      <c r="A730" s="358">
        <f t="shared" si="38"/>
        <v>557</v>
      </c>
      <c r="B730" s="244" t="s">
        <v>573</v>
      </c>
      <c r="C730" s="8">
        <v>140</v>
      </c>
      <c r="D730" s="1" t="s">
        <v>2373</v>
      </c>
      <c r="E730"/>
      <c r="H730" s="244" t="s">
        <v>502</v>
      </c>
      <c r="I730"/>
      <c r="J730" s="4"/>
      <c r="K730" s="5" t="s">
        <v>1667</v>
      </c>
      <c r="R730" s="248" t="s">
        <v>1667</v>
      </c>
      <c r="AG730" s="244" t="s">
        <v>325</v>
      </c>
    </row>
    <row r="731" spans="1:33" hidden="1">
      <c r="A731" s="358">
        <f t="shared" si="38"/>
        <v>558</v>
      </c>
      <c r="B731" s="244" t="s">
        <v>853</v>
      </c>
      <c r="C731" s="8">
        <v>222</v>
      </c>
      <c r="D731" s="1" t="s">
        <v>2373</v>
      </c>
      <c r="E731"/>
      <c r="H731" s="354" t="s">
        <v>440</v>
      </c>
      <c r="I731"/>
      <c r="J731" s="4"/>
      <c r="K731" s="8">
        <f>SUM(K720:K729)</f>
        <v>2050.88</v>
      </c>
      <c r="O731" s="354" t="s">
        <v>555</v>
      </c>
      <c r="R731" s="251">
        <f>R729/1.3247</f>
        <v>1034.44</v>
      </c>
    </row>
    <row r="732" spans="1:33" hidden="1">
      <c r="A732" s="358">
        <f t="shared" si="38"/>
        <v>559</v>
      </c>
      <c r="B732" s="244" t="s">
        <v>615</v>
      </c>
      <c r="C732" s="8">
        <v>505</v>
      </c>
      <c r="D732" s="1" t="s">
        <v>2373</v>
      </c>
      <c r="E732"/>
      <c r="I732"/>
      <c r="J732" s="4"/>
      <c r="K732" s="5" t="s">
        <v>1667</v>
      </c>
      <c r="R732" s="248" t="s">
        <v>2130</v>
      </c>
    </row>
    <row r="733" spans="1:33" hidden="1">
      <c r="A733" s="358">
        <f t="shared" si="38"/>
        <v>560</v>
      </c>
      <c r="B733" s="244" t="s">
        <v>749</v>
      </c>
      <c r="C733" s="8">
        <v>75</v>
      </c>
      <c r="D733" s="1" t="s">
        <v>1796</v>
      </c>
      <c r="E733"/>
      <c r="H733" s="354" t="s">
        <v>555</v>
      </c>
      <c r="I733"/>
      <c r="J733" s="4"/>
      <c r="K733" s="8">
        <f>(K731/10)</f>
        <v>205.09</v>
      </c>
      <c r="N733" s="244" t="s">
        <v>2338</v>
      </c>
      <c r="O733" s="244" t="s">
        <v>2372</v>
      </c>
      <c r="AG733" s="244" t="s">
        <v>2346</v>
      </c>
    </row>
    <row r="734" spans="1:33" hidden="1">
      <c r="C734"/>
      <c r="D734"/>
      <c r="E734"/>
      <c r="F734" s="244" t="s">
        <v>995</v>
      </c>
      <c r="I734"/>
      <c r="J734" s="4"/>
      <c r="K734"/>
    </row>
    <row r="735" spans="1:33" hidden="1">
      <c r="A735" s="358">
        <f>(A733+1)</f>
        <v>561</v>
      </c>
      <c r="B735" s="244" t="s">
        <v>103</v>
      </c>
      <c r="C735" s="8">
        <v>43.3</v>
      </c>
      <c r="D735" s="1" t="s">
        <v>1854</v>
      </c>
      <c r="E735"/>
      <c r="I735"/>
      <c r="J735" s="4"/>
      <c r="K735" s="5" t="s">
        <v>2130</v>
      </c>
      <c r="O735" s="244" t="s">
        <v>2186</v>
      </c>
      <c r="AG735" s="244" t="s">
        <v>2346</v>
      </c>
    </row>
    <row r="736" spans="1:33" hidden="1">
      <c r="A736" s="358">
        <f t="shared" ref="A736:A753" si="41">(A735+1)</f>
        <v>562</v>
      </c>
      <c r="B736" s="244" t="s">
        <v>2187</v>
      </c>
      <c r="C736" s="8">
        <v>218</v>
      </c>
      <c r="D736" s="1" t="s">
        <v>1796</v>
      </c>
      <c r="E736"/>
      <c r="F736" s="354" t="s">
        <v>1553</v>
      </c>
      <c r="G736" s="250" t="s">
        <v>2338</v>
      </c>
      <c r="H736" s="244" t="s">
        <v>724</v>
      </c>
      <c r="I736"/>
      <c r="J736" s="4"/>
      <c r="K736"/>
      <c r="O736" s="244" t="s">
        <v>725</v>
      </c>
      <c r="AG736" s="244" t="s">
        <v>2346</v>
      </c>
    </row>
    <row r="737" spans="1:33" hidden="1">
      <c r="A737" s="358">
        <f t="shared" si="41"/>
        <v>563</v>
      </c>
      <c r="B737" s="244" t="s">
        <v>726</v>
      </c>
      <c r="C737" s="8">
        <v>926</v>
      </c>
      <c r="D737" s="1" t="s">
        <v>1796</v>
      </c>
      <c r="E737"/>
      <c r="H737" s="244" t="s">
        <v>727</v>
      </c>
      <c r="I737"/>
      <c r="J737" s="4"/>
      <c r="K737"/>
      <c r="O737" s="244" t="s">
        <v>90</v>
      </c>
      <c r="AG737" s="244" t="s">
        <v>2346</v>
      </c>
    </row>
    <row r="738" spans="1:33" hidden="1">
      <c r="A738" s="358">
        <f t="shared" si="41"/>
        <v>564</v>
      </c>
      <c r="B738" s="244" t="s">
        <v>91</v>
      </c>
      <c r="C738" s="8">
        <v>5.15</v>
      </c>
      <c r="D738" s="1" t="s">
        <v>1854</v>
      </c>
      <c r="E738"/>
      <c r="H738" s="244" t="s">
        <v>2361</v>
      </c>
      <c r="I738"/>
      <c r="J738" s="4"/>
      <c r="K738"/>
      <c r="O738" s="248" t="s">
        <v>1667</v>
      </c>
      <c r="AG738" s="244" t="s">
        <v>2346</v>
      </c>
    </row>
    <row r="739" spans="1:33" hidden="1">
      <c r="A739" s="358">
        <f t="shared" si="41"/>
        <v>565</v>
      </c>
      <c r="B739" s="244" t="s">
        <v>570</v>
      </c>
      <c r="C739" s="8">
        <v>550</v>
      </c>
      <c r="D739" s="1" t="s">
        <v>1796</v>
      </c>
      <c r="E739"/>
      <c r="H739" s="248" t="s">
        <v>1667</v>
      </c>
      <c r="I739"/>
      <c r="J739" s="4"/>
      <c r="K739"/>
      <c r="AG739" s="244" t="s">
        <v>2346</v>
      </c>
    </row>
    <row r="740" spans="1:33" hidden="1">
      <c r="A740" s="358">
        <f t="shared" si="41"/>
        <v>566</v>
      </c>
      <c r="B740" s="244" t="s">
        <v>997</v>
      </c>
      <c r="C740" s="8">
        <v>286</v>
      </c>
      <c r="D740" s="1" t="s">
        <v>1796</v>
      </c>
      <c r="E740"/>
      <c r="F740" s="251">
        <v>10</v>
      </c>
      <c r="G740" s="250" t="s">
        <v>611</v>
      </c>
      <c r="H740" s="244" t="s">
        <v>916</v>
      </c>
      <c r="I740" s="8">
        <f>(K720)*1.2</f>
        <v>321.48</v>
      </c>
      <c r="J740" s="2" t="s">
        <v>258</v>
      </c>
      <c r="K740" s="8">
        <f>(F740*I740)/10</f>
        <v>321.48</v>
      </c>
      <c r="O740" s="244" t="s">
        <v>917</v>
      </c>
      <c r="R740" s="251">
        <f>(C693)</f>
        <v>1183.82</v>
      </c>
      <c r="AG740" s="244" t="s">
        <v>2346</v>
      </c>
    </row>
    <row r="741" spans="1:33" hidden="1">
      <c r="A741" s="358">
        <f t="shared" si="41"/>
        <v>567</v>
      </c>
      <c r="B741" s="244" t="s">
        <v>918</v>
      </c>
      <c r="C741" s="8">
        <v>96.3</v>
      </c>
      <c r="D741" s="1" t="s">
        <v>1854</v>
      </c>
      <c r="E741"/>
      <c r="H741" s="244" t="s">
        <v>919</v>
      </c>
      <c r="I741"/>
      <c r="J741" s="4"/>
      <c r="K741"/>
      <c r="R741" s="248" t="s">
        <v>2130</v>
      </c>
      <c r="AG741" s="244" t="s">
        <v>2346</v>
      </c>
    </row>
    <row r="742" spans="1:33" hidden="1">
      <c r="A742" s="358">
        <f t="shared" si="41"/>
        <v>568</v>
      </c>
      <c r="B742" s="244" t="s">
        <v>854</v>
      </c>
      <c r="C742" s="8">
        <v>51</v>
      </c>
      <c r="D742" s="1" t="s">
        <v>1796</v>
      </c>
      <c r="E742"/>
      <c r="H742" s="244" t="s">
        <v>855</v>
      </c>
      <c r="I742"/>
      <c r="J742" s="4"/>
      <c r="K742"/>
      <c r="AG742" s="244" t="s">
        <v>2346</v>
      </c>
    </row>
    <row r="743" spans="1:33" hidden="1">
      <c r="A743" s="358">
        <f t="shared" si="41"/>
        <v>569</v>
      </c>
      <c r="B743" s="244" t="s">
        <v>557</v>
      </c>
      <c r="C743" s="8">
        <v>181</v>
      </c>
      <c r="D743" s="1" t="s">
        <v>799</v>
      </c>
      <c r="E743"/>
      <c r="F743" s="251">
        <v>10</v>
      </c>
      <c r="G743" s="250" t="s">
        <v>611</v>
      </c>
      <c r="H743" s="244" t="s">
        <v>558</v>
      </c>
      <c r="I743" s="8">
        <f>K722*1.2</f>
        <v>270.58</v>
      </c>
      <c r="J743" s="2" t="s">
        <v>258</v>
      </c>
      <c r="K743" s="8">
        <f>(F743*I743)/10</f>
        <v>270.58</v>
      </c>
      <c r="N743" s="244" t="s">
        <v>2338</v>
      </c>
      <c r="O743" s="244" t="s">
        <v>559</v>
      </c>
      <c r="AG743" s="244" t="s">
        <v>2346</v>
      </c>
    </row>
    <row r="744" spans="1:33" hidden="1">
      <c r="A744" s="358">
        <f t="shared" si="41"/>
        <v>570</v>
      </c>
      <c r="B744" s="244" t="s">
        <v>560</v>
      </c>
      <c r="C744" s="8">
        <v>36.200000000000003</v>
      </c>
      <c r="D744" s="1" t="s">
        <v>1854</v>
      </c>
      <c r="E744"/>
      <c r="H744" s="244" t="s">
        <v>1022</v>
      </c>
      <c r="I744"/>
      <c r="J744" s="4"/>
      <c r="K744"/>
      <c r="O744" s="248" t="s">
        <v>2130</v>
      </c>
      <c r="P744" s="248" t="s">
        <v>2130</v>
      </c>
      <c r="Q744" s="248" t="s">
        <v>2130</v>
      </c>
      <c r="R744" s="244" t="s">
        <v>1023</v>
      </c>
      <c r="AG744" s="244" t="s">
        <v>2346</v>
      </c>
    </row>
    <row r="745" spans="1:33" hidden="1">
      <c r="A745" s="358">
        <f t="shared" si="41"/>
        <v>571</v>
      </c>
      <c r="B745" s="244" t="s">
        <v>668</v>
      </c>
      <c r="C745" s="8">
        <v>98</v>
      </c>
      <c r="D745" s="1" t="s">
        <v>1796</v>
      </c>
      <c r="E745"/>
      <c r="H745" s="244" t="s">
        <v>832</v>
      </c>
      <c r="I745"/>
      <c r="J745" s="4"/>
      <c r="K745"/>
      <c r="O745" s="244" t="s">
        <v>1494</v>
      </c>
      <c r="Q745" s="354" t="s">
        <v>840</v>
      </c>
      <c r="R745" s="251">
        <f>(C696)</f>
        <v>147.6</v>
      </c>
      <c r="AG745" s="244" t="s">
        <v>2346</v>
      </c>
    </row>
    <row r="746" spans="1:33" hidden="1">
      <c r="A746" s="358">
        <f t="shared" si="41"/>
        <v>572</v>
      </c>
      <c r="B746" s="244" t="s">
        <v>2035</v>
      </c>
      <c r="C746" s="8">
        <v>92</v>
      </c>
      <c r="D746" s="1" t="s">
        <v>1854</v>
      </c>
      <c r="E746"/>
      <c r="F746" s="251">
        <v>98.5</v>
      </c>
      <c r="G746" s="250" t="s">
        <v>840</v>
      </c>
      <c r="H746" s="244" t="s">
        <v>841</v>
      </c>
      <c r="I746" s="8">
        <f>C269/5</f>
        <v>3</v>
      </c>
      <c r="J746" s="2" t="s">
        <v>258</v>
      </c>
      <c r="K746" s="8">
        <f t="shared" ref="K746:K752" si="42">(F746*I746)</f>
        <v>295.5</v>
      </c>
      <c r="O746" s="244" t="s">
        <v>2156</v>
      </c>
      <c r="AG746" s="244" t="s">
        <v>2346</v>
      </c>
    </row>
    <row r="747" spans="1:33" hidden="1">
      <c r="A747" s="358">
        <f t="shared" si="41"/>
        <v>573</v>
      </c>
      <c r="B747" s="244" t="s">
        <v>328</v>
      </c>
      <c r="C747" s="8">
        <v>49.42</v>
      </c>
      <c r="D747" s="1" t="s">
        <v>1796</v>
      </c>
      <c r="E747"/>
      <c r="F747" s="251">
        <v>3.8</v>
      </c>
      <c r="G747" s="250" t="s">
        <v>781</v>
      </c>
      <c r="H747" s="244" t="s">
        <v>499</v>
      </c>
      <c r="I747" s="8">
        <f>(C16)</f>
        <v>150</v>
      </c>
      <c r="J747" s="2" t="s">
        <v>781</v>
      </c>
      <c r="K747" s="8">
        <f t="shared" si="42"/>
        <v>570</v>
      </c>
      <c r="O747" s="244" t="s">
        <v>329</v>
      </c>
      <c r="AG747" s="244" t="s">
        <v>2346</v>
      </c>
    </row>
    <row r="748" spans="1:33" hidden="1">
      <c r="A748" s="358">
        <f t="shared" si="41"/>
        <v>574</v>
      </c>
      <c r="B748" s="244" t="s">
        <v>723</v>
      </c>
      <c r="C748" s="8">
        <v>53.2</v>
      </c>
      <c r="D748" s="1" t="s">
        <v>1796</v>
      </c>
      <c r="E748"/>
      <c r="F748" s="251">
        <v>5.4</v>
      </c>
      <c r="G748" s="250" t="s">
        <v>781</v>
      </c>
      <c r="H748" s="244" t="s">
        <v>1979</v>
      </c>
      <c r="I748" s="8">
        <f>(C12)</f>
        <v>95</v>
      </c>
      <c r="J748" s="2" t="s">
        <v>781</v>
      </c>
      <c r="K748" s="8">
        <f t="shared" si="42"/>
        <v>513</v>
      </c>
      <c r="O748" s="244" t="s">
        <v>1076</v>
      </c>
      <c r="AG748" s="244" t="s">
        <v>2346</v>
      </c>
    </row>
    <row r="749" spans="1:33" hidden="1">
      <c r="A749" s="358">
        <f t="shared" si="41"/>
        <v>575</v>
      </c>
      <c r="B749" s="244" t="s">
        <v>1077</v>
      </c>
      <c r="C749" s="8">
        <v>59</v>
      </c>
      <c r="D749" s="1" t="s">
        <v>1796</v>
      </c>
      <c r="E749"/>
      <c r="F749" s="251">
        <v>1</v>
      </c>
      <c r="G749" s="250" t="s">
        <v>781</v>
      </c>
      <c r="H749" s="244" t="s">
        <v>2374</v>
      </c>
      <c r="I749" s="8">
        <f>C66</f>
        <v>120</v>
      </c>
      <c r="J749" s="2" t="s">
        <v>1458</v>
      </c>
      <c r="K749" s="8">
        <f t="shared" si="42"/>
        <v>120</v>
      </c>
      <c r="O749" s="244" t="s">
        <v>1138</v>
      </c>
      <c r="AG749" s="244" t="s">
        <v>2346</v>
      </c>
    </row>
    <row r="750" spans="1:33" hidden="1">
      <c r="A750" s="358">
        <f t="shared" si="41"/>
        <v>576</v>
      </c>
      <c r="B750" s="244" t="s">
        <v>980</v>
      </c>
      <c r="C750" s="8">
        <v>100</v>
      </c>
      <c r="D750" s="1" t="s">
        <v>1796</v>
      </c>
      <c r="E750"/>
      <c r="F750" s="251">
        <v>1</v>
      </c>
      <c r="G750" s="250" t="s">
        <v>448</v>
      </c>
      <c r="H750" s="244" t="s">
        <v>981</v>
      </c>
      <c r="I750" s="8">
        <v>11</v>
      </c>
      <c r="J750" s="2" t="s">
        <v>1458</v>
      </c>
      <c r="K750" s="8">
        <f t="shared" si="42"/>
        <v>11</v>
      </c>
      <c r="O750" s="244" t="s">
        <v>1154</v>
      </c>
      <c r="R750" s="244" t="s">
        <v>995</v>
      </c>
      <c r="AG750" s="244" t="s">
        <v>2346</v>
      </c>
    </row>
    <row r="751" spans="1:33" hidden="1">
      <c r="A751" s="358">
        <f t="shared" si="41"/>
        <v>577</v>
      </c>
      <c r="B751" s="244" t="s">
        <v>1155</v>
      </c>
      <c r="C751" s="8">
        <v>49.52</v>
      </c>
      <c r="D751" s="1" t="s">
        <v>1854</v>
      </c>
      <c r="E751"/>
      <c r="F751" s="251">
        <v>1</v>
      </c>
      <c r="G751" s="250" t="s">
        <v>448</v>
      </c>
      <c r="H751" s="244" t="s">
        <v>1356</v>
      </c>
      <c r="I751" s="8">
        <v>10</v>
      </c>
      <c r="J751" s="2" t="s">
        <v>448</v>
      </c>
      <c r="K751" s="8">
        <f t="shared" si="42"/>
        <v>10</v>
      </c>
      <c r="O751" s="244" t="s">
        <v>995</v>
      </c>
      <c r="AG751" s="244" t="s">
        <v>2346</v>
      </c>
    </row>
    <row r="752" spans="1:33" hidden="1">
      <c r="A752" s="358">
        <f t="shared" si="41"/>
        <v>578</v>
      </c>
      <c r="B752" s="244" t="s">
        <v>2199</v>
      </c>
      <c r="C752" s="8">
        <v>1080</v>
      </c>
      <c r="D752" s="1" t="s">
        <v>1796</v>
      </c>
      <c r="E752"/>
      <c r="F752" s="251">
        <v>19</v>
      </c>
      <c r="G752" s="250" t="s">
        <v>1492</v>
      </c>
      <c r="H752" s="244" t="s">
        <v>2200</v>
      </c>
      <c r="I752" s="8">
        <v>2</v>
      </c>
      <c r="J752" s="4" t="s">
        <v>1492</v>
      </c>
      <c r="K752" s="8">
        <f t="shared" si="42"/>
        <v>38</v>
      </c>
      <c r="AG752" s="244" t="s">
        <v>2346</v>
      </c>
    </row>
    <row r="753" spans="1:33" hidden="1">
      <c r="A753" s="358">
        <f t="shared" si="41"/>
        <v>579</v>
      </c>
      <c r="B753" s="244" t="s">
        <v>3104</v>
      </c>
      <c r="C753" s="8">
        <v>381.37</v>
      </c>
      <c r="D753" s="1" t="s">
        <v>611</v>
      </c>
      <c r="E753"/>
      <c r="H753" s="244" t="s">
        <v>79</v>
      </c>
      <c r="I753"/>
      <c r="J753" s="4"/>
      <c r="K753"/>
      <c r="N753" s="244" t="s">
        <v>2338</v>
      </c>
      <c r="O753" s="244" t="s">
        <v>2201</v>
      </c>
      <c r="Q753" s="354" t="s">
        <v>2371</v>
      </c>
      <c r="R753" s="251">
        <f>(C700)</f>
        <v>1250</v>
      </c>
      <c r="AG753" s="244" t="s">
        <v>2346</v>
      </c>
    </row>
    <row r="754" spans="1:33" hidden="1">
      <c r="A754" s="358" t="e">
        <f>(#REF!+1)</f>
        <v>#REF!</v>
      </c>
      <c r="B754" s="244" t="s">
        <v>1457</v>
      </c>
      <c r="C754"/>
      <c r="D754"/>
      <c r="E754"/>
      <c r="I754"/>
      <c r="J754" s="4"/>
      <c r="K754" s="5" t="s">
        <v>1667</v>
      </c>
      <c r="O754" s="244" t="s">
        <v>1769</v>
      </c>
      <c r="AG754" s="244" t="s">
        <v>2346</v>
      </c>
    </row>
    <row r="755" spans="1:33" hidden="1">
      <c r="A755" s="358"/>
      <c r="B755" s="244" t="s">
        <v>2254</v>
      </c>
      <c r="C755" s="8">
        <v>300</v>
      </c>
      <c r="D755"/>
      <c r="E755"/>
      <c r="H755" s="244" t="s">
        <v>440</v>
      </c>
      <c r="I755"/>
      <c r="J755" s="4"/>
      <c r="K755" s="8">
        <f>SUM(K740:K753)</f>
        <v>2149.56</v>
      </c>
      <c r="O755" s="244" t="s">
        <v>322</v>
      </c>
      <c r="AG755" s="244" t="s">
        <v>2346</v>
      </c>
    </row>
    <row r="756" spans="1:33" hidden="1">
      <c r="A756" s="358"/>
      <c r="B756" s="354" t="s">
        <v>786</v>
      </c>
      <c r="C756" s="8">
        <v>302</v>
      </c>
      <c r="D756"/>
      <c r="E756"/>
      <c r="I756"/>
      <c r="J756" s="4"/>
      <c r="K756" s="5" t="s">
        <v>1667</v>
      </c>
      <c r="O756" s="244" t="s">
        <v>1327</v>
      </c>
      <c r="AG756" s="244" t="s">
        <v>2346</v>
      </c>
    </row>
    <row r="757" spans="1:33" hidden="1">
      <c r="A757" s="358"/>
      <c r="B757" s="244" t="s">
        <v>1328</v>
      </c>
      <c r="C757" s="8">
        <v>324</v>
      </c>
      <c r="D757"/>
      <c r="E757"/>
      <c r="H757" s="244" t="s">
        <v>555</v>
      </c>
      <c r="I757"/>
      <c r="J757" s="4"/>
      <c r="K757" s="8">
        <f>(K755/10)</f>
        <v>214.96</v>
      </c>
      <c r="AG757" s="244" t="s">
        <v>2346</v>
      </c>
    </row>
    <row r="758" spans="1:33" hidden="1">
      <c r="A758" s="358"/>
      <c r="B758" s="244" t="s">
        <v>788</v>
      </c>
      <c r="C758" s="8">
        <v>382</v>
      </c>
      <c r="D758"/>
      <c r="E758"/>
      <c r="I758"/>
      <c r="J758" s="4"/>
      <c r="K758" s="5" t="s">
        <v>2130</v>
      </c>
      <c r="N758" s="244" t="s">
        <v>2338</v>
      </c>
      <c r="O758" s="244" t="s">
        <v>596</v>
      </c>
      <c r="AG758" s="244" t="s">
        <v>2346</v>
      </c>
    </row>
    <row r="759" spans="1:33" hidden="1">
      <c r="A759" s="358"/>
      <c r="B759" s="244" t="s">
        <v>615</v>
      </c>
      <c r="C759" s="8">
        <v>505</v>
      </c>
      <c r="D759"/>
      <c r="E759"/>
      <c r="I759"/>
      <c r="J759" s="4"/>
      <c r="K759"/>
      <c r="O759" s="244" t="s">
        <v>2161</v>
      </c>
      <c r="R759" s="244" t="s">
        <v>995</v>
      </c>
      <c r="AG759" s="244" t="s">
        <v>2346</v>
      </c>
    </row>
    <row r="760" spans="1:33" hidden="1">
      <c r="A760" s="358"/>
      <c r="B760" s="244" t="s">
        <v>573</v>
      </c>
      <c r="C760" s="8">
        <v>140</v>
      </c>
      <c r="D760"/>
      <c r="E760"/>
      <c r="F760" s="354" t="s">
        <v>901</v>
      </c>
      <c r="G760" s="250" t="s">
        <v>2338</v>
      </c>
      <c r="H760" s="244" t="s">
        <v>724</v>
      </c>
      <c r="I760"/>
      <c r="J760" s="4"/>
      <c r="K760"/>
      <c r="O760" s="244" t="s">
        <v>2162</v>
      </c>
      <c r="AG760" s="244" t="s">
        <v>2346</v>
      </c>
    </row>
    <row r="761" spans="1:33" hidden="1">
      <c r="A761" s="358"/>
      <c r="B761" s="244" t="s">
        <v>853</v>
      </c>
      <c r="C761" s="8">
        <v>222</v>
      </c>
      <c r="D761"/>
      <c r="E761"/>
      <c r="H761" s="244" t="s">
        <v>727</v>
      </c>
      <c r="I761"/>
      <c r="J761" s="4"/>
      <c r="K761"/>
      <c r="O761" s="248" t="s">
        <v>1667</v>
      </c>
      <c r="AG761" s="244" t="s">
        <v>2346</v>
      </c>
    </row>
    <row r="762" spans="1:33" hidden="1">
      <c r="A762" s="358"/>
      <c r="B762" s="244" t="s">
        <v>741</v>
      </c>
      <c r="C762" s="8">
        <v>100</v>
      </c>
      <c r="D762"/>
      <c r="E762"/>
      <c r="H762" s="244" t="s">
        <v>279</v>
      </c>
      <c r="I762"/>
      <c r="J762" s="4"/>
      <c r="K762"/>
      <c r="N762" s="244" t="s">
        <v>234</v>
      </c>
      <c r="O762" s="244" t="s">
        <v>495</v>
      </c>
      <c r="P762" s="251">
        <f>(C271)</f>
        <v>160</v>
      </c>
      <c r="Q762" s="244" t="s">
        <v>234</v>
      </c>
      <c r="R762" s="251" t="e">
        <f>(#VALUE!*P762)</f>
        <v>#VALUE!</v>
      </c>
      <c r="AG762" s="244" t="s">
        <v>2346</v>
      </c>
    </row>
    <row r="763" spans="1:33" hidden="1">
      <c r="A763" s="358"/>
      <c r="B763" s="244" t="s">
        <v>496</v>
      </c>
      <c r="C763" s="8">
        <v>75</v>
      </c>
      <c r="D763"/>
      <c r="E763"/>
      <c r="H763" s="248" t="s">
        <v>1667</v>
      </c>
      <c r="I763"/>
      <c r="J763" s="4"/>
      <c r="K763"/>
      <c r="AG763" s="244" t="s">
        <v>2346</v>
      </c>
    </row>
    <row r="764" spans="1:33" hidden="1">
      <c r="A764" s="358"/>
      <c r="B764" s="244" t="s">
        <v>1203</v>
      </c>
      <c r="C764" s="8">
        <v>218</v>
      </c>
      <c r="D764"/>
      <c r="E764"/>
      <c r="H764" s="244" t="s">
        <v>1204</v>
      </c>
      <c r="I764"/>
      <c r="J764" s="4"/>
      <c r="K764" s="8">
        <f>(K695/2)</f>
        <v>123.27</v>
      </c>
      <c r="N764" s="244" t="s">
        <v>1205</v>
      </c>
      <c r="O764" s="244" t="s">
        <v>271</v>
      </c>
      <c r="P764" s="251">
        <f>(C16)</f>
        <v>150</v>
      </c>
      <c r="Q764" s="244" t="s">
        <v>1205</v>
      </c>
      <c r="R764" s="251" t="e">
        <f>(#VALUE!*P764)</f>
        <v>#VALUE!</v>
      </c>
      <c r="AG764" s="244" t="s">
        <v>2346</v>
      </c>
    </row>
    <row r="765" spans="1:33" hidden="1">
      <c r="A765" s="358"/>
      <c r="B765" s="244" t="s">
        <v>272</v>
      </c>
      <c r="C765" s="8">
        <v>1854</v>
      </c>
      <c r="D765"/>
      <c r="E765"/>
      <c r="H765" s="244" t="s">
        <v>273</v>
      </c>
      <c r="I765"/>
      <c r="J765" s="4"/>
      <c r="K765" s="5" t="s">
        <v>2130</v>
      </c>
      <c r="AG765" s="244" t="s">
        <v>2346</v>
      </c>
    </row>
    <row r="766" spans="1:33" hidden="1">
      <c r="C766"/>
      <c r="D766"/>
      <c r="E766"/>
      <c r="I766"/>
      <c r="J766" s="4"/>
      <c r="K766"/>
    </row>
    <row r="767" spans="1:33" hidden="1">
      <c r="A767" s="358"/>
      <c r="B767" s="244" t="s">
        <v>168</v>
      </c>
      <c r="C767" s="8">
        <v>51</v>
      </c>
      <c r="D767"/>
      <c r="E767"/>
      <c r="F767" s="354" t="s">
        <v>169</v>
      </c>
      <c r="G767" s="250" t="s">
        <v>2338</v>
      </c>
      <c r="H767" s="244" t="s">
        <v>170</v>
      </c>
      <c r="I767"/>
      <c r="J767" s="4"/>
      <c r="K767"/>
      <c r="O767" s="244" t="s">
        <v>1384</v>
      </c>
      <c r="P767" s="252" t="s">
        <v>448</v>
      </c>
      <c r="R767" s="251">
        <v>0.64</v>
      </c>
      <c r="AG767" s="244" t="s">
        <v>2346</v>
      </c>
    </row>
    <row r="768" spans="1:33" hidden="1">
      <c r="A768" s="358"/>
      <c r="B768" s="244" t="s">
        <v>1442</v>
      </c>
      <c r="C768" s="8">
        <v>915</v>
      </c>
      <c r="D768"/>
      <c r="E768"/>
      <c r="H768" s="244" t="s">
        <v>1443</v>
      </c>
      <c r="I768"/>
      <c r="J768" s="4"/>
      <c r="K768"/>
      <c r="R768" s="248" t="s">
        <v>1667</v>
      </c>
      <c r="AG768" s="244" t="s">
        <v>2346</v>
      </c>
    </row>
    <row r="769" spans="1:33" hidden="1">
      <c r="A769" s="358"/>
      <c r="B769" s="244" t="s">
        <v>135</v>
      </c>
      <c r="C769" s="8">
        <v>890</v>
      </c>
      <c r="D769"/>
      <c r="E769"/>
      <c r="H769" s="244" t="s">
        <v>136</v>
      </c>
      <c r="I769"/>
      <c r="J769" s="4"/>
      <c r="K769"/>
      <c r="O769" s="244" t="s">
        <v>2006</v>
      </c>
      <c r="R769" s="251" t="e">
        <f>SUM(R762:R767)</f>
        <v>#VALUE!</v>
      </c>
      <c r="AG769" s="244" t="s">
        <v>2346</v>
      </c>
    </row>
    <row r="770" spans="1:33" hidden="1">
      <c r="A770" s="358"/>
      <c r="B770" s="244" t="s">
        <v>2007</v>
      </c>
      <c r="C770" s="8">
        <v>5.15</v>
      </c>
      <c r="D770"/>
      <c r="E770"/>
      <c r="H770" s="248" t="s">
        <v>1667</v>
      </c>
      <c r="I770"/>
      <c r="J770" s="4"/>
      <c r="K770"/>
      <c r="R770" s="248" t="s">
        <v>1667</v>
      </c>
      <c r="AG770" s="244" t="s">
        <v>2346</v>
      </c>
    </row>
    <row r="771" spans="1:33" hidden="1">
      <c r="A771" s="358"/>
      <c r="B771" s="244" t="s">
        <v>1470</v>
      </c>
      <c r="C771" s="8">
        <v>43.3</v>
      </c>
      <c r="D771"/>
      <c r="E771"/>
      <c r="F771" s="363">
        <v>9</v>
      </c>
      <c r="G771" s="250" t="s">
        <v>884</v>
      </c>
      <c r="H771" s="244" t="s">
        <v>1471</v>
      </c>
      <c r="I771" s="8" t="e">
        <f>C73</f>
        <v>#REF!</v>
      </c>
      <c r="J771" s="2" t="s">
        <v>884</v>
      </c>
      <c r="K771" s="8" t="e">
        <f t="shared" ref="K771:K776" si="43">F771*I771</f>
        <v>#REF!</v>
      </c>
      <c r="O771" s="244" t="s">
        <v>1472</v>
      </c>
      <c r="R771" s="251" t="e">
        <f>(R769/0.4)</f>
        <v>#VALUE!</v>
      </c>
      <c r="AG771" s="244" t="s">
        <v>2346</v>
      </c>
    </row>
    <row r="772" spans="1:33" hidden="1">
      <c r="A772" s="358"/>
      <c r="B772" s="244" t="s">
        <v>83</v>
      </c>
      <c r="C772" s="8">
        <v>920</v>
      </c>
      <c r="D772"/>
      <c r="E772"/>
      <c r="F772" s="363">
        <v>4.3079999999999998</v>
      </c>
      <c r="G772" s="250" t="s">
        <v>876</v>
      </c>
      <c r="H772" s="244" t="s">
        <v>877</v>
      </c>
      <c r="I772" s="8">
        <f>C67</f>
        <v>3800</v>
      </c>
      <c r="J772" s="2" t="s">
        <v>876</v>
      </c>
      <c r="K772" s="8">
        <f t="shared" si="43"/>
        <v>16370.4</v>
      </c>
      <c r="R772" s="248" t="s">
        <v>2130</v>
      </c>
      <c r="AG772" s="244" t="s">
        <v>2346</v>
      </c>
    </row>
    <row r="773" spans="1:33" hidden="1">
      <c r="A773" s="358"/>
      <c r="B773" s="244" t="s">
        <v>84</v>
      </c>
      <c r="C773" s="8">
        <v>98</v>
      </c>
      <c r="D773"/>
      <c r="E773"/>
      <c r="F773" s="363">
        <v>4.5</v>
      </c>
      <c r="G773" s="250" t="s">
        <v>884</v>
      </c>
      <c r="H773" s="244" t="s">
        <v>885</v>
      </c>
      <c r="I773" s="8" t="e">
        <f>C78</f>
        <v>#REF!</v>
      </c>
      <c r="J773" s="2" t="s">
        <v>884</v>
      </c>
      <c r="K773" s="8" t="e">
        <f t="shared" si="43"/>
        <v>#REF!</v>
      </c>
      <c r="N773" s="244" t="s">
        <v>2338</v>
      </c>
      <c r="O773" s="244" t="s">
        <v>2188</v>
      </c>
      <c r="AG773" s="244" t="s">
        <v>2346</v>
      </c>
    </row>
    <row r="774" spans="1:33" hidden="1">
      <c r="A774" s="358"/>
      <c r="B774" s="244" t="s">
        <v>2189</v>
      </c>
      <c r="C774" s="8">
        <v>181</v>
      </c>
      <c r="D774"/>
      <c r="E774"/>
      <c r="F774" s="363">
        <v>3.5</v>
      </c>
      <c r="G774" s="250" t="s">
        <v>883</v>
      </c>
      <c r="H774" s="244" t="s">
        <v>1791</v>
      </c>
      <c r="I774" s="8">
        <f>C11</f>
        <v>135</v>
      </c>
      <c r="J774" s="2" t="s">
        <v>883</v>
      </c>
      <c r="K774" s="8">
        <f t="shared" si="43"/>
        <v>472.5</v>
      </c>
      <c r="O774" s="244" t="s">
        <v>719</v>
      </c>
      <c r="AG774" s="244" t="s">
        <v>2346</v>
      </c>
    </row>
    <row r="775" spans="1:33" hidden="1">
      <c r="A775" s="358"/>
      <c r="B775" s="244" t="s">
        <v>94</v>
      </c>
      <c r="C775" s="8">
        <v>1148.76</v>
      </c>
      <c r="D775"/>
      <c r="E775"/>
      <c r="F775" s="363">
        <v>21.2</v>
      </c>
      <c r="G775" s="250" t="s">
        <v>883</v>
      </c>
      <c r="H775" s="244" t="s">
        <v>1979</v>
      </c>
      <c r="I775" s="8">
        <f>C12</f>
        <v>95</v>
      </c>
      <c r="J775" s="2" t="s">
        <v>883</v>
      </c>
      <c r="K775" s="8">
        <f t="shared" si="43"/>
        <v>2014</v>
      </c>
      <c r="O775" s="244" t="s">
        <v>95</v>
      </c>
      <c r="AG775" s="244" t="s">
        <v>2346</v>
      </c>
    </row>
    <row r="776" spans="1:33" hidden="1">
      <c r="A776" s="358"/>
      <c r="B776" s="244" t="s">
        <v>1627</v>
      </c>
      <c r="C776" s="8">
        <v>967</v>
      </c>
      <c r="D776"/>
      <c r="E776"/>
      <c r="F776" s="363">
        <v>35.299999999999997</v>
      </c>
      <c r="G776" s="250" t="s">
        <v>883</v>
      </c>
      <c r="H776" s="244" t="s">
        <v>324</v>
      </c>
      <c r="I776" s="8">
        <f>C13</f>
        <v>85</v>
      </c>
      <c r="J776" s="2" t="s">
        <v>883</v>
      </c>
      <c r="K776" s="8">
        <f t="shared" si="43"/>
        <v>3000.5</v>
      </c>
      <c r="O776" s="248" t="s">
        <v>1667</v>
      </c>
      <c r="AG776" s="244" t="s">
        <v>2346</v>
      </c>
    </row>
    <row r="777" spans="1:33" hidden="1">
      <c r="A777" s="358"/>
      <c r="B777" s="244" t="s">
        <v>2131</v>
      </c>
      <c r="C777" s="8">
        <v>30</v>
      </c>
      <c r="D777"/>
      <c r="E777"/>
      <c r="F777" s="252" t="s">
        <v>448</v>
      </c>
      <c r="H777" s="244" t="s">
        <v>449</v>
      </c>
      <c r="I777"/>
      <c r="J777" s="2" t="s">
        <v>448</v>
      </c>
      <c r="K777" s="8">
        <v>0</v>
      </c>
      <c r="N777" s="252" t="s">
        <v>1981</v>
      </c>
      <c r="O777" s="244" t="s">
        <v>870</v>
      </c>
      <c r="AG777" s="244" t="s">
        <v>2346</v>
      </c>
    </row>
    <row r="778" spans="1:33" hidden="1">
      <c r="A778" s="358"/>
      <c r="B778" s="244" t="s">
        <v>1845</v>
      </c>
      <c r="C778" s="8">
        <v>2107</v>
      </c>
      <c r="D778"/>
      <c r="E778"/>
      <c r="I778"/>
      <c r="J778" s="4"/>
      <c r="K778" s="5" t="s">
        <v>1667</v>
      </c>
      <c r="O778" s="244" t="s">
        <v>1846</v>
      </c>
      <c r="AG778" s="244" t="s">
        <v>2346</v>
      </c>
    </row>
    <row r="779" spans="1:33" hidden="1">
      <c r="A779" s="358"/>
      <c r="B779" s="244" t="s">
        <v>1847</v>
      </c>
      <c r="C779" s="8">
        <v>650</v>
      </c>
      <c r="D779"/>
      <c r="E779"/>
      <c r="H779" s="354" t="s">
        <v>618</v>
      </c>
      <c r="I779"/>
      <c r="J779" s="4"/>
      <c r="K779" s="8" t="e">
        <f>SUM(K771:K777)</f>
        <v>#REF!</v>
      </c>
      <c r="N779" s="244" t="s">
        <v>267</v>
      </c>
      <c r="O779" s="244" t="s">
        <v>1848</v>
      </c>
      <c r="P779" s="251">
        <v>43</v>
      </c>
      <c r="R779" s="251" t="e">
        <f>(#VALUE!*P779)</f>
        <v>#VALUE!</v>
      </c>
      <c r="AG779" s="244" t="s">
        <v>2346</v>
      </c>
    </row>
    <row r="780" spans="1:33" hidden="1">
      <c r="A780" s="358"/>
      <c r="B780" s="244" t="s">
        <v>1342</v>
      </c>
      <c r="C780" s="57">
        <v>160</v>
      </c>
      <c r="D780"/>
      <c r="E780"/>
      <c r="I780"/>
      <c r="J780" s="4"/>
      <c r="K780" s="5" t="s">
        <v>2130</v>
      </c>
      <c r="O780" s="244" t="s">
        <v>1995</v>
      </c>
      <c r="AG780" s="244" t="s">
        <v>2346</v>
      </c>
    </row>
    <row r="781" spans="1:33" hidden="1">
      <c r="A781" s="358"/>
      <c r="B781" s="244" t="s">
        <v>1343</v>
      </c>
      <c r="C781" s="57">
        <v>110</v>
      </c>
      <c r="D781"/>
      <c r="E781"/>
      <c r="H781" s="244" t="s">
        <v>785</v>
      </c>
      <c r="I781"/>
      <c r="J781" s="4"/>
      <c r="K781" s="8" t="e">
        <f>K779/10</f>
        <v>#REF!</v>
      </c>
      <c r="O781" s="244" t="s">
        <v>1005</v>
      </c>
      <c r="AG781" s="244" t="s">
        <v>2346</v>
      </c>
    </row>
    <row r="782" spans="1:33" hidden="1">
      <c r="A782" s="358"/>
      <c r="C782"/>
      <c r="D782"/>
      <c r="E782"/>
      <c r="I782"/>
      <c r="J782" s="4"/>
      <c r="K782"/>
      <c r="N782" s="244" t="s">
        <v>611</v>
      </c>
      <c r="O782" s="244" t="s">
        <v>1006</v>
      </c>
      <c r="P782" s="251">
        <f>C271</f>
        <v>160</v>
      </c>
      <c r="R782" s="251" t="e">
        <f t="shared" ref="R782:R789" si="44">(#VALUE!*P782)</f>
        <v>#VALUE!</v>
      </c>
      <c r="AG782" s="244" t="s">
        <v>2346</v>
      </c>
    </row>
    <row r="783" spans="1:33" hidden="1">
      <c r="A783" s="358"/>
      <c r="C783">
        <v>3.05</v>
      </c>
      <c r="D783"/>
      <c r="E783"/>
      <c r="F783" s="251">
        <v>1</v>
      </c>
      <c r="G783" s="250" t="s">
        <v>884</v>
      </c>
      <c r="H783" s="244" t="s">
        <v>50</v>
      </c>
      <c r="I783" s="8">
        <f>C25</f>
        <v>20.7</v>
      </c>
      <c r="J783" s="4"/>
      <c r="K783" s="8">
        <f>F783*I783</f>
        <v>20.7</v>
      </c>
      <c r="N783" s="244" t="s">
        <v>883</v>
      </c>
      <c r="O783" s="244" t="s">
        <v>155</v>
      </c>
      <c r="P783" s="251">
        <v>5</v>
      </c>
      <c r="R783" s="251" t="e">
        <f t="shared" si="44"/>
        <v>#VALUE!</v>
      </c>
      <c r="AG783" s="244" t="s">
        <v>2346</v>
      </c>
    </row>
    <row r="784" spans="1:33" hidden="1">
      <c r="A784" s="358"/>
      <c r="C784">
        <v>30</v>
      </c>
      <c r="D784"/>
      <c r="E784"/>
      <c r="I784"/>
      <c r="J784" s="4"/>
      <c r="K784" s="5" t="s">
        <v>1667</v>
      </c>
      <c r="N784" s="244" t="s">
        <v>883</v>
      </c>
      <c r="O784" s="244" t="s">
        <v>156</v>
      </c>
      <c r="P784" s="251">
        <v>10</v>
      </c>
      <c r="R784" s="251" t="e">
        <f t="shared" si="44"/>
        <v>#VALUE!</v>
      </c>
      <c r="AG784" s="244" t="s">
        <v>2346</v>
      </c>
    </row>
    <row r="785" spans="1:33" hidden="1">
      <c r="A785" s="358"/>
      <c r="C785">
        <v>35</v>
      </c>
      <c r="D785"/>
      <c r="E785"/>
      <c r="I785"/>
      <c r="J785" s="4"/>
      <c r="K785" s="8" t="e">
        <f>SUM(K781:K783)</f>
        <v>#REF!</v>
      </c>
      <c r="N785" s="244" t="s">
        <v>883</v>
      </c>
      <c r="O785" s="244" t="s">
        <v>1830</v>
      </c>
      <c r="P785" s="251">
        <v>8</v>
      </c>
      <c r="R785" s="251" t="e">
        <f t="shared" si="44"/>
        <v>#VALUE!</v>
      </c>
      <c r="AG785" s="244" t="s">
        <v>2346</v>
      </c>
    </row>
    <row r="786" spans="1:33" hidden="1">
      <c r="A786" s="358"/>
      <c r="C786">
        <v>125</v>
      </c>
      <c r="D786"/>
      <c r="E786"/>
      <c r="I786"/>
      <c r="J786" s="4"/>
      <c r="K786" s="5" t="s">
        <v>1667</v>
      </c>
      <c r="N786" s="244" t="s">
        <v>840</v>
      </c>
      <c r="O786" s="244" t="s">
        <v>1562</v>
      </c>
      <c r="P786" s="251">
        <v>13.66</v>
      </c>
      <c r="R786" s="251" t="e">
        <f t="shared" si="44"/>
        <v>#VALUE!</v>
      </c>
      <c r="AG786" s="244" t="s">
        <v>2346</v>
      </c>
    </row>
    <row r="787" spans="1:33" hidden="1">
      <c r="A787" s="358"/>
      <c r="B787" s="245" t="s">
        <v>3105</v>
      </c>
      <c r="C787" s="130">
        <v>162</v>
      </c>
      <c r="D787" s="130">
        <v>179</v>
      </c>
      <c r="E787"/>
      <c r="I787"/>
      <c r="J787" s="4"/>
      <c r="K787" s="5"/>
      <c r="N787" s="244"/>
      <c r="O787" s="244"/>
      <c r="P787" s="251"/>
      <c r="R787" s="251"/>
      <c r="AG787" s="244"/>
    </row>
    <row r="788" spans="1:33" hidden="1">
      <c r="A788" s="358"/>
      <c r="B788" s="245" t="s">
        <v>3106</v>
      </c>
      <c r="C788" s="213">
        <v>185</v>
      </c>
      <c r="D788"/>
      <c r="E788"/>
      <c r="H788" s="244" t="s">
        <v>388</v>
      </c>
      <c r="I788"/>
      <c r="J788" s="4"/>
      <c r="K788" s="8" t="e">
        <f>(K785+C22)</f>
        <v>#REF!</v>
      </c>
      <c r="N788" s="244" t="s">
        <v>611</v>
      </c>
      <c r="O788" s="244" t="s">
        <v>1563</v>
      </c>
      <c r="P788" s="251">
        <v>25.46</v>
      </c>
      <c r="R788" s="251" t="e">
        <f t="shared" si="44"/>
        <v>#VALUE!</v>
      </c>
      <c r="AG788" s="244" t="s">
        <v>2346</v>
      </c>
    </row>
    <row r="789" spans="1:33" hidden="1">
      <c r="A789" s="358"/>
      <c r="B789" s="245" t="s">
        <v>3107</v>
      </c>
      <c r="C789" s="213">
        <v>170</v>
      </c>
      <c r="D789"/>
      <c r="E789"/>
      <c r="H789" s="244" t="s">
        <v>390</v>
      </c>
      <c r="I789"/>
      <c r="J789" s="4"/>
      <c r="K789" s="8" t="e">
        <f>(K788+C23)</f>
        <v>#REF!</v>
      </c>
      <c r="N789" s="244" t="s">
        <v>883</v>
      </c>
      <c r="O789" s="244" t="s">
        <v>1377</v>
      </c>
      <c r="P789" s="251">
        <v>0.5</v>
      </c>
      <c r="R789" s="251" t="e">
        <f t="shared" si="44"/>
        <v>#VALUE!</v>
      </c>
      <c r="AG789" s="244" t="s">
        <v>2346</v>
      </c>
    </row>
    <row r="790" spans="1:33" hidden="1">
      <c r="A790" s="358"/>
      <c r="B790" s="245" t="s">
        <v>3108</v>
      </c>
      <c r="C790" s="213">
        <v>160</v>
      </c>
      <c r="D790"/>
      <c r="E790"/>
      <c r="H790" s="244" t="s">
        <v>2319</v>
      </c>
      <c r="I790"/>
      <c r="J790" s="4"/>
      <c r="K790" s="8" t="e">
        <f>(K789+C24)</f>
        <v>#REF!</v>
      </c>
      <c r="R790" s="251">
        <v>0.54</v>
      </c>
      <c r="AG790" s="244" t="s">
        <v>325</v>
      </c>
    </row>
    <row r="791" spans="1:33" hidden="1">
      <c r="A791" s="358"/>
      <c r="B791" s="185" t="s">
        <v>1343</v>
      </c>
      <c r="C791" s="213">
        <v>121</v>
      </c>
      <c r="D791"/>
      <c r="E791"/>
      <c r="H791" s="244" t="s">
        <v>382</v>
      </c>
      <c r="I791"/>
      <c r="J791" s="4"/>
      <c r="K791" s="8" t="e">
        <f>(K790+C24)</f>
        <v>#REF!</v>
      </c>
      <c r="R791" s="248" t="s">
        <v>1667</v>
      </c>
    </row>
    <row r="792" spans="1:33" hidden="1">
      <c r="A792" s="358"/>
      <c r="B792" s="185" t="s">
        <v>3109</v>
      </c>
      <c r="C792" s="130">
        <v>120</v>
      </c>
      <c r="D792"/>
      <c r="E792"/>
      <c r="H792" s="244" t="s">
        <v>1595</v>
      </c>
      <c r="I792"/>
      <c r="J792" s="4"/>
      <c r="K792" s="8" t="e">
        <f>(K791+C24)</f>
        <v>#REF!</v>
      </c>
      <c r="O792" s="354" t="s">
        <v>1378</v>
      </c>
      <c r="R792" s="251" t="e">
        <f>SUM(R779:R790)</f>
        <v>#VALUE!</v>
      </c>
    </row>
    <row r="793" spans="1:33" hidden="1">
      <c r="B793" s="185" t="s">
        <v>3110</v>
      </c>
      <c r="C793" s="130">
        <v>70</v>
      </c>
      <c r="D793"/>
      <c r="E793"/>
      <c r="F793" s="244" t="s">
        <v>995</v>
      </c>
      <c r="I793"/>
      <c r="J793" s="4"/>
      <c r="K793"/>
    </row>
    <row r="794" spans="1:33" hidden="1">
      <c r="A794" s="358"/>
      <c r="B794" s="185" t="s">
        <v>3111</v>
      </c>
      <c r="C794">
        <v>35</v>
      </c>
      <c r="D794"/>
      <c r="E794"/>
      <c r="F794" s="244" t="s">
        <v>995</v>
      </c>
      <c r="G794" s="250" t="s">
        <v>2338</v>
      </c>
      <c r="H794" s="354" t="s">
        <v>1379</v>
      </c>
      <c r="I794"/>
      <c r="J794" s="4"/>
      <c r="K794"/>
      <c r="R794" s="248" t="s">
        <v>1667</v>
      </c>
      <c r="AG794" s="244" t="s">
        <v>2346</v>
      </c>
    </row>
    <row r="795" spans="1:33" hidden="1">
      <c r="A795" s="358"/>
      <c r="B795" s="185" t="s">
        <v>3112</v>
      </c>
      <c r="C795">
        <v>90</v>
      </c>
      <c r="D795"/>
      <c r="E795"/>
      <c r="H795" s="248" t="s">
        <v>2130</v>
      </c>
      <c r="I795"/>
      <c r="J795" s="4"/>
      <c r="K795"/>
      <c r="AG795" s="244" t="s">
        <v>2346</v>
      </c>
    </row>
    <row r="796" spans="1:33" hidden="1">
      <c r="A796" s="358"/>
      <c r="B796" s="185" t="s">
        <v>3117</v>
      </c>
      <c r="C796" s="130">
        <v>140</v>
      </c>
      <c r="D796"/>
      <c r="E796"/>
      <c r="I796"/>
      <c r="J796" s="4"/>
      <c r="K796"/>
      <c r="N796" s="244" t="s">
        <v>519</v>
      </c>
      <c r="O796" s="244" t="s">
        <v>1380</v>
      </c>
      <c r="AG796" s="244" t="s">
        <v>2346</v>
      </c>
    </row>
    <row r="797" spans="1:33" ht="31.5" hidden="1">
      <c r="A797" s="377">
        <v>1</v>
      </c>
      <c r="B797" s="378" t="s">
        <v>3341</v>
      </c>
      <c r="C797"/>
      <c r="D797"/>
      <c r="E797"/>
      <c r="F797" s="354" t="s">
        <v>1381</v>
      </c>
      <c r="G797" s="250" t="s">
        <v>2338</v>
      </c>
      <c r="H797" s="244" t="s">
        <v>2106</v>
      </c>
      <c r="I797"/>
      <c r="J797" s="4"/>
      <c r="K797"/>
      <c r="O797" s="244" t="s">
        <v>1846</v>
      </c>
      <c r="AG797" s="244" t="s">
        <v>2346</v>
      </c>
    </row>
    <row r="798" spans="1:33" hidden="1">
      <c r="A798" s="377"/>
      <c r="B798" s="185" t="s">
        <v>3342</v>
      </c>
      <c r="C798" s="208">
        <v>11</v>
      </c>
      <c r="D798"/>
      <c r="E798"/>
      <c r="H798" s="244" t="s">
        <v>2107</v>
      </c>
      <c r="I798"/>
      <c r="J798" s="4"/>
      <c r="K798"/>
      <c r="N798" s="244" t="s">
        <v>267</v>
      </c>
      <c r="O798" s="244" t="s">
        <v>1848</v>
      </c>
      <c r="P798" s="251">
        <v>43</v>
      </c>
      <c r="R798" s="251" t="e">
        <f>(#VALUE!*P798)</f>
        <v>#VALUE!</v>
      </c>
      <c r="AG798" s="244" t="s">
        <v>2346</v>
      </c>
    </row>
    <row r="799" spans="1:33" hidden="1">
      <c r="A799" s="379"/>
      <c r="B799" s="185" t="s">
        <v>3343</v>
      </c>
      <c r="C799" s="208">
        <v>11</v>
      </c>
      <c r="D799"/>
      <c r="E799"/>
      <c r="H799" s="244" t="s">
        <v>2108</v>
      </c>
      <c r="I799"/>
      <c r="J799" s="4"/>
      <c r="K799"/>
      <c r="O799" s="244" t="s">
        <v>1995</v>
      </c>
      <c r="AG799" s="244" t="s">
        <v>2346</v>
      </c>
    </row>
    <row r="800" spans="1:33" hidden="1">
      <c r="A800" s="377"/>
      <c r="B800" s="185" t="s">
        <v>3344</v>
      </c>
      <c r="C800" s="208">
        <v>11</v>
      </c>
      <c r="D800"/>
      <c r="E800"/>
      <c r="H800" s="244" t="s">
        <v>907</v>
      </c>
      <c r="I800"/>
      <c r="J800" s="4"/>
      <c r="K800"/>
      <c r="O800" s="244" t="s">
        <v>1005</v>
      </c>
      <c r="AG800" s="244" t="s">
        <v>2346</v>
      </c>
    </row>
    <row r="801" spans="1:33" hidden="1">
      <c r="A801" s="379"/>
      <c r="B801" s="185" t="s">
        <v>3345</v>
      </c>
      <c r="C801" s="208">
        <v>11</v>
      </c>
      <c r="D801"/>
      <c r="E801"/>
      <c r="H801" s="244" t="s">
        <v>908</v>
      </c>
      <c r="I801"/>
      <c r="J801" s="4"/>
      <c r="K801"/>
      <c r="N801" s="244" t="s">
        <v>611</v>
      </c>
      <c r="O801" s="244" t="s">
        <v>1006</v>
      </c>
      <c r="P801" s="251">
        <f>C271</f>
        <v>160</v>
      </c>
      <c r="R801" s="251" t="e">
        <f t="shared" ref="R801:R807" si="45">(#VALUE!*P801)</f>
        <v>#VALUE!</v>
      </c>
      <c r="AG801" s="244" t="s">
        <v>2346</v>
      </c>
    </row>
    <row r="802" spans="1:33" hidden="1">
      <c r="A802" s="377"/>
      <c r="B802" s="185" t="s">
        <v>3346</v>
      </c>
      <c r="C802" s="208">
        <v>12</v>
      </c>
      <c r="D802"/>
      <c r="E802"/>
      <c r="H802" s="244" t="s">
        <v>1801</v>
      </c>
      <c r="I802"/>
      <c r="J802" s="4"/>
      <c r="K802"/>
      <c r="N802" s="244" t="s">
        <v>883</v>
      </c>
      <c r="O802" s="244" t="s">
        <v>155</v>
      </c>
      <c r="P802" s="251">
        <v>5</v>
      </c>
      <c r="R802" s="251" t="e">
        <f t="shared" si="45"/>
        <v>#VALUE!</v>
      </c>
      <c r="AG802" s="244" t="s">
        <v>2346</v>
      </c>
    </row>
    <row r="803" spans="1:33" hidden="1">
      <c r="A803" s="379"/>
      <c r="B803" s="185" t="s">
        <v>3347</v>
      </c>
      <c r="C803" s="34" t="s">
        <v>3348</v>
      </c>
      <c r="D803"/>
      <c r="E803"/>
      <c r="H803" s="244" t="s">
        <v>96</v>
      </c>
      <c r="I803"/>
      <c r="J803" s="4"/>
      <c r="K803"/>
      <c r="N803" s="244" t="s">
        <v>883</v>
      </c>
      <c r="O803" s="244" t="s">
        <v>156</v>
      </c>
      <c r="P803" s="251">
        <v>10</v>
      </c>
      <c r="R803" s="251" t="e">
        <f t="shared" si="45"/>
        <v>#VALUE!</v>
      </c>
      <c r="AG803" s="244" t="s">
        <v>2346</v>
      </c>
    </row>
    <row r="804" spans="1:33" hidden="1">
      <c r="A804" s="377"/>
      <c r="B804" s="185" t="s">
        <v>3349</v>
      </c>
      <c r="C804" s="130">
        <v>25</v>
      </c>
      <c r="D804"/>
      <c r="E804"/>
      <c r="H804" s="244" t="s">
        <v>97</v>
      </c>
      <c r="I804"/>
      <c r="J804" s="4"/>
      <c r="K804"/>
      <c r="N804" s="244" t="s">
        <v>883</v>
      </c>
      <c r="O804" s="244" t="s">
        <v>1830</v>
      </c>
      <c r="P804" s="251">
        <v>8</v>
      </c>
      <c r="R804" s="251" t="e">
        <f t="shared" si="45"/>
        <v>#VALUE!</v>
      </c>
      <c r="AG804" s="244" t="s">
        <v>2346</v>
      </c>
    </row>
    <row r="805" spans="1:33" hidden="1">
      <c r="A805" s="379"/>
      <c r="B805" s="185" t="s">
        <v>3350</v>
      </c>
      <c r="C805" s="34" t="s">
        <v>3348</v>
      </c>
      <c r="D805"/>
      <c r="E805"/>
      <c r="H805" s="244" t="s">
        <v>98</v>
      </c>
      <c r="I805"/>
      <c r="J805" s="4"/>
      <c r="K805"/>
      <c r="N805" s="244" t="s">
        <v>840</v>
      </c>
      <c r="O805" s="244" t="s">
        <v>1562</v>
      </c>
      <c r="P805" s="251">
        <v>13.66</v>
      </c>
      <c r="R805" s="251" t="e">
        <f t="shared" si="45"/>
        <v>#VALUE!</v>
      </c>
      <c r="AG805" s="244" t="s">
        <v>2346</v>
      </c>
    </row>
    <row r="806" spans="1:33" hidden="1">
      <c r="A806" s="377"/>
      <c r="B806" s="185" t="s">
        <v>3351</v>
      </c>
      <c r="C806" s="34" t="s">
        <v>3348</v>
      </c>
      <c r="D806"/>
      <c r="E806"/>
      <c r="H806" s="244" t="s">
        <v>99</v>
      </c>
      <c r="I806"/>
      <c r="J806" s="4"/>
      <c r="K806"/>
      <c r="N806" s="244" t="s">
        <v>611</v>
      </c>
      <c r="O806" s="244" t="s">
        <v>1563</v>
      </c>
      <c r="P806" s="251">
        <v>25.46</v>
      </c>
      <c r="R806" s="251" t="e">
        <f t="shared" si="45"/>
        <v>#VALUE!</v>
      </c>
      <c r="AG806" s="244" t="s">
        <v>2346</v>
      </c>
    </row>
    <row r="807" spans="1:33" hidden="1">
      <c r="A807" s="379"/>
      <c r="B807" s="185" t="s">
        <v>3352</v>
      </c>
      <c r="C807" s="34" t="s">
        <v>3348</v>
      </c>
      <c r="D807"/>
      <c r="E807"/>
      <c r="H807" s="244" t="s">
        <v>2128</v>
      </c>
      <c r="I807"/>
      <c r="J807" s="4"/>
      <c r="K807"/>
      <c r="N807" s="244" t="s">
        <v>883</v>
      </c>
      <c r="O807" s="244" t="s">
        <v>1377</v>
      </c>
      <c r="P807" s="251">
        <v>0.5</v>
      </c>
      <c r="R807" s="251" t="e">
        <f t="shared" si="45"/>
        <v>#VALUE!</v>
      </c>
      <c r="AG807" s="244" t="s">
        <v>2346</v>
      </c>
    </row>
    <row r="808" spans="1:33" ht="31.5" hidden="1">
      <c r="A808" s="377">
        <v>2</v>
      </c>
      <c r="B808" s="378" t="s">
        <v>3353</v>
      </c>
      <c r="C808"/>
      <c r="D808"/>
      <c r="E808"/>
      <c r="H808" s="244" t="s">
        <v>1057</v>
      </c>
      <c r="I808"/>
      <c r="J808" s="4"/>
      <c r="K808"/>
      <c r="R808" s="251">
        <v>0.7</v>
      </c>
      <c r="AG808" s="244" t="s">
        <v>2346</v>
      </c>
    </row>
    <row r="809" spans="1:33" hidden="1">
      <c r="A809" s="379"/>
      <c r="B809" s="185" t="s">
        <v>3354</v>
      </c>
      <c r="C809" s="208">
        <v>12.5</v>
      </c>
      <c r="D809"/>
      <c r="E809"/>
      <c r="H809" s="244" t="s">
        <v>1861</v>
      </c>
      <c r="I809"/>
      <c r="J809" s="4"/>
      <c r="K809"/>
      <c r="R809" s="248" t="s">
        <v>1667</v>
      </c>
      <c r="AG809" s="244" t="s">
        <v>2346</v>
      </c>
    </row>
    <row r="810" spans="1:33" hidden="1">
      <c r="A810" s="377">
        <v>3</v>
      </c>
      <c r="B810" s="185" t="s">
        <v>3355</v>
      </c>
      <c r="C810" s="130">
        <v>242</v>
      </c>
      <c r="D810"/>
      <c r="E810"/>
      <c r="H810" s="244" t="s">
        <v>1862</v>
      </c>
      <c r="I810"/>
      <c r="J810" s="4"/>
      <c r="K810"/>
      <c r="O810" s="354" t="s">
        <v>1378</v>
      </c>
      <c r="R810" s="251" t="e">
        <f>SUM(R798:R808)</f>
        <v>#VALUE!</v>
      </c>
      <c r="AG810" s="244" t="s">
        <v>2346</v>
      </c>
    </row>
    <row r="811" spans="1:33" hidden="1">
      <c r="A811" s="379" t="s">
        <v>3356</v>
      </c>
      <c r="B811" s="380" t="s">
        <v>3357</v>
      </c>
      <c r="C811"/>
      <c r="D811"/>
      <c r="E811"/>
      <c r="I811"/>
      <c r="J811" s="4"/>
      <c r="K811"/>
      <c r="R811" s="248" t="s">
        <v>1667</v>
      </c>
      <c r="AG811" s="244" t="s">
        <v>2346</v>
      </c>
    </row>
    <row r="812" spans="1:33" hidden="1">
      <c r="A812" s="377"/>
      <c r="B812" s="185" t="s">
        <v>2664</v>
      </c>
      <c r="C812" s="381">
        <v>75</v>
      </c>
      <c r="D812"/>
      <c r="E812"/>
      <c r="I812"/>
      <c r="J812" s="4"/>
      <c r="K812"/>
      <c r="R812" s="248"/>
      <c r="AG812" s="244"/>
    </row>
    <row r="813" spans="1:33" hidden="1">
      <c r="A813" s="379"/>
      <c r="B813" s="382" t="s">
        <v>2665</v>
      </c>
      <c r="C813" s="381">
        <v>80</v>
      </c>
      <c r="D813"/>
      <c r="E813"/>
      <c r="G813" s="250" t="s">
        <v>321</v>
      </c>
      <c r="H813" s="354" t="s">
        <v>1859</v>
      </c>
      <c r="I813"/>
      <c r="J813" s="4"/>
      <c r="K813"/>
      <c r="R813" s="248"/>
      <c r="AG813" s="244"/>
    </row>
    <row r="814" spans="1:33" ht="31.5" hidden="1">
      <c r="A814" s="377">
        <v>4</v>
      </c>
      <c r="B814" s="378" t="s">
        <v>2699</v>
      </c>
      <c r="C814"/>
      <c r="D814"/>
      <c r="E814"/>
      <c r="H814" s="354" t="s">
        <v>1864</v>
      </c>
      <c r="I814"/>
      <c r="J814" s="4"/>
      <c r="K814"/>
      <c r="R814" s="248"/>
      <c r="AG814" s="244"/>
    </row>
    <row r="815" spans="1:33" hidden="1">
      <c r="A815" s="379"/>
      <c r="B815" s="185" t="s">
        <v>2700</v>
      </c>
      <c r="C815" s="130">
        <v>42</v>
      </c>
      <c r="D815"/>
      <c r="E815"/>
      <c r="F815" s="373">
        <v>3.8800000000000001E-2</v>
      </c>
      <c r="G815" s="250" t="s">
        <v>884</v>
      </c>
      <c r="H815" s="244" t="s">
        <v>2146</v>
      </c>
      <c r="I815" s="8" t="e">
        <f>K781</f>
        <v>#REF!</v>
      </c>
      <c r="J815" s="2" t="s">
        <v>884</v>
      </c>
      <c r="K815" s="8" t="e">
        <f>F815*I815</f>
        <v>#REF!</v>
      </c>
      <c r="R815" s="248"/>
      <c r="AG815" s="244"/>
    </row>
    <row r="816" spans="1:33" hidden="1">
      <c r="A816" s="377"/>
      <c r="B816" s="185" t="s">
        <v>2701</v>
      </c>
      <c r="C816" s="130">
        <v>46</v>
      </c>
      <c r="D816"/>
      <c r="E816"/>
      <c r="F816" s="251">
        <v>5.01</v>
      </c>
      <c r="G816" s="250" t="s">
        <v>1730</v>
      </c>
      <c r="H816" s="244" t="s">
        <v>2147</v>
      </c>
      <c r="I816" s="8">
        <f>K1513</f>
        <v>33174.400000000001</v>
      </c>
      <c r="J816" s="2" t="s">
        <v>876</v>
      </c>
      <c r="K816" s="8">
        <f>F816*I816/1000</f>
        <v>166.2</v>
      </c>
      <c r="R816" s="248"/>
      <c r="AG816" s="244"/>
    </row>
    <row r="817" spans="1:33" hidden="1">
      <c r="A817" s="379"/>
      <c r="B817" s="185" t="s">
        <v>3194</v>
      </c>
      <c r="C817" s="130">
        <v>42</v>
      </c>
      <c r="D817"/>
      <c r="E817"/>
      <c r="F817" s="251">
        <v>3</v>
      </c>
      <c r="G817" s="250" t="s">
        <v>883</v>
      </c>
      <c r="H817" s="244" t="s">
        <v>1235</v>
      </c>
      <c r="I817" s="8">
        <v>16.5</v>
      </c>
      <c r="J817" s="2" t="s">
        <v>883</v>
      </c>
      <c r="K817" s="8">
        <f t="shared" ref="K817:K824" si="46">F817*I817</f>
        <v>49.5</v>
      </c>
      <c r="R817" s="248"/>
      <c r="AG817" s="244"/>
    </row>
    <row r="818" spans="1:33" ht="31.5" hidden="1">
      <c r="A818" s="377">
        <v>5</v>
      </c>
      <c r="B818" s="378" t="s">
        <v>3195</v>
      </c>
      <c r="C818"/>
      <c r="D818"/>
      <c r="E818"/>
      <c r="F818" s="251">
        <v>12</v>
      </c>
      <c r="G818" s="250" t="s">
        <v>883</v>
      </c>
      <c r="H818" s="244" t="s">
        <v>1236</v>
      </c>
      <c r="I818" s="8">
        <v>3.85</v>
      </c>
      <c r="J818" s="2" t="s">
        <v>883</v>
      </c>
      <c r="K818" s="8">
        <f t="shared" si="46"/>
        <v>46.2</v>
      </c>
      <c r="R818" s="248"/>
      <c r="AG818" s="244"/>
    </row>
    <row r="819" spans="1:33" hidden="1">
      <c r="A819" s="379"/>
      <c r="B819" s="185" t="s">
        <v>3196</v>
      </c>
      <c r="C819" s="130">
        <v>174</v>
      </c>
      <c r="D819"/>
      <c r="E819"/>
      <c r="F819" s="251">
        <v>2</v>
      </c>
      <c r="G819" s="250" t="s">
        <v>883</v>
      </c>
      <c r="H819" s="244" t="s">
        <v>1237</v>
      </c>
      <c r="I819" s="8">
        <v>5</v>
      </c>
      <c r="J819" s="2" t="s">
        <v>883</v>
      </c>
      <c r="K819" s="8">
        <f t="shared" si="46"/>
        <v>10</v>
      </c>
      <c r="R819" s="248"/>
      <c r="AG819" s="244"/>
    </row>
    <row r="820" spans="1:33" hidden="1">
      <c r="A820" s="377"/>
      <c r="B820" s="185" t="s">
        <v>3197</v>
      </c>
      <c r="C820" s="130">
        <v>182</v>
      </c>
      <c r="D820"/>
      <c r="E820"/>
      <c r="F820" s="251">
        <v>6</v>
      </c>
      <c r="G820" s="250" t="s">
        <v>883</v>
      </c>
      <c r="H820" s="244" t="s">
        <v>2300</v>
      </c>
      <c r="I820" s="8">
        <v>3.85</v>
      </c>
      <c r="J820" s="2" t="s">
        <v>883</v>
      </c>
      <c r="K820" s="8">
        <f t="shared" si="46"/>
        <v>23.1</v>
      </c>
      <c r="R820" s="248"/>
      <c r="AG820" s="244"/>
    </row>
    <row r="821" spans="1:33" hidden="1">
      <c r="A821" s="379"/>
      <c r="B821" s="185" t="s">
        <v>3198</v>
      </c>
      <c r="C821" s="130">
        <v>444</v>
      </c>
      <c r="D821"/>
      <c r="E821"/>
      <c r="F821" s="251">
        <v>1</v>
      </c>
      <c r="G821" s="250" t="s">
        <v>883</v>
      </c>
      <c r="H821" s="244" t="s">
        <v>1241</v>
      </c>
      <c r="I821" s="8">
        <f>C10</f>
        <v>150</v>
      </c>
      <c r="J821" s="2" t="s">
        <v>883</v>
      </c>
      <c r="K821" s="8">
        <f t="shared" si="46"/>
        <v>150</v>
      </c>
      <c r="R821" s="248"/>
      <c r="AG821" s="244"/>
    </row>
    <row r="822" spans="1:33" hidden="1">
      <c r="A822" s="377"/>
      <c r="B822" s="185" t="s">
        <v>3199</v>
      </c>
      <c r="C822" s="130">
        <v>626</v>
      </c>
      <c r="D822"/>
      <c r="E822"/>
      <c r="F822" s="251">
        <v>1</v>
      </c>
      <c r="G822" s="250" t="s">
        <v>883</v>
      </c>
      <c r="H822" s="244" t="s">
        <v>1242</v>
      </c>
      <c r="I822" s="8">
        <f>C12</f>
        <v>95</v>
      </c>
      <c r="J822" s="2" t="s">
        <v>883</v>
      </c>
      <c r="K822" s="8">
        <f t="shared" si="46"/>
        <v>95</v>
      </c>
      <c r="R822" s="248"/>
      <c r="AG822" s="244"/>
    </row>
    <row r="823" spans="1:33" ht="47.25" hidden="1">
      <c r="A823" s="379">
        <v>6</v>
      </c>
      <c r="B823" s="378" t="s">
        <v>3200</v>
      </c>
      <c r="C823"/>
      <c r="D823"/>
      <c r="E823"/>
      <c r="F823" s="251">
        <v>1</v>
      </c>
      <c r="G823" s="250" t="s">
        <v>883</v>
      </c>
      <c r="H823" s="244" t="s">
        <v>1243</v>
      </c>
      <c r="I823" s="8">
        <v>25</v>
      </c>
      <c r="J823" s="2" t="s">
        <v>883</v>
      </c>
      <c r="K823" s="8">
        <f t="shared" si="46"/>
        <v>25</v>
      </c>
      <c r="R823" s="248"/>
      <c r="AG823" s="244"/>
    </row>
    <row r="824" spans="1:33" hidden="1">
      <c r="A824" s="377"/>
      <c r="B824" s="185" t="s">
        <v>3201</v>
      </c>
      <c r="C824" s="34" t="s">
        <v>3348</v>
      </c>
      <c r="D824"/>
      <c r="E824"/>
      <c r="F824" s="251">
        <v>0.5</v>
      </c>
      <c r="G824" s="250" t="s">
        <v>883</v>
      </c>
      <c r="H824" s="244" t="s">
        <v>1244</v>
      </c>
      <c r="I824" s="8">
        <f>C13</f>
        <v>85</v>
      </c>
      <c r="J824" s="2" t="s">
        <v>883</v>
      </c>
      <c r="K824" s="8">
        <f t="shared" si="46"/>
        <v>42.5</v>
      </c>
      <c r="R824" s="248"/>
      <c r="AG824" s="244"/>
    </row>
    <row r="825" spans="1:33" hidden="1">
      <c r="A825" s="379"/>
      <c r="B825" s="185" t="s">
        <v>3202</v>
      </c>
      <c r="C825" s="130">
        <v>306</v>
      </c>
      <c r="D825"/>
      <c r="E825"/>
      <c r="G825" s="250" t="s">
        <v>448</v>
      </c>
      <c r="H825" s="244" t="s">
        <v>2213</v>
      </c>
      <c r="I825"/>
      <c r="J825" s="2" t="s">
        <v>448</v>
      </c>
      <c r="K825" s="8">
        <v>0.5</v>
      </c>
      <c r="R825" s="248"/>
      <c r="AG825" s="244"/>
    </row>
    <row r="826" spans="1:33" ht="31.5" hidden="1">
      <c r="A826" s="377"/>
      <c r="B826" s="383" t="s">
        <v>3203</v>
      </c>
      <c r="C826" s="130">
        <v>450</v>
      </c>
      <c r="D826"/>
      <c r="E826"/>
      <c r="I826"/>
      <c r="J826" s="4"/>
      <c r="K826" s="5" t="s">
        <v>1667</v>
      </c>
      <c r="R826" s="248"/>
      <c r="AG826" s="244"/>
    </row>
    <row r="827" spans="1:33" ht="47.25" hidden="1">
      <c r="A827" s="379">
        <v>7</v>
      </c>
      <c r="B827" s="378" t="s">
        <v>2679</v>
      </c>
      <c r="C827"/>
      <c r="D827"/>
      <c r="E827"/>
      <c r="H827" s="354" t="s">
        <v>286</v>
      </c>
      <c r="I827"/>
      <c r="J827" s="4"/>
      <c r="K827" s="8" t="e">
        <f>SUM(K815:K825)</f>
        <v>#REF!</v>
      </c>
      <c r="R827" s="248"/>
      <c r="AG827" s="244"/>
    </row>
    <row r="828" spans="1:33" hidden="1">
      <c r="A828" s="377"/>
      <c r="B828" s="185" t="s">
        <v>3202</v>
      </c>
      <c r="C828" s="130">
        <v>575</v>
      </c>
      <c r="D828"/>
      <c r="E828"/>
      <c r="I828"/>
      <c r="J828" s="4"/>
      <c r="K828" s="5" t="s">
        <v>1667</v>
      </c>
      <c r="R828" s="248"/>
      <c r="AG828" s="244"/>
    </row>
    <row r="829" spans="1:33" ht="31.5" hidden="1">
      <c r="A829" s="379"/>
      <c r="B829" s="383" t="s">
        <v>3203</v>
      </c>
      <c r="C829" s="130">
        <v>750</v>
      </c>
      <c r="D829"/>
      <c r="E829"/>
      <c r="I829"/>
      <c r="J829" s="4"/>
      <c r="K829"/>
      <c r="R829" s="248"/>
      <c r="AG829" s="244"/>
    </row>
    <row r="830" spans="1:33" ht="47.25" hidden="1">
      <c r="A830" s="377">
        <v>8</v>
      </c>
      <c r="B830" s="378" t="s">
        <v>2680</v>
      </c>
      <c r="C830"/>
      <c r="D830"/>
      <c r="E830"/>
      <c r="I830"/>
      <c r="J830" s="4"/>
      <c r="K830"/>
      <c r="R830" s="248"/>
      <c r="AG830" s="244"/>
    </row>
    <row r="831" spans="1:33" hidden="1">
      <c r="A831" s="379"/>
      <c r="B831" s="245" t="s">
        <v>3667</v>
      </c>
      <c r="C831" s="130">
        <v>850</v>
      </c>
      <c r="D831"/>
      <c r="E831"/>
      <c r="G831" s="250" t="s">
        <v>1981</v>
      </c>
      <c r="H831" s="354" t="s">
        <v>1863</v>
      </c>
      <c r="I831"/>
      <c r="J831" s="4"/>
      <c r="K831"/>
      <c r="R831" s="244" t="s">
        <v>995</v>
      </c>
      <c r="AG831" s="244" t="s">
        <v>2346</v>
      </c>
    </row>
    <row r="832" spans="1:33" hidden="1">
      <c r="A832" s="377"/>
      <c r="B832" s="245" t="s">
        <v>2690</v>
      </c>
      <c r="C832" s="130">
        <v>1050</v>
      </c>
      <c r="D832"/>
      <c r="E832"/>
      <c r="H832" s="354" t="s">
        <v>1864</v>
      </c>
      <c r="I832"/>
      <c r="J832" s="4"/>
      <c r="K832"/>
      <c r="N832" s="244" t="s">
        <v>321</v>
      </c>
      <c r="O832" s="244" t="s">
        <v>44</v>
      </c>
      <c r="AG832" s="244" t="s">
        <v>2346</v>
      </c>
    </row>
    <row r="833" spans="1:33" ht="69" hidden="1" customHeight="1">
      <c r="A833" s="379">
        <v>9</v>
      </c>
      <c r="B833" s="378" t="s">
        <v>2691</v>
      </c>
      <c r="C833"/>
      <c r="D833"/>
      <c r="E833"/>
      <c r="F833" s="373">
        <v>3.7600000000000001E-2</v>
      </c>
      <c r="G833" s="250" t="s">
        <v>884</v>
      </c>
      <c r="H833" s="244" t="s">
        <v>2146</v>
      </c>
      <c r="I833" s="8" t="e">
        <f>K781</f>
        <v>#REF!</v>
      </c>
      <c r="J833" s="2" t="s">
        <v>884</v>
      </c>
      <c r="K833" s="8" t="e">
        <f>F833*I833</f>
        <v>#REF!</v>
      </c>
      <c r="O833" s="244" t="s">
        <v>1846</v>
      </c>
      <c r="AG833" s="244" t="s">
        <v>2346</v>
      </c>
    </row>
    <row r="834" spans="1:33" hidden="1">
      <c r="A834" s="377"/>
      <c r="B834" s="245" t="s">
        <v>2692</v>
      </c>
      <c r="C834" s="34" t="s">
        <v>3348</v>
      </c>
      <c r="D834"/>
      <c r="E834"/>
      <c r="F834" s="251">
        <v>4.87</v>
      </c>
      <c r="G834" s="250" t="s">
        <v>1730</v>
      </c>
      <c r="H834" s="244" t="s">
        <v>2147</v>
      </c>
      <c r="I834" s="8">
        <f>K1513</f>
        <v>33174.400000000001</v>
      </c>
      <c r="J834" s="2" t="s">
        <v>876</v>
      </c>
      <c r="K834" s="8">
        <f>F834*I834/1000</f>
        <v>161.56</v>
      </c>
      <c r="N834" s="244" t="s">
        <v>267</v>
      </c>
      <c r="O834" s="244" t="s">
        <v>1848</v>
      </c>
      <c r="P834" s="251">
        <v>43</v>
      </c>
      <c r="R834" s="251" t="e">
        <f>(#VALUE!*P834)</f>
        <v>#VALUE!</v>
      </c>
      <c r="AG834" s="244" t="s">
        <v>2346</v>
      </c>
    </row>
    <row r="835" spans="1:33" hidden="1">
      <c r="A835" s="379"/>
      <c r="B835" s="185" t="s">
        <v>2693</v>
      </c>
      <c r="C835" s="381" t="s">
        <v>3348</v>
      </c>
      <c r="D835"/>
      <c r="E835"/>
      <c r="F835" s="251">
        <v>3</v>
      </c>
      <c r="G835" s="250" t="s">
        <v>883</v>
      </c>
      <c r="H835" s="244" t="s">
        <v>1235</v>
      </c>
      <c r="I835" s="8">
        <v>16.5</v>
      </c>
      <c r="J835" s="2" t="s">
        <v>883</v>
      </c>
      <c r="K835" s="8">
        <f t="shared" ref="K835:K843" si="47">F835*I835</f>
        <v>49.5</v>
      </c>
      <c r="O835" s="244" t="s">
        <v>1995</v>
      </c>
      <c r="AG835" s="244" t="s">
        <v>2346</v>
      </c>
    </row>
    <row r="836" spans="1:33" ht="70.5" hidden="1" customHeight="1">
      <c r="A836" s="377">
        <v>10</v>
      </c>
      <c r="B836" s="378" t="s">
        <v>3204</v>
      </c>
      <c r="C836"/>
      <c r="D836"/>
      <c r="E836"/>
      <c r="F836" s="251">
        <v>12</v>
      </c>
      <c r="G836" s="250" t="s">
        <v>883</v>
      </c>
      <c r="H836" s="244" t="s">
        <v>1236</v>
      </c>
      <c r="I836" s="8">
        <v>3.85</v>
      </c>
      <c r="J836" s="2" t="s">
        <v>883</v>
      </c>
      <c r="K836" s="8">
        <f t="shared" si="47"/>
        <v>46.2</v>
      </c>
      <c r="O836" s="244" t="s">
        <v>1005</v>
      </c>
      <c r="AG836" s="244" t="s">
        <v>2346</v>
      </c>
    </row>
    <row r="837" spans="1:33" hidden="1">
      <c r="A837" s="379"/>
      <c r="B837" s="185" t="s">
        <v>3205</v>
      </c>
      <c r="C837" s="130" t="s">
        <v>3348</v>
      </c>
      <c r="D837"/>
      <c r="E837"/>
      <c r="F837" s="251">
        <v>2</v>
      </c>
      <c r="G837" s="250" t="s">
        <v>883</v>
      </c>
      <c r="H837" s="244" t="s">
        <v>1237</v>
      </c>
      <c r="I837" s="8">
        <v>5</v>
      </c>
      <c r="J837" s="2" t="s">
        <v>883</v>
      </c>
      <c r="K837" s="8">
        <f t="shared" si="47"/>
        <v>10</v>
      </c>
      <c r="N837" s="244" t="s">
        <v>611</v>
      </c>
      <c r="O837" s="244" t="s">
        <v>1006</v>
      </c>
      <c r="P837" s="251">
        <f>C271</f>
        <v>160</v>
      </c>
      <c r="R837" s="251" t="e">
        <f t="shared" ref="R837:R844" si="48">(#VALUE!*P837)</f>
        <v>#VALUE!</v>
      </c>
      <c r="AG837" s="244" t="s">
        <v>2346</v>
      </c>
    </row>
    <row r="838" spans="1:33" hidden="1">
      <c r="A838" s="377"/>
      <c r="B838" s="185" t="s">
        <v>2693</v>
      </c>
      <c r="C838" s="130" t="s">
        <v>3348</v>
      </c>
      <c r="D838"/>
      <c r="E838"/>
      <c r="F838" s="251">
        <v>6</v>
      </c>
      <c r="G838" s="250" t="s">
        <v>883</v>
      </c>
      <c r="H838" s="244" t="s">
        <v>2300</v>
      </c>
      <c r="I838" s="8">
        <v>3.85</v>
      </c>
      <c r="J838" s="2" t="s">
        <v>883</v>
      </c>
      <c r="K838" s="8">
        <f t="shared" si="47"/>
        <v>23.1</v>
      </c>
      <c r="N838" s="244" t="s">
        <v>883</v>
      </c>
      <c r="O838" s="244" t="s">
        <v>155</v>
      </c>
      <c r="P838" s="251">
        <v>5</v>
      </c>
      <c r="R838" s="251" t="e">
        <f t="shared" si="48"/>
        <v>#VALUE!</v>
      </c>
      <c r="AG838" s="244" t="s">
        <v>2346</v>
      </c>
    </row>
    <row r="839" spans="1:33" hidden="1">
      <c r="A839" s="379"/>
      <c r="B839" s="185" t="s">
        <v>3206</v>
      </c>
      <c r="C839" s="130" t="s">
        <v>3348</v>
      </c>
      <c r="D839"/>
      <c r="E839"/>
      <c r="F839" s="251">
        <v>1</v>
      </c>
      <c r="G839" s="250" t="s">
        <v>883</v>
      </c>
      <c r="H839" s="244" t="s">
        <v>1241</v>
      </c>
      <c r="I839" s="8">
        <f>C10</f>
        <v>150</v>
      </c>
      <c r="J839" s="2" t="s">
        <v>883</v>
      </c>
      <c r="K839" s="8">
        <f t="shared" si="47"/>
        <v>150</v>
      </c>
      <c r="N839" s="244" t="s">
        <v>883</v>
      </c>
      <c r="O839" s="244" t="s">
        <v>156</v>
      </c>
      <c r="P839" s="251">
        <v>10</v>
      </c>
      <c r="R839" s="251" t="e">
        <f t="shared" si="48"/>
        <v>#VALUE!</v>
      </c>
      <c r="AG839" s="244" t="s">
        <v>2346</v>
      </c>
    </row>
    <row r="840" spans="1:33" hidden="1">
      <c r="A840" s="377"/>
      <c r="B840" s="185" t="s">
        <v>3207</v>
      </c>
      <c r="C840" s="34" t="s">
        <v>3348</v>
      </c>
      <c r="D840"/>
      <c r="E840"/>
      <c r="F840" s="251">
        <v>1</v>
      </c>
      <c r="G840" s="250" t="s">
        <v>883</v>
      </c>
      <c r="H840" s="244" t="s">
        <v>1242</v>
      </c>
      <c r="I840" s="8">
        <f>C12</f>
        <v>95</v>
      </c>
      <c r="J840" s="2" t="s">
        <v>883</v>
      </c>
      <c r="K840" s="8">
        <f t="shared" si="47"/>
        <v>95</v>
      </c>
      <c r="N840" s="244" t="s">
        <v>883</v>
      </c>
      <c r="O840" s="244" t="s">
        <v>1830</v>
      </c>
      <c r="P840" s="251">
        <v>8</v>
      </c>
      <c r="R840" s="251" t="e">
        <f t="shared" si="48"/>
        <v>#VALUE!</v>
      </c>
      <c r="AG840" s="244" t="s">
        <v>2346</v>
      </c>
    </row>
    <row r="841" spans="1:33" hidden="1">
      <c r="A841" s="379"/>
      <c r="B841" s="185" t="s">
        <v>3208</v>
      </c>
      <c r="C841" s="130">
        <v>1459</v>
      </c>
      <c r="D841"/>
      <c r="E841"/>
      <c r="F841" s="251">
        <v>1</v>
      </c>
      <c r="G841" s="250" t="s">
        <v>883</v>
      </c>
      <c r="H841" s="244" t="s">
        <v>1243</v>
      </c>
      <c r="I841" s="8">
        <v>25</v>
      </c>
      <c r="J841" s="2" t="s">
        <v>883</v>
      </c>
      <c r="K841" s="8">
        <f t="shared" si="47"/>
        <v>25</v>
      </c>
      <c r="N841" s="244" t="s">
        <v>840</v>
      </c>
      <c r="O841" s="244" t="s">
        <v>1562</v>
      </c>
      <c r="P841" s="251">
        <v>13.66</v>
      </c>
      <c r="R841" s="251" t="e">
        <f t="shared" si="48"/>
        <v>#VALUE!</v>
      </c>
      <c r="AG841" s="244" t="s">
        <v>2346</v>
      </c>
    </row>
    <row r="842" spans="1:33" ht="33" hidden="1" customHeight="1">
      <c r="A842" s="379"/>
      <c r="B842" s="383" t="s">
        <v>3209</v>
      </c>
      <c r="C842" s="130">
        <v>1930</v>
      </c>
      <c r="D842"/>
      <c r="E842"/>
      <c r="F842" s="251"/>
      <c r="G842" s="250"/>
      <c r="H842" s="244"/>
      <c r="I842" s="8"/>
      <c r="J842" s="2"/>
      <c r="K842" s="8"/>
      <c r="N842" s="244"/>
      <c r="O842" s="244"/>
      <c r="P842" s="251"/>
      <c r="R842" s="251"/>
      <c r="AG842" s="244"/>
    </row>
    <row r="843" spans="1:33" ht="37.5" hidden="1" customHeight="1">
      <c r="A843" s="377"/>
      <c r="B843" s="384" t="s">
        <v>3006</v>
      </c>
      <c r="C843" s="130">
        <v>2630</v>
      </c>
      <c r="D843"/>
      <c r="E843"/>
      <c r="F843" s="251">
        <v>0.5</v>
      </c>
      <c r="G843" s="250" t="s">
        <v>883</v>
      </c>
      <c r="H843" s="244" t="s">
        <v>1244</v>
      </c>
      <c r="I843" s="8">
        <f>C13</f>
        <v>85</v>
      </c>
      <c r="J843" s="2" t="s">
        <v>883</v>
      </c>
      <c r="K843" s="8">
        <f t="shared" si="47"/>
        <v>42.5</v>
      </c>
      <c r="N843" s="244" t="s">
        <v>611</v>
      </c>
      <c r="O843" s="244" t="s">
        <v>1563</v>
      </c>
      <c r="P843" s="251">
        <v>25.46</v>
      </c>
      <c r="R843" s="251" t="e">
        <f t="shared" si="48"/>
        <v>#VALUE!</v>
      </c>
      <c r="AG843" s="244" t="s">
        <v>2346</v>
      </c>
    </row>
    <row r="844" spans="1:33" ht="70.5" hidden="1" customHeight="1">
      <c r="A844" s="379">
        <v>11</v>
      </c>
      <c r="B844" s="378" t="s">
        <v>2809</v>
      </c>
      <c r="C844"/>
      <c r="D844"/>
      <c r="E844"/>
      <c r="G844" s="250" t="s">
        <v>448</v>
      </c>
      <c r="H844" s="244" t="s">
        <v>2213</v>
      </c>
      <c r="I844"/>
      <c r="J844" s="2" t="s">
        <v>448</v>
      </c>
      <c r="K844" s="8">
        <v>0.5</v>
      </c>
      <c r="N844" s="244" t="s">
        <v>883</v>
      </c>
      <c r="O844" s="244" t="s">
        <v>1377</v>
      </c>
      <c r="P844" s="251">
        <v>0.5</v>
      </c>
      <c r="R844" s="251" t="e">
        <f t="shared" si="48"/>
        <v>#VALUE!</v>
      </c>
      <c r="AG844" s="244" t="s">
        <v>2346</v>
      </c>
    </row>
    <row r="845" spans="1:33" hidden="1">
      <c r="A845" s="377"/>
      <c r="B845" s="185" t="s">
        <v>2810</v>
      </c>
      <c r="C845" s="130">
        <v>642</v>
      </c>
      <c r="D845"/>
      <c r="E845"/>
      <c r="I845"/>
      <c r="J845" s="4"/>
      <c r="K845" s="5" t="s">
        <v>1667</v>
      </c>
      <c r="R845" s="251">
        <v>0.97</v>
      </c>
      <c r="AG845" s="244" t="s">
        <v>2346</v>
      </c>
    </row>
    <row r="846" spans="1:33" ht="70.5" hidden="1" customHeight="1">
      <c r="A846" s="379">
        <v>12</v>
      </c>
      <c r="B846" s="378" t="s">
        <v>2811</v>
      </c>
      <c r="C846"/>
      <c r="D846"/>
      <c r="E846"/>
      <c r="H846" s="354" t="s">
        <v>286</v>
      </c>
      <c r="I846"/>
      <c r="J846" s="4"/>
      <c r="K846" s="8" t="e">
        <f>SUM(K833:K844)</f>
        <v>#REF!</v>
      </c>
      <c r="R846" s="248" t="s">
        <v>1667</v>
      </c>
      <c r="AG846" s="244" t="s">
        <v>2346</v>
      </c>
    </row>
    <row r="847" spans="1:33" hidden="1">
      <c r="A847" s="377"/>
      <c r="B847" s="185" t="s">
        <v>2810</v>
      </c>
      <c r="C847" s="130">
        <v>864</v>
      </c>
      <c r="D847"/>
      <c r="E847"/>
      <c r="I847"/>
      <c r="J847" s="4"/>
      <c r="K847" s="5" t="s">
        <v>1667</v>
      </c>
      <c r="O847" s="354" t="s">
        <v>1378</v>
      </c>
      <c r="R847" s="251" t="e">
        <f>SUM(R834:R845)</f>
        <v>#VALUE!</v>
      </c>
      <c r="AG847" s="244" t="s">
        <v>2346</v>
      </c>
    </row>
    <row r="848" spans="1:33" ht="97.5" hidden="1" customHeight="1">
      <c r="A848" s="379">
        <v>13</v>
      </c>
      <c r="B848" s="378" t="s">
        <v>2812</v>
      </c>
      <c r="C848"/>
      <c r="D848"/>
      <c r="E848"/>
      <c r="F848" s="354"/>
      <c r="G848" s="250" t="s">
        <v>519</v>
      </c>
      <c r="H848" s="354" t="s">
        <v>566</v>
      </c>
      <c r="I848"/>
      <c r="J848" s="4"/>
      <c r="K848"/>
      <c r="R848" s="248" t="s">
        <v>1667</v>
      </c>
      <c r="AG848" s="244" t="s">
        <v>2346</v>
      </c>
    </row>
    <row r="849" spans="1:18" hidden="1">
      <c r="A849" s="377"/>
      <c r="B849" s="185" t="s">
        <v>2813</v>
      </c>
      <c r="C849" s="130">
        <v>3100</v>
      </c>
      <c r="D849"/>
      <c r="E849"/>
      <c r="H849" s="354" t="s">
        <v>1864</v>
      </c>
      <c r="I849"/>
      <c r="J849" s="4"/>
      <c r="K849"/>
    </row>
    <row r="850" spans="1:18" hidden="1">
      <c r="A850" s="379"/>
      <c r="B850" s="382" t="s">
        <v>2814</v>
      </c>
      <c r="C850" s="130">
        <v>3267</v>
      </c>
      <c r="D850"/>
      <c r="E850"/>
      <c r="F850" s="373">
        <v>3.5299999999999998E-2</v>
      </c>
      <c r="G850" s="250" t="s">
        <v>884</v>
      </c>
      <c r="H850" s="244" t="s">
        <v>2146</v>
      </c>
      <c r="I850" s="8" t="e">
        <f>K781</f>
        <v>#REF!</v>
      </c>
      <c r="J850" s="2" t="s">
        <v>884</v>
      </c>
      <c r="K850" s="8" t="e">
        <f>F850*I850</f>
        <v>#REF!</v>
      </c>
      <c r="M850" s="354" t="s">
        <v>1142</v>
      </c>
      <c r="N850" s="244" t="s">
        <v>2338</v>
      </c>
      <c r="O850" s="244" t="s">
        <v>1143</v>
      </c>
    </row>
    <row r="851" spans="1:18" ht="33" hidden="1" customHeight="1">
      <c r="A851" s="377"/>
      <c r="B851" s="384" t="s">
        <v>2815</v>
      </c>
      <c r="C851" s="130">
        <v>1790</v>
      </c>
      <c r="D851"/>
      <c r="E851"/>
      <c r="F851" s="251">
        <v>4.59</v>
      </c>
      <c r="G851" s="250" t="s">
        <v>1730</v>
      </c>
      <c r="H851" s="244" t="s">
        <v>2147</v>
      </c>
      <c r="I851" s="8">
        <f>K1513</f>
        <v>33174.400000000001</v>
      </c>
      <c r="J851" s="2" t="s">
        <v>876</v>
      </c>
      <c r="K851" s="8">
        <f>F851*I851/1000</f>
        <v>152.27000000000001</v>
      </c>
      <c r="O851" s="244" t="s">
        <v>582</v>
      </c>
    </row>
    <row r="852" spans="1:18" ht="33" hidden="1" customHeight="1">
      <c r="A852" s="379">
        <v>14</v>
      </c>
      <c r="B852" s="385" t="s">
        <v>3002</v>
      </c>
      <c r="C852"/>
      <c r="D852"/>
      <c r="E852"/>
      <c r="F852" s="251"/>
      <c r="G852" s="250"/>
      <c r="H852" s="244"/>
      <c r="I852" s="8"/>
      <c r="J852" s="2"/>
      <c r="K852" s="8"/>
      <c r="O852" s="244"/>
    </row>
    <row r="853" spans="1:18" hidden="1">
      <c r="A853" s="377"/>
      <c r="B853" s="382" t="s">
        <v>3003</v>
      </c>
      <c r="C853" s="34" t="s">
        <v>3348</v>
      </c>
      <c r="D853"/>
      <c r="E853"/>
      <c r="F853" s="251">
        <v>3</v>
      </c>
      <c r="G853" s="250" t="s">
        <v>883</v>
      </c>
      <c r="H853" s="244" t="s">
        <v>1235</v>
      </c>
      <c r="I853" s="8">
        <v>16.5</v>
      </c>
      <c r="J853" s="2" t="s">
        <v>883</v>
      </c>
      <c r="K853" s="8">
        <f t="shared" ref="K853:K860" si="49">F853*I853</f>
        <v>49.5</v>
      </c>
      <c r="O853" s="248" t="s">
        <v>1667</v>
      </c>
      <c r="P853" s="248" t="s">
        <v>1667</v>
      </c>
    </row>
    <row r="854" spans="1:18" hidden="1">
      <c r="A854" s="379"/>
      <c r="B854" s="245" t="s">
        <v>2588</v>
      </c>
      <c r="C854" s="34" t="s">
        <v>3348</v>
      </c>
      <c r="D854"/>
      <c r="E854"/>
      <c r="F854" s="251">
        <v>12</v>
      </c>
      <c r="G854" s="250" t="s">
        <v>883</v>
      </c>
      <c r="H854" s="244" t="s">
        <v>1236</v>
      </c>
      <c r="I854" s="8">
        <v>3.85</v>
      </c>
      <c r="J854" s="2" t="s">
        <v>883</v>
      </c>
      <c r="K854" s="8">
        <f t="shared" si="49"/>
        <v>46.2</v>
      </c>
      <c r="O854" s="244" t="s">
        <v>583</v>
      </c>
    </row>
    <row r="855" spans="1:18" hidden="1">
      <c r="A855" s="377"/>
      <c r="B855" s="245" t="s">
        <v>2589</v>
      </c>
      <c r="C855" s="34" t="s">
        <v>3348</v>
      </c>
      <c r="D855"/>
      <c r="E855"/>
      <c r="F855" s="251">
        <v>2</v>
      </c>
      <c r="G855" s="250" t="s">
        <v>883</v>
      </c>
      <c r="H855" s="251" t="str">
        <f>H837</f>
        <v>TOWER BOLT RECEIVER</v>
      </c>
      <c r="I855" s="8">
        <v>5</v>
      </c>
      <c r="J855" s="2" t="s">
        <v>883</v>
      </c>
      <c r="K855" s="8">
        <f t="shared" si="49"/>
        <v>10</v>
      </c>
      <c r="M855" s="251">
        <v>0.5</v>
      </c>
      <c r="N855" s="354" t="s">
        <v>781</v>
      </c>
      <c r="O855" s="244" t="s">
        <v>78</v>
      </c>
      <c r="P855" s="251">
        <f>C16</f>
        <v>150</v>
      </c>
      <c r="Q855" s="354" t="s">
        <v>1796</v>
      </c>
      <c r="R855" s="251">
        <f>(M855*P855)</f>
        <v>75</v>
      </c>
    </row>
    <row r="856" spans="1:18" ht="52.5" hidden="1" customHeight="1">
      <c r="A856" s="379">
        <v>15</v>
      </c>
      <c r="B856" s="385" t="s">
        <v>2590</v>
      </c>
      <c r="C856" s="34"/>
      <c r="D856"/>
      <c r="E856"/>
      <c r="F856" s="251">
        <v>6</v>
      </c>
      <c r="G856" s="250" t="s">
        <v>883</v>
      </c>
      <c r="H856" s="244" t="s">
        <v>2300</v>
      </c>
      <c r="I856" s="8">
        <v>3.85</v>
      </c>
      <c r="J856" s="2" t="s">
        <v>883</v>
      </c>
      <c r="K856" s="8">
        <f t="shared" si="49"/>
        <v>23.1</v>
      </c>
      <c r="M856" s="251">
        <v>0.25</v>
      </c>
      <c r="N856" s="354" t="s">
        <v>781</v>
      </c>
      <c r="O856" s="244" t="s">
        <v>893</v>
      </c>
      <c r="P856" s="251">
        <f>C13</f>
        <v>85</v>
      </c>
      <c r="Q856" s="354" t="s">
        <v>1796</v>
      </c>
      <c r="R856" s="251">
        <f>(M856*P856)</f>
        <v>21.25</v>
      </c>
    </row>
    <row r="857" spans="1:18" hidden="1">
      <c r="A857" s="377"/>
      <c r="B857" s="245" t="s">
        <v>2591</v>
      </c>
      <c r="C857" s="34" t="s">
        <v>3348</v>
      </c>
      <c r="D857"/>
      <c r="E857"/>
      <c r="F857" s="251">
        <v>1</v>
      </c>
      <c r="G857" s="250" t="s">
        <v>883</v>
      </c>
      <c r="H857" s="244" t="s">
        <v>1241</v>
      </c>
      <c r="I857" s="8">
        <f>C10</f>
        <v>150</v>
      </c>
      <c r="J857" s="2" t="s">
        <v>883</v>
      </c>
      <c r="K857" s="8">
        <f t="shared" si="49"/>
        <v>150</v>
      </c>
      <c r="R857" s="248" t="s">
        <v>1667</v>
      </c>
    </row>
    <row r="858" spans="1:18" hidden="1">
      <c r="A858" s="379"/>
      <c r="B858" s="245" t="s">
        <v>2592</v>
      </c>
      <c r="C858" s="34" t="s">
        <v>3348</v>
      </c>
      <c r="D858"/>
      <c r="E858"/>
      <c r="F858" s="251">
        <v>1</v>
      </c>
      <c r="G858" s="250" t="s">
        <v>883</v>
      </c>
      <c r="H858" s="244" t="s">
        <v>1242</v>
      </c>
      <c r="I858" s="8">
        <f>C12</f>
        <v>95</v>
      </c>
      <c r="J858" s="2" t="s">
        <v>883</v>
      </c>
      <c r="K858" s="8">
        <f t="shared" si="49"/>
        <v>95</v>
      </c>
      <c r="O858" s="354" t="s">
        <v>1209</v>
      </c>
      <c r="R858" s="251">
        <f>SUM(R855:R856)</f>
        <v>96.25</v>
      </c>
    </row>
    <row r="859" spans="1:18" hidden="1">
      <c r="A859" s="377"/>
      <c r="B859" s="382" t="s">
        <v>2593</v>
      </c>
      <c r="C859" s="34" t="s">
        <v>3348</v>
      </c>
      <c r="D859"/>
      <c r="E859"/>
      <c r="F859" s="251">
        <v>1</v>
      </c>
      <c r="G859" s="250" t="s">
        <v>883</v>
      </c>
      <c r="H859" s="251" t="str">
        <f>H841</f>
        <v>MOULDING CHARGES</v>
      </c>
      <c r="I859" s="8">
        <v>25</v>
      </c>
      <c r="J859" s="2" t="s">
        <v>883</v>
      </c>
      <c r="K859" s="8">
        <f t="shared" si="49"/>
        <v>25</v>
      </c>
      <c r="R859" s="248" t="s">
        <v>1667</v>
      </c>
    </row>
    <row r="860" spans="1:18" hidden="1">
      <c r="A860" s="379">
        <v>16</v>
      </c>
      <c r="B860" s="385" t="s">
        <v>2594</v>
      </c>
      <c r="C860"/>
      <c r="D860"/>
      <c r="E860"/>
      <c r="F860" s="251">
        <v>0.5</v>
      </c>
      <c r="G860" s="250" t="s">
        <v>883</v>
      </c>
      <c r="H860" s="244" t="s">
        <v>1244</v>
      </c>
      <c r="I860" s="8">
        <f>C13</f>
        <v>85</v>
      </c>
      <c r="J860" s="2" t="s">
        <v>883</v>
      </c>
      <c r="K860" s="8">
        <f t="shared" si="49"/>
        <v>42.5</v>
      </c>
      <c r="O860" s="354" t="s">
        <v>1210</v>
      </c>
      <c r="R860" s="251">
        <f>R858/0.0283</f>
        <v>3401.06</v>
      </c>
    </row>
    <row r="861" spans="1:18" hidden="1">
      <c r="A861" s="386"/>
      <c r="B861" s="185" t="s">
        <v>2502</v>
      </c>
      <c r="C861" s="130">
        <v>10</v>
      </c>
      <c r="D861"/>
      <c r="E861"/>
      <c r="G861" s="250" t="s">
        <v>448</v>
      </c>
      <c r="H861" s="244" t="s">
        <v>2213</v>
      </c>
      <c r="I861"/>
      <c r="J861" s="2" t="s">
        <v>448</v>
      </c>
      <c r="K861" s="8">
        <v>0.5</v>
      </c>
      <c r="R861" s="248" t="s">
        <v>1667</v>
      </c>
    </row>
    <row r="862" spans="1:18" hidden="1">
      <c r="A862" s="386"/>
      <c r="B862" s="185" t="s">
        <v>2503</v>
      </c>
      <c r="C862" s="130">
        <v>10</v>
      </c>
      <c r="D862"/>
      <c r="E862"/>
      <c r="I862"/>
      <c r="J862" s="4"/>
      <c r="K862" s="5" t="s">
        <v>1667</v>
      </c>
    </row>
    <row r="863" spans="1:18" ht="31.5" hidden="1">
      <c r="A863" s="379">
        <v>17</v>
      </c>
      <c r="B863" s="385" t="s">
        <v>2504</v>
      </c>
      <c r="C863"/>
      <c r="D863"/>
      <c r="E863"/>
      <c r="H863" s="354" t="s">
        <v>286</v>
      </c>
      <c r="I863"/>
      <c r="J863" s="4"/>
      <c r="K863" s="8" t="e">
        <f>SUM(K850:K861)</f>
        <v>#REF!</v>
      </c>
    </row>
    <row r="864" spans="1:18" hidden="1">
      <c r="A864" s="379"/>
      <c r="B864" s="245" t="s">
        <v>2505</v>
      </c>
      <c r="C864" s="130">
        <v>170</v>
      </c>
      <c r="D864"/>
      <c r="E864"/>
      <c r="I864"/>
      <c r="J864" s="4"/>
      <c r="K864" s="5" t="s">
        <v>1667</v>
      </c>
    </row>
    <row r="865" spans="1:33" hidden="1">
      <c r="A865" s="379"/>
      <c r="B865" s="185" t="s">
        <v>2506</v>
      </c>
      <c r="C865" s="130">
        <v>170</v>
      </c>
      <c r="D865"/>
      <c r="E865"/>
      <c r="I865"/>
      <c r="J865" s="4"/>
      <c r="K865"/>
    </row>
    <row r="866" spans="1:33" hidden="1">
      <c r="A866" s="379"/>
      <c r="B866" s="185" t="s">
        <v>3422</v>
      </c>
      <c r="C866" s="130">
        <v>295</v>
      </c>
      <c r="D866"/>
      <c r="E866"/>
      <c r="I866"/>
      <c r="J866" s="4"/>
      <c r="K866"/>
    </row>
    <row r="867" spans="1:33" ht="31.5" hidden="1">
      <c r="A867" s="379"/>
      <c r="B867" s="383" t="s">
        <v>3423</v>
      </c>
      <c r="C867" s="130">
        <v>240</v>
      </c>
      <c r="D867"/>
      <c r="E867"/>
      <c r="I867"/>
      <c r="J867" s="4"/>
      <c r="K867"/>
    </row>
    <row r="868" spans="1:33" ht="142.5" hidden="1" customHeight="1">
      <c r="A868" s="379"/>
      <c r="C868"/>
      <c r="D868"/>
      <c r="E868"/>
      <c r="F868" s="387">
        <v>21.3</v>
      </c>
      <c r="G868" s="250" t="s">
        <v>2338</v>
      </c>
      <c r="H868" s="388" t="s">
        <v>1808</v>
      </c>
      <c r="I868"/>
      <c r="J868" s="4"/>
      <c r="K868"/>
      <c r="AG868" s="244" t="s">
        <v>2346</v>
      </c>
    </row>
    <row r="869" spans="1:33" hidden="1">
      <c r="A869" s="379"/>
      <c r="B869" s="185" t="s">
        <v>3424</v>
      </c>
      <c r="C869" s="34" t="s">
        <v>3425</v>
      </c>
      <c r="D869"/>
      <c r="E869"/>
      <c r="H869" s="244" t="s">
        <v>2347</v>
      </c>
      <c r="I869"/>
      <c r="J869" s="4"/>
      <c r="K869"/>
      <c r="M869" s="251">
        <v>11.64</v>
      </c>
      <c r="N869" s="244" t="s">
        <v>840</v>
      </c>
      <c r="O869" s="244" t="s">
        <v>1562</v>
      </c>
      <c r="P869" s="251">
        <v>13.66</v>
      </c>
      <c r="R869" s="251">
        <f>(M869*P869)</f>
        <v>159</v>
      </c>
      <c r="AG869" s="244" t="s">
        <v>2346</v>
      </c>
    </row>
    <row r="870" spans="1:33" hidden="1">
      <c r="A870" s="379"/>
      <c r="B870" s="185" t="s">
        <v>3426</v>
      </c>
      <c r="C870" s="34" t="s">
        <v>3425</v>
      </c>
      <c r="D870"/>
      <c r="E870"/>
      <c r="H870" s="248" t="s">
        <v>1667</v>
      </c>
      <c r="I870"/>
      <c r="J870" s="4"/>
      <c r="K870"/>
      <c r="M870" s="374">
        <v>1.62</v>
      </c>
      <c r="N870" s="244" t="s">
        <v>611</v>
      </c>
      <c r="O870" s="244" t="s">
        <v>1563</v>
      </c>
      <c r="P870" s="251">
        <v>25.46</v>
      </c>
      <c r="R870" s="251">
        <f>(M870*P870)</f>
        <v>41.25</v>
      </c>
      <c r="AG870" s="244" t="s">
        <v>2346</v>
      </c>
    </row>
    <row r="871" spans="1:33" hidden="1">
      <c r="A871" s="379"/>
      <c r="B871" s="185" t="s">
        <v>3427</v>
      </c>
      <c r="C871" s="34" t="s">
        <v>3425</v>
      </c>
      <c r="D871"/>
      <c r="E871"/>
      <c r="I871"/>
      <c r="J871" s="4"/>
      <c r="K871"/>
      <c r="M871" s="251">
        <v>48</v>
      </c>
      <c r="N871" s="244" t="s">
        <v>883</v>
      </c>
      <c r="O871" s="244" t="s">
        <v>1377</v>
      </c>
      <c r="P871" s="251">
        <v>0.5</v>
      </c>
      <c r="R871" s="251">
        <f>(M871*P871)</f>
        <v>24</v>
      </c>
      <c r="AG871" s="244" t="s">
        <v>2346</v>
      </c>
    </row>
    <row r="872" spans="1:33" hidden="1">
      <c r="A872" s="379"/>
      <c r="B872" s="185" t="s">
        <v>3428</v>
      </c>
      <c r="C872" s="34" t="s">
        <v>3425</v>
      </c>
      <c r="D872"/>
      <c r="E872"/>
      <c r="H872" s="244" t="s">
        <v>2347</v>
      </c>
      <c r="I872"/>
      <c r="J872" s="2" t="s">
        <v>611</v>
      </c>
      <c r="K872" s="8">
        <v>1450</v>
      </c>
      <c r="R872" s="251">
        <v>0.23</v>
      </c>
      <c r="AG872" s="244" t="s">
        <v>2346</v>
      </c>
    </row>
    <row r="873" spans="1:33" hidden="1">
      <c r="A873" s="379">
        <v>18</v>
      </c>
      <c r="B873" s="380" t="s">
        <v>3429</v>
      </c>
      <c r="C873"/>
      <c r="D873"/>
      <c r="E873"/>
      <c r="F873" s="244" t="s">
        <v>995</v>
      </c>
      <c r="I873"/>
      <c r="J873" s="4"/>
      <c r="K873"/>
    </row>
    <row r="874" spans="1:33" hidden="1">
      <c r="A874" s="379"/>
      <c r="B874" s="185" t="s">
        <v>3430</v>
      </c>
      <c r="C874" s="130">
        <v>113</v>
      </c>
      <c r="D874"/>
      <c r="E874"/>
      <c r="H874" s="354" t="s">
        <v>2348</v>
      </c>
      <c r="I874"/>
      <c r="J874" s="4"/>
      <c r="K874" s="5" t="s">
        <v>2130</v>
      </c>
      <c r="R874" s="248" t="s">
        <v>1667</v>
      </c>
      <c r="AG874" s="244" t="s">
        <v>2346</v>
      </c>
    </row>
    <row r="875" spans="1:33" hidden="1">
      <c r="A875" s="379"/>
      <c r="B875" s="185" t="s">
        <v>3431</v>
      </c>
      <c r="C875" s="130">
        <v>135</v>
      </c>
      <c r="D875"/>
      <c r="E875"/>
      <c r="H875" s="354" t="s">
        <v>1428</v>
      </c>
      <c r="I875"/>
      <c r="J875" s="4"/>
      <c r="K875"/>
      <c r="O875" s="354" t="s">
        <v>1378</v>
      </c>
      <c r="R875" s="251">
        <f>SUM(R869:R872)</f>
        <v>224.48</v>
      </c>
      <c r="AG875" s="244" t="s">
        <v>2346</v>
      </c>
    </row>
    <row r="876" spans="1:33" hidden="1">
      <c r="A876" s="379"/>
      <c r="B876" s="185" t="s">
        <v>3432</v>
      </c>
      <c r="C876" s="130">
        <v>180</v>
      </c>
      <c r="D876"/>
      <c r="E876"/>
      <c r="F876" s="375">
        <v>21.2</v>
      </c>
      <c r="H876" s="254" t="s">
        <v>1809</v>
      </c>
      <c r="I876"/>
      <c r="J876" s="4"/>
      <c r="K876"/>
      <c r="AG876" s="244" t="s">
        <v>2346</v>
      </c>
    </row>
    <row r="877" spans="1:33" hidden="1">
      <c r="A877" s="379"/>
      <c r="B877" s="185" t="s">
        <v>3433</v>
      </c>
      <c r="C877" s="130">
        <v>248</v>
      </c>
      <c r="D877"/>
      <c r="E877"/>
      <c r="F877" s="375"/>
      <c r="H877" s="248" t="s">
        <v>1667</v>
      </c>
      <c r="I877"/>
      <c r="J877" s="4"/>
      <c r="K877"/>
      <c r="AG877" s="244"/>
    </row>
    <row r="878" spans="1:33" hidden="1">
      <c r="A878" s="379">
        <v>19</v>
      </c>
      <c r="B878" s="185" t="s">
        <v>3434</v>
      </c>
      <c r="C878" s="34" t="s">
        <v>3425</v>
      </c>
      <c r="D878"/>
      <c r="E878"/>
      <c r="G878" s="250" t="s">
        <v>160</v>
      </c>
      <c r="H878" s="244" t="s">
        <v>1429</v>
      </c>
      <c r="I878"/>
      <c r="J878" s="4"/>
      <c r="K878" s="1" t="s">
        <v>995</v>
      </c>
      <c r="AG878" s="244" t="s">
        <v>2346</v>
      </c>
    </row>
    <row r="879" spans="1:33" hidden="1">
      <c r="A879" s="379"/>
      <c r="B879" s="185" t="s">
        <v>3435</v>
      </c>
      <c r="C879" s="34" t="s">
        <v>3425</v>
      </c>
      <c r="D879"/>
      <c r="E879"/>
      <c r="H879" s="248" t="s">
        <v>1667</v>
      </c>
      <c r="I879"/>
      <c r="J879" s="4"/>
      <c r="K879" s="1" t="s">
        <v>995</v>
      </c>
      <c r="AG879" s="244" t="s">
        <v>2346</v>
      </c>
    </row>
    <row r="880" spans="1:33" hidden="1">
      <c r="A880" s="379">
        <v>20</v>
      </c>
      <c r="B880" s="185" t="s">
        <v>2816</v>
      </c>
      <c r="C880" s="34" t="s">
        <v>3425</v>
      </c>
      <c r="D880"/>
      <c r="E880"/>
      <c r="F880" s="251">
        <v>1</v>
      </c>
      <c r="G880" s="250" t="s">
        <v>884</v>
      </c>
      <c r="H880" s="244" t="s">
        <v>1649</v>
      </c>
      <c r="I880" s="8">
        <f>C30</f>
        <v>3035</v>
      </c>
      <c r="J880" s="2" t="s">
        <v>884</v>
      </c>
      <c r="K880" s="8">
        <f>(F880*I880)</f>
        <v>3035</v>
      </c>
      <c r="AG880" s="244" t="s">
        <v>2346</v>
      </c>
    </row>
    <row r="881" spans="1:33" hidden="1">
      <c r="A881" s="379">
        <v>21</v>
      </c>
      <c r="B881" s="185" t="s">
        <v>2817</v>
      </c>
      <c r="C881" s="381" t="s">
        <v>3425</v>
      </c>
      <c r="D881"/>
      <c r="E881"/>
      <c r="F881" s="251">
        <v>1</v>
      </c>
      <c r="G881" s="250" t="s">
        <v>884</v>
      </c>
      <c r="H881" s="244" t="s">
        <v>1429</v>
      </c>
      <c r="I881" s="8">
        <f>C88</f>
        <v>65420</v>
      </c>
      <c r="J881" s="2" t="s">
        <v>884</v>
      </c>
      <c r="K881" s="8">
        <f>(F881*I881)</f>
        <v>65420</v>
      </c>
      <c r="AG881" s="244" t="s">
        <v>2346</v>
      </c>
    </row>
    <row r="882" spans="1:33" hidden="1">
      <c r="A882" s="379">
        <v>22</v>
      </c>
      <c r="B882" s="185" t="s">
        <v>2818</v>
      </c>
      <c r="C882" s="381" t="s">
        <v>3425</v>
      </c>
      <c r="D882"/>
      <c r="E882"/>
      <c r="I882"/>
      <c r="J882" s="4"/>
      <c r="K882" s="5" t="s">
        <v>2130</v>
      </c>
      <c r="AG882" s="244" t="s">
        <v>2346</v>
      </c>
    </row>
    <row r="883" spans="1:33" hidden="1">
      <c r="A883" s="379">
        <v>23</v>
      </c>
      <c r="B883" s="380" t="s">
        <v>2819</v>
      </c>
      <c r="C883"/>
      <c r="D883"/>
      <c r="E883"/>
      <c r="H883" s="244" t="s">
        <v>1650</v>
      </c>
      <c r="I883"/>
      <c r="J883" s="4"/>
      <c r="K883" s="8">
        <f>SUM(K880:K881)</f>
        <v>68455</v>
      </c>
      <c r="AG883" s="244" t="s">
        <v>2346</v>
      </c>
    </row>
    <row r="884" spans="1:33" hidden="1">
      <c r="A884" s="379"/>
      <c r="B884" s="185" t="s">
        <v>2820</v>
      </c>
      <c r="C884" s="34" t="s">
        <v>3425</v>
      </c>
      <c r="D884"/>
      <c r="E884"/>
      <c r="I884"/>
      <c r="J884" s="4"/>
      <c r="K884" s="5" t="s">
        <v>2130</v>
      </c>
      <c r="AG884" s="244" t="s">
        <v>2346</v>
      </c>
    </row>
    <row r="885" spans="1:33" hidden="1">
      <c r="A885" s="379"/>
      <c r="B885" s="185" t="s">
        <v>2821</v>
      </c>
      <c r="C885" s="34" t="s">
        <v>3425</v>
      </c>
      <c r="D885"/>
      <c r="E885"/>
      <c r="G885" s="250" t="s">
        <v>1635</v>
      </c>
      <c r="H885" s="244" t="s">
        <v>1651</v>
      </c>
      <c r="I885"/>
      <c r="J885" s="4"/>
      <c r="K885" s="1" t="s">
        <v>995</v>
      </c>
      <c r="AG885" s="244" t="s">
        <v>2346</v>
      </c>
    </row>
    <row r="886" spans="1:33" hidden="1">
      <c r="A886" s="379">
        <v>24</v>
      </c>
      <c r="B886" s="380" t="s">
        <v>2822</v>
      </c>
      <c r="C886" s="130">
        <v>18</v>
      </c>
      <c r="D886"/>
      <c r="E886"/>
      <c r="H886" s="248" t="s">
        <v>1667</v>
      </c>
      <c r="I886"/>
      <c r="J886" s="4"/>
      <c r="K886"/>
      <c r="AG886" s="244" t="s">
        <v>2346</v>
      </c>
    </row>
    <row r="887" spans="1:33" ht="51" hidden="1" customHeight="1">
      <c r="A887" s="379">
        <v>25</v>
      </c>
      <c r="B887" s="384" t="s">
        <v>2823</v>
      </c>
      <c r="C887" s="130">
        <v>300</v>
      </c>
      <c r="D887"/>
      <c r="E887"/>
      <c r="F887" s="251">
        <v>1</v>
      </c>
      <c r="G887" s="250" t="s">
        <v>884</v>
      </c>
      <c r="H887" s="244" t="s">
        <v>1649</v>
      </c>
      <c r="I887" s="8">
        <f>C30</f>
        <v>3035</v>
      </c>
      <c r="J887" s="2" t="s">
        <v>884</v>
      </c>
      <c r="K887" s="8">
        <f>(F887*I887)</f>
        <v>3035</v>
      </c>
      <c r="AG887" s="244" t="s">
        <v>2346</v>
      </c>
    </row>
    <row r="888" spans="1:33" hidden="1">
      <c r="A888" s="379">
        <v>26</v>
      </c>
      <c r="B888" s="245" t="s">
        <v>2824</v>
      </c>
      <c r="C888" s="130">
        <v>15</v>
      </c>
      <c r="D888"/>
      <c r="E888"/>
      <c r="F888" s="251">
        <v>1</v>
      </c>
      <c r="G888" s="250" t="s">
        <v>884</v>
      </c>
      <c r="H888" s="244" t="s">
        <v>1429</v>
      </c>
      <c r="I888" s="8">
        <f>C89</f>
        <v>57165</v>
      </c>
      <c r="J888" s="2" t="s">
        <v>884</v>
      </c>
      <c r="K888" s="8">
        <f>(F888*I888)</f>
        <v>57165</v>
      </c>
      <c r="AG888" s="244" t="s">
        <v>2346</v>
      </c>
    </row>
    <row r="889" spans="1:33" ht="36" hidden="1" customHeight="1">
      <c r="A889" s="379">
        <v>27</v>
      </c>
      <c r="B889" s="384" t="s">
        <v>2825</v>
      </c>
      <c r="C889" s="130">
        <v>178</v>
      </c>
      <c r="D889"/>
      <c r="E889"/>
      <c r="I889"/>
      <c r="J889" s="4"/>
      <c r="K889" s="5" t="s">
        <v>2130</v>
      </c>
      <c r="AG889" s="244" t="s">
        <v>2346</v>
      </c>
    </row>
    <row r="890" spans="1:33" ht="41.25" hidden="1" customHeight="1">
      <c r="A890" s="379"/>
      <c r="B890" s="384" t="s">
        <v>2826</v>
      </c>
      <c r="C890" s="130">
        <v>1120</v>
      </c>
      <c r="D890"/>
      <c r="E890"/>
      <c r="H890" s="244" t="s">
        <v>1652</v>
      </c>
      <c r="I890"/>
      <c r="J890" s="4"/>
      <c r="K890" s="8">
        <f>SUM(K887:K888)</f>
        <v>60200</v>
      </c>
      <c r="AG890" s="244" t="s">
        <v>2346</v>
      </c>
    </row>
    <row r="891" spans="1:33" ht="39" hidden="1" customHeight="1">
      <c r="A891" s="379"/>
      <c r="B891" s="385" t="s">
        <v>2827</v>
      </c>
      <c r="C891"/>
      <c r="D891"/>
      <c r="E891"/>
      <c r="I891"/>
      <c r="J891" s="4"/>
      <c r="K891" s="5" t="s">
        <v>2130</v>
      </c>
      <c r="AG891" s="244" t="s">
        <v>2346</v>
      </c>
    </row>
    <row r="892" spans="1:33" hidden="1">
      <c r="A892" s="379"/>
      <c r="B892" s="384" t="s">
        <v>3618</v>
      </c>
      <c r="C892" s="34" t="s">
        <v>3425</v>
      </c>
      <c r="D892"/>
      <c r="E892"/>
      <c r="I892"/>
      <c r="J892" s="4"/>
      <c r="K892"/>
      <c r="AG892" s="244" t="s">
        <v>2346</v>
      </c>
    </row>
    <row r="893" spans="1:33" hidden="1">
      <c r="A893" s="379"/>
      <c r="B893" s="384" t="s">
        <v>2681</v>
      </c>
      <c r="C893" s="34" t="s">
        <v>3425</v>
      </c>
      <c r="D893"/>
      <c r="E893"/>
      <c r="F893" s="354" t="s">
        <v>567</v>
      </c>
      <c r="G893" s="250" t="s">
        <v>2338</v>
      </c>
      <c r="H893" s="244" t="s">
        <v>253</v>
      </c>
      <c r="I893"/>
      <c r="J893" s="4"/>
      <c r="K893"/>
      <c r="AG893" s="244" t="s">
        <v>2346</v>
      </c>
    </row>
    <row r="894" spans="1:33" hidden="1">
      <c r="A894" s="379"/>
      <c r="B894" s="384" t="s">
        <v>2682</v>
      </c>
      <c r="C894" s="34" t="s">
        <v>3425</v>
      </c>
      <c r="D894"/>
      <c r="E894"/>
      <c r="H894" s="244" t="s">
        <v>254</v>
      </c>
      <c r="I894"/>
      <c r="J894" s="4"/>
      <c r="K894"/>
      <c r="AG894" s="244" t="s">
        <v>2346</v>
      </c>
    </row>
    <row r="895" spans="1:33" ht="31.5" hidden="1">
      <c r="A895" s="379"/>
      <c r="B895" s="384" t="s">
        <v>2683</v>
      </c>
      <c r="C895" s="130">
        <v>120</v>
      </c>
      <c r="D895"/>
      <c r="E895"/>
      <c r="H895" s="244" t="s">
        <v>1533</v>
      </c>
      <c r="I895"/>
      <c r="J895" s="4"/>
      <c r="K895"/>
      <c r="AG895" s="244" t="s">
        <v>2346</v>
      </c>
    </row>
    <row r="896" spans="1:33" hidden="1">
      <c r="A896" s="379"/>
      <c r="B896" s="385" t="s">
        <v>2684</v>
      </c>
      <c r="C896"/>
      <c r="D896"/>
      <c r="E896"/>
      <c r="H896" s="248" t="s">
        <v>1667</v>
      </c>
      <c r="I896"/>
      <c r="J896" s="4"/>
      <c r="K896"/>
      <c r="AG896" s="244" t="s">
        <v>2346</v>
      </c>
    </row>
    <row r="897" spans="1:33" hidden="1">
      <c r="A897" s="379"/>
      <c r="B897" s="384" t="s">
        <v>2685</v>
      </c>
      <c r="C897" s="130">
        <v>45</v>
      </c>
      <c r="D897"/>
      <c r="E897"/>
      <c r="H897" s="244" t="s">
        <v>92</v>
      </c>
      <c r="I897"/>
      <c r="J897" s="4"/>
      <c r="K897"/>
    </row>
    <row r="898" spans="1:33" hidden="1">
      <c r="A898" s="379"/>
      <c r="B898" s="384" t="s">
        <v>2686</v>
      </c>
      <c r="C898" s="130">
        <v>18</v>
      </c>
      <c r="D898"/>
      <c r="E898"/>
      <c r="H898" s="244" t="s">
        <v>93</v>
      </c>
      <c r="I898"/>
      <c r="J898" s="4"/>
      <c r="K898"/>
    </row>
    <row r="899" spans="1:33" hidden="1">
      <c r="A899" s="379"/>
      <c r="B899" s="384" t="s">
        <v>2687</v>
      </c>
      <c r="C899" s="130">
        <v>450</v>
      </c>
      <c r="D899"/>
      <c r="E899"/>
      <c r="I899"/>
      <c r="J899" s="2" t="s">
        <v>1667</v>
      </c>
      <c r="K899"/>
    </row>
    <row r="900" spans="1:33" hidden="1">
      <c r="A900" s="379"/>
      <c r="B900" s="384" t="s">
        <v>2688</v>
      </c>
      <c r="C900" s="130">
        <v>650</v>
      </c>
      <c r="D900"/>
      <c r="E900"/>
      <c r="H900" s="244" t="s">
        <v>1222</v>
      </c>
      <c r="I900"/>
      <c r="J900" s="4"/>
      <c r="K900"/>
    </row>
    <row r="901" spans="1:33" ht="47.25" hidden="1">
      <c r="A901" s="379"/>
      <c r="B901" s="384" t="s">
        <v>2689</v>
      </c>
      <c r="C901" s="130">
        <v>5000</v>
      </c>
      <c r="D901"/>
      <c r="E901"/>
      <c r="H901" s="244" t="s">
        <v>2079</v>
      </c>
      <c r="I901"/>
      <c r="J901" s="4"/>
      <c r="K901" s="16">
        <v>2.4299999999999999E-2</v>
      </c>
    </row>
    <row r="902" spans="1:33" ht="63" hidden="1">
      <c r="A902" s="379"/>
      <c r="B902" s="384" t="s">
        <v>2710</v>
      </c>
      <c r="C902" s="130">
        <v>6750</v>
      </c>
      <c r="D902"/>
      <c r="E902"/>
      <c r="I902"/>
      <c r="J902" s="2" t="s">
        <v>995</v>
      </c>
      <c r="K902" s="5" t="s">
        <v>1667</v>
      </c>
    </row>
    <row r="903" spans="1:33" ht="47.25" hidden="1">
      <c r="A903" s="379"/>
      <c r="B903" s="384" t="s">
        <v>2585</v>
      </c>
      <c r="C903" s="130">
        <v>5800</v>
      </c>
      <c r="D903"/>
      <c r="E903"/>
      <c r="H903" s="244" t="s">
        <v>2080</v>
      </c>
      <c r="I903"/>
      <c r="J903" s="389" t="s">
        <v>995</v>
      </c>
      <c r="K903" s="16">
        <v>1.47E-2</v>
      </c>
    </row>
    <row r="904" spans="1:33" hidden="1">
      <c r="A904" s="379"/>
      <c r="B904" s="384" t="s">
        <v>2586</v>
      </c>
      <c r="C904"/>
      <c r="D904"/>
      <c r="E904"/>
      <c r="H904" s="244" t="s">
        <v>1849</v>
      </c>
      <c r="I904"/>
      <c r="J904" s="2" t="s">
        <v>995</v>
      </c>
      <c r="K904" s="16">
        <v>4.5999999999999999E-3</v>
      </c>
    </row>
    <row r="905" spans="1:33" ht="47.25" hidden="1">
      <c r="A905" s="379"/>
      <c r="B905" s="384" t="s">
        <v>2587</v>
      </c>
      <c r="C905"/>
      <c r="D905"/>
      <c r="E905"/>
      <c r="I905"/>
      <c r="J905" s="4"/>
      <c r="K905" s="5" t="s">
        <v>1667</v>
      </c>
    </row>
    <row r="906" spans="1:33" ht="47.25" hidden="1">
      <c r="A906" s="379"/>
      <c r="B906" s="384" t="s">
        <v>2587</v>
      </c>
      <c r="C906"/>
      <c r="D906"/>
      <c r="E906"/>
      <c r="I906"/>
      <c r="J906" s="4"/>
      <c r="K906" s="16">
        <v>1.9300000000000001E-2</v>
      </c>
    </row>
    <row r="907" spans="1:33" ht="47.25" hidden="1">
      <c r="A907" s="379"/>
      <c r="B907" s="384" t="s">
        <v>2600</v>
      </c>
      <c r="C907"/>
      <c r="D907"/>
      <c r="E907"/>
      <c r="I907"/>
      <c r="J907" s="4"/>
      <c r="K907" s="5" t="s">
        <v>1667</v>
      </c>
    </row>
    <row r="908" spans="1:33" hidden="1">
      <c r="A908" s="379"/>
      <c r="B908" s="384" t="s">
        <v>2601</v>
      </c>
      <c r="C908"/>
      <c r="D908"/>
      <c r="E908"/>
      <c r="I908"/>
      <c r="J908" s="4"/>
      <c r="K908"/>
    </row>
    <row r="909" spans="1:33" hidden="1">
      <c r="A909" s="379"/>
      <c r="B909" s="384" t="s">
        <v>2652</v>
      </c>
      <c r="C909"/>
      <c r="D909"/>
      <c r="E909"/>
      <c r="I909"/>
      <c r="J909" s="4"/>
      <c r="K909"/>
    </row>
    <row r="910" spans="1:33" hidden="1">
      <c r="A910" s="379"/>
      <c r="B910" s="384" t="s">
        <v>3636</v>
      </c>
      <c r="C910"/>
      <c r="D910"/>
      <c r="E910"/>
      <c r="F910" s="373">
        <v>1.14E-2</v>
      </c>
      <c r="G910" s="250" t="s">
        <v>884</v>
      </c>
      <c r="H910" s="244" t="s">
        <v>313</v>
      </c>
      <c r="I910" s="8">
        <f>C88</f>
        <v>65420</v>
      </c>
      <c r="J910" s="2" t="s">
        <v>884</v>
      </c>
      <c r="K910" s="8">
        <f>(F910*I910)</f>
        <v>745.79</v>
      </c>
      <c r="AG910" s="244" t="s">
        <v>2346</v>
      </c>
    </row>
    <row r="911" spans="1:33" hidden="1">
      <c r="A911" s="379"/>
      <c r="B911" s="384" t="s">
        <v>2666</v>
      </c>
      <c r="C911"/>
      <c r="D911"/>
      <c r="E911"/>
      <c r="F911" s="373">
        <v>2.4299999999999999E-2</v>
      </c>
      <c r="G911" s="250" t="s">
        <v>884</v>
      </c>
      <c r="H911" s="244" t="s">
        <v>314</v>
      </c>
      <c r="I911" s="8">
        <f>C89</f>
        <v>57165</v>
      </c>
      <c r="J911" s="2" t="s">
        <v>884</v>
      </c>
      <c r="K911" s="8">
        <f>(F911*I911)</f>
        <v>1389.11</v>
      </c>
      <c r="AG911" s="244" t="s">
        <v>2346</v>
      </c>
    </row>
    <row r="912" spans="1:33" hidden="1">
      <c r="A912" s="379"/>
      <c r="B912" s="384" t="s">
        <v>2667</v>
      </c>
      <c r="C912"/>
      <c r="D912"/>
      <c r="E912"/>
      <c r="F912" s="373">
        <v>1.9300000000000001E-2</v>
      </c>
      <c r="G912" s="250" t="s">
        <v>884</v>
      </c>
      <c r="H912" s="244" t="s">
        <v>315</v>
      </c>
      <c r="I912" s="8">
        <f>C90</f>
        <v>63870</v>
      </c>
      <c r="J912" s="2" t="s">
        <v>884</v>
      </c>
      <c r="K912" s="8">
        <f>(F912*I912)</f>
        <v>1232.69</v>
      </c>
      <c r="AG912" s="244" t="s">
        <v>2346</v>
      </c>
    </row>
    <row r="913" spans="1:33" hidden="1">
      <c r="A913" s="379"/>
      <c r="B913" s="384" t="s">
        <v>2668</v>
      </c>
      <c r="C913"/>
      <c r="D913"/>
      <c r="E913"/>
      <c r="F913" s="374"/>
      <c r="H913" s="244" t="s">
        <v>445</v>
      </c>
      <c r="I913" s="1" t="s">
        <v>995</v>
      </c>
      <c r="J913" s="4"/>
      <c r="K913" s="1" t="s">
        <v>995</v>
      </c>
      <c r="AG913" s="244" t="s">
        <v>2346</v>
      </c>
    </row>
    <row r="914" spans="1:33" hidden="1">
      <c r="A914" s="379"/>
      <c r="B914" s="384" t="s">
        <v>2669</v>
      </c>
      <c r="C914"/>
      <c r="D914"/>
      <c r="E914"/>
      <c r="F914" s="374">
        <v>1.823</v>
      </c>
      <c r="G914" s="250" t="s">
        <v>611</v>
      </c>
      <c r="H914" s="244" t="s">
        <v>446</v>
      </c>
      <c r="I914" s="8">
        <f>C31</f>
        <v>342</v>
      </c>
      <c r="J914" s="2" t="s">
        <v>611</v>
      </c>
      <c r="K914" s="8">
        <f t="shared" ref="K914:K920" si="50">(F914*I914)</f>
        <v>623.47</v>
      </c>
      <c r="AG914" s="244" t="s">
        <v>2346</v>
      </c>
    </row>
    <row r="915" spans="1:33" hidden="1">
      <c r="A915" s="379"/>
      <c r="B915" s="384" t="s">
        <v>2670</v>
      </c>
      <c r="C915"/>
      <c r="D915"/>
      <c r="E915"/>
      <c r="F915" s="251">
        <v>1</v>
      </c>
      <c r="G915" s="250" t="s">
        <v>781</v>
      </c>
      <c r="H915" s="244" t="s">
        <v>1526</v>
      </c>
      <c r="I915" s="8">
        <f>C576</f>
        <v>30</v>
      </c>
      <c r="J915" s="2" t="s">
        <v>883</v>
      </c>
      <c r="K915" s="8">
        <f t="shared" si="50"/>
        <v>30</v>
      </c>
      <c r="AG915" s="244" t="s">
        <v>2346</v>
      </c>
    </row>
    <row r="916" spans="1:33" ht="31.5" hidden="1">
      <c r="A916" s="379"/>
      <c r="B916" s="384" t="s">
        <v>2671</v>
      </c>
      <c r="C916"/>
      <c r="D916"/>
      <c r="E916"/>
      <c r="F916" s="251">
        <v>3</v>
      </c>
      <c r="G916" s="250" t="s">
        <v>883</v>
      </c>
      <c r="H916" s="244" t="s">
        <v>1527</v>
      </c>
      <c r="I916" s="8">
        <f>C278</f>
        <v>45</v>
      </c>
      <c r="J916" s="2" t="s">
        <v>883</v>
      </c>
      <c r="K916" s="8">
        <f t="shared" si="50"/>
        <v>135</v>
      </c>
      <c r="AG916" s="244" t="s">
        <v>2346</v>
      </c>
    </row>
    <row r="917" spans="1:33" ht="31.5" hidden="1">
      <c r="A917" s="379"/>
      <c r="B917" s="384" t="s">
        <v>2672</v>
      </c>
      <c r="C917"/>
      <c r="D917"/>
      <c r="E917"/>
      <c r="F917" s="251">
        <v>2</v>
      </c>
      <c r="G917" s="250" t="s">
        <v>883</v>
      </c>
      <c r="H917" s="244" t="s">
        <v>1528</v>
      </c>
      <c r="I917" s="8">
        <f>C283</f>
        <v>30</v>
      </c>
      <c r="J917" s="2" t="s">
        <v>883</v>
      </c>
      <c r="K917" s="8">
        <f t="shared" si="50"/>
        <v>60</v>
      </c>
      <c r="AG917" s="244" t="s">
        <v>2346</v>
      </c>
    </row>
    <row r="918" spans="1:33" ht="31.5" hidden="1">
      <c r="A918" s="379"/>
      <c r="B918" s="384" t="s">
        <v>2673</v>
      </c>
      <c r="C918"/>
      <c r="D918"/>
      <c r="E918"/>
      <c r="F918" s="251">
        <v>1</v>
      </c>
      <c r="G918" s="250" t="s">
        <v>883</v>
      </c>
      <c r="H918" s="244" t="s">
        <v>1529</v>
      </c>
      <c r="I918" s="8">
        <f>C285</f>
        <v>95</v>
      </c>
      <c r="J918" s="2" t="s">
        <v>883</v>
      </c>
      <c r="K918" s="8">
        <f t="shared" si="50"/>
        <v>95</v>
      </c>
      <c r="AG918" s="244" t="s">
        <v>2346</v>
      </c>
    </row>
    <row r="919" spans="1:33" hidden="1">
      <c r="A919" s="379"/>
      <c r="B919" s="384" t="s">
        <v>2674</v>
      </c>
      <c r="C919"/>
      <c r="D919"/>
      <c r="E919"/>
      <c r="F919" s="251">
        <v>1</v>
      </c>
      <c r="G919" s="250" t="s">
        <v>883</v>
      </c>
      <c r="H919" s="244" t="s">
        <v>1530</v>
      </c>
      <c r="I919" s="8">
        <f>C287</f>
        <v>8</v>
      </c>
      <c r="J919" s="2" t="s">
        <v>883</v>
      </c>
      <c r="K919" s="8">
        <f t="shared" si="50"/>
        <v>8</v>
      </c>
      <c r="AG919" s="244" t="s">
        <v>2346</v>
      </c>
    </row>
    <row r="920" spans="1:33" hidden="1">
      <c r="A920" s="379"/>
      <c r="B920" s="384" t="s">
        <v>2705</v>
      </c>
      <c r="C920"/>
      <c r="D920"/>
      <c r="E920"/>
      <c r="F920" s="251">
        <v>1</v>
      </c>
      <c r="G920" s="250" t="s">
        <v>883</v>
      </c>
      <c r="H920" s="244" t="s">
        <v>2058</v>
      </c>
      <c r="I920" s="8">
        <f>D576</f>
        <v>25</v>
      </c>
      <c r="J920" s="2" t="s">
        <v>883</v>
      </c>
      <c r="K920" s="8">
        <f t="shared" si="50"/>
        <v>25</v>
      </c>
      <c r="AG920" s="244" t="s">
        <v>2346</v>
      </c>
    </row>
    <row r="921" spans="1:33" hidden="1">
      <c r="A921" s="379"/>
      <c r="B921" s="384" t="s">
        <v>2706</v>
      </c>
      <c r="C921"/>
      <c r="D921"/>
      <c r="E921"/>
      <c r="I921"/>
      <c r="J921" s="4"/>
      <c r="K921" s="5" t="s">
        <v>1667</v>
      </c>
      <c r="AG921" s="244" t="s">
        <v>2346</v>
      </c>
    </row>
    <row r="922" spans="1:33" ht="31.5" hidden="1">
      <c r="A922" s="379"/>
      <c r="B922" s="384" t="s">
        <v>2707</v>
      </c>
      <c r="C922"/>
      <c r="D922"/>
      <c r="E922"/>
      <c r="H922" s="244" t="s">
        <v>1531</v>
      </c>
      <c r="I922"/>
      <c r="J922" s="4"/>
      <c r="K922" s="8">
        <f>SUM(K910:K920)</f>
        <v>4344.0600000000004</v>
      </c>
      <c r="AG922" s="244" t="s">
        <v>2346</v>
      </c>
    </row>
    <row r="923" spans="1:33" hidden="1">
      <c r="A923" s="379"/>
      <c r="B923" s="384" t="s">
        <v>3151</v>
      </c>
      <c r="C923"/>
      <c r="D923"/>
      <c r="E923"/>
      <c r="I923"/>
      <c r="J923" s="4"/>
      <c r="K923" s="5" t="s">
        <v>1667</v>
      </c>
      <c r="AG923" s="244" t="s">
        <v>2346</v>
      </c>
    </row>
    <row r="924" spans="1:33" hidden="1">
      <c r="A924" s="379"/>
      <c r="B924" s="384" t="s">
        <v>3152</v>
      </c>
      <c r="C924"/>
      <c r="D924"/>
      <c r="E924"/>
      <c r="H924" s="244" t="s">
        <v>555</v>
      </c>
      <c r="I924"/>
      <c r="J924" s="4"/>
      <c r="K924" s="8">
        <f>K922/F914</f>
        <v>2382.92</v>
      </c>
      <c r="AG924" s="244" t="s">
        <v>2346</v>
      </c>
    </row>
    <row r="925" spans="1:33" hidden="1">
      <c r="A925" s="379"/>
      <c r="B925" s="384" t="s">
        <v>3153</v>
      </c>
      <c r="C925"/>
      <c r="D925"/>
      <c r="E925"/>
      <c r="F925" s="244" t="s">
        <v>995</v>
      </c>
      <c r="I925"/>
      <c r="J925" s="4"/>
      <c r="K925"/>
    </row>
    <row r="926" spans="1:33" hidden="1">
      <c r="A926" s="379"/>
      <c r="B926" s="384" t="s">
        <v>3154</v>
      </c>
      <c r="C926"/>
      <c r="D926"/>
      <c r="E926"/>
      <c r="I926"/>
      <c r="J926" s="4"/>
      <c r="K926" s="5" t="s">
        <v>2130</v>
      </c>
      <c r="AG926" s="244" t="s">
        <v>2346</v>
      </c>
    </row>
    <row r="927" spans="1:33" hidden="1">
      <c r="A927" s="379"/>
      <c r="B927" s="384" t="s">
        <v>3155</v>
      </c>
      <c r="C927"/>
      <c r="D927"/>
      <c r="E927"/>
      <c r="I927"/>
      <c r="J927" s="4"/>
      <c r="K927"/>
    </row>
    <row r="928" spans="1:33" hidden="1">
      <c r="A928" s="379"/>
      <c r="B928" s="384" t="s">
        <v>3156</v>
      </c>
      <c r="C928"/>
      <c r="D928"/>
      <c r="E928"/>
      <c r="I928"/>
      <c r="J928" s="4"/>
      <c r="K928"/>
    </row>
    <row r="929" spans="1:33" hidden="1">
      <c r="A929" s="379"/>
      <c r="B929" s="384" t="s">
        <v>3157</v>
      </c>
      <c r="C929"/>
      <c r="D929"/>
      <c r="E929"/>
      <c r="F929" s="354" t="s">
        <v>1397</v>
      </c>
      <c r="G929" s="250" t="s">
        <v>2338</v>
      </c>
      <c r="H929" s="244" t="s">
        <v>253</v>
      </c>
      <c r="I929"/>
      <c r="J929" s="4"/>
      <c r="K929"/>
      <c r="AG929" s="244" t="s">
        <v>2346</v>
      </c>
    </row>
    <row r="930" spans="1:33" ht="16.5" hidden="1" customHeight="1">
      <c r="A930" s="379"/>
      <c r="B930" s="384" t="s">
        <v>3158</v>
      </c>
      <c r="C930"/>
      <c r="D930"/>
      <c r="E930"/>
      <c r="H930" s="244" t="s">
        <v>254</v>
      </c>
      <c r="I930"/>
      <c r="J930" s="4"/>
      <c r="K930"/>
      <c r="AG930" s="244" t="s">
        <v>2346</v>
      </c>
    </row>
    <row r="931" spans="1:33" ht="15.75" hidden="1" customHeight="1">
      <c r="A931" s="379"/>
      <c r="B931" s="384" t="s">
        <v>3159</v>
      </c>
      <c r="C931"/>
      <c r="D931"/>
      <c r="E931"/>
      <c r="H931" s="244" t="s">
        <v>1534</v>
      </c>
      <c r="I931"/>
      <c r="J931" s="4"/>
      <c r="K931"/>
      <c r="AG931" s="244" t="s">
        <v>2346</v>
      </c>
    </row>
    <row r="932" spans="1:33" hidden="1">
      <c r="A932" s="379"/>
      <c r="B932" s="384" t="s">
        <v>3160</v>
      </c>
      <c r="C932"/>
      <c r="D932"/>
      <c r="E932"/>
      <c r="H932" s="248" t="s">
        <v>1667</v>
      </c>
      <c r="I932"/>
      <c r="J932" s="4"/>
      <c r="K932"/>
      <c r="AG932" s="244" t="s">
        <v>2346</v>
      </c>
    </row>
    <row r="933" spans="1:33" hidden="1">
      <c r="A933" s="379"/>
      <c r="B933" s="384" t="s">
        <v>3161</v>
      </c>
      <c r="C933"/>
      <c r="D933"/>
      <c r="E933"/>
      <c r="I933"/>
      <c r="J933" s="4"/>
      <c r="K933"/>
    </row>
    <row r="934" spans="1:33" ht="20.25" hidden="1" customHeight="1">
      <c r="A934" s="379"/>
      <c r="B934" s="384" t="s">
        <v>3162</v>
      </c>
      <c r="C934"/>
      <c r="D934"/>
      <c r="E934"/>
      <c r="H934" s="244" t="s">
        <v>652</v>
      </c>
      <c r="I934"/>
      <c r="J934" s="4"/>
      <c r="K934"/>
    </row>
    <row r="935" spans="1:33" hidden="1">
      <c r="A935" s="379"/>
      <c r="B935" s="384" t="s">
        <v>2741</v>
      </c>
      <c r="C935"/>
      <c r="D935"/>
      <c r="E935"/>
      <c r="H935" s="244" t="s">
        <v>653</v>
      </c>
      <c r="I935"/>
      <c r="J935" s="4"/>
      <c r="K935"/>
    </row>
    <row r="936" spans="1:33" hidden="1">
      <c r="A936" s="379"/>
      <c r="B936" s="384" t="s">
        <v>2742</v>
      </c>
      <c r="C936"/>
      <c r="D936"/>
      <c r="E936"/>
      <c r="I936"/>
      <c r="J936" s="2" t="s">
        <v>1667</v>
      </c>
      <c r="K936"/>
    </row>
    <row r="937" spans="1:33" hidden="1">
      <c r="A937" s="379"/>
      <c r="B937" s="384" t="s">
        <v>2743</v>
      </c>
      <c r="C937"/>
      <c r="D937"/>
      <c r="E937"/>
      <c r="H937" s="244" t="s">
        <v>654</v>
      </c>
      <c r="I937"/>
      <c r="J937" s="4"/>
      <c r="K937"/>
    </row>
    <row r="938" spans="1:33" hidden="1">
      <c r="A938" s="379"/>
      <c r="B938" s="384" t="s">
        <v>2744</v>
      </c>
      <c r="C938"/>
      <c r="D938"/>
      <c r="E938"/>
      <c r="H938" s="244" t="s">
        <v>655</v>
      </c>
      <c r="I938"/>
      <c r="J938" s="4"/>
      <c r="K938" s="16">
        <v>2.1999999999999999E-2</v>
      </c>
    </row>
    <row r="939" spans="1:33" hidden="1">
      <c r="A939" s="379"/>
      <c r="B939" s="384" t="s">
        <v>2745</v>
      </c>
      <c r="C939"/>
      <c r="D939"/>
      <c r="E939"/>
      <c r="I939"/>
      <c r="J939" s="2" t="s">
        <v>995</v>
      </c>
      <c r="K939" s="5" t="s">
        <v>1667</v>
      </c>
    </row>
    <row r="940" spans="1:33" ht="31.5" hidden="1">
      <c r="A940" s="379"/>
      <c r="B940" s="384" t="s">
        <v>2808</v>
      </c>
      <c r="C940"/>
      <c r="D940"/>
      <c r="E940"/>
      <c r="H940" s="244" t="s">
        <v>874</v>
      </c>
      <c r="I940"/>
      <c r="J940" s="389" t="s">
        <v>995</v>
      </c>
      <c r="K940" s="16">
        <v>1.3100000000000001E-2</v>
      </c>
    </row>
    <row r="941" spans="1:33" ht="31.5" hidden="1">
      <c r="A941" s="379"/>
      <c r="B941" s="384" t="s">
        <v>3312</v>
      </c>
      <c r="C941"/>
      <c r="D941"/>
      <c r="E941"/>
      <c r="H941" s="244" t="s">
        <v>2227</v>
      </c>
      <c r="I941"/>
      <c r="J941" s="2" t="s">
        <v>995</v>
      </c>
      <c r="K941" s="16">
        <v>3.3999999999999998E-3</v>
      </c>
    </row>
    <row r="942" spans="1:33" ht="31.5" hidden="1">
      <c r="A942" s="379"/>
      <c r="B942" s="384" t="s">
        <v>3130</v>
      </c>
      <c r="C942"/>
      <c r="D942"/>
      <c r="E942"/>
      <c r="I942"/>
      <c r="J942" s="4"/>
      <c r="K942" s="5" t="s">
        <v>1667</v>
      </c>
    </row>
    <row r="943" spans="1:33" ht="31.5" hidden="1">
      <c r="A943" s="379"/>
      <c r="B943" s="384" t="s">
        <v>3131</v>
      </c>
      <c r="C943"/>
      <c r="D943"/>
      <c r="E943"/>
      <c r="I943"/>
      <c r="J943" s="4"/>
      <c r="K943" s="16">
        <v>1.6500000000000001E-2</v>
      </c>
    </row>
    <row r="944" spans="1:33" hidden="1">
      <c r="A944" s="379"/>
      <c r="B944" s="384" t="s">
        <v>3132</v>
      </c>
      <c r="C944"/>
      <c r="D944"/>
      <c r="E944"/>
      <c r="I944"/>
      <c r="J944" s="4"/>
      <c r="K944" s="5" t="s">
        <v>1667</v>
      </c>
    </row>
    <row r="945" spans="1:33" hidden="1">
      <c r="A945" s="379"/>
      <c r="B945" s="384" t="s">
        <v>3133</v>
      </c>
      <c r="C945"/>
      <c r="D945"/>
      <c r="E945"/>
      <c r="F945" s="373">
        <v>1.15E-2</v>
      </c>
      <c r="G945" s="250" t="s">
        <v>884</v>
      </c>
      <c r="H945" s="244" t="s">
        <v>313</v>
      </c>
      <c r="I945" s="8">
        <f>C88</f>
        <v>65420</v>
      </c>
      <c r="J945" s="2" t="s">
        <v>884</v>
      </c>
      <c r="K945" s="8">
        <f>(F945*I945)</f>
        <v>752.33</v>
      </c>
      <c r="AG945" s="244" t="s">
        <v>2346</v>
      </c>
    </row>
    <row r="946" spans="1:33" hidden="1">
      <c r="A946" s="379"/>
      <c r="B946" s="384" t="s">
        <v>3134</v>
      </c>
      <c r="C946"/>
      <c r="D946"/>
      <c r="E946"/>
      <c r="F946" s="373">
        <v>2.1999999999999999E-2</v>
      </c>
      <c r="G946" s="250" t="s">
        <v>884</v>
      </c>
      <c r="H946" s="244" t="s">
        <v>314</v>
      </c>
      <c r="I946" s="8">
        <f>C89</f>
        <v>57165</v>
      </c>
      <c r="J946" s="2" t="s">
        <v>884</v>
      </c>
      <c r="K946" s="8">
        <f>(F946*I946)</f>
        <v>1257.6300000000001</v>
      </c>
      <c r="AG946" s="244" t="s">
        <v>2346</v>
      </c>
    </row>
    <row r="947" spans="1:33" hidden="1">
      <c r="A947" s="379"/>
      <c r="B947" s="384" t="s">
        <v>3135</v>
      </c>
      <c r="C947"/>
      <c r="D947"/>
      <c r="E947"/>
      <c r="F947" s="373">
        <v>1.6500000000000001E-2</v>
      </c>
      <c r="G947" s="250" t="s">
        <v>884</v>
      </c>
      <c r="H947" s="244" t="s">
        <v>315</v>
      </c>
      <c r="I947" s="8">
        <f>C90</f>
        <v>63870</v>
      </c>
      <c r="J947" s="2" t="s">
        <v>884</v>
      </c>
      <c r="K947" s="8">
        <f>(F947*I947)</f>
        <v>1053.8599999999999</v>
      </c>
      <c r="AG947" s="244" t="s">
        <v>2346</v>
      </c>
    </row>
    <row r="948" spans="1:33" ht="31.5" hidden="1">
      <c r="A948" s="379"/>
      <c r="B948" s="384" t="s">
        <v>2529</v>
      </c>
      <c r="C948"/>
      <c r="D948"/>
      <c r="E948"/>
      <c r="F948" s="373"/>
      <c r="H948" s="244" t="s">
        <v>445</v>
      </c>
      <c r="I948" s="1" t="s">
        <v>995</v>
      </c>
      <c r="J948" s="4"/>
      <c r="K948" s="1" t="s">
        <v>995</v>
      </c>
      <c r="AG948" s="244" t="s">
        <v>2346</v>
      </c>
    </row>
    <row r="949" spans="1:33" ht="31.5" hidden="1">
      <c r="A949" s="379"/>
      <c r="B949" s="384" t="s">
        <v>2530</v>
      </c>
      <c r="C949"/>
      <c r="D949"/>
      <c r="E949"/>
      <c r="F949" s="373">
        <v>1.64</v>
      </c>
      <c r="G949" s="250" t="s">
        <v>611</v>
      </c>
      <c r="H949" s="244" t="s">
        <v>446</v>
      </c>
      <c r="I949" s="8">
        <f>C31</f>
        <v>342</v>
      </c>
      <c r="J949" s="2" t="s">
        <v>611</v>
      </c>
      <c r="K949" s="8">
        <f t="shared" ref="K949:K955" si="51">(F949*I949)</f>
        <v>560.88</v>
      </c>
      <c r="AG949" s="244" t="s">
        <v>2346</v>
      </c>
    </row>
    <row r="950" spans="1:33" ht="31.5" hidden="1">
      <c r="A950" s="379"/>
      <c r="B950" s="384" t="s">
        <v>3313</v>
      </c>
      <c r="C950"/>
      <c r="D950"/>
      <c r="E950"/>
      <c r="F950" s="251">
        <v>1</v>
      </c>
      <c r="G950" s="250" t="s">
        <v>781</v>
      </c>
      <c r="H950" s="244" t="s">
        <v>1526</v>
      </c>
      <c r="I950" s="8">
        <f>C576</f>
        <v>30</v>
      </c>
      <c r="J950" s="2" t="s">
        <v>883</v>
      </c>
      <c r="K950" s="8">
        <f t="shared" si="51"/>
        <v>30</v>
      </c>
      <c r="AG950" s="244" t="s">
        <v>2346</v>
      </c>
    </row>
    <row r="951" spans="1:33" ht="31.5" hidden="1">
      <c r="A951" s="379"/>
      <c r="B951" s="384" t="s">
        <v>3314</v>
      </c>
      <c r="C951"/>
      <c r="D951"/>
      <c r="E951"/>
      <c r="F951" s="251">
        <v>3</v>
      </c>
      <c r="G951" s="250" t="s">
        <v>883</v>
      </c>
      <c r="H951" s="244" t="s">
        <v>1527</v>
      </c>
      <c r="I951" s="8">
        <f>C278</f>
        <v>45</v>
      </c>
      <c r="J951" s="2" t="s">
        <v>883</v>
      </c>
      <c r="K951" s="8">
        <f t="shared" si="51"/>
        <v>135</v>
      </c>
      <c r="AG951" s="244" t="s">
        <v>2346</v>
      </c>
    </row>
    <row r="952" spans="1:33" ht="31.5" hidden="1">
      <c r="A952" s="379"/>
      <c r="B952" s="384" t="s">
        <v>3324</v>
      </c>
      <c r="C952"/>
      <c r="D952"/>
      <c r="E952"/>
      <c r="F952" s="251">
        <v>2</v>
      </c>
      <c r="G952" s="250" t="s">
        <v>883</v>
      </c>
      <c r="H952" s="244" t="s">
        <v>1528</v>
      </c>
      <c r="I952" s="8">
        <f>C283</f>
        <v>30</v>
      </c>
      <c r="J952" s="2" t="s">
        <v>883</v>
      </c>
      <c r="K952" s="8">
        <f t="shared" si="51"/>
        <v>60</v>
      </c>
      <c r="AG952" s="244" t="s">
        <v>325</v>
      </c>
    </row>
    <row r="953" spans="1:33" ht="31.5" hidden="1">
      <c r="A953" s="379"/>
      <c r="B953" s="384" t="s">
        <v>3325</v>
      </c>
      <c r="C953"/>
      <c r="D953"/>
      <c r="E953"/>
      <c r="F953" s="251">
        <v>1</v>
      </c>
      <c r="G953" s="250" t="s">
        <v>883</v>
      </c>
      <c r="H953" s="244" t="s">
        <v>1529</v>
      </c>
      <c r="I953" s="8">
        <f>C285</f>
        <v>95</v>
      </c>
      <c r="J953" s="2" t="s">
        <v>883</v>
      </c>
      <c r="K953" s="8">
        <f t="shared" si="51"/>
        <v>95</v>
      </c>
    </row>
    <row r="954" spans="1:33" ht="31.5" hidden="1">
      <c r="A954" s="379"/>
      <c r="B954" s="384" t="s">
        <v>3326</v>
      </c>
      <c r="C954"/>
      <c r="D954"/>
      <c r="E954"/>
      <c r="F954" s="251">
        <v>1</v>
      </c>
      <c r="G954" s="250" t="s">
        <v>883</v>
      </c>
      <c r="H954" s="244" t="s">
        <v>1530</v>
      </c>
      <c r="I954" s="8">
        <f>C287</f>
        <v>8</v>
      </c>
      <c r="J954" s="2" t="s">
        <v>883</v>
      </c>
      <c r="K954" s="8">
        <f t="shared" si="51"/>
        <v>8</v>
      </c>
    </row>
    <row r="955" spans="1:33" ht="31.5" hidden="1">
      <c r="A955" s="379"/>
      <c r="B955" s="384" t="s">
        <v>3327</v>
      </c>
      <c r="C955"/>
      <c r="D955"/>
      <c r="E955"/>
      <c r="F955" s="251">
        <v>1</v>
      </c>
      <c r="G955" s="250" t="s">
        <v>883</v>
      </c>
      <c r="H955" s="244" t="s">
        <v>2058</v>
      </c>
      <c r="I955" s="8">
        <f>D576</f>
        <v>25</v>
      </c>
      <c r="J955" s="2" t="s">
        <v>883</v>
      </c>
      <c r="K955" s="8">
        <f t="shared" si="51"/>
        <v>25</v>
      </c>
      <c r="AG955" s="244" t="s">
        <v>2346</v>
      </c>
    </row>
    <row r="956" spans="1:33" ht="31.5" hidden="1">
      <c r="A956" s="379"/>
      <c r="B956" s="384" t="s">
        <v>3328</v>
      </c>
      <c r="C956"/>
      <c r="D956"/>
      <c r="E956"/>
      <c r="I956"/>
      <c r="J956" s="4"/>
      <c r="K956" s="5" t="s">
        <v>1667</v>
      </c>
      <c r="AG956" s="244" t="s">
        <v>2346</v>
      </c>
    </row>
    <row r="957" spans="1:33" ht="31.5" hidden="1">
      <c r="A957" s="379"/>
      <c r="B957" s="384" t="s">
        <v>3329</v>
      </c>
      <c r="C957"/>
      <c r="D957"/>
      <c r="E957"/>
      <c r="H957" s="244" t="s">
        <v>2228</v>
      </c>
      <c r="I957"/>
      <c r="J957" s="4"/>
      <c r="K957" s="8">
        <f>SUM(K945:K955)</f>
        <v>3977.7</v>
      </c>
      <c r="AG957" s="244" t="s">
        <v>2346</v>
      </c>
    </row>
    <row r="958" spans="1:33" ht="31.5" hidden="1">
      <c r="A958" s="379"/>
      <c r="B958" s="384" t="s">
        <v>3330</v>
      </c>
      <c r="C958"/>
      <c r="D958"/>
      <c r="E958"/>
      <c r="I958"/>
      <c r="J958" s="4"/>
      <c r="K958" s="5" t="s">
        <v>1667</v>
      </c>
      <c r="AG958" s="244" t="s">
        <v>2346</v>
      </c>
    </row>
    <row r="959" spans="1:33" ht="31.5" hidden="1">
      <c r="A959" s="379"/>
      <c r="B959" s="384" t="s">
        <v>3386</v>
      </c>
      <c r="C959"/>
      <c r="D959"/>
      <c r="E959"/>
      <c r="H959" s="244" t="s">
        <v>555</v>
      </c>
      <c r="I959"/>
      <c r="J959" s="4"/>
      <c r="K959" s="8">
        <f>K957/F949</f>
        <v>2425.4299999999998</v>
      </c>
      <c r="AG959" s="244" t="s">
        <v>2346</v>
      </c>
    </row>
    <row r="960" spans="1:33" ht="31.5" hidden="1">
      <c r="A960" s="379"/>
      <c r="B960" s="384" t="s">
        <v>3387</v>
      </c>
      <c r="C960"/>
      <c r="D960"/>
      <c r="E960"/>
      <c r="I960"/>
      <c r="J960" s="4"/>
      <c r="K960" s="5" t="s">
        <v>2130</v>
      </c>
      <c r="AG960" s="244" t="s">
        <v>2346</v>
      </c>
    </row>
    <row r="961" spans="1:11" ht="31.5" hidden="1">
      <c r="A961" s="379"/>
      <c r="B961" s="384" t="s">
        <v>3388</v>
      </c>
      <c r="C961"/>
      <c r="D961"/>
      <c r="E961"/>
      <c r="F961" s="354" t="s">
        <v>1396</v>
      </c>
      <c r="G961" s="250" t="s">
        <v>2338</v>
      </c>
      <c r="H961" s="244" t="s">
        <v>253</v>
      </c>
      <c r="I961"/>
      <c r="J961" s="4"/>
      <c r="K961"/>
    </row>
    <row r="962" spans="1:11" ht="31.5" hidden="1">
      <c r="A962" s="379"/>
      <c r="B962" s="384" t="s">
        <v>3125</v>
      </c>
      <c r="C962"/>
      <c r="D962"/>
      <c r="E962"/>
      <c r="H962" s="244" t="s">
        <v>254</v>
      </c>
      <c r="I962"/>
      <c r="J962" s="4"/>
      <c r="K962"/>
    </row>
    <row r="963" spans="1:11" hidden="1">
      <c r="A963" s="379"/>
      <c r="B963" s="384" t="s">
        <v>3126</v>
      </c>
      <c r="C963"/>
      <c r="D963"/>
      <c r="E963"/>
      <c r="H963" s="244" t="s">
        <v>1535</v>
      </c>
      <c r="I963"/>
      <c r="J963" s="4"/>
      <c r="K963"/>
    </row>
    <row r="964" spans="1:11" hidden="1">
      <c r="A964" s="379"/>
      <c r="B964" s="384" t="s">
        <v>3127</v>
      </c>
      <c r="C964"/>
      <c r="D964"/>
      <c r="E964"/>
      <c r="H964" s="248" t="s">
        <v>1667</v>
      </c>
      <c r="I964"/>
      <c r="J964" s="4"/>
      <c r="K964"/>
    </row>
    <row r="965" spans="1:11" hidden="1">
      <c r="A965" s="379"/>
      <c r="B965" s="384" t="s">
        <v>3128</v>
      </c>
      <c r="C965"/>
      <c r="D965"/>
      <c r="E965"/>
      <c r="H965" s="244" t="s">
        <v>2229</v>
      </c>
      <c r="I965"/>
      <c r="J965" s="4"/>
      <c r="K965"/>
    </row>
    <row r="966" spans="1:11" hidden="1">
      <c r="A966" s="379"/>
      <c r="B966" s="384" t="s">
        <v>3129</v>
      </c>
      <c r="C966"/>
      <c r="D966"/>
      <c r="E966"/>
      <c r="H966" s="244" t="s">
        <v>93</v>
      </c>
      <c r="I966"/>
      <c r="J966" s="4"/>
      <c r="K966"/>
    </row>
    <row r="967" spans="1:11" hidden="1">
      <c r="A967" s="379"/>
      <c r="B967" s="384" t="s">
        <v>3359</v>
      </c>
      <c r="C967"/>
      <c r="D967"/>
      <c r="E967"/>
      <c r="I967"/>
      <c r="J967" s="2" t="s">
        <v>1667</v>
      </c>
      <c r="K967"/>
    </row>
    <row r="968" spans="1:11" hidden="1">
      <c r="A968" s="379"/>
      <c r="B968" s="384" t="s">
        <v>3360</v>
      </c>
      <c r="C968"/>
      <c r="D968"/>
      <c r="E968"/>
      <c r="H968" s="244" t="s">
        <v>2230</v>
      </c>
      <c r="I968"/>
      <c r="J968" s="4"/>
      <c r="K968"/>
    </row>
    <row r="969" spans="1:11" hidden="1">
      <c r="A969" s="379"/>
      <c r="B969" s="384" t="s">
        <v>3361</v>
      </c>
      <c r="C969"/>
      <c r="D969"/>
      <c r="E969"/>
      <c r="H969" s="244" t="s">
        <v>459</v>
      </c>
      <c r="I969"/>
      <c r="J969" s="4"/>
      <c r="K969" s="16">
        <v>1.1900000000000001E-2</v>
      </c>
    </row>
    <row r="970" spans="1:11" ht="31.5" hidden="1">
      <c r="A970" s="379"/>
      <c r="B970" s="384" t="s">
        <v>3362</v>
      </c>
      <c r="C970"/>
      <c r="D970"/>
      <c r="E970"/>
      <c r="I970"/>
      <c r="J970" s="2" t="s">
        <v>995</v>
      </c>
      <c r="K970" s="5" t="s">
        <v>1667</v>
      </c>
    </row>
    <row r="971" spans="1:11" ht="31.5" hidden="1">
      <c r="A971" s="379"/>
      <c r="B971" s="384" t="s">
        <v>2894</v>
      </c>
      <c r="C971"/>
      <c r="D971"/>
      <c r="E971"/>
      <c r="H971" s="244" t="s">
        <v>460</v>
      </c>
      <c r="I971"/>
      <c r="J971" s="389" t="s">
        <v>995</v>
      </c>
      <c r="K971" s="16">
        <v>1.18E-2</v>
      </c>
    </row>
    <row r="972" spans="1:11" ht="31.5" hidden="1">
      <c r="A972" s="379"/>
      <c r="B972" s="384" t="s">
        <v>2895</v>
      </c>
      <c r="C972"/>
      <c r="D972"/>
      <c r="E972"/>
      <c r="H972" s="244" t="s">
        <v>246</v>
      </c>
      <c r="I972"/>
      <c r="J972" s="2" t="s">
        <v>995</v>
      </c>
      <c r="K972" s="18" t="s">
        <v>1667</v>
      </c>
    </row>
    <row r="973" spans="1:11" hidden="1">
      <c r="A973" s="379"/>
      <c r="B973" s="384" t="s">
        <v>3284</v>
      </c>
      <c r="C973"/>
      <c r="D973"/>
      <c r="E973"/>
      <c r="I973"/>
      <c r="J973" s="4"/>
      <c r="K973"/>
    </row>
    <row r="974" spans="1:11" hidden="1">
      <c r="A974" s="379"/>
      <c r="B974" s="384" t="s">
        <v>3285</v>
      </c>
      <c r="C974"/>
      <c r="D974"/>
      <c r="E974"/>
      <c r="F974" s="373">
        <v>1.14E-2</v>
      </c>
      <c r="G974" s="250" t="s">
        <v>884</v>
      </c>
      <c r="H974" s="244" t="s">
        <v>313</v>
      </c>
      <c r="I974" s="8">
        <f>C88</f>
        <v>65420</v>
      </c>
      <c r="J974" s="2" t="s">
        <v>884</v>
      </c>
      <c r="K974" s="8">
        <f>(F974*I974)</f>
        <v>745.79</v>
      </c>
    </row>
    <row r="975" spans="1:11" hidden="1">
      <c r="A975" s="379"/>
      <c r="B975" s="384" t="s">
        <v>3286</v>
      </c>
      <c r="C975"/>
      <c r="D975"/>
      <c r="E975"/>
      <c r="F975" s="373">
        <v>1.1900000000000001E-2</v>
      </c>
      <c r="G975" s="250" t="s">
        <v>884</v>
      </c>
      <c r="H975" s="244" t="s">
        <v>314</v>
      </c>
      <c r="I975" s="8">
        <f>C89</f>
        <v>57165</v>
      </c>
      <c r="J975" s="2" t="s">
        <v>884</v>
      </c>
      <c r="K975" s="8">
        <f>(F975*I975)</f>
        <v>680.26</v>
      </c>
    </row>
    <row r="976" spans="1:11" hidden="1">
      <c r="A976" s="379"/>
      <c r="B976" s="384" t="s">
        <v>3551</v>
      </c>
      <c r="C976"/>
      <c r="D976"/>
      <c r="E976"/>
      <c r="F976" s="373">
        <v>1.18E-2</v>
      </c>
      <c r="G976" s="250" t="s">
        <v>884</v>
      </c>
      <c r="H976" s="244" t="s">
        <v>315</v>
      </c>
      <c r="I976" s="8">
        <f>C90</f>
        <v>63870</v>
      </c>
      <c r="J976" s="2" t="s">
        <v>884</v>
      </c>
      <c r="K976" s="8">
        <f>(F976*I976)</f>
        <v>753.67</v>
      </c>
    </row>
    <row r="977" spans="1:33" hidden="1">
      <c r="A977" s="379"/>
      <c r="B977" s="384" t="s">
        <v>3552</v>
      </c>
      <c r="C977"/>
      <c r="D977"/>
      <c r="E977"/>
      <c r="F977" s="373"/>
      <c r="H977" s="244" t="s">
        <v>445</v>
      </c>
      <c r="I977" s="1" t="s">
        <v>995</v>
      </c>
      <c r="J977" s="4"/>
      <c r="K977" s="1" t="s">
        <v>995</v>
      </c>
    </row>
    <row r="978" spans="1:33" hidden="1">
      <c r="A978" s="379"/>
      <c r="B978" s="384" t="s">
        <v>2454</v>
      </c>
      <c r="C978"/>
      <c r="D978"/>
      <c r="E978"/>
      <c r="F978" s="373">
        <v>1.2150000000000001</v>
      </c>
      <c r="G978" s="250" t="s">
        <v>611</v>
      </c>
      <c r="H978" s="244" t="s">
        <v>446</v>
      </c>
      <c r="I978" s="8">
        <f>C31</f>
        <v>342</v>
      </c>
      <c r="J978" s="2" t="s">
        <v>611</v>
      </c>
      <c r="K978" s="8">
        <f t="shared" ref="K978:K984" si="52">(F978*I978)</f>
        <v>415.53</v>
      </c>
    </row>
    <row r="979" spans="1:33" hidden="1">
      <c r="A979" s="379"/>
      <c r="B979" s="384" t="s">
        <v>2455</v>
      </c>
      <c r="C979"/>
      <c r="D979"/>
      <c r="E979"/>
      <c r="F979" s="251">
        <v>1</v>
      </c>
      <c r="G979" s="250" t="s">
        <v>781</v>
      </c>
      <c r="H979" s="244" t="s">
        <v>1526</v>
      </c>
      <c r="I979" s="8">
        <f>C576</f>
        <v>30</v>
      </c>
      <c r="J979" s="2" t="s">
        <v>883</v>
      </c>
      <c r="K979" s="8">
        <f t="shared" si="52"/>
        <v>30</v>
      </c>
    </row>
    <row r="980" spans="1:33" hidden="1">
      <c r="A980" s="379"/>
      <c r="B980" s="384" t="s">
        <v>2456</v>
      </c>
      <c r="C980"/>
      <c r="D980"/>
      <c r="E980"/>
      <c r="F980" s="251">
        <v>3</v>
      </c>
      <c r="G980" s="250" t="s">
        <v>883</v>
      </c>
      <c r="H980" s="244" t="s">
        <v>1527</v>
      </c>
      <c r="I980" s="8">
        <f>C278</f>
        <v>45</v>
      </c>
      <c r="J980" s="2" t="s">
        <v>883</v>
      </c>
      <c r="K980" s="8">
        <f t="shared" si="52"/>
        <v>135</v>
      </c>
    </row>
    <row r="981" spans="1:33" hidden="1">
      <c r="A981" s="379"/>
      <c r="B981" s="384" t="s">
        <v>2457</v>
      </c>
      <c r="C981"/>
      <c r="D981"/>
      <c r="E981"/>
      <c r="F981" s="251">
        <v>2</v>
      </c>
      <c r="G981" s="250" t="s">
        <v>883</v>
      </c>
      <c r="H981" s="244" t="s">
        <v>1528</v>
      </c>
      <c r="I981" s="8">
        <f>C283</f>
        <v>30</v>
      </c>
      <c r="J981" s="2" t="s">
        <v>883</v>
      </c>
      <c r="K981" s="8">
        <f t="shared" si="52"/>
        <v>60</v>
      </c>
    </row>
    <row r="982" spans="1:33" hidden="1">
      <c r="A982" s="379"/>
      <c r="B982" s="384" t="s">
        <v>3061</v>
      </c>
      <c r="C982"/>
      <c r="D982"/>
      <c r="E982"/>
      <c r="F982" s="251">
        <v>1</v>
      </c>
      <c r="G982" s="250" t="s">
        <v>883</v>
      </c>
      <c r="H982" s="244" t="s">
        <v>1529</v>
      </c>
      <c r="I982" s="8">
        <f>C285</f>
        <v>95</v>
      </c>
      <c r="J982" s="2" t="s">
        <v>883</v>
      </c>
      <c r="K982" s="8">
        <f t="shared" si="52"/>
        <v>95</v>
      </c>
    </row>
    <row r="983" spans="1:33" ht="31.5" hidden="1">
      <c r="A983" s="379"/>
      <c r="B983" s="384" t="s">
        <v>3062</v>
      </c>
      <c r="C983"/>
      <c r="D983"/>
      <c r="E983"/>
      <c r="F983" s="251">
        <v>1</v>
      </c>
      <c r="G983" s="250" t="s">
        <v>883</v>
      </c>
      <c r="H983" s="244" t="s">
        <v>1530</v>
      </c>
      <c r="I983" s="8">
        <f>C287</f>
        <v>8</v>
      </c>
      <c r="J983" s="2" t="s">
        <v>883</v>
      </c>
      <c r="K983" s="8">
        <f t="shared" si="52"/>
        <v>8</v>
      </c>
    </row>
    <row r="984" spans="1:33" hidden="1">
      <c r="A984" s="379"/>
      <c r="B984" s="384" t="s">
        <v>3072</v>
      </c>
      <c r="C984"/>
      <c r="D984"/>
      <c r="E984"/>
      <c r="F984" s="251">
        <v>1</v>
      </c>
      <c r="G984" s="250" t="s">
        <v>883</v>
      </c>
      <c r="H984" s="244" t="s">
        <v>2058</v>
      </c>
      <c r="I984" s="8">
        <f>D576</f>
        <v>25</v>
      </c>
      <c r="J984" s="2" t="s">
        <v>883</v>
      </c>
      <c r="K984" s="8">
        <f t="shared" si="52"/>
        <v>25</v>
      </c>
    </row>
    <row r="985" spans="1:33" hidden="1">
      <c r="A985" s="379"/>
      <c r="B985" s="384" t="s">
        <v>3073</v>
      </c>
      <c r="C985"/>
      <c r="D985"/>
      <c r="E985"/>
      <c r="I985"/>
      <c r="J985" s="4"/>
      <c r="K985" s="5" t="s">
        <v>1667</v>
      </c>
    </row>
    <row r="986" spans="1:33" hidden="1">
      <c r="A986" s="379"/>
      <c r="B986" s="384" t="s">
        <v>3638</v>
      </c>
      <c r="C986"/>
      <c r="D986"/>
      <c r="E986"/>
      <c r="H986" s="244" t="s">
        <v>461</v>
      </c>
      <c r="I986"/>
      <c r="J986" s="4"/>
      <c r="K986" s="8">
        <f>SUM(K974:K984)</f>
        <v>2948.25</v>
      </c>
    </row>
    <row r="987" spans="1:33" hidden="1">
      <c r="A987" s="379"/>
      <c r="B987" s="384" t="s">
        <v>3639</v>
      </c>
      <c r="C987"/>
      <c r="D987"/>
      <c r="E987"/>
      <c r="I987"/>
      <c r="J987" s="4"/>
      <c r="K987" s="5" t="s">
        <v>1667</v>
      </c>
    </row>
    <row r="988" spans="1:33" hidden="1">
      <c r="A988" s="379"/>
      <c r="B988" s="384" t="s">
        <v>3640</v>
      </c>
      <c r="C988"/>
      <c r="D988"/>
      <c r="E988"/>
      <c r="H988" s="244" t="s">
        <v>555</v>
      </c>
      <c r="I988"/>
      <c r="J988" s="4"/>
      <c r="K988" s="8">
        <f>K986/F978</f>
        <v>2426.54</v>
      </c>
    </row>
    <row r="989" spans="1:33" ht="31.5" hidden="1">
      <c r="A989" s="379"/>
      <c r="B989" s="384" t="s">
        <v>3389</v>
      </c>
      <c r="C989"/>
      <c r="D989"/>
      <c r="E989"/>
      <c r="I989"/>
      <c r="J989" s="4"/>
      <c r="K989" s="5" t="s">
        <v>2130</v>
      </c>
    </row>
    <row r="990" spans="1:33" hidden="1">
      <c r="A990" s="379"/>
      <c r="B990" s="384" t="s">
        <v>3390</v>
      </c>
      <c r="C990"/>
      <c r="D990"/>
      <c r="E990"/>
      <c r="I990"/>
      <c r="J990" s="4"/>
      <c r="K990"/>
    </row>
    <row r="991" spans="1:33" hidden="1">
      <c r="A991" s="379"/>
      <c r="B991" s="384" t="s">
        <v>3391</v>
      </c>
      <c r="C991"/>
      <c r="D991"/>
      <c r="E991"/>
      <c r="F991" s="354" t="s">
        <v>462</v>
      </c>
      <c r="G991" s="250" t="s">
        <v>2338</v>
      </c>
      <c r="H991" s="244" t="s">
        <v>2253</v>
      </c>
      <c r="I991"/>
      <c r="J991" s="4"/>
      <c r="K991"/>
      <c r="AG991" s="244" t="s">
        <v>2346</v>
      </c>
    </row>
    <row r="992" spans="1:33" hidden="1">
      <c r="A992" s="379"/>
      <c r="B992" s="384" t="s">
        <v>3392</v>
      </c>
      <c r="C992"/>
      <c r="D992"/>
      <c r="E992"/>
      <c r="H992" s="244" t="s">
        <v>2255</v>
      </c>
      <c r="I992"/>
      <c r="J992" s="4"/>
      <c r="K992"/>
      <c r="AG992" s="244" t="s">
        <v>2346</v>
      </c>
    </row>
    <row r="993" spans="1:33" hidden="1">
      <c r="A993" s="379"/>
      <c r="B993" s="384" t="s">
        <v>3393</v>
      </c>
      <c r="C993"/>
      <c r="D993"/>
      <c r="E993"/>
      <c r="H993" s="244" t="s">
        <v>2256</v>
      </c>
      <c r="I993"/>
      <c r="J993" s="4"/>
      <c r="K993"/>
      <c r="AG993" s="244" t="s">
        <v>2346</v>
      </c>
    </row>
    <row r="994" spans="1:33" hidden="1">
      <c r="A994" s="379"/>
      <c r="B994" s="384" t="s">
        <v>3394</v>
      </c>
      <c r="C994"/>
      <c r="D994"/>
      <c r="E994"/>
      <c r="H994" s="244" t="s">
        <v>2257</v>
      </c>
      <c r="I994"/>
      <c r="J994" s="4"/>
      <c r="K994"/>
      <c r="AG994" s="244" t="s">
        <v>2346</v>
      </c>
    </row>
    <row r="995" spans="1:33" hidden="1">
      <c r="A995" s="379"/>
      <c r="B995" s="384" t="s">
        <v>3395</v>
      </c>
      <c r="C995"/>
      <c r="D995"/>
      <c r="E995"/>
      <c r="H995" s="244" t="s">
        <v>2258</v>
      </c>
      <c r="I995"/>
      <c r="J995" s="4"/>
      <c r="K995"/>
      <c r="AG995" s="244" t="s">
        <v>2346</v>
      </c>
    </row>
    <row r="996" spans="1:33" hidden="1">
      <c r="A996" s="379"/>
      <c r="B996" s="384" t="s">
        <v>2713</v>
      </c>
      <c r="C996"/>
      <c r="D996"/>
      <c r="E996"/>
      <c r="H996" s="244" t="s">
        <v>2259</v>
      </c>
      <c r="I996"/>
      <c r="J996" s="4"/>
      <c r="K996"/>
      <c r="AG996" s="244" t="s">
        <v>2346</v>
      </c>
    </row>
    <row r="997" spans="1:33" hidden="1">
      <c r="A997" s="379"/>
      <c r="B997" s="384" t="s">
        <v>2714</v>
      </c>
      <c r="C997"/>
      <c r="D997"/>
      <c r="E997"/>
      <c r="H997" s="248" t="s">
        <v>1667</v>
      </c>
      <c r="I997"/>
      <c r="J997" s="4"/>
      <c r="K997"/>
      <c r="AG997" s="244" t="s">
        <v>2346</v>
      </c>
    </row>
    <row r="998" spans="1:33" hidden="1">
      <c r="A998" s="379"/>
      <c r="B998" s="384" t="s">
        <v>2715</v>
      </c>
      <c r="C998"/>
      <c r="D998"/>
      <c r="E998"/>
      <c r="H998" s="244" t="s">
        <v>652</v>
      </c>
      <c r="I998"/>
      <c r="J998" s="4"/>
      <c r="K998"/>
      <c r="AG998" s="244" t="s">
        <v>2346</v>
      </c>
    </row>
    <row r="999" spans="1:33" ht="31.5" hidden="1">
      <c r="A999" s="379"/>
      <c r="B999" s="384" t="s">
        <v>2716</v>
      </c>
      <c r="C999"/>
      <c r="D999"/>
      <c r="E999"/>
      <c r="H999" s="244" t="s">
        <v>2260</v>
      </c>
      <c r="I999"/>
      <c r="J999" s="4"/>
      <c r="K999"/>
      <c r="AG999" s="244" t="s">
        <v>2346</v>
      </c>
    </row>
    <row r="1000" spans="1:33" ht="31.5" hidden="1">
      <c r="A1000" s="379"/>
      <c r="B1000" s="384" t="s">
        <v>2717</v>
      </c>
      <c r="C1000"/>
      <c r="D1000"/>
      <c r="E1000"/>
      <c r="I1000"/>
      <c r="J1000" s="2" t="s">
        <v>1667</v>
      </c>
      <c r="K1000"/>
      <c r="AG1000" s="244" t="s">
        <v>2346</v>
      </c>
    </row>
    <row r="1001" spans="1:33" ht="31.5" hidden="1">
      <c r="A1001" s="379"/>
      <c r="B1001" s="384" t="s">
        <v>2718</v>
      </c>
      <c r="C1001"/>
      <c r="D1001"/>
      <c r="E1001"/>
      <c r="H1001" s="244" t="s">
        <v>2261</v>
      </c>
      <c r="I1001"/>
      <c r="J1001" s="4"/>
      <c r="K1001"/>
      <c r="AG1001" s="244" t="s">
        <v>2346</v>
      </c>
    </row>
    <row r="1002" spans="1:33" ht="47.25" hidden="1">
      <c r="A1002" s="379"/>
      <c r="B1002" s="384" t="s">
        <v>2719</v>
      </c>
      <c r="C1002"/>
      <c r="D1002"/>
      <c r="E1002"/>
      <c r="H1002" s="244" t="s">
        <v>995</v>
      </c>
      <c r="I1002" s="1" t="s">
        <v>995</v>
      </c>
      <c r="J1002" s="4"/>
      <c r="K1002" s="19" t="s">
        <v>995</v>
      </c>
      <c r="AG1002" s="244" t="s">
        <v>2346</v>
      </c>
    </row>
    <row r="1003" spans="1:33" hidden="1">
      <c r="A1003" s="379"/>
      <c r="B1003" s="384" t="s">
        <v>2720</v>
      </c>
      <c r="C1003"/>
      <c r="D1003"/>
      <c r="E1003"/>
      <c r="I1003"/>
      <c r="J1003" s="2" t="s">
        <v>995</v>
      </c>
      <c r="K1003" s="1" t="s">
        <v>995</v>
      </c>
      <c r="AG1003" s="244" t="s">
        <v>2346</v>
      </c>
    </row>
    <row r="1004" spans="1:33" hidden="1">
      <c r="A1004" s="379"/>
      <c r="B1004" s="384" t="s">
        <v>2721</v>
      </c>
      <c r="C1004"/>
      <c r="D1004"/>
      <c r="E1004"/>
      <c r="H1004" s="244" t="s">
        <v>2184</v>
      </c>
      <c r="I1004"/>
      <c r="J1004" s="389" t="s">
        <v>995</v>
      </c>
      <c r="K1004" s="19" t="s">
        <v>995</v>
      </c>
      <c r="AG1004" s="244" t="s">
        <v>2346</v>
      </c>
    </row>
    <row r="1005" spans="1:33" hidden="1">
      <c r="A1005" s="379"/>
      <c r="B1005" s="384" t="s">
        <v>2702</v>
      </c>
      <c r="C1005"/>
      <c r="D1005"/>
      <c r="E1005"/>
      <c r="H1005" s="244" t="s">
        <v>115</v>
      </c>
      <c r="I1005"/>
      <c r="J1005" s="4"/>
      <c r="K1005" s="19" t="s">
        <v>1823</v>
      </c>
      <c r="AG1005" s="244" t="s">
        <v>2346</v>
      </c>
    </row>
    <row r="1006" spans="1:33" hidden="1">
      <c r="A1006" s="379"/>
      <c r="B1006" s="384" t="s">
        <v>2703</v>
      </c>
      <c r="C1006"/>
      <c r="D1006"/>
      <c r="E1006"/>
      <c r="I1006"/>
      <c r="J1006" s="4"/>
      <c r="K1006" s="1" t="s">
        <v>995</v>
      </c>
      <c r="AG1006" s="244" t="s">
        <v>2346</v>
      </c>
    </row>
    <row r="1007" spans="1:33" hidden="1">
      <c r="A1007" s="379"/>
      <c r="B1007" s="384" t="s">
        <v>2704</v>
      </c>
      <c r="C1007"/>
      <c r="D1007"/>
      <c r="E1007"/>
      <c r="I1007"/>
      <c r="J1007" s="4"/>
      <c r="K1007" s="19" t="s">
        <v>995</v>
      </c>
      <c r="AG1007" s="244" t="s">
        <v>2346</v>
      </c>
    </row>
    <row r="1008" spans="1:33" hidden="1">
      <c r="A1008" s="379"/>
      <c r="B1008" s="384" t="s">
        <v>3163</v>
      </c>
      <c r="C1008"/>
      <c r="D1008"/>
      <c r="E1008"/>
      <c r="I1008"/>
      <c r="J1008" s="4"/>
      <c r="K1008" s="1" t="s">
        <v>995</v>
      </c>
      <c r="AG1008" s="244" t="s">
        <v>2346</v>
      </c>
    </row>
    <row r="1009" spans="1:33" hidden="1">
      <c r="A1009" s="379"/>
      <c r="B1009" s="384" t="s">
        <v>3164</v>
      </c>
      <c r="C1009"/>
      <c r="D1009"/>
      <c r="E1009"/>
      <c r="F1009" s="354" t="s">
        <v>1536</v>
      </c>
      <c r="G1009" s="250"/>
      <c r="H1009" s="244" t="s">
        <v>728</v>
      </c>
      <c r="I1009"/>
      <c r="J1009" s="4"/>
      <c r="K1009" s="1" t="s">
        <v>995</v>
      </c>
      <c r="AG1009" s="244" t="s">
        <v>2346</v>
      </c>
    </row>
    <row r="1010" spans="1:33" hidden="1">
      <c r="A1010" s="379"/>
      <c r="B1010" s="384" t="s">
        <v>3165</v>
      </c>
      <c r="C1010"/>
      <c r="D1010"/>
      <c r="E1010"/>
      <c r="H1010" s="248" t="s">
        <v>1667</v>
      </c>
      <c r="I1010"/>
      <c r="J1010" s="4"/>
      <c r="K1010"/>
      <c r="AG1010" s="244" t="s">
        <v>2346</v>
      </c>
    </row>
    <row r="1011" spans="1:33" hidden="1">
      <c r="A1011" s="386"/>
      <c r="B1011" s="384" t="s">
        <v>3166</v>
      </c>
      <c r="C1011"/>
      <c r="D1011"/>
      <c r="E1011"/>
      <c r="F1011" s="390">
        <v>1.153E-2</v>
      </c>
      <c r="G1011" s="250" t="s">
        <v>884</v>
      </c>
      <c r="H1011" s="244" t="s">
        <v>702</v>
      </c>
      <c r="I1011" s="8">
        <f>C88</f>
        <v>65420</v>
      </c>
      <c r="J1011" s="2" t="s">
        <v>884</v>
      </c>
      <c r="K1011" s="8">
        <f t="shared" ref="K1011:K1020" si="53">(F1011*I1011)</f>
        <v>754.29</v>
      </c>
      <c r="AG1011" s="244" t="s">
        <v>2346</v>
      </c>
    </row>
    <row r="1012" spans="1:33" hidden="1">
      <c r="A1012" s="386"/>
      <c r="B1012" s="384" t="s">
        <v>3167</v>
      </c>
      <c r="C1012"/>
      <c r="D1012"/>
      <c r="E1012"/>
      <c r="F1012" s="390">
        <v>1.35E-2</v>
      </c>
      <c r="G1012" s="250" t="s">
        <v>884</v>
      </c>
      <c r="H1012" s="244" t="s">
        <v>703</v>
      </c>
      <c r="I1012" s="8">
        <f>C89</f>
        <v>57165</v>
      </c>
      <c r="J1012" s="2" t="s">
        <v>884</v>
      </c>
      <c r="K1012" s="8">
        <f t="shared" si="53"/>
        <v>771.73</v>
      </c>
      <c r="AG1012" s="244" t="s">
        <v>2346</v>
      </c>
    </row>
    <row r="1013" spans="1:33" hidden="1">
      <c r="A1013" s="386"/>
      <c r="B1013" s="384" t="s">
        <v>3168</v>
      </c>
      <c r="C1013"/>
      <c r="D1013"/>
      <c r="E1013"/>
      <c r="F1013" s="390">
        <v>1.016</v>
      </c>
      <c r="G1013" s="250" t="s">
        <v>611</v>
      </c>
      <c r="H1013" s="244" t="s">
        <v>2163</v>
      </c>
      <c r="I1013" s="8">
        <f>C753</f>
        <v>381.37</v>
      </c>
      <c r="J1013" s="2" t="s">
        <v>611</v>
      </c>
      <c r="K1013" s="8">
        <f t="shared" si="53"/>
        <v>387.47</v>
      </c>
      <c r="AG1013" s="244" t="s">
        <v>2346</v>
      </c>
    </row>
    <row r="1014" spans="1:33" hidden="1">
      <c r="A1014" s="386"/>
      <c r="B1014" s="384" t="s">
        <v>3169</v>
      </c>
      <c r="C1014"/>
      <c r="D1014"/>
      <c r="E1014"/>
      <c r="F1014" s="390">
        <v>1.64</v>
      </c>
      <c r="G1014" s="250" t="s">
        <v>611</v>
      </c>
      <c r="H1014" s="244" t="s">
        <v>2164</v>
      </c>
      <c r="I1014" s="8">
        <f>D30</f>
        <v>287</v>
      </c>
      <c r="J1014" s="2" t="s">
        <v>611</v>
      </c>
      <c r="K1014" s="8">
        <f t="shared" si="53"/>
        <v>470.68</v>
      </c>
      <c r="AG1014" s="244" t="s">
        <v>2346</v>
      </c>
    </row>
    <row r="1015" spans="1:33" hidden="1">
      <c r="A1015" s="386"/>
      <c r="B1015" s="384" t="s">
        <v>2735</v>
      </c>
      <c r="C1015"/>
      <c r="D1015"/>
      <c r="E1015"/>
      <c r="F1015" s="251">
        <v>2</v>
      </c>
      <c r="G1015" s="250" t="s">
        <v>883</v>
      </c>
      <c r="H1015" s="244" t="s">
        <v>2165</v>
      </c>
      <c r="I1015" s="8">
        <f>C283</f>
        <v>30</v>
      </c>
      <c r="J1015" s="2" t="s">
        <v>883</v>
      </c>
      <c r="K1015" s="8">
        <f t="shared" si="53"/>
        <v>60</v>
      </c>
      <c r="AG1015" s="244" t="s">
        <v>2346</v>
      </c>
    </row>
    <row r="1016" spans="1:33" hidden="1">
      <c r="A1016" s="386"/>
      <c r="B1016" s="384" t="s">
        <v>2736</v>
      </c>
      <c r="C1016"/>
      <c r="D1016"/>
      <c r="E1016"/>
      <c r="F1016" s="251">
        <v>3</v>
      </c>
      <c r="G1016" s="250" t="s">
        <v>883</v>
      </c>
      <c r="H1016" s="244" t="s">
        <v>1579</v>
      </c>
      <c r="I1016" s="8">
        <f>C278</f>
        <v>45</v>
      </c>
      <c r="J1016" s="2" t="s">
        <v>883</v>
      </c>
      <c r="K1016" s="8">
        <f t="shared" si="53"/>
        <v>135</v>
      </c>
      <c r="AG1016" s="244" t="s">
        <v>2346</v>
      </c>
    </row>
    <row r="1017" spans="1:33" hidden="1">
      <c r="A1017" s="386"/>
      <c r="B1017" s="384" t="s">
        <v>2737</v>
      </c>
      <c r="C1017"/>
      <c r="D1017"/>
      <c r="E1017"/>
      <c r="F1017" s="251">
        <v>1</v>
      </c>
      <c r="G1017" s="250" t="s">
        <v>883</v>
      </c>
      <c r="H1017" s="244" t="s">
        <v>2055</v>
      </c>
      <c r="I1017" s="8">
        <f>C285</f>
        <v>95</v>
      </c>
      <c r="J1017" s="2" t="s">
        <v>883</v>
      </c>
      <c r="K1017" s="8">
        <f t="shared" si="53"/>
        <v>95</v>
      </c>
      <c r="AG1017" s="244" t="s">
        <v>2346</v>
      </c>
    </row>
    <row r="1018" spans="1:33" hidden="1">
      <c r="A1018" s="386"/>
      <c r="B1018" s="384" t="s">
        <v>2738</v>
      </c>
      <c r="C1018"/>
      <c r="D1018"/>
      <c r="E1018"/>
      <c r="F1018" s="251">
        <v>1</v>
      </c>
      <c r="G1018" s="250" t="s">
        <v>883</v>
      </c>
      <c r="H1018" s="244" t="s">
        <v>2056</v>
      </c>
      <c r="I1018" s="8">
        <f>C287</f>
        <v>8</v>
      </c>
      <c r="J1018" s="2" t="s">
        <v>883</v>
      </c>
      <c r="K1018" s="8">
        <f t="shared" si="53"/>
        <v>8</v>
      </c>
      <c r="AG1018" s="244" t="s">
        <v>2346</v>
      </c>
    </row>
    <row r="1019" spans="1:33" hidden="1">
      <c r="A1019" s="386"/>
      <c r="B1019" s="384" t="s">
        <v>2940</v>
      </c>
      <c r="C1019"/>
      <c r="D1019"/>
      <c r="E1019"/>
      <c r="F1019" s="251">
        <v>1</v>
      </c>
      <c r="G1019" s="250" t="s">
        <v>883</v>
      </c>
      <c r="H1019" s="244" t="s">
        <v>2057</v>
      </c>
      <c r="I1019" s="8">
        <f>C576</f>
        <v>30</v>
      </c>
      <c r="J1019" s="2" t="s">
        <v>883</v>
      </c>
      <c r="K1019" s="8">
        <f t="shared" si="53"/>
        <v>30</v>
      </c>
      <c r="AG1019" s="244" t="s">
        <v>2346</v>
      </c>
    </row>
    <row r="1020" spans="1:33" hidden="1">
      <c r="A1020" s="386"/>
      <c r="B1020" s="384" t="s">
        <v>2941</v>
      </c>
      <c r="C1020"/>
      <c r="D1020"/>
      <c r="E1020"/>
      <c r="F1020" s="251">
        <v>1</v>
      </c>
      <c r="G1020" s="250" t="s">
        <v>883</v>
      </c>
      <c r="H1020" s="244" t="s">
        <v>2058</v>
      </c>
      <c r="I1020" s="8">
        <f>D576</f>
        <v>25</v>
      </c>
      <c r="J1020" s="2" t="s">
        <v>883</v>
      </c>
      <c r="K1020" s="8">
        <f t="shared" si="53"/>
        <v>25</v>
      </c>
      <c r="AG1020" s="244" t="s">
        <v>2346</v>
      </c>
    </row>
    <row r="1021" spans="1:33" hidden="1">
      <c r="A1021" s="386"/>
      <c r="B1021" s="384" t="s">
        <v>2942</v>
      </c>
      <c r="C1021"/>
      <c r="D1021"/>
      <c r="E1021"/>
      <c r="I1021"/>
      <c r="J1021" s="4"/>
      <c r="K1021" s="5" t="s">
        <v>1667</v>
      </c>
      <c r="AG1021" s="244" t="s">
        <v>2346</v>
      </c>
    </row>
    <row r="1022" spans="1:33" hidden="1">
      <c r="A1022" s="386"/>
      <c r="B1022" s="384" t="s">
        <v>2943</v>
      </c>
      <c r="C1022"/>
      <c r="D1022"/>
      <c r="E1022"/>
      <c r="H1022" s="354" t="s">
        <v>1580</v>
      </c>
      <c r="I1022"/>
      <c r="J1022" s="4"/>
      <c r="K1022" s="8">
        <f>SUM(K1011:K1020)</f>
        <v>2737.17</v>
      </c>
      <c r="AG1022" s="244" t="s">
        <v>2346</v>
      </c>
    </row>
    <row r="1023" spans="1:33" ht="31.5" hidden="1">
      <c r="A1023" s="386"/>
      <c r="B1023" s="384" t="s">
        <v>2944</v>
      </c>
      <c r="C1023"/>
      <c r="D1023"/>
      <c r="E1023"/>
      <c r="G1023" s="250" t="s">
        <v>995</v>
      </c>
      <c r="I1023"/>
      <c r="J1023" s="4"/>
      <c r="K1023" s="5" t="s">
        <v>1667</v>
      </c>
      <c r="AG1023" s="244" t="s">
        <v>2346</v>
      </c>
    </row>
    <row r="1024" spans="1:33" hidden="1">
      <c r="A1024" s="386"/>
      <c r="B1024" s="384" t="s">
        <v>2945</v>
      </c>
      <c r="C1024"/>
      <c r="D1024"/>
      <c r="E1024"/>
      <c r="H1024" s="354" t="s">
        <v>555</v>
      </c>
      <c r="I1024"/>
      <c r="J1024" s="4"/>
      <c r="K1024" s="8">
        <f>K1022/F1014</f>
        <v>1669.01</v>
      </c>
      <c r="AG1024" s="244" t="s">
        <v>2346</v>
      </c>
    </row>
    <row r="1025" spans="1:33" hidden="1">
      <c r="A1025" s="386"/>
      <c r="B1025" s="384" t="s">
        <v>3622</v>
      </c>
      <c r="C1025"/>
      <c r="D1025"/>
      <c r="E1025"/>
      <c r="I1025"/>
      <c r="J1025" s="4"/>
      <c r="K1025" s="5" t="s">
        <v>2130</v>
      </c>
      <c r="AG1025" s="244" t="s">
        <v>2346</v>
      </c>
    </row>
    <row r="1026" spans="1:33" hidden="1">
      <c r="A1026" s="386"/>
      <c r="B1026" s="384" t="s">
        <v>3623</v>
      </c>
      <c r="C1026"/>
      <c r="D1026"/>
      <c r="E1026"/>
      <c r="F1026" s="354" t="s">
        <v>1653</v>
      </c>
      <c r="H1026" s="244" t="s">
        <v>1400</v>
      </c>
      <c r="I1026"/>
      <c r="J1026" s="4"/>
      <c r="K1026"/>
    </row>
    <row r="1027" spans="1:33" hidden="1">
      <c r="A1027" s="386"/>
      <c r="B1027" s="384" t="s">
        <v>3624</v>
      </c>
      <c r="C1027"/>
      <c r="D1027"/>
      <c r="E1027"/>
      <c r="H1027" s="244" t="s">
        <v>1401</v>
      </c>
      <c r="I1027"/>
      <c r="J1027" s="4"/>
      <c r="K1027"/>
    </row>
    <row r="1028" spans="1:33" hidden="1">
      <c r="A1028" s="386"/>
      <c r="B1028" s="384" t="s">
        <v>3625</v>
      </c>
      <c r="C1028"/>
      <c r="D1028"/>
      <c r="E1028"/>
      <c r="H1028" s="248" t="s">
        <v>1667</v>
      </c>
      <c r="I1028"/>
      <c r="J1028" s="4"/>
      <c r="K1028"/>
    </row>
    <row r="1029" spans="1:33" hidden="1">
      <c r="A1029" s="386"/>
      <c r="B1029" s="384" t="s">
        <v>3626</v>
      </c>
      <c r="C1029"/>
      <c r="D1029"/>
      <c r="E1029"/>
      <c r="F1029" s="390">
        <v>6.6499999999999997E-3</v>
      </c>
      <c r="G1029" s="250" t="s">
        <v>1402</v>
      </c>
      <c r="H1029" s="244" t="s">
        <v>1403</v>
      </c>
      <c r="I1029" s="8">
        <f>C89</f>
        <v>57165</v>
      </c>
      <c r="J1029" s="2" t="s">
        <v>884</v>
      </c>
      <c r="K1029" s="8">
        <f t="shared" ref="K1029:K1035" si="54">(F1029*I1029)</f>
        <v>380.15</v>
      </c>
    </row>
    <row r="1030" spans="1:33" hidden="1">
      <c r="A1030" s="386"/>
      <c r="B1030" s="384" t="s">
        <v>3628</v>
      </c>
      <c r="C1030"/>
      <c r="D1030"/>
      <c r="E1030"/>
      <c r="F1030" s="390">
        <v>0.32346000000000003</v>
      </c>
      <c r="G1030" s="250" t="s">
        <v>611</v>
      </c>
      <c r="H1030" s="244" t="s">
        <v>3629</v>
      </c>
      <c r="I1030" s="8">
        <f>C271</f>
        <v>160</v>
      </c>
      <c r="J1030" s="2" t="s">
        <v>884</v>
      </c>
      <c r="K1030" s="8">
        <f t="shared" si="54"/>
        <v>51.75</v>
      </c>
    </row>
    <row r="1031" spans="1:33" ht="31.5" hidden="1">
      <c r="A1031" s="386"/>
      <c r="B1031" s="384" t="s">
        <v>3630</v>
      </c>
      <c r="C1031"/>
      <c r="D1031"/>
      <c r="E1031"/>
      <c r="F1031" s="390">
        <v>0.47660000000000002</v>
      </c>
      <c r="G1031" s="250" t="s">
        <v>611</v>
      </c>
      <c r="H1031" s="244" t="s">
        <v>2164</v>
      </c>
      <c r="I1031" s="8">
        <f>D31</f>
        <v>320</v>
      </c>
      <c r="J1031" s="2" t="s">
        <v>611</v>
      </c>
      <c r="K1031" s="8">
        <f t="shared" si="54"/>
        <v>152.51</v>
      </c>
    </row>
    <row r="1032" spans="1:33" ht="21.75" hidden="1" customHeight="1">
      <c r="A1032" s="386"/>
      <c r="B1032" s="384" t="s">
        <v>3631</v>
      </c>
      <c r="C1032"/>
      <c r="D1032"/>
      <c r="E1032"/>
      <c r="F1032" s="251">
        <v>3</v>
      </c>
      <c r="G1032" s="250" t="s">
        <v>883</v>
      </c>
      <c r="H1032" s="244" t="s">
        <v>1404</v>
      </c>
      <c r="I1032" s="8">
        <f>C281</f>
        <v>25</v>
      </c>
      <c r="J1032" s="2" t="s">
        <v>883</v>
      </c>
      <c r="K1032" s="8">
        <f t="shared" si="54"/>
        <v>75</v>
      </c>
    </row>
    <row r="1033" spans="1:33" ht="20.25" hidden="1" customHeight="1">
      <c r="A1033" s="384"/>
      <c r="B1033" s="384" t="s">
        <v>3122</v>
      </c>
      <c r="C1033"/>
      <c r="D1033"/>
      <c r="E1033"/>
      <c r="F1033" s="251">
        <v>2</v>
      </c>
      <c r="G1033" s="250" t="s">
        <v>883</v>
      </c>
      <c r="H1033" s="244" t="s">
        <v>2180</v>
      </c>
      <c r="I1033" s="8">
        <f>C284</f>
        <v>20</v>
      </c>
      <c r="J1033" s="2" t="s">
        <v>883</v>
      </c>
      <c r="K1033" s="8">
        <f t="shared" si="54"/>
        <v>40</v>
      </c>
    </row>
    <row r="1034" spans="1:33" ht="19.5" hidden="1" customHeight="1">
      <c r="A1034" s="386"/>
      <c r="B1034" s="384" t="s">
        <v>2892</v>
      </c>
      <c r="C1034"/>
      <c r="D1034"/>
      <c r="E1034"/>
      <c r="F1034" s="251">
        <v>1</v>
      </c>
      <c r="G1034" s="250" t="s">
        <v>883</v>
      </c>
      <c r="H1034" s="244" t="s">
        <v>2181</v>
      </c>
      <c r="I1034" s="8">
        <f>C303</f>
        <v>8</v>
      </c>
      <c r="J1034" s="2" t="s">
        <v>883</v>
      </c>
      <c r="K1034" s="8">
        <f t="shared" si="54"/>
        <v>8</v>
      </c>
    </row>
    <row r="1035" spans="1:33" ht="18.75" hidden="1" customHeight="1">
      <c r="A1035" s="386"/>
      <c r="B1035" s="384" t="s">
        <v>2893</v>
      </c>
      <c r="C1035"/>
      <c r="D1035"/>
      <c r="E1035"/>
      <c r="F1035" s="251">
        <v>1</v>
      </c>
      <c r="G1035" s="250" t="s">
        <v>883</v>
      </c>
      <c r="H1035" s="244" t="s">
        <v>2182</v>
      </c>
      <c r="I1035" s="8">
        <f>C291</f>
        <v>15.6</v>
      </c>
      <c r="J1035" s="2" t="s">
        <v>883</v>
      </c>
      <c r="K1035" s="8">
        <f t="shared" si="54"/>
        <v>15.6</v>
      </c>
    </row>
    <row r="1036" spans="1:33" ht="18" hidden="1" customHeight="1">
      <c r="A1036" s="386"/>
      <c r="B1036" s="384" t="s">
        <v>3124</v>
      </c>
      <c r="C1036"/>
      <c r="D1036"/>
      <c r="E1036"/>
      <c r="I1036"/>
      <c r="J1036" s="4"/>
      <c r="K1036" s="5" t="s">
        <v>1667</v>
      </c>
    </row>
    <row r="1037" spans="1:33" ht="20.25" hidden="1" customHeight="1">
      <c r="A1037" s="386"/>
      <c r="B1037" s="384" t="s">
        <v>2658</v>
      </c>
      <c r="C1037"/>
      <c r="D1037"/>
      <c r="E1037"/>
      <c r="H1037" s="354" t="s">
        <v>2183</v>
      </c>
      <c r="I1037"/>
      <c r="J1037" s="4"/>
      <c r="K1037" s="8">
        <f>SUM(K1025:K1035)</f>
        <v>723.01</v>
      </c>
    </row>
    <row r="1038" spans="1:33" ht="21.75" hidden="1" customHeight="1">
      <c r="A1038" s="386"/>
      <c r="B1038" s="384" t="s">
        <v>2659</v>
      </c>
      <c r="C1038"/>
      <c r="D1038"/>
      <c r="E1038"/>
      <c r="I1038"/>
      <c r="J1038" s="4"/>
      <c r="K1038" s="5" t="s">
        <v>1667</v>
      </c>
    </row>
    <row r="1039" spans="1:33" ht="24" hidden="1" customHeight="1">
      <c r="A1039" s="386"/>
      <c r="B1039" s="384" t="s">
        <v>2659</v>
      </c>
      <c r="C1039"/>
      <c r="D1039"/>
      <c r="E1039"/>
      <c r="H1039" s="354" t="s">
        <v>555</v>
      </c>
      <c r="I1039" s="1" t="s">
        <v>995</v>
      </c>
      <c r="J1039" s="4"/>
      <c r="K1039" s="8">
        <f>K1037/F1031</f>
        <v>1517.02</v>
      </c>
    </row>
    <row r="1040" spans="1:33" ht="31.5" hidden="1">
      <c r="A1040" s="386"/>
      <c r="B1040" s="384" t="s">
        <v>2660</v>
      </c>
      <c r="C1040"/>
      <c r="D1040"/>
      <c r="E1040"/>
      <c r="I1040"/>
      <c r="J1040" s="4"/>
      <c r="K1040" s="5" t="s">
        <v>2130</v>
      </c>
    </row>
    <row r="1041" spans="1:11" ht="31.5" hidden="1">
      <c r="A1041" s="386"/>
      <c r="B1041" s="384" t="s">
        <v>2661</v>
      </c>
      <c r="C1041"/>
      <c r="D1041"/>
      <c r="E1041"/>
      <c r="F1041" s="354" t="s">
        <v>1698</v>
      </c>
      <c r="G1041" s="250" t="s">
        <v>2338</v>
      </c>
      <c r="H1041" s="244" t="s">
        <v>1400</v>
      </c>
      <c r="I1041"/>
      <c r="J1041" s="4"/>
      <c r="K1041"/>
    </row>
    <row r="1042" spans="1:11" hidden="1">
      <c r="A1042" s="386"/>
      <c r="H1042" s="244" t="s">
        <v>717</v>
      </c>
      <c r="I1042"/>
      <c r="J1042" s="4"/>
      <c r="K1042"/>
    </row>
    <row r="1043" spans="1:11" hidden="1">
      <c r="A1043" s="386"/>
      <c r="H1043" s="248" t="s">
        <v>1667</v>
      </c>
      <c r="I1043"/>
      <c r="J1043" s="4"/>
      <c r="K1043"/>
    </row>
    <row r="1044" spans="1:11" hidden="1">
      <c r="A1044" s="386"/>
      <c r="F1044" s="390">
        <v>5.4000000000000003E-3</v>
      </c>
      <c r="G1044" s="250" t="s">
        <v>1402</v>
      </c>
      <c r="H1044" s="244" t="s">
        <v>1403</v>
      </c>
      <c r="I1044" s="8">
        <f>C89</f>
        <v>57165</v>
      </c>
      <c r="J1044" s="2" t="s">
        <v>884</v>
      </c>
      <c r="K1044" s="8">
        <f t="shared" ref="K1044:K1050" si="55">(F1044*I1044)</f>
        <v>308.69</v>
      </c>
    </row>
    <row r="1045" spans="1:11" hidden="1">
      <c r="A1045" s="386"/>
      <c r="F1045" s="390">
        <v>0.23871000000000001</v>
      </c>
      <c r="G1045" s="250" t="s">
        <v>611</v>
      </c>
      <c r="H1045" s="244" t="s">
        <v>3629</v>
      </c>
      <c r="I1045" s="8">
        <f>C271</f>
        <v>160</v>
      </c>
      <c r="J1045" s="2" t="s">
        <v>884</v>
      </c>
      <c r="K1045" s="8">
        <f t="shared" si="55"/>
        <v>38.19</v>
      </c>
    </row>
    <row r="1046" spans="1:11" hidden="1">
      <c r="A1046" s="386"/>
      <c r="F1046" s="390">
        <v>0.36199999999999999</v>
      </c>
      <c r="G1046" s="250" t="s">
        <v>611</v>
      </c>
      <c r="H1046" s="244" t="s">
        <v>2164</v>
      </c>
      <c r="I1046" s="8">
        <f>D31</f>
        <v>320</v>
      </c>
      <c r="J1046" s="2" t="s">
        <v>611</v>
      </c>
      <c r="K1046" s="8">
        <f t="shared" si="55"/>
        <v>115.84</v>
      </c>
    </row>
    <row r="1047" spans="1:11" hidden="1">
      <c r="A1047" s="386"/>
      <c r="F1047" s="251">
        <v>3</v>
      </c>
      <c r="G1047" s="250" t="s">
        <v>883</v>
      </c>
      <c r="H1047" s="244" t="s">
        <v>1404</v>
      </c>
      <c r="I1047" s="8">
        <f>C281</f>
        <v>25</v>
      </c>
      <c r="J1047" s="2" t="s">
        <v>883</v>
      </c>
      <c r="K1047" s="8">
        <f t="shared" si="55"/>
        <v>75</v>
      </c>
    </row>
    <row r="1048" spans="1:11" hidden="1">
      <c r="A1048" s="386"/>
      <c r="F1048" s="251">
        <v>2</v>
      </c>
      <c r="G1048" s="250" t="s">
        <v>883</v>
      </c>
      <c r="H1048" s="244" t="s">
        <v>2180</v>
      </c>
      <c r="I1048" s="8">
        <f>C284</f>
        <v>20</v>
      </c>
      <c r="J1048" s="2" t="s">
        <v>883</v>
      </c>
      <c r="K1048" s="8">
        <f t="shared" si="55"/>
        <v>40</v>
      </c>
    </row>
    <row r="1049" spans="1:11" hidden="1">
      <c r="A1049" s="386"/>
      <c r="F1049" s="251">
        <v>1</v>
      </c>
      <c r="G1049" s="250" t="s">
        <v>883</v>
      </c>
      <c r="H1049" s="244" t="s">
        <v>2181</v>
      </c>
      <c r="I1049" s="8">
        <f>C303</f>
        <v>8</v>
      </c>
      <c r="J1049" s="2" t="s">
        <v>883</v>
      </c>
      <c r="K1049" s="8">
        <f t="shared" si="55"/>
        <v>8</v>
      </c>
    </row>
    <row r="1050" spans="1:11" hidden="1">
      <c r="A1050" s="386"/>
      <c r="F1050" s="251">
        <v>1</v>
      </c>
      <c r="G1050" s="250" t="s">
        <v>883</v>
      </c>
      <c r="H1050" s="244" t="s">
        <v>2182</v>
      </c>
      <c r="I1050" s="8">
        <f>C291</f>
        <v>15.6</v>
      </c>
      <c r="J1050" s="2" t="s">
        <v>883</v>
      </c>
      <c r="K1050" s="8">
        <f t="shared" si="55"/>
        <v>15.6</v>
      </c>
    </row>
    <row r="1051" spans="1:11" hidden="1">
      <c r="A1051" s="386"/>
      <c r="I1051"/>
      <c r="J1051" s="4"/>
      <c r="K1051" s="5" t="s">
        <v>1667</v>
      </c>
    </row>
    <row r="1052" spans="1:11" hidden="1">
      <c r="A1052" s="386"/>
      <c r="H1052" s="354" t="s">
        <v>905</v>
      </c>
      <c r="I1052"/>
      <c r="J1052" s="4"/>
      <c r="K1052" s="8">
        <f>SUM(K1040:K1050)</f>
        <v>601.32000000000005</v>
      </c>
    </row>
    <row r="1053" spans="1:11" hidden="1">
      <c r="A1053" s="386"/>
      <c r="I1053"/>
      <c r="J1053" s="4"/>
      <c r="K1053" s="5" t="s">
        <v>1667</v>
      </c>
    </row>
    <row r="1054" spans="1:11" hidden="1">
      <c r="A1054" s="386"/>
      <c r="H1054" s="354" t="s">
        <v>555</v>
      </c>
      <c r="I1054" s="1" t="s">
        <v>995</v>
      </c>
      <c r="J1054" s="4"/>
      <c r="K1054" s="8">
        <f>K1052/F1046</f>
        <v>1661.1</v>
      </c>
    </row>
    <row r="1055" spans="1:11" hidden="1">
      <c r="A1055" s="386"/>
      <c r="I1055"/>
      <c r="J1055" s="4"/>
      <c r="K1055" s="5" t="s">
        <v>2130</v>
      </c>
    </row>
    <row r="1056" spans="1:11" hidden="1">
      <c r="A1056" s="386"/>
      <c r="F1056" s="354" t="s">
        <v>1699</v>
      </c>
      <c r="G1056" s="250" t="s">
        <v>2338</v>
      </c>
      <c r="H1056" s="244" t="s">
        <v>906</v>
      </c>
      <c r="I1056"/>
      <c r="J1056" s="4"/>
      <c r="K1056"/>
    </row>
    <row r="1057" spans="1:11" hidden="1">
      <c r="A1057" s="386"/>
      <c r="H1057" s="244" t="s">
        <v>2067</v>
      </c>
      <c r="I1057"/>
      <c r="J1057" s="4"/>
      <c r="K1057"/>
    </row>
    <row r="1058" spans="1:11" hidden="1">
      <c r="A1058" s="386"/>
      <c r="H1058" s="248" t="s">
        <v>1667</v>
      </c>
      <c r="I1058"/>
      <c r="J1058" s="4"/>
      <c r="K1058"/>
    </row>
    <row r="1059" spans="1:11" hidden="1">
      <c r="A1059" s="386"/>
      <c r="F1059" s="390">
        <v>5.3E-3</v>
      </c>
      <c r="G1059" s="250" t="s">
        <v>1402</v>
      </c>
      <c r="H1059" s="244" t="s">
        <v>1403</v>
      </c>
      <c r="I1059" s="8">
        <f>C89</f>
        <v>57165</v>
      </c>
      <c r="J1059" s="2" t="s">
        <v>884</v>
      </c>
      <c r="K1059" s="8">
        <f t="shared" ref="K1059:K1064" si="56">(F1059*I1059)</f>
        <v>302.97000000000003</v>
      </c>
    </row>
    <row r="1060" spans="1:11" hidden="1">
      <c r="A1060" s="386"/>
      <c r="F1060" s="390">
        <v>0.27450000000000002</v>
      </c>
      <c r="G1060" s="250" t="s">
        <v>611</v>
      </c>
      <c r="H1060" s="244" t="s">
        <v>3629</v>
      </c>
      <c r="I1060" s="8">
        <f>C271</f>
        <v>160</v>
      </c>
      <c r="J1060" s="2" t="s">
        <v>884</v>
      </c>
      <c r="K1060" s="8">
        <f t="shared" si="56"/>
        <v>43.92</v>
      </c>
    </row>
    <row r="1061" spans="1:11" hidden="1">
      <c r="A1061" s="386"/>
      <c r="F1061" s="390">
        <v>0.4</v>
      </c>
      <c r="G1061" s="250" t="s">
        <v>611</v>
      </c>
      <c r="H1061" s="244" t="s">
        <v>2164</v>
      </c>
      <c r="I1061" s="8">
        <f>D32</f>
        <v>267</v>
      </c>
      <c r="J1061" s="2" t="s">
        <v>611</v>
      </c>
      <c r="K1061" s="8">
        <f t="shared" si="56"/>
        <v>106.8</v>
      </c>
    </row>
    <row r="1062" spans="1:11" hidden="1">
      <c r="A1062" s="386"/>
      <c r="F1062" s="251">
        <v>2</v>
      </c>
      <c r="G1062" s="250" t="s">
        <v>2068</v>
      </c>
      <c r="H1062" s="244" t="s">
        <v>2069</v>
      </c>
      <c r="I1062" s="8">
        <f>C304</f>
        <v>8.5</v>
      </c>
      <c r="J1062" s="2" t="s">
        <v>2068</v>
      </c>
      <c r="K1062" s="8">
        <f t="shared" si="56"/>
        <v>17</v>
      </c>
    </row>
    <row r="1063" spans="1:11" hidden="1">
      <c r="A1063" s="386"/>
      <c r="F1063" s="251">
        <v>1</v>
      </c>
      <c r="G1063" s="250" t="s">
        <v>883</v>
      </c>
      <c r="H1063" s="244" t="s">
        <v>2070</v>
      </c>
      <c r="I1063" s="8">
        <f>C292</f>
        <v>12.6</v>
      </c>
      <c r="J1063" s="2" t="s">
        <v>883</v>
      </c>
      <c r="K1063" s="8">
        <f t="shared" si="56"/>
        <v>12.6</v>
      </c>
    </row>
    <row r="1064" spans="1:11" hidden="1">
      <c r="A1064" s="386"/>
      <c r="F1064" s="251">
        <v>1</v>
      </c>
      <c r="G1064" s="250" t="s">
        <v>883</v>
      </c>
      <c r="H1064" s="244" t="s">
        <v>2071</v>
      </c>
      <c r="I1064" s="8">
        <f>C290</f>
        <v>20.6</v>
      </c>
      <c r="J1064" s="2" t="s">
        <v>883</v>
      </c>
      <c r="K1064" s="8">
        <f t="shared" si="56"/>
        <v>20.6</v>
      </c>
    </row>
    <row r="1065" spans="1:11" hidden="1">
      <c r="A1065" s="386"/>
      <c r="I1065"/>
      <c r="J1065" s="4"/>
      <c r="K1065" s="5" t="s">
        <v>1667</v>
      </c>
    </row>
    <row r="1066" spans="1:11" hidden="1">
      <c r="A1066" s="386"/>
      <c r="H1066" s="354" t="s">
        <v>905</v>
      </c>
      <c r="I1066"/>
      <c r="J1066" s="4"/>
      <c r="K1066" s="8">
        <f>SUM(K1055:K1064)</f>
        <v>503.89</v>
      </c>
    </row>
    <row r="1067" spans="1:11" hidden="1">
      <c r="A1067" s="386"/>
      <c r="I1067"/>
      <c r="J1067" s="4"/>
      <c r="K1067" s="5" t="s">
        <v>1667</v>
      </c>
    </row>
    <row r="1068" spans="1:11" hidden="1">
      <c r="A1068" s="386"/>
      <c r="H1068" s="354" t="s">
        <v>555</v>
      </c>
      <c r="I1068" s="1" t="s">
        <v>995</v>
      </c>
      <c r="J1068" s="4"/>
      <c r="K1068" s="8">
        <f>K1066/F1061</f>
        <v>1259.73</v>
      </c>
    </row>
    <row r="1069" spans="1:11" hidden="1">
      <c r="A1069" s="386"/>
      <c r="F1069" s="244" t="s">
        <v>995</v>
      </c>
      <c r="I1069"/>
      <c r="J1069" s="4"/>
      <c r="K1069"/>
    </row>
    <row r="1070" spans="1:11" hidden="1">
      <c r="A1070" s="386"/>
      <c r="I1070"/>
      <c r="J1070" s="4"/>
      <c r="K1070" s="5" t="s">
        <v>2130</v>
      </c>
    </row>
    <row r="1071" spans="1:11" hidden="1">
      <c r="A1071" s="386"/>
      <c r="F1071" s="364">
        <v>22.3</v>
      </c>
      <c r="H1071" s="244" t="s">
        <v>2072</v>
      </c>
      <c r="I1071"/>
      <c r="J1071" s="4"/>
      <c r="K1071"/>
    </row>
    <row r="1072" spans="1:11" hidden="1">
      <c r="A1072" s="386"/>
      <c r="H1072" s="248" t="s">
        <v>1667</v>
      </c>
      <c r="I1072" s="5" t="s">
        <v>1667</v>
      </c>
      <c r="J1072" s="2" t="s">
        <v>1667</v>
      </c>
      <c r="K1072"/>
    </row>
    <row r="1073" spans="1:12" hidden="1">
      <c r="A1073" s="386"/>
      <c r="I1073"/>
      <c r="J1073" s="4"/>
      <c r="K1073"/>
    </row>
    <row r="1074" spans="1:12" hidden="1">
      <c r="A1074" s="386"/>
      <c r="H1074" s="244" t="s">
        <v>2073</v>
      </c>
      <c r="I1074"/>
      <c r="J1074" s="4"/>
      <c r="K1074"/>
    </row>
    <row r="1075" spans="1:12" hidden="1">
      <c r="A1075" s="386"/>
      <c r="H1075" s="244" t="s">
        <v>2074</v>
      </c>
      <c r="I1075"/>
      <c r="J1075" s="4"/>
      <c r="K1075"/>
    </row>
    <row r="1076" spans="1:12" hidden="1">
      <c r="A1076" s="386"/>
      <c r="H1076" s="244" t="s">
        <v>454</v>
      </c>
      <c r="I1076"/>
      <c r="J1076" s="4"/>
      <c r="K1076"/>
    </row>
    <row r="1077" spans="1:12" hidden="1">
      <c r="A1077" s="386"/>
      <c r="H1077" s="244" t="s">
        <v>455</v>
      </c>
      <c r="I1077"/>
      <c r="J1077" s="4"/>
      <c r="K1077"/>
    </row>
    <row r="1078" spans="1:12" hidden="1">
      <c r="A1078" s="386"/>
      <c r="H1078" s="244" t="s">
        <v>456</v>
      </c>
      <c r="I1078"/>
      <c r="J1078" s="4"/>
      <c r="K1078"/>
      <c r="L1078" s="244" t="s">
        <v>995</v>
      </c>
    </row>
    <row r="1079" spans="1:12" hidden="1">
      <c r="A1079" s="386"/>
      <c r="I1079"/>
      <c r="J1079" s="2" t="s">
        <v>995</v>
      </c>
      <c r="K1079" s="16">
        <v>3.32E-2</v>
      </c>
    </row>
    <row r="1080" spans="1:12" hidden="1">
      <c r="A1080" s="386"/>
      <c r="H1080" s="244" t="s">
        <v>2231</v>
      </c>
      <c r="I1080"/>
      <c r="J1080" s="389" t="s">
        <v>995</v>
      </c>
      <c r="K1080" s="19" t="s">
        <v>995</v>
      </c>
    </row>
    <row r="1081" spans="1:12" hidden="1">
      <c r="A1081" s="386"/>
      <c r="H1081" s="244" t="s">
        <v>1907</v>
      </c>
      <c r="I1081"/>
      <c r="J1081" s="4"/>
      <c r="K1081" s="19" t="s">
        <v>995</v>
      </c>
    </row>
    <row r="1082" spans="1:12" hidden="1">
      <c r="A1082" s="386"/>
      <c r="I1082"/>
      <c r="J1082" s="4"/>
      <c r="K1082"/>
    </row>
    <row r="1083" spans="1:12" hidden="1">
      <c r="A1083" s="386"/>
      <c r="F1083" s="390">
        <v>1.18E-2</v>
      </c>
      <c r="G1083" s="250" t="s">
        <v>884</v>
      </c>
      <c r="H1083" s="244" t="s">
        <v>702</v>
      </c>
      <c r="I1083" s="8">
        <f>C88</f>
        <v>65420</v>
      </c>
      <c r="J1083" s="2" t="s">
        <v>884</v>
      </c>
      <c r="K1083" s="8">
        <f t="shared" ref="K1083:K1092" si="57">(F1083*I1083)</f>
        <v>771.96</v>
      </c>
    </row>
    <row r="1084" spans="1:12" hidden="1">
      <c r="A1084" s="386"/>
      <c r="F1084" s="390">
        <v>3.32E-2</v>
      </c>
      <c r="G1084" s="250" t="s">
        <v>884</v>
      </c>
      <c r="H1084" s="244" t="s">
        <v>703</v>
      </c>
      <c r="I1084" s="8">
        <f>C89</f>
        <v>57165</v>
      </c>
      <c r="J1084" s="2" t="s">
        <v>884</v>
      </c>
      <c r="K1084" s="8">
        <f t="shared" si="57"/>
        <v>1897.88</v>
      </c>
    </row>
    <row r="1085" spans="1:12" hidden="1">
      <c r="A1085" s="386"/>
      <c r="F1085" s="390">
        <v>1.8550000000000001E-2</v>
      </c>
      <c r="G1085" s="250" t="s">
        <v>884</v>
      </c>
      <c r="H1085" s="244" t="s">
        <v>902</v>
      </c>
      <c r="I1085" s="8">
        <f>C30</f>
        <v>3035</v>
      </c>
      <c r="J1085" s="2" t="s">
        <v>884</v>
      </c>
      <c r="K1085" s="8">
        <f t="shared" si="57"/>
        <v>56.3</v>
      </c>
    </row>
    <row r="1086" spans="1:12" hidden="1">
      <c r="A1086" s="386"/>
      <c r="F1086" s="390">
        <v>1.46</v>
      </c>
      <c r="G1086" s="250" t="s">
        <v>611</v>
      </c>
      <c r="H1086" s="244" t="s">
        <v>903</v>
      </c>
      <c r="I1086" s="8">
        <v>385.89</v>
      </c>
      <c r="J1086" s="2" t="s">
        <v>611</v>
      </c>
      <c r="K1086" s="8">
        <f t="shared" si="57"/>
        <v>563.4</v>
      </c>
    </row>
    <row r="1087" spans="1:12" hidden="1">
      <c r="A1087" s="386"/>
      <c r="F1087" s="390">
        <v>2.0499999999999998</v>
      </c>
      <c r="G1087" s="250" t="s">
        <v>611</v>
      </c>
      <c r="H1087" s="244" t="s">
        <v>1568</v>
      </c>
      <c r="I1087" s="8">
        <f>D30</f>
        <v>287</v>
      </c>
      <c r="J1087" s="2" t="s">
        <v>611</v>
      </c>
      <c r="K1087" s="8">
        <f t="shared" si="57"/>
        <v>588.35</v>
      </c>
    </row>
    <row r="1088" spans="1:12" hidden="1">
      <c r="A1088" s="386"/>
      <c r="F1088" s="251">
        <v>2</v>
      </c>
      <c r="G1088" s="250" t="s">
        <v>883</v>
      </c>
      <c r="H1088" s="244" t="s">
        <v>1569</v>
      </c>
      <c r="I1088" s="8">
        <v>7.5</v>
      </c>
      <c r="J1088" s="2" t="s">
        <v>883</v>
      </c>
      <c r="K1088" s="8">
        <f t="shared" si="57"/>
        <v>15</v>
      </c>
    </row>
    <row r="1089" spans="1:11" hidden="1">
      <c r="A1089" s="386"/>
      <c r="F1089" s="251">
        <v>6</v>
      </c>
      <c r="G1089" s="250" t="s">
        <v>883</v>
      </c>
      <c r="H1089" s="244" t="s">
        <v>1404</v>
      </c>
      <c r="I1089" s="8">
        <f>C281</f>
        <v>25</v>
      </c>
      <c r="J1089" s="2" t="s">
        <v>883</v>
      </c>
      <c r="K1089" s="8">
        <f t="shared" si="57"/>
        <v>150</v>
      </c>
    </row>
    <row r="1090" spans="1:11" hidden="1">
      <c r="A1090" s="386"/>
      <c r="F1090" s="251">
        <v>2</v>
      </c>
      <c r="G1090" s="250" t="s">
        <v>883</v>
      </c>
      <c r="H1090" s="244" t="s">
        <v>2531</v>
      </c>
      <c r="I1090" s="8">
        <v>50</v>
      </c>
      <c r="J1090" s="2" t="s">
        <v>883</v>
      </c>
      <c r="K1090" s="8">
        <f t="shared" si="57"/>
        <v>100</v>
      </c>
    </row>
    <row r="1091" spans="1:11" hidden="1">
      <c r="A1091" s="386"/>
      <c r="F1091" s="251">
        <v>1</v>
      </c>
      <c r="G1091" s="250" t="s">
        <v>883</v>
      </c>
      <c r="H1091" s="244" t="s">
        <v>1477</v>
      </c>
      <c r="I1091" s="8">
        <v>50</v>
      </c>
      <c r="J1091" s="2" t="s">
        <v>883</v>
      </c>
      <c r="K1091" s="8">
        <f t="shared" si="57"/>
        <v>50</v>
      </c>
    </row>
    <row r="1092" spans="1:11" hidden="1">
      <c r="A1092" s="386"/>
      <c r="F1092" s="251">
        <v>2.52</v>
      </c>
      <c r="G1092" s="250" t="s">
        <v>611</v>
      </c>
      <c r="H1092" s="244" t="s">
        <v>1792</v>
      </c>
      <c r="I1092" s="8">
        <f>K1122</f>
        <v>51.25</v>
      </c>
      <c r="J1092" s="2" t="s">
        <v>611</v>
      </c>
      <c r="K1092" s="8">
        <f t="shared" si="57"/>
        <v>129.15</v>
      </c>
    </row>
    <row r="1093" spans="1:11" hidden="1">
      <c r="A1093" s="386"/>
      <c r="H1093" s="244" t="s">
        <v>1474</v>
      </c>
      <c r="I1093" s="2" t="s">
        <v>448</v>
      </c>
      <c r="J1093" s="4"/>
      <c r="K1093" s="8">
        <v>0.21</v>
      </c>
    </row>
    <row r="1094" spans="1:11" hidden="1">
      <c r="A1094" s="386"/>
      <c r="I1094"/>
      <c r="J1094" s="4"/>
      <c r="K1094" s="5" t="s">
        <v>1667</v>
      </c>
    </row>
    <row r="1095" spans="1:11" hidden="1">
      <c r="A1095" s="386"/>
      <c r="H1095" s="354" t="s">
        <v>1475</v>
      </c>
      <c r="I1095"/>
      <c r="J1095" s="4"/>
      <c r="K1095" s="8">
        <f>SUM(K1083:K1093)</f>
        <v>4322.25</v>
      </c>
    </row>
    <row r="1096" spans="1:11" hidden="1">
      <c r="A1096" s="386"/>
      <c r="G1096" s="250" t="s">
        <v>995</v>
      </c>
      <c r="I1096"/>
      <c r="J1096" s="4"/>
      <c r="K1096" s="5" t="s">
        <v>1667</v>
      </c>
    </row>
    <row r="1097" spans="1:11" hidden="1">
      <c r="A1097" s="386"/>
      <c r="H1097" s="354" t="s">
        <v>555</v>
      </c>
      <c r="I1097"/>
      <c r="J1097" s="4"/>
      <c r="K1097" s="8">
        <f>K1095/2.52</f>
        <v>1715.18</v>
      </c>
    </row>
    <row r="1098" spans="1:11" hidden="1">
      <c r="A1098" s="386"/>
      <c r="I1098"/>
      <c r="J1098" s="4"/>
      <c r="K1098" s="5" t="s">
        <v>2130</v>
      </c>
    </row>
    <row r="1099" spans="1:11" hidden="1">
      <c r="A1099" s="386"/>
      <c r="G1099" s="250" t="s">
        <v>2338</v>
      </c>
      <c r="H1099" s="244" t="s">
        <v>183</v>
      </c>
      <c r="I1099"/>
      <c r="J1099" s="4"/>
      <c r="K1099"/>
    </row>
    <row r="1100" spans="1:11" hidden="1">
      <c r="A1100" s="386"/>
      <c r="H1100" s="248" t="s">
        <v>1667</v>
      </c>
      <c r="I1100" s="5" t="s">
        <v>1667</v>
      </c>
      <c r="J1100" s="4"/>
      <c r="K1100"/>
    </row>
    <row r="1101" spans="1:11" hidden="1">
      <c r="A1101" s="386"/>
      <c r="F1101" s="251">
        <v>0.77</v>
      </c>
      <c r="G1101" s="250" t="s">
        <v>184</v>
      </c>
      <c r="H1101" s="244" t="s">
        <v>185</v>
      </c>
      <c r="I1101" s="8">
        <f>C193</f>
        <v>210</v>
      </c>
      <c r="J1101" s="2" t="s">
        <v>184</v>
      </c>
      <c r="K1101" s="8">
        <f>(F1101*I1101)</f>
        <v>161.69999999999999</v>
      </c>
    </row>
    <row r="1102" spans="1:11" hidden="1">
      <c r="A1102" s="386"/>
      <c r="F1102" s="251">
        <v>0.61</v>
      </c>
      <c r="G1102" s="250" t="s">
        <v>184</v>
      </c>
      <c r="H1102" s="244" t="s">
        <v>186</v>
      </c>
      <c r="I1102" s="8">
        <f>C192</f>
        <v>25</v>
      </c>
      <c r="J1102" s="2" t="s">
        <v>184</v>
      </c>
      <c r="K1102" s="8">
        <f>(F1102*I1102)</f>
        <v>15.25</v>
      </c>
    </row>
    <row r="1103" spans="1:11" hidden="1">
      <c r="A1103" s="386"/>
      <c r="F1103" s="251">
        <v>0.7</v>
      </c>
      <c r="G1103" s="250" t="s">
        <v>563</v>
      </c>
      <c r="H1103" s="244" t="s">
        <v>1576</v>
      </c>
      <c r="I1103" s="8">
        <f>C14</f>
        <v>120</v>
      </c>
      <c r="J1103" s="2" t="s">
        <v>1796</v>
      </c>
      <c r="K1103" s="8">
        <f>(F1103*I1103)</f>
        <v>84</v>
      </c>
    </row>
    <row r="1104" spans="1:11" hidden="1">
      <c r="A1104" s="386"/>
      <c r="F1104" s="251">
        <v>0.7</v>
      </c>
      <c r="G1104" s="250" t="s">
        <v>563</v>
      </c>
      <c r="H1104" s="244" t="s">
        <v>893</v>
      </c>
      <c r="I1104" s="8">
        <f>C12</f>
        <v>95</v>
      </c>
      <c r="J1104" s="2" t="s">
        <v>1796</v>
      </c>
      <c r="K1104" s="8">
        <f>(F1104*I1104)</f>
        <v>66.5</v>
      </c>
    </row>
    <row r="1105" spans="1:11" hidden="1">
      <c r="A1105" s="386"/>
      <c r="G1105" s="250" t="s">
        <v>448</v>
      </c>
      <c r="H1105" s="244" t="s">
        <v>1231</v>
      </c>
      <c r="I1105"/>
      <c r="J1105" s="2" t="s">
        <v>448</v>
      </c>
      <c r="K1105" s="8">
        <v>1.5</v>
      </c>
    </row>
    <row r="1106" spans="1:11" hidden="1">
      <c r="A1106" s="386"/>
      <c r="I1106"/>
      <c r="J1106" s="4"/>
      <c r="K1106" s="5" t="s">
        <v>1667</v>
      </c>
    </row>
    <row r="1107" spans="1:11" hidden="1">
      <c r="A1107" s="386"/>
      <c r="H1107" s="354" t="s">
        <v>1502</v>
      </c>
      <c r="I1107"/>
      <c r="J1107" s="4"/>
      <c r="K1107" s="8">
        <f>SUM(K1101:K1105)</f>
        <v>328.95</v>
      </c>
    </row>
    <row r="1108" spans="1:11" hidden="1">
      <c r="A1108" s="386"/>
      <c r="I1108"/>
      <c r="J1108" s="4"/>
      <c r="K1108" s="5" t="s">
        <v>1667</v>
      </c>
    </row>
    <row r="1109" spans="1:11" hidden="1">
      <c r="A1109" s="386"/>
      <c r="H1109" s="354" t="s">
        <v>555</v>
      </c>
      <c r="I1109"/>
      <c r="J1109" s="4"/>
      <c r="K1109" s="8">
        <f>(K1107/10)</f>
        <v>32.9</v>
      </c>
    </row>
    <row r="1110" spans="1:11" hidden="1">
      <c r="A1110" s="386"/>
      <c r="I1110"/>
      <c r="J1110" s="4"/>
      <c r="K1110" s="5" t="s">
        <v>2130</v>
      </c>
    </row>
    <row r="1111" spans="1:11" hidden="1">
      <c r="A1111" s="386"/>
      <c r="I1111"/>
      <c r="J1111" s="4"/>
      <c r="K1111"/>
    </row>
    <row r="1112" spans="1:11" hidden="1">
      <c r="A1112" s="386"/>
      <c r="F1112" s="244" t="s">
        <v>995</v>
      </c>
      <c r="G1112" s="250" t="s">
        <v>2338</v>
      </c>
      <c r="H1112" s="244" t="s">
        <v>1503</v>
      </c>
      <c r="I1112"/>
      <c r="J1112" s="4"/>
      <c r="K1112"/>
    </row>
    <row r="1113" spans="1:11" hidden="1">
      <c r="A1113" s="386"/>
      <c r="H1113" s="248" t="s">
        <v>1667</v>
      </c>
      <c r="I1113" s="5" t="s">
        <v>1667</v>
      </c>
      <c r="J1113" s="4"/>
      <c r="K1113"/>
    </row>
    <row r="1114" spans="1:11" hidden="1">
      <c r="A1114" s="386"/>
      <c r="F1114" s="251">
        <v>1.2</v>
      </c>
      <c r="G1114" s="250" t="s">
        <v>184</v>
      </c>
      <c r="H1114" s="244" t="s">
        <v>185</v>
      </c>
      <c r="I1114" s="8">
        <f>C193</f>
        <v>210</v>
      </c>
      <c r="J1114" s="2" t="s">
        <v>184</v>
      </c>
      <c r="K1114" s="8">
        <f>(F1114*I1114)</f>
        <v>252</v>
      </c>
    </row>
    <row r="1115" spans="1:11" hidden="1">
      <c r="A1115" s="386"/>
      <c r="F1115" s="251">
        <v>0.9</v>
      </c>
      <c r="G1115" s="250" t="s">
        <v>184</v>
      </c>
      <c r="H1115" s="244" t="s">
        <v>186</v>
      </c>
      <c r="I1115" s="8">
        <f>C192</f>
        <v>25</v>
      </c>
      <c r="J1115" s="2" t="s">
        <v>184</v>
      </c>
      <c r="K1115" s="8">
        <f>(F1115*I1115)</f>
        <v>22.5</v>
      </c>
    </row>
    <row r="1116" spans="1:11" hidden="1">
      <c r="A1116" s="386"/>
      <c r="F1116" s="251">
        <v>1.1000000000000001</v>
      </c>
      <c r="G1116" s="250" t="s">
        <v>563</v>
      </c>
      <c r="H1116" s="244" t="s">
        <v>1576</v>
      </c>
      <c r="I1116" s="8">
        <f>C14</f>
        <v>120</v>
      </c>
      <c r="J1116" s="2" t="s">
        <v>1796</v>
      </c>
      <c r="K1116" s="8">
        <f>(F1116*I1116)</f>
        <v>132</v>
      </c>
    </row>
    <row r="1117" spans="1:11" hidden="1">
      <c r="A1117" s="386"/>
      <c r="F1117" s="251">
        <v>1.1000000000000001</v>
      </c>
      <c r="G1117" s="250" t="s">
        <v>563</v>
      </c>
      <c r="H1117" s="244" t="s">
        <v>893</v>
      </c>
      <c r="I1117" s="8">
        <f>C12</f>
        <v>95</v>
      </c>
      <c r="J1117" s="2" t="s">
        <v>1796</v>
      </c>
      <c r="K1117" s="8">
        <f>(F1117*I1117)</f>
        <v>104.5</v>
      </c>
    </row>
    <row r="1118" spans="1:11" hidden="1">
      <c r="A1118" s="386"/>
      <c r="G1118" s="250" t="s">
        <v>448</v>
      </c>
      <c r="H1118" s="244" t="s">
        <v>1231</v>
      </c>
      <c r="I1118"/>
      <c r="J1118" s="2" t="s">
        <v>448</v>
      </c>
      <c r="K1118" s="8">
        <v>1.5</v>
      </c>
    </row>
    <row r="1119" spans="1:11" hidden="1">
      <c r="A1119" s="386"/>
      <c r="I1119"/>
      <c r="J1119" s="4"/>
      <c r="K1119" s="5" t="s">
        <v>1667</v>
      </c>
    </row>
    <row r="1120" spans="1:11" hidden="1">
      <c r="A1120" s="386"/>
      <c r="H1120" s="354" t="s">
        <v>1502</v>
      </c>
      <c r="I1120"/>
      <c r="J1120" s="4"/>
      <c r="K1120" s="8">
        <f>SUM(K1114:K1118)</f>
        <v>512.5</v>
      </c>
    </row>
    <row r="1121" spans="1:33" hidden="1">
      <c r="A1121" s="386"/>
      <c r="I1121"/>
      <c r="J1121" s="4"/>
      <c r="K1121" s="5" t="s">
        <v>1667</v>
      </c>
    </row>
    <row r="1122" spans="1:33" hidden="1">
      <c r="A1122" s="386"/>
      <c r="H1122" s="354" t="s">
        <v>555</v>
      </c>
      <c r="I1122"/>
      <c r="J1122" s="4"/>
      <c r="K1122" s="8">
        <f>(K1120/10)</f>
        <v>51.25</v>
      </c>
    </row>
    <row r="1123" spans="1:33" hidden="1">
      <c r="A1123" s="386"/>
      <c r="I1123"/>
      <c r="J1123" s="4"/>
      <c r="K1123" s="5" t="s">
        <v>2130</v>
      </c>
    </row>
    <row r="1124" spans="1:33" hidden="1">
      <c r="A1124" s="386"/>
      <c r="I1124"/>
      <c r="J1124" s="4"/>
      <c r="K1124"/>
    </row>
    <row r="1125" spans="1:33" hidden="1">
      <c r="A1125" s="386"/>
      <c r="F1125" s="375">
        <v>23.3</v>
      </c>
      <c r="H1125" s="245" t="s">
        <v>2375</v>
      </c>
      <c r="I1125"/>
      <c r="J1125" s="4"/>
      <c r="K1125">
        <v>35</v>
      </c>
    </row>
    <row r="1126" spans="1:33" hidden="1">
      <c r="A1126" s="386"/>
      <c r="I1126"/>
      <c r="J1126" s="4"/>
      <c r="K1126"/>
    </row>
    <row r="1127" spans="1:33" hidden="1">
      <c r="A1127" s="386"/>
      <c r="I1127"/>
      <c r="J1127" s="4"/>
      <c r="K1127"/>
    </row>
    <row r="1128" spans="1:33" hidden="1">
      <c r="A1128" s="386"/>
      <c r="F1128" s="354" t="s">
        <v>1504</v>
      </c>
      <c r="G1128" s="250" t="s">
        <v>2338</v>
      </c>
      <c r="H1128" s="244" t="s">
        <v>2523</v>
      </c>
      <c r="I1128"/>
      <c r="J1128" s="4"/>
      <c r="K1128"/>
      <c r="AG1128" s="244" t="s">
        <v>2346</v>
      </c>
    </row>
    <row r="1129" spans="1:33" hidden="1">
      <c r="A1129" s="386"/>
      <c r="H1129" s="244" t="s">
        <v>1505</v>
      </c>
      <c r="I1129"/>
      <c r="J1129" s="4"/>
      <c r="K1129"/>
      <c r="AG1129" s="244" t="s">
        <v>2346</v>
      </c>
    </row>
    <row r="1130" spans="1:33" hidden="1">
      <c r="A1130" s="386"/>
      <c r="H1130" s="248" t="s">
        <v>1667</v>
      </c>
      <c r="I1130" s="5" t="s">
        <v>1667</v>
      </c>
      <c r="J1130" s="4"/>
      <c r="K1130"/>
      <c r="AG1130" s="244" t="s">
        <v>2346</v>
      </c>
    </row>
    <row r="1131" spans="1:33" hidden="1">
      <c r="A1131" s="386"/>
      <c r="F1131" s="374">
        <v>0.53339999999999999</v>
      </c>
      <c r="G1131" s="250" t="s">
        <v>2371</v>
      </c>
      <c r="H1131" s="244" t="s">
        <v>2524</v>
      </c>
      <c r="I1131" s="8">
        <f>C271</f>
        <v>160</v>
      </c>
      <c r="J1131" s="2" t="s">
        <v>2371</v>
      </c>
      <c r="K1131" s="8">
        <f>(F1131*I1131)</f>
        <v>85.34</v>
      </c>
      <c r="AG1131" s="244" t="s">
        <v>2346</v>
      </c>
    </row>
    <row r="1132" spans="1:33" hidden="1">
      <c r="A1132" s="386"/>
      <c r="F1132" s="251">
        <v>4.24</v>
      </c>
      <c r="G1132" s="250" t="s">
        <v>840</v>
      </c>
      <c r="H1132" s="244" t="s">
        <v>713</v>
      </c>
      <c r="I1132" s="8">
        <v>13.66</v>
      </c>
      <c r="J1132" s="2" t="s">
        <v>840</v>
      </c>
      <c r="K1132" s="8">
        <f>(F1132*I1132)</f>
        <v>57.92</v>
      </c>
      <c r="AG1132" s="244" t="s">
        <v>2346</v>
      </c>
    </row>
    <row r="1133" spans="1:33" hidden="1">
      <c r="A1133" s="386"/>
      <c r="F1133" s="251">
        <v>16</v>
      </c>
      <c r="G1133" s="250" t="s">
        <v>563</v>
      </c>
      <c r="H1133" s="244" t="s">
        <v>714</v>
      </c>
      <c r="I1133" s="8">
        <v>0.5</v>
      </c>
      <c r="J1133" s="2" t="s">
        <v>1458</v>
      </c>
      <c r="K1133" s="8">
        <f>(F1133*I1133)</f>
        <v>8</v>
      </c>
      <c r="AG1133" s="244" t="s">
        <v>325</v>
      </c>
    </row>
    <row r="1134" spans="1:33" hidden="1">
      <c r="A1134" s="386"/>
      <c r="F1134" s="374">
        <v>0.53339999999999999</v>
      </c>
      <c r="G1134" s="250" t="s">
        <v>2371</v>
      </c>
      <c r="H1134" s="244" t="s">
        <v>715</v>
      </c>
      <c r="I1134" s="8">
        <f>0.25/1.08*D16</f>
        <v>31.25</v>
      </c>
      <c r="J1134" s="2" t="s">
        <v>2371</v>
      </c>
      <c r="K1134" s="8">
        <f>(F1134*I1134)</f>
        <v>16.670000000000002</v>
      </c>
    </row>
    <row r="1135" spans="1:33" hidden="1">
      <c r="A1135" s="386"/>
      <c r="G1135" s="250" t="s">
        <v>448</v>
      </c>
      <c r="H1135" s="244" t="s">
        <v>2359</v>
      </c>
      <c r="I1135"/>
      <c r="J1135" s="2" t="s">
        <v>448</v>
      </c>
      <c r="K1135" s="8">
        <v>0</v>
      </c>
    </row>
    <row r="1136" spans="1:33" hidden="1">
      <c r="A1136" s="386"/>
      <c r="H1136" s="244" t="s">
        <v>2360</v>
      </c>
      <c r="I1136"/>
      <c r="J1136" s="4"/>
      <c r="K1136"/>
      <c r="AG1136" s="244" t="s">
        <v>2346</v>
      </c>
    </row>
    <row r="1137" spans="1:33" hidden="1">
      <c r="A1137" s="386"/>
      <c r="I1137"/>
      <c r="J1137" s="4"/>
      <c r="K1137" s="5" t="s">
        <v>1667</v>
      </c>
      <c r="AG1137" s="244" t="s">
        <v>2346</v>
      </c>
    </row>
    <row r="1138" spans="1:33" hidden="1">
      <c r="A1138" s="386"/>
      <c r="H1138" s="354" t="s">
        <v>1778</v>
      </c>
      <c r="I1138"/>
      <c r="J1138" s="4"/>
      <c r="K1138" s="8">
        <f>SUM(K1131:K1135)</f>
        <v>167.93</v>
      </c>
      <c r="AG1138" s="244" t="s">
        <v>2346</v>
      </c>
    </row>
    <row r="1139" spans="1:33" hidden="1">
      <c r="A1139" s="386"/>
      <c r="I1139"/>
      <c r="J1139" s="4"/>
      <c r="K1139" s="5" t="s">
        <v>1667</v>
      </c>
      <c r="AG1139" s="244" t="s">
        <v>2346</v>
      </c>
    </row>
    <row r="1140" spans="1:33" hidden="1">
      <c r="A1140" s="386"/>
      <c r="H1140" s="354" t="s">
        <v>1779</v>
      </c>
      <c r="I1140"/>
      <c r="J1140" s="4"/>
      <c r="K1140" s="8">
        <f>ROUND(K1138/0.5334,1)</f>
        <v>314.8</v>
      </c>
      <c r="AG1140" s="244" t="s">
        <v>2346</v>
      </c>
    </row>
    <row r="1141" spans="1:33" hidden="1">
      <c r="A1141" s="386"/>
      <c r="F1141" s="244" t="s">
        <v>995</v>
      </c>
      <c r="I1141"/>
      <c r="J1141" s="4"/>
      <c r="K1141" s="5" t="s">
        <v>2130</v>
      </c>
    </row>
    <row r="1142" spans="1:33" hidden="1">
      <c r="A1142" s="386"/>
      <c r="F1142" s="244" t="s">
        <v>995</v>
      </c>
      <c r="G1142" s="250" t="s">
        <v>995</v>
      </c>
      <c r="H1142" s="244" t="s">
        <v>995</v>
      </c>
      <c r="I1142"/>
      <c r="J1142" s="4"/>
      <c r="K1142"/>
    </row>
    <row r="1143" spans="1:33" hidden="1">
      <c r="A1143" s="386"/>
      <c r="F1143" s="354" t="s">
        <v>1878</v>
      </c>
      <c r="G1143" s="250" t="s">
        <v>2338</v>
      </c>
      <c r="H1143" s="244" t="s">
        <v>1555</v>
      </c>
      <c r="I1143"/>
      <c r="J1143" s="4"/>
      <c r="K1143"/>
      <c r="AG1143" s="244" t="s">
        <v>2346</v>
      </c>
    </row>
    <row r="1144" spans="1:33" hidden="1">
      <c r="A1144" s="386"/>
      <c r="H1144" s="244" t="s">
        <v>1556</v>
      </c>
      <c r="I1144"/>
      <c r="J1144" s="4"/>
      <c r="K1144"/>
      <c r="AG1144" s="244" t="s">
        <v>2346</v>
      </c>
    </row>
    <row r="1145" spans="1:33" hidden="1">
      <c r="A1145" s="386"/>
      <c r="H1145" s="248" t="s">
        <v>1667</v>
      </c>
      <c r="I1145"/>
      <c r="J1145" s="4"/>
      <c r="K1145"/>
      <c r="AG1145" s="244" t="s">
        <v>2346</v>
      </c>
    </row>
    <row r="1146" spans="1:33" hidden="1">
      <c r="A1146" s="386"/>
      <c r="F1146" s="251">
        <v>1</v>
      </c>
      <c r="G1146" s="250" t="s">
        <v>1730</v>
      </c>
      <c r="H1146" s="244" t="s">
        <v>2525</v>
      </c>
      <c r="I1146" s="8">
        <f>(C638)</f>
        <v>37</v>
      </c>
      <c r="J1146" s="2" t="s">
        <v>1730</v>
      </c>
      <c r="K1146" s="8">
        <f>(F1146*I1146)</f>
        <v>37</v>
      </c>
      <c r="AG1146" s="244" t="s">
        <v>2346</v>
      </c>
    </row>
    <row r="1147" spans="1:33" hidden="1">
      <c r="A1147" s="386"/>
      <c r="I1147"/>
      <c r="J1147" s="4"/>
      <c r="K1147" s="5" t="s">
        <v>2130</v>
      </c>
      <c r="AG1147" s="244" t="s">
        <v>2346</v>
      </c>
    </row>
    <row r="1148" spans="1:33" hidden="1">
      <c r="A1148" s="386"/>
      <c r="I1148"/>
      <c r="J1148" s="4"/>
      <c r="K1148"/>
      <c r="AG1148" s="244" t="s">
        <v>2346</v>
      </c>
    </row>
    <row r="1149" spans="1:33" hidden="1">
      <c r="A1149" s="386"/>
      <c r="F1149" s="354" t="s">
        <v>444</v>
      </c>
      <c r="G1149" s="250" t="s">
        <v>2338</v>
      </c>
      <c r="H1149" s="244" t="s">
        <v>260</v>
      </c>
      <c r="I1149" s="1" t="s">
        <v>995</v>
      </c>
      <c r="J1149" s="2" t="s">
        <v>1796</v>
      </c>
      <c r="K1149" s="8">
        <v>3.7</v>
      </c>
      <c r="AG1149" s="244" t="s">
        <v>2346</v>
      </c>
    </row>
    <row r="1150" spans="1:33" hidden="1">
      <c r="A1150" s="386"/>
      <c r="H1150" s="244" t="s">
        <v>261</v>
      </c>
      <c r="I1150"/>
      <c r="J1150" s="4"/>
      <c r="K1150" s="5" t="s">
        <v>2130</v>
      </c>
      <c r="AG1150" s="244" t="s">
        <v>2346</v>
      </c>
    </row>
    <row r="1151" spans="1:33" hidden="1">
      <c r="A1151" s="386"/>
      <c r="I1151"/>
      <c r="J1151" s="4"/>
      <c r="K1151"/>
      <c r="AG1151" s="244" t="s">
        <v>2346</v>
      </c>
    </row>
    <row r="1152" spans="1:33" hidden="1">
      <c r="A1152" s="386"/>
      <c r="F1152" s="354" t="s">
        <v>230</v>
      </c>
      <c r="G1152" s="250" t="s">
        <v>2338</v>
      </c>
      <c r="H1152" s="244" t="s">
        <v>1998</v>
      </c>
      <c r="I1152"/>
      <c r="J1152" s="4"/>
      <c r="K1152"/>
      <c r="AG1152" s="244" t="s">
        <v>2346</v>
      </c>
    </row>
    <row r="1153" spans="1:33" hidden="1">
      <c r="A1153" s="386"/>
      <c r="H1153" s="244" t="s">
        <v>948</v>
      </c>
      <c r="I1153"/>
      <c r="J1153" s="4"/>
      <c r="K1153"/>
      <c r="AG1153" s="244" t="s">
        <v>2346</v>
      </c>
    </row>
    <row r="1154" spans="1:33" hidden="1">
      <c r="A1154" s="386"/>
      <c r="H1154" s="248" t="s">
        <v>1667</v>
      </c>
      <c r="I1154"/>
      <c r="J1154" s="4"/>
      <c r="K1154"/>
      <c r="AG1154" s="244" t="s">
        <v>2346</v>
      </c>
    </row>
    <row r="1155" spans="1:33" hidden="1">
      <c r="A1155" s="386"/>
      <c r="F1155" s="251">
        <v>0.22</v>
      </c>
      <c r="G1155" s="250" t="s">
        <v>884</v>
      </c>
      <c r="H1155" s="244" t="s">
        <v>1364</v>
      </c>
      <c r="I1155" s="8" t="e">
        <f>(K40)</f>
        <v>#REF!</v>
      </c>
      <c r="J1155" s="2" t="s">
        <v>884</v>
      </c>
      <c r="K1155" s="8" t="e">
        <f>(F1155*I1155)</f>
        <v>#REF!</v>
      </c>
      <c r="AG1155" s="244" t="s">
        <v>2346</v>
      </c>
    </row>
    <row r="1156" spans="1:33" hidden="1">
      <c r="A1156" s="386"/>
      <c r="F1156" s="251">
        <v>2.2000000000000002</v>
      </c>
      <c r="G1156" s="250" t="s">
        <v>781</v>
      </c>
      <c r="H1156" s="244" t="s">
        <v>2082</v>
      </c>
      <c r="I1156" s="8">
        <f>(C10)</f>
        <v>150</v>
      </c>
      <c r="J1156" s="2" t="s">
        <v>781</v>
      </c>
      <c r="K1156" s="8">
        <f>(F1156*I1156)</f>
        <v>330</v>
      </c>
      <c r="AG1156" s="244" t="s">
        <v>2346</v>
      </c>
    </row>
    <row r="1157" spans="1:33" hidden="1">
      <c r="A1157" s="386"/>
      <c r="F1157" s="251">
        <v>0.5</v>
      </c>
      <c r="G1157" s="250" t="s">
        <v>781</v>
      </c>
      <c r="H1157" s="244" t="s">
        <v>949</v>
      </c>
      <c r="I1157" s="8">
        <f>(C12)</f>
        <v>95</v>
      </c>
      <c r="J1157" s="2" t="s">
        <v>781</v>
      </c>
      <c r="K1157" s="8">
        <f>(F1157*I1157)</f>
        <v>47.5</v>
      </c>
      <c r="AG1157" s="244" t="s">
        <v>2346</v>
      </c>
    </row>
    <row r="1158" spans="1:33" hidden="1">
      <c r="A1158" s="386"/>
      <c r="F1158" s="251">
        <v>3.2</v>
      </c>
      <c r="G1158" s="250" t="s">
        <v>781</v>
      </c>
      <c r="H1158" s="244" t="s">
        <v>324</v>
      </c>
      <c r="I1158" s="8">
        <f>(C13)</f>
        <v>85</v>
      </c>
      <c r="J1158" s="2" t="s">
        <v>781</v>
      </c>
      <c r="K1158" s="8">
        <f>(F1158*I1158)</f>
        <v>272</v>
      </c>
      <c r="AG1158" s="244" t="s">
        <v>2346</v>
      </c>
    </row>
    <row r="1159" spans="1:33" hidden="1">
      <c r="A1159" s="386"/>
      <c r="G1159" s="250" t="s">
        <v>448</v>
      </c>
      <c r="H1159" s="244" t="s">
        <v>449</v>
      </c>
      <c r="I1159" s="1" t="s">
        <v>995</v>
      </c>
      <c r="J1159" s="2" t="s">
        <v>448</v>
      </c>
      <c r="K1159" s="8">
        <v>0</v>
      </c>
      <c r="AG1159" s="244" t="s">
        <v>2346</v>
      </c>
    </row>
    <row r="1160" spans="1:33" hidden="1">
      <c r="A1160" s="386"/>
      <c r="I1160"/>
      <c r="J1160" s="4"/>
      <c r="K1160" s="5" t="s">
        <v>1667</v>
      </c>
      <c r="AG1160" s="244" t="s">
        <v>2346</v>
      </c>
    </row>
    <row r="1161" spans="1:33" hidden="1">
      <c r="A1161" s="386"/>
      <c r="H1161" s="244" t="s">
        <v>440</v>
      </c>
      <c r="I1161"/>
      <c r="J1161" s="4"/>
      <c r="K1161" s="8" t="e">
        <f>SUM(K1155:K1159)</f>
        <v>#REF!</v>
      </c>
      <c r="AG1161" s="244" t="s">
        <v>2346</v>
      </c>
    </row>
    <row r="1162" spans="1:33" hidden="1">
      <c r="A1162" s="386"/>
      <c r="I1162"/>
      <c r="J1162" s="4"/>
      <c r="K1162" s="5" t="s">
        <v>1667</v>
      </c>
      <c r="AG1162" s="244" t="s">
        <v>2346</v>
      </c>
    </row>
    <row r="1163" spans="1:33" hidden="1">
      <c r="A1163" s="386"/>
      <c r="H1163" s="244" t="s">
        <v>555</v>
      </c>
      <c r="I1163"/>
      <c r="J1163" s="4"/>
      <c r="K1163" s="8" t="e">
        <f>(K1161/10)</f>
        <v>#REF!</v>
      </c>
      <c r="AG1163" s="244" t="s">
        <v>2346</v>
      </c>
    </row>
    <row r="1164" spans="1:33" hidden="1">
      <c r="A1164" s="386"/>
      <c r="I1164"/>
      <c r="J1164" s="4"/>
      <c r="K1164" s="5" t="s">
        <v>2130</v>
      </c>
      <c r="AG1164" s="244" t="s">
        <v>2346</v>
      </c>
    </row>
    <row r="1165" spans="1:33" hidden="1">
      <c r="A1165" s="386"/>
      <c r="F1165" s="354" t="s">
        <v>950</v>
      </c>
      <c r="G1165" s="250" t="s">
        <v>2338</v>
      </c>
      <c r="H1165" s="244" t="s">
        <v>1921</v>
      </c>
      <c r="I1165"/>
      <c r="J1165" s="4"/>
      <c r="K1165"/>
      <c r="AG1165" s="244" t="s">
        <v>2346</v>
      </c>
    </row>
    <row r="1166" spans="1:33" hidden="1">
      <c r="A1166" s="386"/>
      <c r="H1166" s="244" t="s">
        <v>1949</v>
      </c>
      <c r="I1166"/>
      <c r="J1166" s="4"/>
      <c r="K1166"/>
      <c r="AG1166" s="244" t="s">
        <v>2346</v>
      </c>
    </row>
    <row r="1167" spans="1:33" hidden="1">
      <c r="A1167" s="386"/>
      <c r="H1167" s="248" t="s">
        <v>1667</v>
      </c>
      <c r="I1167"/>
      <c r="J1167" s="4"/>
      <c r="K1167"/>
      <c r="AG1167" s="244" t="s">
        <v>2346</v>
      </c>
    </row>
    <row r="1168" spans="1:33" hidden="1">
      <c r="A1168" s="386"/>
      <c r="F1168" s="251">
        <v>160</v>
      </c>
      <c r="G1168" s="250" t="s">
        <v>1950</v>
      </c>
      <c r="H1168" s="244" t="s">
        <v>1951</v>
      </c>
      <c r="I1168" s="8">
        <f>(C136)</f>
        <v>8240</v>
      </c>
      <c r="J1168" s="2" t="s">
        <v>1544</v>
      </c>
      <c r="K1168" s="8">
        <f>(F1168*I1168)/1000</f>
        <v>1318.4</v>
      </c>
      <c r="AG1168" s="244" t="s">
        <v>325</v>
      </c>
    </row>
    <row r="1169" spans="1:33" hidden="1">
      <c r="A1169" s="386"/>
      <c r="H1169" s="244" t="s">
        <v>1952</v>
      </c>
      <c r="I1169" s="1" t="s">
        <v>995</v>
      </c>
      <c r="J1169" s="4"/>
      <c r="K1169" s="1" t="s">
        <v>995</v>
      </c>
    </row>
    <row r="1170" spans="1:33" hidden="1">
      <c r="A1170" s="386"/>
      <c r="F1170" s="251">
        <v>0.21</v>
      </c>
      <c r="G1170" s="250" t="s">
        <v>884</v>
      </c>
      <c r="H1170" s="244" t="s">
        <v>1953</v>
      </c>
      <c r="I1170" s="8" t="e">
        <f>(K32)</f>
        <v>#REF!</v>
      </c>
      <c r="J1170" s="2" t="s">
        <v>884</v>
      </c>
      <c r="K1170" s="8" t="e">
        <f>(F1170*I1170)</f>
        <v>#REF!</v>
      </c>
    </row>
    <row r="1171" spans="1:33" hidden="1">
      <c r="A1171" s="386"/>
      <c r="H1171" s="244" t="s">
        <v>1954</v>
      </c>
      <c r="I1171" s="1" t="s">
        <v>995</v>
      </c>
      <c r="J1171" s="4"/>
      <c r="K1171" s="1" t="s">
        <v>995</v>
      </c>
      <c r="AG1171" s="244" t="s">
        <v>2346</v>
      </c>
    </row>
    <row r="1172" spans="1:33" hidden="1">
      <c r="A1172" s="386"/>
      <c r="F1172" s="251">
        <v>1.1000000000000001</v>
      </c>
      <c r="G1172" s="250" t="s">
        <v>781</v>
      </c>
      <c r="H1172" s="244" t="s">
        <v>2082</v>
      </c>
      <c r="I1172" s="8">
        <f>(C10)</f>
        <v>150</v>
      </c>
      <c r="J1172" s="2" t="s">
        <v>781</v>
      </c>
      <c r="K1172" s="8">
        <f>(F1172*I1172)</f>
        <v>165</v>
      </c>
      <c r="AG1172" s="244" t="s">
        <v>2346</v>
      </c>
    </row>
    <row r="1173" spans="1:33" hidden="1">
      <c r="A1173" s="386"/>
      <c r="F1173" s="251">
        <v>1.1000000000000001</v>
      </c>
      <c r="G1173" s="250" t="s">
        <v>781</v>
      </c>
      <c r="H1173" s="244" t="s">
        <v>1791</v>
      </c>
      <c r="I1173" s="8">
        <f>(C11)</f>
        <v>135</v>
      </c>
      <c r="J1173" s="2" t="s">
        <v>781</v>
      </c>
      <c r="K1173" s="8">
        <f>(F1173*I1173)</f>
        <v>148.5</v>
      </c>
      <c r="AG1173" s="244" t="s">
        <v>2346</v>
      </c>
    </row>
    <row r="1174" spans="1:33" hidden="1">
      <c r="A1174" s="386"/>
      <c r="F1174" s="251">
        <v>2.2000000000000002</v>
      </c>
      <c r="G1174" s="250" t="s">
        <v>781</v>
      </c>
      <c r="H1174" s="244" t="s">
        <v>1979</v>
      </c>
      <c r="I1174" s="8">
        <f>(C12)</f>
        <v>95</v>
      </c>
      <c r="J1174" s="2" t="s">
        <v>781</v>
      </c>
      <c r="K1174" s="8">
        <f>(F1174*I1174)</f>
        <v>209</v>
      </c>
      <c r="AG1174" s="244" t="s">
        <v>2346</v>
      </c>
    </row>
    <row r="1175" spans="1:33" hidden="1">
      <c r="A1175" s="386"/>
      <c r="F1175" s="251">
        <v>2.2000000000000002</v>
      </c>
      <c r="G1175" s="250" t="s">
        <v>781</v>
      </c>
      <c r="H1175" s="244" t="s">
        <v>324</v>
      </c>
      <c r="I1175" s="8">
        <f>(C13)</f>
        <v>85</v>
      </c>
      <c r="J1175" s="2" t="s">
        <v>781</v>
      </c>
      <c r="K1175" s="8">
        <f>(F1175*I1175)</f>
        <v>187</v>
      </c>
      <c r="AG1175" s="244" t="s">
        <v>2346</v>
      </c>
    </row>
    <row r="1176" spans="1:33" hidden="1">
      <c r="A1176" s="386"/>
      <c r="F1176" s="363">
        <v>22</v>
      </c>
      <c r="G1176" s="250" t="s">
        <v>1730</v>
      </c>
      <c r="H1176" s="244" t="s">
        <v>877</v>
      </c>
      <c r="I1176" s="8">
        <f>(C67)</f>
        <v>3800</v>
      </c>
      <c r="J1176" s="2" t="s">
        <v>876</v>
      </c>
      <c r="K1176" s="8">
        <f>(F1176*I1176)/1000</f>
        <v>83.6</v>
      </c>
      <c r="AG1176" s="244" t="s">
        <v>2346</v>
      </c>
    </row>
    <row r="1177" spans="1:33" hidden="1">
      <c r="A1177" s="386"/>
      <c r="F1177" s="251">
        <v>1.6</v>
      </c>
      <c r="G1177" s="250" t="s">
        <v>781</v>
      </c>
      <c r="H1177" s="244" t="s">
        <v>1791</v>
      </c>
      <c r="I1177" s="8">
        <f>(C11)</f>
        <v>135</v>
      </c>
      <c r="J1177" s="2" t="s">
        <v>781</v>
      </c>
      <c r="K1177" s="8">
        <f>(F1177*I1177)</f>
        <v>216</v>
      </c>
      <c r="AG1177" s="244" t="s">
        <v>2346</v>
      </c>
    </row>
    <row r="1178" spans="1:33" hidden="1">
      <c r="A1178" s="386"/>
      <c r="F1178" s="251">
        <v>0.5</v>
      </c>
      <c r="G1178" s="250" t="s">
        <v>781</v>
      </c>
      <c r="H1178" s="244" t="s">
        <v>1979</v>
      </c>
      <c r="I1178" s="8">
        <f>(C12)</f>
        <v>95</v>
      </c>
      <c r="J1178" s="2" t="s">
        <v>781</v>
      </c>
      <c r="K1178" s="8">
        <f>(F1178*I1178)</f>
        <v>47.5</v>
      </c>
      <c r="AG1178" s="244" t="s">
        <v>2346</v>
      </c>
    </row>
    <row r="1179" spans="1:33" hidden="1">
      <c r="A1179" s="386"/>
      <c r="F1179" s="251">
        <v>1.1000000000000001</v>
      </c>
      <c r="G1179" s="250" t="s">
        <v>781</v>
      </c>
      <c r="H1179" s="244" t="s">
        <v>324</v>
      </c>
      <c r="I1179" s="8">
        <f>(C13)</f>
        <v>85</v>
      </c>
      <c r="J1179" s="2" t="s">
        <v>781</v>
      </c>
      <c r="K1179" s="8">
        <f>(F1179*I1179)</f>
        <v>93.5</v>
      </c>
      <c r="AG1179" s="244" t="s">
        <v>2346</v>
      </c>
    </row>
    <row r="1180" spans="1:33" hidden="1">
      <c r="A1180" s="386"/>
      <c r="F1180" s="244" t="s">
        <v>246</v>
      </c>
      <c r="H1180" s="244" t="s">
        <v>1955</v>
      </c>
      <c r="I1180" s="1" t="s">
        <v>995</v>
      </c>
      <c r="J1180" s="4"/>
      <c r="K1180" s="1" t="s">
        <v>995</v>
      </c>
      <c r="AG1180" s="244" t="s">
        <v>2346</v>
      </c>
    </row>
    <row r="1181" spans="1:33" hidden="1">
      <c r="A1181" s="386"/>
      <c r="F1181" s="251">
        <v>1</v>
      </c>
      <c r="G1181" s="250" t="s">
        <v>448</v>
      </c>
      <c r="H1181" s="244" t="s">
        <v>1956</v>
      </c>
      <c r="I1181" s="8">
        <f>(C57)</f>
        <v>35</v>
      </c>
      <c r="J1181" s="2" t="s">
        <v>448</v>
      </c>
      <c r="K1181" s="8">
        <f>(F1181*I1181)</f>
        <v>35</v>
      </c>
      <c r="AG1181" s="244" t="s">
        <v>2346</v>
      </c>
    </row>
    <row r="1182" spans="1:33" hidden="1">
      <c r="A1182" s="386"/>
      <c r="F1182" s="251">
        <v>1</v>
      </c>
      <c r="G1182" s="250" t="s">
        <v>448</v>
      </c>
      <c r="H1182" s="244" t="s">
        <v>1957</v>
      </c>
      <c r="I1182" s="8">
        <f>(C58)</f>
        <v>15</v>
      </c>
      <c r="J1182" s="2" t="s">
        <v>448</v>
      </c>
      <c r="K1182" s="8">
        <f>(F1182*I1182)</f>
        <v>15</v>
      </c>
      <c r="AG1182" s="244" t="s">
        <v>2346</v>
      </c>
    </row>
    <row r="1183" spans="1:33" hidden="1">
      <c r="A1183" s="386"/>
      <c r="F1183" s="251">
        <v>1</v>
      </c>
      <c r="G1183" s="250" t="s">
        <v>448</v>
      </c>
      <c r="H1183" s="244" t="s">
        <v>180</v>
      </c>
      <c r="I1183" s="8">
        <f>(C28)</f>
        <v>58.33</v>
      </c>
      <c r="J1183" s="2" t="s">
        <v>448</v>
      </c>
      <c r="K1183" s="8">
        <f>(F1183*I1183)</f>
        <v>58.33</v>
      </c>
      <c r="AG1183" s="244" t="s">
        <v>2346</v>
      </c>
    </row>
    <row r="1184" spans="1:33" hidden="1">
      <c r="A1184" s="386"/>
      <c r="F1184" s="251">
        <v>1.1000000000000001</v>
      </c>
      <c r="G1184" s="250" t="s">
        <v>781</v>
      </c>
      <c r="H1184" s="244" t="s">
        <v>871</v>
      </c>
      <c r="I1184" s="8">
        <f>(C29)</f>
        <v>120</v>
      </c>
      <c r="J1184" s="2" t="s">
        <v>781</v>
      </c>
      <c r="K1184" s="8">
        <f>(F1184*I1184)</f>
        <v>132</v>
      </c>
      <c r="AG1184" s="244" t="s">
        <v>2346</v>
      </c>
    </row>
    <row r="1185" spans="1:33" hidden="1">
      <c r="A1185" s="386"/>
      <c r="F1185" s="251">
        <v>2.2000000000000002</v>
      </c>
      <c r="G1185" s="250" t="s">
        <v>781</v>
      </c>
      <c r="H1185" s="244" t="s">
        <v>872</v>
      </c>
      <c r="I1185" s="8">
        <f>(C13)</f>
        <v>85</v>
      </c>
      <c r="J1185" s="2" t="s">
        <v>781</v>
      </c>
      <c r="K1185" s="8">
        <f>(F1185*I1185)</f>
        <v>187</v>
      </c>
      <c r="AG1185" s="244" t="s">
        <v>2346</v>
      </c>
    </row>
    <row r="1186" spans="1:33" hidden="1">
      <c r="A1186" s="386"/>
      <c r="G1186" s="250" t="s">
        <v>448</v>
      </c>
      <c r="H1186" s="244" t="s">
        <v>449</v>
      </c>
      <c r="I1186"/>
      <c r="J1186" s="2" t="s">
        <v>448</v>
      </c>
      <c r="K1186" s="8">
        <v>0</v>
      </c>
      <c r="AG1186" s="244" t="s">
        <v>2346</v>
      </c>
    </row>
    <row r="1187" spans="1:33" hidden="1">
      <c r="A1187" s="386"/>
      <c r="I1187"/>
      <c r="J1187" s="4"/>
      <c r="K1187" s="5" t="s">
        <v>1667</v>
      </c>
      <c r="AG1187" s="244" t="s">
        <v>2346</v>
      </c>
    </row>
    <row r="1188" spans="1:33" hidden="1">
      <c r="A1188" s="386"/>
      <c r="H1188" s="244" t="s">
        <v>440</v>
      </c>
      <c r="I1188"/>
      <c r="J1188" s="4"/>
      <c r="K1188" s="8" t="e">
        <f>SUM(K1168:K1186)</f>
        <v>#REF!</v>
      </c>
      <c r="AG1188" s="244" t="s">
        <v>2346</v>
      </c>
    </row>
    <row r="1189" spans="1:33" hidden="1">
      <c r="A1189" s="386"/>
      <c r="I1189"/>
      <c r="J1189" s="4"/>
      <c r="K1189" s="5" t="s">
        <v>1667</v>
      </c>
      <c r="AG1189" s="244" t="s">
        <v>2346</v>
      </c>
    </row>
    <row r="1190" spans="1:33" hidden="1">
      <c r="A1190" s="386"/>
      <c r="F1190" s="244" t="s">
        <v>995</v>
      </c>
      <c r="I1190"/>
      <c r="J1190" s="4"/>
      <c r="K1190"/>
    </row>
    <row r="1191" spans="1:33" hidden="1">
      <c r="A1191" s="386"/>
      <c r="H1191" s="244" t="s">
        <v>555</v>
      </c>
      <c r="I1191"/>
      <c r="J1191" s="4"/>
      <c r="K1191" s="8" t="e">
        <f>(K1188/10)</f>
        <v>#REF!</v>
      </c>
      <c r="AG1191" s="244" t="s">
        <v>2346</v>
      </c>
    </row>
    <row r="1192" spans="1:33" hidden="1">
      <c r="A1192" s="386"/>
      <c r="F1192" s="244" t="s">
        <v>995</v>
      </c>
      <c r="I1192"/>
      <c r="J1192" s="4"/>
      <c r="K1192"/>
    </row>
    <row r="1193" spans="1:33" hidden="1">
      <c r="A1193" s="386"/>
      <c r="I1193"/>
      <c r="J1193" s="4"/>
      <c r="K1193" s="5" t="s">
        <v>2130</v>
      </c>
      <c r="AG1193" s="244" t="s">
        <v>2346</v>
      </c>
    </row>
    <row r="1194" spans="1:33" hidden="1">
      <c r="A1194" s="386"/>
      <c r="F1194" s="364">
        <v>29.5</v>
      </c>
      <c r="G1194" s="250" t="s">
        <v>2338</v>
      </c>
      <c r="H1194" s="244" t="s">
        <v>1891</v>
      </c>
      <c r="I1194"/>
      <c r="J1194" s="4"/>
      <c r="K1194"/>
      <c r="AG1194" s="244" t="s">
        <v>2346</v>
      </c>
    </row>
    <row r="1195" spans="1:33" hidden="1">
      <c r="A1195" s="386"/>
      <c r="H1195" s="244" t="s">
        <v>873</v>
      </c>
      <c r="I1195"/>
      <c r="J1195" s="4"/>
      <c r="K1195"/>
      <c r="AG1195" s="244" t="s">
        <v>2346</v>
      </c>
    </row>
    <row r="1196" spans="1:33" hidden="1">
      <c r="A1196" s="386"/>
      <c r="H1196" s="244" t="s">
        <v>2012</v>
      </c>
      <c r="I1196"/>
      <c r="J1196" s="4"/>
      <c r="K1196"/>
      <c r="AG1196" s="244" t="s">
        <v>2346</v>
      </c>
    </row>
    <row r="1197" spans="1:33" hidden="1">
      <c r="A1197" s="386"/>
      <c r="H1197" s="248" t="s">
        <v>1667</v>
      </c>
      <c r="I1197" s="5" t="s">
        <v>1667</v>
      </c>
      <c r="J1197" s="4"/>
      <c r="K1197"/>
      <c r="AG1197" s="244" t="s">
        <v>2346</v>
      </c>
    </row>
    <row r="1198" spans="1:33" hidden="1">
      <c r="A1198" s="386"/>
      <c r="F1198" s="251">
        <v>10</v>
      </c>
      <c r="G1198" s="250" t="s">
        <v>611</v>
      </c>
      <c r="H1198" s="244" t="s">
        <v>2013</v>
      </c>
      <c r="I1198" s="8">
        <f>(C579)</f>
        <v>301</v>
      </c>
      <c r="J1198" s="2" t="s">
        <v>611</v>
      </c>
      <c r="K1198" s="8">
        <f>(F1198*I1198)</f>
        <v>3010</v>
      </c>
      <c r="AG1198" s="244" t="s">
        <v>2346</v>
      </c>
    </row>
    <row r="1199" spans="1:33" hidden="1">
      <c r="A1199" s="386"/>
      <c r="F1199" s="251">
        <v>0.21</v>
      </c>
      <c r="G1199" s="250" t="s">
        <v>884</v>
      </c>
      <c r="H1199" s="244" t="s">
        <v>1953</v>
      </c>
      <c r="I1199" s="8" t="e">
        <f>(K32)</f>
        <v>#REF!</v>
      </c>
      <c r="J1199" s="2" t="s">
        <v>884</v>
      </c>
      <c r="K1199" s="8" t="e">
        <f>(F1199*I1199)</f>
        <v>#REF!</v>
      </c>
      <c r="AG1199" s="244" t="s">
        <v>2346</v>
      </c>
    </row>
    <row r="1200" spans="1:33" hidden="1">
      <c r="A1200" s="386"/>
      <c r="H1200" s="244" t="s">
        <v>1954</v>
      </c>
      <c r="I1200" s="1" t="s">
        <v>995</v>
      </c>
      <c r="J1200" s="4"/>
      <c r="K1200" s="1" t="s">
        <v>995</v>
      </c>
      <c r="AG1200" s="244" t="s">
        <v>2346</v>
      </c>
    </row>
    <row r="1201" spans="1:33" hidden="1">
      <c r="A1201" s="386"/>
      <c r="F1201" s="251">
        <v>1.1000000000000001</v>
      </c>
      <c r="G1201" s="250" t="s">
        <v>781</v>
      </c>
      <c r="H1201" s="244" t="s">
        <v>2082</v>
      </c>
      <c r="I1201" s="8">
        <f>(C10)</f>
        <v>150</v>
      </c>
      <c r="J1201" s="2" t="s">
        <v>781</v>
      </c>
      <c r="K1201" s="8">
        <f>(F1201*I1201)</f>
        <v>165</v>
      </c>
      <c r="AG1201" s="244" t="s">
        <v>2346</v>
      </c>
    </row>
    <row r="1202" spans="1:33" hidden="1">
      <c r="A1202" s="386"/>
      <c r="F1202" s="251">
        <v>1.1000000000000001</v>
      </c>
      <c r="G1202" s="250" t="s">
        <v>781</v>
      </c>
      <c r="H1202" s="244" t="s">
        <v>1791</v>
      </c>
      <c r="I1202" s="8">
        <f>(C11)</f>
        <v>135</v>
      </c>
      <c r="J1202" s="2" t="s">
        <v>781</v>
      </c>
      <c r="K1202" s="8">
        <f>(F1202*I1202)</f>
        <v>148.5</v>
      </c>
      <c r="AG1202" s="244" t="s">
        <v>2346</v>
      </c>
    </row>
    <row r="1203" spans="1:33" hidden="1">
      <c r="A1203" s="386"/>
      <c r="F1203" s="251">
        <v>2.2000000000000002</v>
      </c>
      <c r="G1203" s="250" t="s">
        <v>781</v>
      </c>
      <c r="H1203" s="244" t="s">
        <v>1979</v>
      </c>
      <c r="I1203" s="8">
        <f>(C12)</f>
        <v>95</v>
      </c>
      <c r="J1203" s="2" t="s">
        <v>781</v>
      </c>
      <c r="K1203" s="8">
        <f>(F1203*I1203)</f>
        <v>209</v>
      </c>
      <c r="AG1203" s="244" t="s">
        <v>2346</v>
      </c>
    </row>
    <row r="1204" spans="1:33" hidden="1">
      <c r="A1204" s="386"/>
      <c r="F1204" s="251">
        <v>2.2000000000000002</v>
      </c>
      <c r="G1204" s="250" t="s">
        <v>781</v>
      </c>
      <c r="H1204" s="244" t="s">
        <v>324</v>
      </c>
      <c r="I1204" s="8">
        <f>(C13)</f>
        <v>85</v>
      </c>
      <c r="J1204" s="2" t="s">
        <v>781</v>
      </c>
      <c r="K1204" s="8">
        <f>(F1204*I1204)</f>
        <v>187</v>
      </c>
    </row>
    <row r="1205" spans="1:33" hidden="1">
      <c r="A1205" s="386"/>
      <c r="F1205" s="363">
        <v>20</v>
      </c>
      <c r="G1205" s="250" t="s">
        <v>1730</v>
      </c>
      <c r="H1205" s="244" t="s">
        <v>877</v>
      </c>
      <c r="I1205" s="8">
        <f>(C67)</f>
        <v>3800</v>
      </c>
      <c r="J1205" s="2" t="s">
        <v>876</v>
      </c>
      <c r="K1205" s="8">
        <f>(F1205*I1205)/1000</f>
        <v>76</v>
      </c>
    </row>
    <row r="1206" spans="1:33" hidden="1">
      <c r="A1206" s="386"/>
      <c r="F1206" s="363">
        <v>2</v>
      </c>
      <c r="G1206" s="250" t="s">
        <v>1730</v>
      </c>
      <c r="H1206" s="244" t="s">
        <v>2526</v>
      </c>
      <c r="I1206" s="8">
        <f>C586</f>
        <v>19</v>
      </c>
      <c r="J1206" s="2" t="s">
        <v>1730</v>
      </c>
      <c r="K1206" s="8">
        <f>(F1206*I1206)</f>
        <v>38</v>
      </c>
      <c r="AG1206" s="244" t="s">
        <v>995</v>
      </c>
    </row>
    <row r="1207" spans="1:33" hidden="1">
      <c r="A1207" s="386"/>
      <c r="F1207" s="251">
        <v>1.6</v>
      </c>
      <c r="G1207" s="250" t="s">
        <v>781</v>
      </c>
      <c r="H1207" s="244" t="s">
        <v>1791</v>
      </c>
      <c r="I1207" s="8">
        <f>(C11)</f>
        <v>135</v>
      </c>
      <c r="J1207" s="2" t="s">
        <v>781</v>
      </c>
      <c r="K1207" s="8">
        <f>(F1207*I1207)</f>
        <v>216</v>
      </c>
    </row>
    <row r="1208" spans="1:33" hidden="1">
      <c r="A1208" s="386"/>
      <c r="F1208" s="251">
        <v>0.5</v>
      </c>
      <c r="G1208" s="250" t="s">
        <v>781</v>
      </c>
      <c r="H1208" s="244" t="s">
        <v>1979</v>
      </c>
      <c r="I1208" s="8">
        <f>(C12)</f>
        <v>95</v>
      </c>
      <c r="J1208" s="2" t="s">
        <v>781</v>
      </c>
      <c r="K1208" s="8">
        <f>(F1208*I1208)</f>
        <v>47.5</v>
      </c>
    </row>
    <row r="1209" spans="1:33" hidden="1">
      <c r="A1209" s="386"/>
      <c r="F1209" s="251">
        <v>1.1000000000000001</v>
      </c>
      <c r="G1209" s="250" t="s">
        <v>781</v>
      </c>
      <c r="H1209" s="244" t="s">
        <v>324</v>
      </c>
      <c r="I1209" s="8">
        <f>(C13)</f>
        <v>85</v>
      </c>
      <c r="J1209" s="2" t="s">
        <v>781</v>
      </c>
      <c r="K1209" s="8">
        <f>(F1209*I1209)</f>
        <v>93.5</v>
      </c>
    </row>
    <row r="1210" spans="1:33" hidden="1">
      <c r="A1210" s="386"/>
      <c r="G1210" s="250" t="s">
        <v>448</v>
      </c>
      <c r="H1210" s="244" t="s">
        <v>449</v>
      </c>
      <c r="I1210"/>
      <c r="J1210" s="2" t="s">
        <v>448</v>
      </c>
      <c r="K1210" s="8">
        <v>0</v>
      </c>
    </row>
    <row r="1211" spans="1:33" hidden="1">
      <c r="A1211" s="386"/>
      <c r="I1211"/>
      <c r="J1211" s="4"/>
      <c r="K1211" s="5" t="s">
        <v>1667</v>
      </c>
    </row>
    <row r="1212" spans="1:33" hidden="1">
      <c r="A1212" s="386"/>
      <c r="H1212" s="244" t="s">
        <v>440</v>
      </c>
      <c r="I1212"/>
      <c r="J1212" s="4"/>
      <c r="K1212" s="8" t="e">
        <f>SUM(K1198:K1210)</f>
        <v>#REF!</v>
      </c>
    </row>
    <row r="1213" spans="1:33" hidden="1">
      <c r="A1213" s="386"/>
      <c r="I1213"/>
      <c r="J1213" s="4"/>
      <c r="K1213" s="5" t="s">
        <v>1667</v>
      </c>
    </row>
    <row r="1214" spans="1:33" hidden="1">
      <c r="A1214" s="386"/>
      <c r="H1214" s="244" t="s">
        <v>555</v>
      </c>
      <c r="I1214"/>
      <c r="J1214" s="4"/>
      <c r="K1214" s="8" t="e">
        <f>(K1212/10)</f>
        <v>#REF!</v>
      </c>
    </row>
    <row r="1215" spans="1:33" hidden="1">
      <c r="A1215" s="386"/>
      <c r="I1215"/>
      <c r="J1215" s="4"/>
      <c r="K1215" s="5" t="s">
        <v>2130</v>
      </c>
    </row>
    <row r="1216" spans="1:33" hidden="1">
      <c r="A1216" s="386"/>
      <c r="F1216" s="364">
        <v>29.4</v>
      </c>
      <c r="G1216" s="250" t="s">
        <v>2338</v>
      </c>
      <c r="H1216" s="244" t="s">
        <v>1128</v>
      </c>
      <c r="I1216"/>
      <c r="J1216" s="4"/>
      <c r="K1216"/>
    </row>
    <row r="1217" spans="1:11" hidden="1">
      <c r="A1217" s="386"/>
      <c r="H1217" s="244" t="s">
        <v>1129</v>
      </c>
      <c r="I1217"/>
      <c r="J1217" s="4"/>
      <c r="K1217"/>
    </row>
    <row r="1218" spans="1:11" hidden="1">
      <c r="A1218" s="386"/>
      <c r="H1218" s="248" t="s">
        <v>1667</v>
      </c>
      <c r="I1218"/>
      <c r="J1218" s="4"/>
      <c r="K1218"/>
    </row>
    <row r="1219" spans="1:11" hidden="1">
      <c r="A1219" s="386"/>
      <c r="F1219" s="251">
        <v>1.86</v>
      </c>
      <c r="G1219" s="250" t="s">
        <v>611</v>
      </c>
      <c r="H1219" s="244" t="s">
        <v>1130</v>
      </c>
      <c r="I1219" s="8">
        <f>C580</f>
        <v>325</v>
      </c>
      <c r="J1219" s="2" t="s">
        <v>611</v>
      </c>
      <c r="K1219" s="8">
        <f>(F1219*I1219)</f>
        <v>604.5</v>
      </c>
    </row>
    <row r="1220" spans="1:11" hidden="1">
      <c r="A1220" s="386"/>
      <c r="F1220" s="251">
        <v>0.4</v>
      </c>
      <c r="G1220" s="250" t="s">
        <v>1730</v>
      </c>
      <c r="H1220" s="244" t="s">
        <v>2527</v>
      </c>
      <c r="I1220" s="8">
        <f>C586</f>
        <v>19</v>
      </c>
      <c r="J1220" s="2" t="s">
        <v>1730</v>
      </c>
      <c r="K1220" s="8">
        <f>(F1220*I1220)</f>
        <v>7.6</v>
      </c>
    </row>
    <row r="1221" spans="1:11" hidden="1">
      <c r="A1221" s="386"/>
      <c r="F1221" s="251">
        <v>0.02</v>
      </c>
      <c r="G1221" s="250" t="s">
        <v>884</v>
      </c>
      <c r="H1221" s="244" t="s">
        <v>416</v>
      </c>
      <c r="I1221" s="8" t="e">
        <f>K23</f>
        <v>#REF!</v>
      </c>
      <c r="J1221" s="2" t="s">
        <v>884</v>
      </c>
      <c r="K1221" s="8" t="e">
        <f>(F1221*I1221)</f>
        <v>#REF!</v>
      </c>
    </row>
    <row r="1222" spans="1:11" hidden="1">
      <c r="A1222" s="386"/>
      <c r="F1222" s="251">
        <v>1</v>
      </c>
      <c r="G1222" s="250" t="s">
        <v>781</v>
      </c>
      <c r="H1222" s="244" t="s">
        <v>2082</v>
      </c>
      <c r="I1222" s="8">
        <f>C10</f>
        <v>150</v>
      </c>
      <c r="J1222" s="2" t="s">
        <v>781</v>
      </c>
      <c r="K1222" s="8">
        <f>(F1222*I1222)</f>
        <v>150</v>
      </c>
    </row>
    <row r="1223" spans="1:11" hidden="1">
      <c r="A1223" s="386"/>
      <c r="F1223" s="251">
        <v>1</v>
      </c>
      <c r="G1223" s="250" t="s">
        <v>781</v>
      </c>
      <c r="H1223" s="244" t="s">
        <v>1774</v>
      </c>
      <c r="I1223" s="8">
        <f>C12</f>
        <v>95</v>
      </c>
      <c r="J1223" s="2" t="s">
        <v>781</v>
      </c>
      <c r="K1223" s="8">
        <f>(F1223*I1223)</f>
        <v>95</v>
      </c>
    </row>
    <row r="1224" spans="1:11" hidden="1">
      <c r="A1224" s="386"/>
      <c r="G1224" s="250" t="s">
        <v>448</v>
      </c>
      <c r="H1224" s="244" t="s">
        <v>449</v>
      </c>
      <c r="I1224"/>
      <c r="J1224" s="2" t="s">
        <v>448</v>
      </c>
      <c r="K1224" s="8">
        <v>0</v>
      </c>
    </row>
    <row r="1225" spans="1:11" hidden="1">
      <c r="A1225" s="386"/>
      <c r="I1225"/>
      <c r="J1225" s="4"/>
      <c r="K1225" s="5" t="s">
        <v>1667</v>
      </c>
    </row>
    <row r="1226" spans="1:11" hidden="1">
      <c r="A1226" s="386"/>
      <c r="H1226" s="244" t="s">
        <v>1775</v>
      </c>
      <c r="I1226"/>
      <c r="J1226" s="4"/>
      <c r="K1226" s="8" t="e">
        <f>SUM(K1219:K1224)</f>
        <v>#REF!</v>
      </c>
    </row>
    <row r="1227" spans="1:11" hidden="1">
      <c r="A1227" s="386"/>
      <c r="I1227"/>
      <c r="J1227" s="4"/>
      <c r="K1227" s="5" t="s">
        <v>1667</v>
      </c>
    </row>
    <row r="1228" spans="1:11" hidden="1">
      <c r="A1228" s="386"/>
      <c r="H1228" s="244" t="s">
        <v>555</v>
      </c>
      <c r="I1228"/>
      <c r="J1228" s="4"/>
      <c r="K1228" s="8" t="e">
        <f>(K1226/1.86)</f>
        <v>#REF!</v>
      </c>
    </row>
    <row r="1229" spans="1:11" hidden="1">
      <c r="A1229" s="386"/>
      <c r="I1229"/>
      <c r="J1229" s="4"/>
      <c r="K1229" s="5" t="s">
        <v>2130</v>
      </c>
    </row>
    <row r="1230" spans="1:11" hidden="1">
      <c r="A1230" s="386"/>
      <c r="F1230" s="354" t="s">
        <v>210</v>
      </c>
      <c r="G1230" s="250" t="s">
        <v>2338</v>
      </c>
      <c r="H1230" s="244" t="s">
        <v>1998</v>
      </c>
      <c r="I1230"/>
      <c r="J1230" s="4"/>
      <c r="K1230"/>
    </row>
    <row r="1231" spans="1:11" hidden="1">
      <c r="A1231" s="386"/>
      <c r="H1231" s="244" t="s">
        <v>948</v>
      </c>
      <c r="I1231"/>
      <c r="J1231" s="4"/>
      <c r="K1231"/>
    </row>
    <row r="1232" spans="1:11" hidden="1">
      <c r="A1232" s="386"/>
      <c r="H1232" s="244" t="s">
        <v>1776</v>
      </c>
      <c r="I1232"/>
      <c r="J1232" s="4"/>
      <c r="K1232"/>
    </row>
    <row r="1233" spans="1:11" hidden="1">
      <c r="A1233" s="386"/>
      <c r="H1233" s="244" t="s">
        <v>729</v>
      </c>
      <c r="I1233"/>
      <c r="J1233" s="4"/>
      <c r="K1233"/>
    </row>
    <row r="1234" spans="1:11" hidden="1">
      <c r="A1234" s="386"/>
      <c r="H1234" s="248" t="s">
        <v>1667</v>
      </c>
      <c r="I1234"/>
      <c r="J1234" s="4"/>
      <c r="K1234"/>
    </row>
    <row r="1235" spans="1:11" hidden="1">
      <c r="A1235" s="386"/>
      <c r="F1235" s="251">
        <v>0.24</v>
      </c>
      <c r="G1235" s="250" t="s">
        <v>884</v>
      </c>
      <c r="H1235" s="244" t="s">
        <v>1777</v>
      </c>
      <c r="I1235" s="8" t="e">
        <f>(C70)</f>
        <v>#REF!</v>
      </c>
      <c r="J1235" s="2" t="s">
        <v>884</v>
      </c>
      <c r="K1235" s="8" t="e">
        <f>(F1235*I1235)</f>
        <v>#REF!</v>
      </c>
    </row>
    <row r="1236" spans="1:11" hidden="1">
      <c r="A1236" s="386"/>
      <c r="F1236" s="363">
        <v>0.11700000000000001</v>
      </c>
      <c r="G1236" s="250" t="s">
        <v>876</v>
      </c>
      <c r="H1236" s="244" t="s">
        <v>877</v>
      </c>
      <c r="I1236" s="8">
        <f>(C67)</f>
        <v>3800</v>
      </c>
      <c r="J1236" s="2" t="s">
        <v>876</v>
      </c>
      <c r="K1236" s="8">
        <f>(F1236*I1236)</f>
        <v>444.6</v>
      </c>
    </row>
    <row r="1237" spans="1:11" hidden="1">
      <c r="A1237" s="386"/>
      <c r="F1237" s="251">
        <v>0.5</v>
      </c>
      <c r="G1237" s="250" t="s">
        <v>781</v>
      </c>
      <c r="H1237" s="244" t="s">
        <v>2082</v>
      </c>
      <c r="I1237" s="8">
        <f>(C10)</f>
        <v>150</v>
      </c>
      <c r="J1237" s="2" t="s">
        <v>781</v>
      </c>
      <c r="K1237" s="8">
        <f>(F1237*I1237)</f>
        <v>75</v>
      </c>
    </row>
    <row r="1238" spans="1:11" hidden="1">
      <c r="A1238" s="386"/>
      <c r="F1238" s="251">
        <v>1.1000000000000001</v>
      </c>
      <c r="G1238" s="250" t="s">
        <v>781</v>
      </c>
      <c r="H1238" s="244" t="s">
        <v>949</v>
      </c>
      <c r="I1238" s="8">
        <f>(C12)</f>
        <v>95</v>
      </c>
      <c r="J1238" s="2" t="s">
        <v>781</v>
      </c>
      <c r="K1238" s="8">
        <f>(F1238*I1238)</f>
        <v>104.5</v>
      </c>
    </row>
    <row r="1239" spans="1:11" hidden="1">
      <c r="A1239" s="386"/>
      <c r="F1239" s="251">
        <v>4.3</v>
      </c>
      <c r="G1239" s="250" t="s">
        <v>781</v>
      </c>
      <c r="H1239" s="244" t="s">
        <v>324</v>
      </c>
      <c r="I1239" s="8">
        <f>(C13)</f>
        <v>85</v>
      </c>
      <c r="J1239" s="2" t="s">
        <v>781</v>
      </c>
      <c r="K1239" s="8">
        <f>(F1239*I1239)</f>
        <v>365.5</v>
      </c>
    </row>
    <row r="1240" spans="1:11" hidden="1">
      <c r="A1240" s="386"/>
      <c r="G1240" s="250" t="s">
        <v>448</v>
      </c>
      <c r="H1240" s="244" t="s">
        <v>449</v>
      </c>
      <c r="I1240"/>
      <c r="J1240" s="2" t="s">
        <v>448</v>
      </c>
      <c r="K1240" s="8">
        <v>0</v>
      </c>
    </row>
    <row r="1241" spans="1:11" hidden="1">
      <c r="A1241" s="386"/>
      <c r="I1241"/>
      <c r="J1241" s="4"/>
      <c r="K1241" s="5" t="s">
        <v>1667</v>
      </c>
    </row>
    <row r="1242" spans="1:11" hidden="1">
      <c r="A1242" s="386"/>
      <c r="H1242" s="244" t="s">
        <v>440</v>
      </c>
      <c r="I1242"/>
      <c r="J1242" s="4"/>
      <c r="K1242" s="8" t="e">
        <f>SUM(K1235:K1240)</f>
        <v>#REF!</v>
      </c>
    </row>
    <row r="1243" spans="1:11" hidden="1">
      <c r="A1243" s="386"/>
      <c r="I1243"/>
      <c r="J1243" s="4"/>
      <c r="K1243" s="5" t="s">
        <v>1667</v>
      </c>
    </row>
    <row r="1244" spans="1:11" hidden="1">
      <c r="A1244" s="386"/>
      <c r="H1244" s="244" t="s">
        <v>555</v>
      </c>
      <c r="I1244"/>
      <c r="J1244" s="4"/>
      <c r="K1244" s="8" t="e">
        <f>(K1242/10)</f>
        <v>#REF!</v>
      </c>
    </row>
    <row r="1245" spans="1:11" hidden="1">
      <c r="A1245" s="386"/>
      <c r="F1245" s="244" t="s">
        <v>995</v>
      </c>
      <c r="I1245"/>
      <c r="J1245" s="4"/>
      <c r="K1245"/>
    </row>
    <row r="1246" spans="1:11" hidden="1">
      <c r="A1246" s="386"/>
      <c r="I1246"/>
      <c r="J1246" s="4"/>
      <c r="K1246" s="5" t="s">
        <v>2130</v>
      </c>
    </row>
    <row r="1247" spans="1:11" hidden="1">
      <c r="A1247" s="386"/>
      <c r="F1247" s="354" t="s">
        <v>2014</v>
      </c>
      <c r="G1247" s="250" t="s">
        <v>2338</v>
      </c>
      <c r="H1247" s="366" t="s">
        <v>730</v>
      </c>
      <c r="I1247"/>
      <c r="J1247" s="4"/>
      <c r="K1247"/>
    </row>
    <row r="1248" spans="1:11" hidden="1">
      <c r="A1248" s="386"/>
      <c r="H1248" s="244" t="s">
        <v>2015</v>
      </c>
      <c r="I1248"/>
      <c r="J1248" s="4"/>
      <c r="K1248"/>
    </row>
    <row r="1249" spans="1:11" hidden="1">
      <c r="A1249" s="386"/>
      <c r="H1249" s="244" t="s">
        <v>2016</v>
      </c>
      <c r="I1249"/>
      <c r="J1249" s="4"/>
      <c r="K1249"/>
    </row>
    <row r="1250" spans="1:11" hidden="1">
      <c r="A1250" s="386"/>
      <c r="H1250" s="244" t="s">
        <v>769</v>
      </c>
      <c r="I1250"/>
      <c r="J1250" s="4"/>
      <c r="K1250"/>
    </row>
    <row r="1251" spans="1:11" hidden="1">
      <c r="A1251" s="386"/>
      <c r="H1251" s="244" t="s">
        <v>761</v>
      </c>
      <c r="I1251"/>
      <c r="J1251" s="4"/>
      <c r="K1251"/>
    </row>
    <row r="1252" spans="1:11" hidden="1">
      <c r="A1252" s="386"/>
      <c r="H1252" s="248" t="s">
        <v>1667</v>
      </c>
      <c r="I1252"/>
      <c r="J1252" s="4"/>
      <c r="K1252"/>
    </row>
    <row r="1253" spans="1:11" hidden="1">
      <c r="A1253" s="386"/>
      <c r="F1253" s="251">
        <v>12.8</v>
      </c>
      <c r="G1253" s="250" t="s">
        <v>884</v>
      </c>
      <c r="H1253" s="244" t="s">
        <v>762</v>
      </c>
      <c r="I1253" s="8" t="e">
        <f>(C82)</f>
        <v>#REF!</v>
      </c>
      <c r="J1253" s="2" t="s">
        <v>884</v>
      </c>
      <c r="K1253" s="8" t="e">
        <f>(F1253*I1253)</f>
        <v>#REF!</v>
      </c>
    </row>
    <row r="1254" spans="1:11" hidden="1">
      <c r="A1254" s="386"/>
      <c r="F1254" s="251">
        <v>5</v>
      </c>
      <c r="G1254" s="250" t="s">
        <v>884</v>
      </c>
      <c r="H1254" s="244" t="s">
        <v>763</v>
      </c>
      <c r="I1254" s="8" t="e">
        <f>(C85)</f>
        <v>#REF!</v>
      </c>
      <c r="J1254" s="2" t="s">
        <v>884</v>
      </c>
      <c r="K1254" s="8" t="e">
        <f>(F1254*I1254)</f>
        <v>#REF!</v>
      </c>
    </row>
    <row r="1255" spans="1:11" hidden="1">
      <c r="A1255" s="386"/>
      <c r="F1255" s="251">
        <v>1.8</v>
      </c>
      <c r="G1255" s="250" t="s">
        <v>781</v>
      </c>
      <c r="H1255" s="244" t="s">
        <v>2082</v>
      </c>
      <c r="I1255" s="8">
        <f>(C10)</f>
        <v>150</v>
      </c>
      <c r="J1255" s="2" t="s">
        <v>781</v>
      </c>
      <c r="K1255" s="8">
        <f>(F1255*I1255)</f>
        <v>270</v>
      </c>
    </row>
    <row r="1256" spans="1:11" hidden="1">
      <c r="A1256" s="386"/>
      <c r="F1256" s="251">
        <v>17.7</v>
      </c>
      <c r="G1256" s="250" t="s">
        <v>781</v>
      </c>
      <c r="H1256" s="244" t="s">
        <v>949</v>
      </c>
      <c r="I1256" s="8">
        <f>(C12)</f>
        <v>95</v>
      </c>
      <c r="J1256" s="2" t="s">
        <v>781</v>
      </c>
      <c r="K1256" s="8">
        <f>(F1256*I1256)</f>
        <v>1681.5</v>
      </c>
    </row>
    <row r="1257" spans="1:11" hidden="1">
      <c r="A1257" s="386"/>
      <c r="F1257" s="251">
        <v>14.1</v>
      </c>
      <c r="G1257" s="250" t="s">
        <v>781</v>
      </c>
      <c r="H1257" s="244" t="s">
        <v>324</v>
      </c>
      <c r="I1257" s="8">
        <f>(C13)</f>
        <v>85</v>
      </c>
      <c r="J1257" s="2" t="s">
        <v>781</v>
      </c>
      <c r="K1257" s="8">
        <f>(F1257*I1257)</f>
        <v>1198.5</v>
      </c>
    </row>
    <row r="1258" spans="1:11" hidden="1">
      <c r="A1258" s="386"/>
      <c r="G1258" s="250" t="s">
        <v>448</v>
      </c>
      <c r="H1258" s="244" t="s">
        <v>449</v>
      </c>
      <c r="I1258"/>
      <c r="J1258" s="2" t="s">
        <v>448</v>
      </c>
      <c r="K1258" s="8">
        <v>0</v>
      </c>
    </row>
    <row r="1259" spans="1:11" hidden="1">
      <c r="A1259" s="386"/>
      <c r="I1259"/>
      <c r="J1259" s="4"/>
      <c r="K1259" s="5" t="s">
        <v>1667</v>
      </c>
    </row>
    <row r="1260" spans="1:11" hidden="1">
      <c r="A1260" s="386"/>
      <c r="H1260" s="244" t="s">
        <v>618</v>
      </c>
      <c r="I1260"/>
      <c r="J1260" s="4"/>
      <c r="K1260" s="8" t="e">
        <f>SUM(K1253:K1258)</f>
        <v>#REF!</v>
      </c>
    </row>
    <row r="1261" spans="1:11" hidden="1">
      <c r="A1261" s="386"/>
      <c r="I1261"/>
      <c r="J1261" s="4"/>
      <c r="K1261" s="5" t="s">
        <v>1667</v>
      </c>
    </row>
    <row r="1262" spans="1:11" hidden="1">
      <c r="A1262" s="386"/>
      <c r="H1262" s="244" t="s">
        <v>785</v>
      </c>
      <c r="I1262"/>
      <c r="J1262" s="4"/>
      <c r="K1262" s="8" t="e">
        <f>(K1260/10)</f>
        <v>#REF!</v>
      </c>
    </row>
    <row r="1263" spans="1:11" hidden="1">
      <c r="A1263" s="386"/>
      <c r="I1263"/>
      <c r="J1263" s="4"/>
      <c r="K1263" s="5" t="s">
        <v>2130</v>
      </c>
    </row>
    <row r="1264" spans="1:11" hidden="1">
      <c r="A1264" s="386"/>
      <c r="I1264"/>
      <c r="J1264" s="4"/>
      <c r="K1264"/>
    </row>
    <row r="1265" spans="1:11" hidden="1">
      <c r="A1265" s="386"/>
      <c r="G1265" s="250" t="s">
        <v>685</v>
      </c>
      <c r="H1265" s="244" t="s">
        <v>764</v>
      </c>
      <c r="I1265"/>
      <c r="J1265" s="4"/>
      <c r="K1265"/>
    </row>
    <row r="1266" spans="1:11" hidden="1">
      <c r="A1266" s="386"/>
      <c r="H1266" s="244" t="s">
        <v>765</v>
      </c>
      <c r="I1266"/>
      <c r="J1266" s="4"/>
      <c r="K1266"/>
    </row>
    <row r="1267" spans="1:11" hidden="1">
      <c r="A1267" s="386"/>
      <c r="H1267" s="248" t="s">
        <v>1667</v>
      </c>
      <c r="I1267"/>
      <c r="J1267" s="4"/>
      <c r="K1267"/>
    </row>
    <row r="1268" spans="1:11" hidden="1">
      <c r="A1268" s="386"/>
      <c r="F1268" s="251">
        <v>0.04</v>
      </c>
      <c r="G1268" s="250" t="s">
        <v>884</v>
      </c>
      <c r="H1268" s="244" t="s">
        <v>766</v>
      </c>
      <c r="I1268" s="8" t="e">
        <f>(K32)</f>
        <v>#REF!</v>
      </c>
      <c r="J1268" s="2" t="s">
        <v>884</v>
      </c>
      <c r="K1268" s="8" t="e">
        <f>(F1268*I1268)</f>
        <v>#REF!</v>
      </c>
    </row>
    <row r="1269" spans="1:11" hidden="1">
      <c r="A1269" s="386"/>
      <c r="F1269" s="251">
        <v>2.2000000000000002</v>
      </c>
      <c r="G1269" s="250" t="s">
        <v>781</v>
      </c>
      <c r="H1269" s="244" t="s">
        <v>1791</v>
      </c>
      <c r="I1269" s="8">
        <f>(C11)</f>
        <v>135</v>
      </c>
      <c r="J1269" s="2" t="s">
        <v>781</v>
      </c>
      <c r="K1269" s="8">
        <f>(F1269*I1269)</f>
        <v>297</v>
      </c>
    </row>
    <row r="1270" spans="1:11" hidden="1">
      <c r="A1270" s="386"/>
      <c r="F1270" s="251">
        <v>0.5</v>
      </c>
      <c r="G1270" s="250" t="s">
        <v>781</v>
      </c>
      <c r="H1270" s="244" t="s">
        <v>1979</v>
      </c>
      <c r="I1270" s="8">
        <f>(C12)</f>
        <v>95</v>
      </c>
      <c r="J1270" s="2" t="s">
        <v>781</v>
      </c>
      <c r="K1270" s="8">
        <f>(F1270*I1270)</f>
        <v>47.5</v>
      </c>
    </row>
    <row r="1271" spans="1:11" hidden="1">
      <c r="A1271" s="386"/>
      <c r="F1271" s="251">
        <v>1.1000000000000001</v>
      </c>
      <c r="G1271" s="250" t="s">
        <v>781</v>
      </c>
      <c r="H1271" s="244" t="s">
        <v>324</v>
      </c>
      <c r="I1271" s="8">
        <f>(C13)</f>
        <v>85</v>
      </c>
      <c r="J1271" s="2" t="s">
        <v>781</v>
      </c>
      <c r="K1271" s="8">
        <f>(F1271*I1271)</f>
        <v>93.5</v>
      </c>
    </row>
    <row r="1272" spans="1:11" hidden="1">
      <c r="A1272" s="386"/>
      <c r="G1272" s="250" t="s">
        <v>448</v>
      </c>
      <c r="H1272" s="244" t="s">
        <v>449</v>
      </c>
      <c r="I1272"/>
      <c r="J1272" s="2" t="s">
        <v>448</v>
      </c>
      <c r="K1272" s="8">
        <v>0</v>
      </c>
    </row>
    <row r="1273" spans="1:11" hidden="1">
      <c r="A1273" s="386"/>
      <c r="I1273"/>
      <c r="J1273" s="4"/>
      <c r="K1273" s="5" t="s">
        <v>1667</v>
      </c>
    </row>
    <row r="1274" spans="1:11" hidden="1">
      <c r="A1274" s="386"/>
      <c r="H1274" s="244" t="s">
        <v>440</v>
      </c>
      <c r="I1274"/>
      <c r="J1274" s="4"/>
      <c r="K1274" s="8" t="e">
        <f>SUM(K1268:K1272)</f>
        <v>#REF!</v>
      </c>
    </row>
    <row r="1275" spans="1:11" hidden="1">
      <c r="A1275" s="386"/>
      <c r="I1275"/>
      <c r="J1275" s="4"/>
      <c r="K1275" s="5" t="s">
        <v>1667</v>
      </c>
    </row>
    <row r="1276" spans="1:11" hidden="1">
      <c r="A1276" s="386"/>
      <c r="H1276" s="244" t="s">
        <v>555</v>
      </c>
      <c r="I1276"/>
      <c r="J1276" s="4"/>
      <c r="K1276" s="8" t="e">
        <f>(K1274/10)</f>
        <v>#REF!</v>
      </c>
    </row>
    <row r="1277" spans="1:11" hidden="1">
      <c r="A1277" s="386"/>
      <c r="I1277"/>
      <c r="J1277" s="4"/>
      <c r="K1277" s="5" t="s">
        <v>2130</v>
      </c>
    </row>
    <row r="1278" spans="1:11" hidden="1">
      <c r="A1278" s="386"/>
      <c r="I1278"/>
      <c r="J1278" s="4"/>
      <c r="K1278"/>
    </row>
    <row r="1279" spans="1:11" hidden="1">
      <c r="A1279" s="386"/>
      <c r="F1279" s="364">
        <v>32.1</v>
      </c>
      <c r="G1279" s="250" t="s">
        <v>2338</v>
      </c>
      <c r="H1279" s="244" t="s">
        <v>767</v>
      </c>
      <c r="I1279"/>
      <c r="J1279" s="4"/>
      <c r="K1279"/>
    </row>
    <row r="1280" spans="1:11" hidden="1">
      <c r="A1280" s="386"/>
      <c r="H1280" s="244" t="s">
        <v>1546</v>
      </c>
      <c r="I1280"/>
      <c r="J1280" s="4"/>
      <c r="K1280"/>
    </row>
    <row r="1281" spans="1:11" hidden="1">
      <c r="A1281" s="386"/>
      <c r="H1281" s="244" t="s">
        <v>693</v>
      </c>
      <c r="I1281"/>
      <c r="J1281" s="4"/>
      <c r="K1281"/>
    </row>
    <row r="1282" spans="1:11" hidden="1">
      <c r="A1282" s="386"/>
      <c r="H1282" s="244" t="s">
        <v>3297</v>
      </c>
      <c r="I1282"/>
      <c r="J1282" s="4"/>
      <c r="K1282"/>
    </row>
    <row r="1283" spans="1:11" hidden="1">
      <c r="A1283" s="386"/>
      <c r="H1283" s="244" t="s">
        <v>1351</v>
      </c>
      <c r="I1283"/>
      <c r="J1283" s="4"/>
      <c r="K1283"/>
    </row>
    <row r="1284" spans="1:11" hidden="1">
      <c r="A1284" s="386"/>
      <c r="H1284" s="248" t="s">
        <v>1667</v>
      </c>
      <c r="I1284"/>
      <c r="J1284" s="4"/>
      <c r="K1284"/>
    </row>
    <row r="1285" spans="1:11" hidden="1">
      <c r="A1285" s="386"/>
      <c r="F1285" s="251">
        <v>190</v>
      </c>
      <c r="G1285" s="250" t="s">
        <v>1950</v>
      </c>
      <c r="H1285" s="244" t="s">
        <v>2085</v>
      </c>
      <c r="I1285" s="8">
        <f>(C83)</f>
        <v>4500</v>
      </c>
      <c r="J1285" s="2" t="s">
        <v>1544</v>
      </c>
      <c r="K1285" s="8">
        <f>(F1285*I1285)/1000</f>
        <v>855</v>
      </c>
    </row>
    <row r="1286" spans="1:11" hidden="1">
      <c r="A1286" s="386"/>
      <c r="F1286" s="251">
        <v>0.12</v>
      </c>
      <c r="G1286" s="250" t="s">
        <v>884</v>
      </c>
      <c r="H1286" s="244" t="s">
        <v>1953</v>
      </c>
      <c r="I1286" s="8" t="e">
        <f>(K32)</f>
        <v>#REF!</v>
      </c>
      <c r="J1286" s="2" t="s">
        <v>884</v>
      </c>
      <c r="K1286" s="8" t="e">
        <f t="shared" ref="K1286:K1292" si="58">(F1286*I1286)</f>
        <v>#REF!</v>
      </c>
    </row>
    <row r="1287" spans="1:11" hidden="1">
      <c r="A1287" s="386"/>
      <c r="F1287" s="251">
        <v>10</v>
      </c>
      <c r="G1287" s="250" t="s">
        <v>611</v>
      </c>
      <c r="H1287" s="244" t="s">
        <v>1353</v>
      </c>
      <c r="I1287" s="8" t="e">
        <f>(K1276)</f>
        <v>#REF!</v>
      </c>
      <c r="J1287" s="2" t="s">
        <v>611</v>
      </c>
      <c r="K1287" s="8" t="e">
        <f t="shared" si="58"/>
        <v>#REF!</v>
      </c>
    </row>
    <row r="1288" spans="1:11" hidden="1">
      <c r="A1288" s="386"/>
      <c r="F1288" s="251">
        <v>1.54</v>
      </c>
      <c r="G1288" s="250" t="s">
        <v>1730</v>
      </c>
      <c r="H1288" s="244" t="s">
        <v>983</v>
      </c>
      <c r="I1288" s="8">
        <f>C631</f>
        <v>30</v>
      </c>
      <c r="J1288" s="2" t="s">
        <v>1730</v>
      </c>
      <c r="K1288" s="8">
        <f t="shared" si="58"/>
        <v>46.2</v>
      </c>
    </row>
    <row r="1289" spans="1:11" hidden="1">
      <c r="A1289" s="386"/>
      <c r="F1289" s="251">
        <v>1.1000000000000001</v>
      </c>
      <c r="G1289" s="250" t="s">
        <v>781</v>
      </c>
      <c r="H1289" s="244" t="s">
        <v>2082</v>
      </c>
      <c r="I1289" s="8">
        <f>(C10)</f>
        <v>150</v>
      </c>
      <c r="J1289" s="2" t="s">
        <v>781</v>
      </c>
      <c r="K1289" s="8">
        <f t="shared" si="58"/>
        <v>165</v>
      </c>
    </row>
    <row r="1290" spans="1:11" hidden="1">
      <c r="A1290" s="386"/>
      <c r="F1290" s="251">
        <v>2.1</v>
      </c>
      <c r="G1290" s="250" t="s">
        <v>781</v>
      </c>
      <c r="H1290" s="244" t="s">
        <v>1791</v>
      </c>
      <c r="I1290" s="8">
        <f>(C11)</f>
        <v>135</v>
      </c>
      <c r="J1290" s="2" t="s">
        <v>781</v>
      </c>
      <c r="K1290" s="8">
        <f t="shared" si="58"/>
        <v>283.5</v>
      </c>
    </row>
    <row r="1291" spans="1:11" hidden="1">
      <c r="A1291" s="386"/>
      <c r="F1291" s="251">
        <v>2.2000000000000002</v>
      </c>
      <c r="G1291" s="250" t="s">
        <v>781</v>
      </c>
      <c r="H1291" s="244" t="s">
        <v>1979</v>
      </c>
      <c r="I1291" s="8">
        <f>(C12)</f>
        <v>95</v>
      </c>
      <c r="J1291" s="2" t="s">
        <v>781</v>
      </c>
      <c r="K1291" s="8">
        <f t="shared" si="58"/>
        <v>209</v>
      </c>
    </row>
    <row r="1292" spans="1:11" hidden="1">
      <c r="A1292" s="386"/>
      <c r="F1292" s="251">
        <v>1.1000000000000001</v>
      </c>
      <c r="G1292" s="250" t="s">
        <v>781</v>
      </c>
      <c r="H1292" s="244" t="s">
        <v>324</v>
      </c>
      <c r="I1292" s="8">
        <f>(C13)</f>
        <v>85</v>
      </c>
      <c r="J1292" s="2" t="s">
        <v>781</v>
      </c>
      <c r="K1292" s="8">
        <f t="shared" si="58"/>
        <v>93.5</v>
      </c>
    </row>
    <row r="1293" spans="1:11" hidden="1">
      <c r="A1293" s="386"/>
      <c r="G1293" s="250" t="s">
        <v>448</v>
      </c>
      <c r="H1293" s="244" t="s">
        <v>449</v>
      </c>
      <c r="I1293"/>
      <c r="J1293" s="2" t="s">
        <v>448</v>
      </c>
      <c r="K1293" s="8">
        <v>0</v>
      </c>
    </row>
    <row r="1294" spans="1:11" hidden="1">
      <c r="A1294" s="386"/>
      <c r="I1294"/>
      <c r="J1294" s="4"/>
      <c r="K1294" s="5" t="s">
        <v>1667</v>
      </c>
    </row>
    <row r="1295" spans="1:11" hidden="1">
      <c r="A1295" s="386"/>
      <c r="H1295" s="244" t="s">
        <v>440</v>
      </c>
      <c r="I1295"/>
      <c r="J1295" s="4"/>
      <c r="K1295" s="8" t="e">
        <f>SUM(K1285:K1293)</f>
        <v>#REF!</v>
      </c>
    </row>
    <row r="1296" spans="1:11" hidden="1">
      <c r="A1296" s="386"/>
      <c r="I1296"/>
      <c r="J1296" s="4"/>
      <c r="K1296" s="5" t="s">
        <v>1667</v>
      </c>
    </row>
    <row r="1297" spans="1:11" hidden="1">
      <c r="A1297" s="386"/>
      <c r="H1297" s="244" t="s">
        <v>555</v>
      </c>
      <c r="I1297"/>
      <c r="J1297" s="4"/>
      <c r="K1297" s="8" t="e">
        <f>(K1295/10)</f>
        <v>#REF!</v>
      </c>
    </row>
    <row r="1298" spans="1:11" hidden="1">
      <c r="A1298" s="386"/>
      <c r="I1298"/>
      <c r="J1298" s="4"/>
      <c r="K1298" s="5" t="s">
        <v>2130</v>
      </c>
    </row>
    <row r="1299" spans="1:11" hidden="1">
      <c r="A1299" s="386"/>
      <c r="I1299"/>
      <c r="J1299" s="4"/>
      <c r="K1299" s="5"/>
    </row>
    <row r="1300" spans="1:11" hidden="1">
      <c r="A1300" s="386"/>
      <c r="I1300"/>
      <c r="J1300" s="4"/>
      <c r="K1300" s="5"/>
    </row>
    <row r="1301" spans="1:11" hidden="1">
      <c r="A1301" s="386"/>
      <c r="F1301" s="364">
        <v>32.200000000000003</v>
      </c>
      <c r="G1301" s="250" t="s">
        <v>2338</v>
      </c>
      <c r="H1301" s="244" t="s">
        <v>767</v>
      </c>
      <c r="I1301"/>
      <c r="J1301" s="4"/>
      <c r="K1301" s="5"/>
    </row>
    <row r="1302" spans="1:11" hidden="1">
      <c r="A1302" s="386"/>
      <c r="H1302" s="244" t="s">
        <v>1546</v>
      </c>
      <c r="I1302"/>
      <c r="J1302" s="4"/>
      <c r="K1302" s="5"/>
    </row>
    <row r="1303" spans="1:11" hidden="1">
      <c r="A1303" s="386"/>
      <c r="H1303" s="244" t="s">
        <v>693</v>
      </c>
      <c r="I1303"/>
      <c r="J1303" s="4"/>
      <c r="K1303" s="5"/>
    </row>
    <row r="1304" spans="1:11" hidden="1">
      <c r="A1304" s="386"/>
      <c r="H1304" s="244" t="s">
        <v>3297</v>
      </c>
      <c r="I1304"/>
      <c r="J1304" s="4"/>
      <c r="K1304" s="5"/>
    </row>
    <row r="1305" spans="1:11" hidden="1">
      <c r="A1305" s="386"/>
      <c r="H1305" s="244" t="s">
        <v>1351</v>
      </c>
      <c r="I1305"/>
      <c r="J1305" s="4"/>
      <c r="K1305" s="5"/>
    </row>
    <row r="1306" spans="1:11" hidden="1">
      <c r="A1306" s="386"/>
      <c r="H1306" s="248" t="s">
        <v>1667</v>
      </c>
      <c r="I1306"/>
      <c r="J1306" s="4"/>
      <c r="K1306" s="5"/>
    </row>
    <row r="1307" spans="1:11" hidden="1">
      <c r="A1307" s="386"/>
      <c r="F1307" s="251">
        <v>190</v>
      </c>
      <c r="G1307" s="250" t="s">
        <v>1950</v>
      </c>
      <c r="H1307" s="244" t="s">
        <v>1648</v>
      </c>
      <c r="I1307">
        <f>E83</f>
        <v>3550</v>
      </c>
      <c r="J1307" s="2" t="s">
        <v>1544</v>
      </c>
      <c r="K1307" s="8">
        <f>(F1307*I1307)/1000</f>
        <v>674.5</v>
      </c>
    </row>
    <row r="1308" spans="1:11" hidden="1">
      <c r="A1308" s="386"/>
      <c r="F1308" s="251">
        <v>0.12</v>
      </c>
      <c r="G1308" s="250" t="s">
        <v>884</v>
      </c>
      <c r="H1308" s="244" t="s">
        <v>1953</v>
      </c>
      <c r="I1308" t="e">
        <f>K32</f>
        <v>#REF!</v>
      </c>
      <c r="J1308" s="2" t="s">
        <v>884</v>
      </c>
      <c r="K1308" s="8" t="e">
        <f t="shared" ref="K1308:K1314" si="59">(F1308*I1308)</f>
        <v>#REF!</v>
      </c>
    </row>
    <row r="1309" spans="1:11" hidden="1">
      <c r="A1309" s="386"/>
      <c r="F1309" s="251">
        <v>10</v>
      </c>
      <c r="G1309" s="250" t="s">
        <v>611</v>
      </c>
      <c r="H1309" s="244" t="s">
        <v>1353</v>
      </c>
      <c r="I1309" t="e">
        <f>K1276</f>
        <v>#REF!</v>
      </c>
      <c r="J1309" s="2" t="s">
        <v>611</v>
      </c>
      <c r="K1309" s="8" t="e">
        <f t="shared" si="59"/>
        <v>#REF!</v>
      </c>
    </row>
    <row r="1310" spans="1:11" hidden="1">
      <c r="A1310" s="386"/>
      <c r="F1310" s="251">
        <v>5.8</v>
      </c>
      <c r="G1310" s="250" t="s">
        <v>1730</v>
      </c>
      <c r="H1310" s="244" t="s">
        <v>983</v>
      </c>
      <c r="I1310">
        <f>C631</f>
        <v>30</v>
      </c>
      <c r="J1310" s="2" t="s">
        <v>1730</v>
      </c>
      <c r="K1310" s="8">
        <f t="shared" si="59"/>
        <v>174</v>
      </c>
    </row>
    <row r="1311" spans="1:11" hidden="1">
      <c r="A1311" s="386"/>
      <c r="F1311" s="251">
        <v>1.1000000000000001</v>
      </c>
      <c r="G1311" s="250" t="s">
        <v>781</v>
      </c>
      <c r="H1311" s="244" t="s">
        <v>2082</v>
      </c>
      <c r="I1311">
        <f>C10</f>
        <v>150</v>
      </c>
      <c r="J1311" s="2" t="s">
        <v>781</v>
      </c>
      <c r="K1311" s="8">
        <f t="shared" si="59"/>
        <v>165</v>
      </c>
    </row>
    <row r="1312" spans="1:11" hidden="1">
      <c r="A1312" s="386"/>
      <c r="F1312" s="251">
        <v>2.1</v>
      </c>
      <c r="G1312" s="250" t="s">
        <v>781</v>
      </c>
      <c r="H1312" s="244" t="s">
        <v>1791</v>
      </c>
      <c r="I1312">
        <f>C11</f>
        <v>135</v>
      </c>
      <c r="J1312" s="2" t="s">
        <v>781</v>
      </c>
      <c r="K1312" s="8">
        <f t="shared" si="59"/>
        <v>283.5</v>
      </c>
    </row>
    <row r="1313" spans="1:11" hidden="1">
      <c r="A1313" s="386"/>
      <c r="F1313" s="251">
        <v>2.2000000000000002</v>
      </c>
      <c r="G1313" s="250" t="s">
        <v>781</v>
      </c>
      <c r="H1313" s="244" t="s">
        <v>1979</v>
      </c>
      <c r="I1313">
        <f>C12</f>
        <v>95</v>
      </c>
      <c r="J1313" s="2" t="s">
        <v>781</v>
      </c>
      <c r="K1313" s="8">
        <f t="shared" si="59"/>
        <v>209</v>
      </c>
    </row>
    <row r="1314" spans="1:11" hidden="1">
      <c r="A1314" s="386"/>
      <c r="F1314" s="251">
        <v>1.1000000000000001</v>
      </c>
      <c r="G1314" s="250" t="s">
        <v>781</v>
      </c>
      <c r="H1314" s="244" t="s">
        <v>324</v>
      </c>
      <c r="I1314">
        <f>C13</f>
        <v>85</v>
      </c>
      <c r="J1314" s="2" t="s">
        <v>781</v>
      </c>
      <c r="K1314" s="8">
        <f t="shared" si="59"/>
        <v>93.5</v>
      </c>
    </row>
    <row r="1315" spans="1:11" hidden="1">
      <c r="A1315" s="386"/>
      <c r="G1315" s="250" t="s">
        <v>448</v>
      </c>
      <c r="H1315" s="244" t="s">
        <v>449</v>
      </c>
      <c r="I1315"/>
      <c r="J1315" s="2" t="s">
        <v>448</v>
      </c>
      <c r="K1315" s="8">
        <v>0</v>
      </c>
    </row>
    <row r="1316" spans="1:11" hidden="1">
      <c r="A1316" s="386"/>
      <c r="I1316"/>
      <c r="J1316" s="4"/>
      <c r="K1316" s="5" t="s">
        <v>1667</v>
      </c>
    </row>
    <row r="1317" spans="1:11" hidden="1">
      <c r="A1317" s="386"/>
      <c r="H1317" s="244" t="s">
        <v>440</v>
      </c>
      <c r="I1317"/>
      <c r="J1317" s="4"/>
      <c r="K1317" s="8" t="e">
        <f>SUM(K1307:K1315)</f>
        <v>#REF!</v>
      </c>
    </row>
    <row r="1318" spans="1:11" hidden="1">
      <c r="A1318" s="386"/>
      <c r="I1318"/>
      <c r="J1318" s="4"/>
      <c r="K1318" s="5" t="s">
        <v>1667</v>
      </c>
    </row>
    <row r="1319" spans="1:11" hidden="1">
      <c r="A1319" s="386"/>
      <c r="H1319" s="244" t="s">
        <v>555</v>
      </c>
      <c r="I1319"/>
      <c r="J1319" s="4"/>
      <c r="K1319" s="8" t="e">
        <f>(K1317/10)</f>
        <v>#REF!</v>
      </c>
    </row>
    <row r="1320" spans="1:11" hidden="1">
      <c r="A1320" s="386"/>
      <c r="I1320"/>
      <c r="J1320" s="4"/>
      <c r="K1320" s="5" t="s">
        <v>2130</v>
      </c>
    </row>
    <row r="1321" spans="1:11" hidden="1">
      <c r="A1321" s="386"/>
      <c r="I1321"/>
      <c r="J1321" s="4"/>
      <c r="K1321" s="5"/>
    </row>
    <row r="1322" spans="1:11" hidden="1">
      <c r="A1322" s="386"/>
      <c r="F1322" s="354" t="s">
        <v>1354</v>
      </c>
      <c r="G1322" s="250" t="s">
        <v>2338</v>
      </c>
      <c r="H1322" s="244" t="s">
        <v>5</v>
      </c>
      <c r="I1322"/>
      <c r="J1322" s="4"/>
      <c r="K1322"/>
    </row>
    <row r="1323" spans="1:11" hidden="1">
      <c r="A1323" s="386"/>
      <c r="H1323" s="248" t="s">
        <v>1667</v>
      </c>
      <c r="I1323"/>
      <c r="J1323" s="4"/>
      <c r="K1323"/>
    </row>
    <row r="1324" spans="1:11" hidden="1">
      <c r="A1324" s="386"/>
      <c r="F1324" s="251">
        <v>0.14000000000000001</v>
      </c>
      <c r="G1324" s="250" t="s">
        <v>884</v>
      </c>
      <c r="H1324" s="244" t="s">
        <v>1710</v>
      </c>
      <c r="I1324" s="8" t="e">
        <f>(K49)</f>
        <v>#REF!</v>
      </c>
      <c r="J1324" s="2" t="s">
        <v>884</v>
      </c>
      <c r="K1324" s="8" t="e">
        <f>(F1324*I1324)</f>
        <v>#REF!</v>
      </c>
    </row>
    <row r="1325" spans="1:11" hidden="1">
      <c r="A1325" s="386"/>
      <c r="F1325" s="251">
        <v>1.1000000000000001</v>
      </c>
      <c r="G1325" s="250" t="s">
        <v>883</v>
      </c>
      <c r="H1325" s="244" t="s">
        <v>2082</v>
      </c>
      <c r="I1325" s="8">
        <f>(C10)</f>
        <v>150</v>
      </c>
      <c r="J1325" s="2" t="s">
        <v>883</v>
      </c>
      <c r="K1325" s="8">
        <f>(F1325*I1325)</f>
        <v>165</v>
      </c>
    </row>
    <row r="1326" spans="1:11" hidden="1">
      <c r="A1326" s="386"/>
      <c r="F1326" s="251">
        <v>0.5</v>
      </c>
      <c r="G1326" s="250" t="s">
        <v>883</v>
      </c>
      <c r="H1326" s="244" t="s">
        <v>1979</v>
      </c>
      <c r="I1326" s="8">
        <f>(C12)</f>
        <v>95</v>
      </c>
      <c r="J1326" s="2" t="s">
        <v>883</v>
      </c>
      <c r="K1326" s="8">
        <f>(F1326*I1326)</f>
        <v>47.5</v>
      </c>
    </row>
    <row r="1327" spans="1:11" hidden="1">
      <c r="A1327" s="386"/>
      <c r="F1327" s="251">
        <v>1.1000000000000001</v>
      </c>
      <c r="G1327" s="250" t="s">
        <v>883</v>
      </c>
      <c r="H1327" s="244" t="s">
        <v>324</v>
      </c>
      <c r="I1327" s="8">
        <f>(C13)</f>
        <v>85</v>
      </c>
      <c r="J1327" s="2" t="s">
        <v>883</v>
      </c>
      <c r="K1327" s="8">
        <f>(F1327*I1327)</f>
        <v>93.5</v>
      </c>
    </row>
    <row r="1328" spans="1:11" hidden="1">
      <c r="A1328" s="386"/>
      <c r="G1328" s="250" t="s">
        <v>448</v>
      </c>
      <c r="H1328" s="244" t="s">
        <v>449</v>
      </c>
      <c r="I1328" s="1" t="s">
        <v>995</v>
      </c>
      <c r="J1328" s="2" t="s">
        <v>448</v>
      </c>
      <c r="K1328" s="8">
        <v>0</v>
      </c>
    </row>
    <row r="1329" spans="1:11" hidden="1">
      <c r="A1329" s="386"/>
      <c r="I1329"/>
      <c r="J1329" s="4"/>
      <c r="K1329" s="5" t="s">
        <v>1667</v>
      </c>
    </row>
    <row r="1330" spans="1:11" hidden="1">
      <c r="A1330" s="386"/>
      <c r="H1330" s="244" t="s">
        <v>440</v>
      </c>
      <c r="I1330"/>
      <c r="J1330" s="4"/>
      <c r="K1330" s="8" t="e">
        <f>SUM(K1324:K1328)</f>
        <v>#REF!</v>
      </c>
    </row>
    <row r="1331" spans="1:11" hidden="1">
      <c r="A1331" s="386"/>
      <c r="I1331"/>
      <c r="J1331" s="4"/>
      <c r="K1331" s="5" t="s">
        <v>1667</v>
      </c>
    </row>
    <row r="1332" spans="1:11" hidden="1">
      <c r="A1332" s="386"/>
      <c r="H1332" s="244" t="s">
        <v>555</v>
      </c>
      <c r="I1332"/>
      <c r="J1332" s="4"/>
      <c r="K1332" s="8" t="e">
        <f>(K1330/10)</f>
        <v>#REF!</v>
      </c>
    </row>
    <row r="1333" spans="1:11" hidden="1">
      <c r="A1333" s="386"/>
      <c r="F1333" s="244" t="s">
        <v>995</v>
      </c>
      <c r="I1333"/>
      <c r="J1333" s="4"/>
      <c r="K1333"/>
    </row>
    <row r="1334" spans="1:11" hidden="1">
      <c r="A1334" s="386"/>
      <c r="I1334"/>
      <c r="J1334" s="4"/>
      <c r="K1334" s="5" t="s">
        <v>2130</v>
      </c>
    </row>
    <row r="1335" spans="1:11" hidden="1">
      <c r="A1335" s="386"/>
      <c r="F1335" s="354" t="s">
        <v>6</v>
      </c>
      <c r="G1335" s="250" t="s">
        <v>2338</v>
      </c>
      <c r="H1335" s="244" t="s">
        <v>7</v>
      </c>
      <c r="I1335"/>
      <c r="J1335" s="4"/>
      <c r="K1335"/>
    </row>
    <row r="1336" spans="1:11" hidden="1">
      <c r="A1336" s="386"/>
      <c r="H1336" s="248" t="s">
        <v>1667</v>
      </c>
      <c r="I1336"/>
      <c r="J1336" s="4"/>
      <c r="K1336"/>
    </row>
    <row r="1337" spans="1:11" hidden="1">
      <c r="A1337" s="386"/>
      <c r="F1337" s="251">
        <v>0.14000000000000001</v>
      </c>
      <c r="G1337" s="250" t="s">
        <v>884</v>
      </c>
      <c r="H1337" s="244" t="s">
        <v>1364</v>
      </c>
      <c r="I1337" s="8" t="e">
        <f>(K40)</f>
        <v>#REF!</v>
      </c>
      <c r="J1337" s="2" t="s">
        <v>884</v>
      </c>
      <c r="K1337" s="8" t="e">
        <f>(F1337*I1337)</f>
        <v>#REF!</v>
      </c>
    </row>
    <row r="1338" spans="1:11" hidden="1">
      <c r="A1338" s="386"/>
      <c r="F1338" s="251">
        <v>1.1000000000000001</v>
      </c>
      <c r="G1338" s="250" t="s">
        <v>883</v>
      </c>
      <c r="H1338" s="244" t="s">
        <v>2082</v>
      </c>
      <c r="I1338" s="8">
        <f>(C10)</f>
        <v>150</v>
      </c>
      <c r="J1338" s="2" t="s">
        <v>883</v>
      </c>
      <c r="K1338" s="8">
        <f>(F1338*I1338)</f>
        <v>165</v>
      </c>
    </row>
    <row r="1339" spans="1:11" hidden="1">
      <c r="A1339" s="386"/>
      <c r="F1339" s="251">
        <v>0.5</v>
      </c>
      <c r="G1339" s="250" t="s">
        <v>883</v>
      </c>
      <c r="H1339" s="244" t="s">
        <v>1979</v>
      </c>
      <c r="I1339" s="8">
        <f>(C12)</f>
        <v>95</v>
      </c>
      <c r="J1339" s="2" t="s">
        <v>883</v>
      </c>
      <c r="K1339" s="8">
        <f>(F1339*I1339)</f>
        <v>47.5</v>
      </c>
    </row>
    <row r="1340" spans="1:11" hidden="1">
      <c r="A1340" s="386"/>
      <c r="F1340" s="251">
        <v>1.1000000000000001</v>
      </c>
      <c r="G1340" s="250" t="s">
        <v>883</v>
      </c>
      <c r="H1340" s="244" t="s">
        <v>324</v>
      </c>
      <c r="I1340" s="8">
        <f>(C13)</f>
        <v>85</v>
      </c>
      <c r="J1340" s="2" t="s">
        <v>883</v>
      </c>
      <c r="K1340" s="8">
        <f>(F1340*I1340)</f>
        <v>93.5</v>
      </c>
    </row>
    <row r="1341" spans="1:11" hidden="1">
      <c r="A1341" s="386"/>
      <c r="G1341" s="250" t="s">
        <v>448</v>
      </c>
      <c r="H1341" s="244" t="s">
        <v>449</v>
      </c>
      <c r="I1341" s="1" t="s">
        <v>995</v>
      </c>
      <c r="J1341" s="2" t="s">
        <v>448</v>
      </c>
      <c r="K1341" s="8">
        <v>0</v>
      </c>
    </row>
    <row r="1342" spans="1:11" hidden="1">
      <c r="A1342" s="386"/>
      <c r="I1342"/>
      <c r="J1342" s="4"/>
      <c r="K1342" s="5" t="s">
        <v>1667</v>
      </c>
    </row>
    <row r="1343" spans="1:11" hidden="1">
      <c r="A1343" s="386"/>
      <c r="H1343" s="244" t="s">
        <v>440</v>
      </c>
      <c r="I1343"/>
      <c r="J1343" s="4"/>
      <c r="K1343" s="8" t="e">
        <f>SUM(K1337:K1341)</f>
        <v>#REF!</v>
      </c>
    </row>
    <row r="1344" spans="1:11" hidden="1">
      <c r="A1344" s="386"/>
      <c r="I1344"/>
      <c r="J1344" s="4"/>
      <c r="K1344" s="5" t="s">
        <v>1667</v>
      </c>
    </row>
    <row r="1345" spans="1:11" hidden="1">
      <c r="A1345" s="386"/>
      <c r="H1345" s="244" t="s">
        <v>555</v>
      </c>
      <c r="I1345"/>
      <c r="J1345" s="4"/>
      <c r="K1345" s="8" t="e">
        <f>(K1343/10)</f>
        <v>#REF!</v>
      </c>
    </row>
    <row r="1346" spans="1:11" hidden="1">
      <c r="A1346" s="386"/>
      <c r="I1346"/>
      <c r="J1346" s="4"/>
      <c r="K1346" s="5" t="s">
        <v>2130</v>
      </c>
    </row>
    <row r="1347" spans="1:11" hidden="1">
      <c r="A1347" s="386"/>
      <c r="F1347" s="354" t="s">
        <v>8</v>
      </c>
      <c r="G1347" s="250" t="s">
        <v>2338</v>
      </c>
      <c r="H1347" s="244" t="s">
        <v>9</v>
      </c>
      <c r="I1347"/>
      <c r="J1347" s="4"/>
      <c r="K1347"/>
    </row>
    <row r="1348" spans="1:11" hidden="1">
      <c r="A1348" s="386"/>
      <c r="H1348" s="248" t="s">
        <v>1667</v>
      </c>
      <c r="I1348"/>
      <c r="J1348" s="4"/>
      <c r="K1348"/>
    </row>
    <row r="1349" spans="1:11" hidden="1">
      <c r="A1349" s="386"/>
      <c r="F1349" s="251">
        <v>0.1</v>
      </c>
      <c r="G1349" s="250" t="s">
        <v>884</v>
      </c>
      <c r="H1349" s="244" t="s">
        <v>1414</v>
      </c>
      <c r="I1349" s="8" t="e">
        <f>(K32)</f>
        <v>#REF!</v>
      </c>
      <c r="J1349" s="2" t="s">
        <v>884</v>
      </c>
      <c r="K1349" s="8" t="e">
        <f>(F1349*I1349)</f>
        <v>#REF!</v>
      </c>
    </row>
    <row r="1350" spans="1:11" hidden="1">
      <c r="A1350" s="386"/>
      <c r="F1350" s="251">
        <v>1.1000000000000001</v>
      </c>
      <c r="G1350" s="250" t="s">
        <v>883</v>
      </c>
      <c r="H1350" s="244" t="s">
        <v>2082</v>
      </c>
      <c r="I1350" s="8">
        <f>(C10)</f>
        <v>150</v>
      </c>
      <c r="J1350" s="2" t="s">
        <v>883</v>
      </c>
      <c r="K1350" s="8">
        <f>(F1350*I1350)</f>
        <v>165</v>
      </c>
    </row>
    <row r="1351" spans="1:11" hidden="1">
      <c r="A1351" s="386"/>
      <c r="F1351" s="251">
        <v>1.1000000000000001</v>
      </c>
      <c r="G1351" s="250" t="s">
        <v>883</v>
      </c>
      <c r="H1351" s="244" t="s">
        <v>1979</v>
      </c>
      <c r="I1351" s="8">
        <f>(C12)</f>
        <v>95</v>
      </c>
      <c r="J1351" s="2" t="s">
        <v>883</v>
      </c>
      <c r="K1351" s="8">
        <f>(F1351*I1351)</f>
        <v>104.5</v>
      </c>
    </row>
    <row r="1352" spans="1:11" hidden="1">
      <c r="A1352" s="386"/>
      <c r="F1352" s="251">
        <v>1.1000000000000001</v>
      </c>
      <c r="G1352" s="250" t="s">
        <v>883</v>
      </c>
      <c r="H1352" s="244" t="s">
        <v>324</v>
      </c>
      <c r="I1352" s="8">
        <f>(C13)</f>
        <v>85</v>
      </c>
      <c r="J1352" s="2" t="s">
        <v>883</v>
      </c>
      <c r="K1352" s="8">
        <f>(F1352*I1352)</f>
        <v>93.5</v>
      </c>
    </row>
    <row r="1353" spans="1:11" hidden="1">
      <c r="A1353" s="386"/>
      <c r="G1353" s="250" t="s">
        <v>448</v>
      </c>
      <c r="H1353" s="244" t="s">
        <v>449</v>
      </c>
      <c r="I1353" s="1" t="s">
        <v>995</v>
      </c>
      <c r="J1353" s="2" t="s">
        <v>448</v>
      </c>
      <c r="K1353" s="8">
        <v>0</v>
      </c>
    </row>
    <row r="1354" spans="1:11" hidden="1">
      <c r="A1354" s="386"/>
      <c r="I1354"/>
      <c r="J1354" s="4"/>
      <c r="K1354" s="5" t="s">
        <v>1667</v>
      </c>
    </row>
    <row r="1355" spans="1:11" hidden="1">
      <c r="A1355" s="386"/>
      <c r="H1355" s="244" t="s">
        <v>440</v>
      </c>
      <c r="I1355"/>
      <c r="J1355" s="4"/>
      <c r="K1355" s="8" t="e">
        <f>SUM(K1349:K1353)</f>
        <v>#REF!</v>
      </c>
    </row>
    <row r="1356" spans="1:11" hidden="1">
      <c r="A1356" s="386"/>
      <c r="I1356"/>
      <c r="J1356" s="4"/>
      <c r="K1356" s="5" t="s">
        <v>1667</v>
      </c>
    </row>
    <row r="1357" spans="1:11" hidden="1">
      <c r="A1357" s="386"/>
      <c r="H1357" s="244" t="s">
        <v>555</v>
      </c>
      <c r="I1357"/>
      <c r="J1357" s="4"/>
      <c r="K1357" s="8" t="e">
        <f>(K1355/10)</f>
        <v>#REF!</v>
      </c>
    </row>
    <row r="1358" spans="1:11" hidden="1">
      <c r="A1358" s="386"/>
      <c r="I1358"/>
      <c r="J1358" s="4"/>
      <c r="K1358" s="5" t="s">
        <v>2130</v>
      </c>
    </row>
    <row r="1359" spans="1:11" hidden="1">
      <c r="A1359" s="386"/>
      <c r="I1359"/>
      <c r="J1359" s="4"/>
      <c r="K1359"/>
    </row>
    <row r="1360" spans="1:11" hidden="1">
      <c r="A1360" s="386"/>
      <c r="G1360" s="250" t="s">
        <v>2338</v>
      </c>
      <c r="H1360" s="244" t="s">
        <v>857</v>
      </c>
      <c r="I1360"/>
      <c r="J1360" s="4"/>
      <c r="K1360"/>
    </row>
    <row r="1361" spans="1:11" hidden="1">
      <c r="A1361" s="386"/>
      <c r="H1361" s="244" t="s">
        <v>858</v>
      </c>
      <c r="I1361"/>
      <c r="J1361" s="4"/>
      <c r="K1361"/>
    </row>
    <row r="1362" spans="1:11" hidden="1">
      <c r="A1362" s="386"/>
      <c r="H1362" s="244" t="s">
        <v>859</v>
      </c>
      <c r="I1362"/>
      <c r="J1362" s="4"/>
      <c r="K1362"/>
    </row>
    <row r="1363" spans="1:11" hidden="1">
      <c r="A1363" s="386"/>
      <c r="H1363" s="248" t="s">
        <v>1667</v>
      </c>
      <c r="I1363"/>
      <c r="J1363" s="4"/>
      <c r="K1363"/>
    </row>
    <row r="1364" spans="1:11" hidden="1">
      <c r="A1364" s="386"/>
      <c r="F1364" s="251">
        <v>0.14000000000000001</v>
      </c>
      <c r="G1364" s="250" t="s">
        <v>884</v>
      </c>
      <c r="H1364" s="244" t="s">
        <v>1414</v>
      </c>
      <c r="I1364" s="8" t="e">
        <f>(K32)</f>
        <v>#REF!</v>
      </c>
      <c r="J1364" s="2" t="s">
        <v>884</v>
      </c>
      <c r="K1364" s="8" t="e">
        <f>(F1364*I1364)</f>
        <v>#REF!</v>
      </c>
    </row>
    <row r="1365" spans="1:11" hidden="1">
      <c r="A1365" s="386"/>
      <c r="F1365" s="251">
        <v>1.1000000000000001</v>
      </c>
      <c r="G1365" s="250" t="s">
        <v>883</v>
      </c>
      <c r="H1365" s="244" t="s">
        <v>2082</v>
      </c>
      <c r="I1365" s="8">
        <f>(C10)</f>
        <v>150</v>
      </c>
      <c r="J1365" s="2" t="s">
        <v>883</v>
      </c>
      <c r="K1365" s="8">
        <f>(F1365*I1365)</f>
        <v>165</v>
      </c>
    </row>
    <row r="1366" spans="1:11" hidden="1">
      <c r="A1366" s="386"/>
      <c r="F1366" s="251">
        <v>0.5</v>
      </c>
      <c r="G1366" s="250" t="s">
        <v>883</v>
      </c>
      <c r="H1366" s="244" t="s">
        <v>1979</v>
      </c>
      <c r="I1366" s="8">
        <f>(C12)</f>
        <v>95</v>
      </c>
      <c r="J1366" s="2" t="s">
        <v>883</v>
      </c>
      <c r="K1366" s="8">
        <f>(F1366*I1366)</f>
        <v>47.5</v>
      </c>
    </row>
    <row r="1367" spans="1:11" hidden="1">
      <c r="A1367" s="386"/>
      <c r="F1367" s="251">
        <v>1.1000000000000001</v>
      </c>
      <c r="G1367" s="250" t="s">
        <v>883</v>
      </c>
      <c r="H1367" s="244" t="s">
        <v>324</v>
      </c>
      <c r="I1367" s="8">
        <f>(C13)</f>
        <v>85</v>
      </c>
      <c r="J1367" s="2" t="s">
        <v>883</v>
      </c>
      <c r="K1367" s="8">
        <f>(F1367*I1367)</f>
        <v>93.5</v>
      </c>
    </row>
    <row r="1368" spans="1:11" hidden="1">
      <c r="A1368" s="386"/>
      <c r="F1368" s="251">
        <v>2</v>
      </c>
      <c r="G1368" s="250" t="s">
        <v>1730</v>
      </c>
      <c r="H1368" s="244" t="s">
        <v>860</v>
      </c>
      <c r="I1368" s="8">
        <f>(C631)</f>
        <v>30</v>
      </c>
      <c r="J1368" s="2" t="s">
        <v>1730</v>
      </c>
      <c r="K1368" s="8">
        <f>(F1368*I1368)</f>
        <v>60</v>
      </c>
    </row>
    <row r="1369" spans="1:11" hidden="1">
      <c r="A1369" s="386"/>
      <c r="G1369" s="250" t="s">
        <v>448</v>
      </c>
      <c r="H1369" s="244" t="s">
        <v>449</v>
      </c>
      <c r="I1369" s="1" t="s">
        <v>995</v>
      </c>
      <c r="J1369" s="2" t="s">
        <v>448</v>
      </c>
      <c r="K1369" s="8">
        <v>0</v>
      </c>
    </row>
    <row r="1370" spans="1:11" hidden="1">
      <c r="A1370" s="386"/>
      <c r="I1370"/>
      <c r="J1370" s="4"/>
      <c r="K1370" s="5" t="s">
        <v>1667</v>
      </c>
    </row>
    <row r="1371" spans="1:11" hidden="1">
      <c r="A1371" s="386"/>
      <c r="F1371" s="244" t="s">
        <v>995</v>
      </c>
      <c r="H1371" s="244" t="s">
        <v>440</v>
      </c>
      <c r="I1371"/>
      <c r="J1371" s="4"/>
      <c r="K1371" s="8" t="e">
        <f>SUM(K1364:K1369)</f>
        <v>#REF!</v>
      </c>
    </row>
    <row r="1372" spans="1:11" hidden="1">
      <c r="A1372" s="386"/>
      <c r="I1372"/>
      <c r="J1372" s="4"/>
      <c r="K1372" s="5" t="s">
        <v>1667</v>
      </c>
    </row>
    <row r="1373" spans="1:11" hidden="1">
      <c r="A1373" s="386"/>
      <c r="H1373" s="244" t="s">
        <v>555</v>
      </c>
      <c r="I1373"/>
      <c r="J1373" s="4"/>
      <c r="K1373" s="8" t="e">
        <f>(K1371/10)</f>
        <v>#REF!</v>
      </c>
    </row>
    <row r="1374" spans="1:11" hidden="1">
      <c r="A1374" s="386"/>
      <c r="I1374"/>
      <c r="J1374" s="4"/>
      <c r="K1374" s="5" t="s">
        <v>2130</v>
      </c>
    </row>
    <row r="1375" spans="1:11" hidden="1">
      <c r="A1375" s="386"/>
      <c r="H1375" s="244" t="s">
        <v>995</v>
      </c>
      <c r="I1375"/>
      <c r="J1375" s="4"/>
      <c r="K1375"/>
    </row>
    <row r="1376" spans="1:11" hidden="1">
      <c r="A1376" s="386"/>
      <c r="I1376"/>
      <c r="J1376" s="4"/>
      <c r="K1376"/>
    </row>
    <row r="1377" spans="1:11" hidden="1">
      <c r="A1377" s="386"/>
      <c r="F1377" s="354" t="s">
        <v>861</v>
      </c>
      <c r="G1377" s="250" t="s">
        <v>2338</v>
      </c>
      <c r="H1377" s="244" t="s">
        <v>862</v>
      </c>
      <c r="I1377"/>
      <c r="J1377" s="4"/>
      <c r="K1377"/>
    </row>
    <row r="1378" spans="1:11" hidden="1">
      <c r="A1378" s="386"/>
      <c r="H1378" s="244" t="s">
        <v>1421</v>
      </c>
      <c r="I1378"/>
      <c r="J1378" s="4"/>
      <c r="K1378"/>
    </row>
    <row r="1379" spans="1:11" hidden="1">
      <c r="A1379" s="386"/>
      <c r="H1379" s="244" t="s">
        <v>1422</v>
      </c>
      <c r="I1379"/>
      <c r="J1379" s="4"/>
      <c r="K1379"/>
    </row>
    <row r="1380" spans="1:11" hidden="1">
      <c r="A1380" s="386"/>
      <c r="H1380" s="244" t="s">
        <v>706</v>
      </c>
      <c r="I1380"/>
      <c r="J1380" s="4"/>
      <c r="K1380"/>
    </row>
    <row r="1381" spans="1:11" hidden="1">
      <c r="A1381" s="386"/>
      <c r="H1381" s="248" t="s">
        <v>1667</v>
      </c>
      <c r="I1381" s="5" t="s">
        <v>1667</v>
      </c>
      <c r="J1381" s="4"/>
      <c r="K1381"/>
    </row>
    <row r="1382" spans="1:11" hidden="1">
      <c r="A1382" s="386"/>
      <c r="G1382" s="250" t="s">
        <v>1981</v>
      </c>
      <c r="H1382" s="244" t="s">
        <v>707</v>
      </c>
      <c r="I1382"/>
      <c r="J1382" s="4"/>
      <c r="K1382"/>
    </row>
    <row r="1383" spans="1:11" hidden="1">
      <c r="A1383" s="386"/>
      <c r="G1383" s="250" t="s">
        <v>1667</v>
      </c>
      <c r="H1383" s="248" t="s">
        <v>1667</v>
      </c>
      <c r="I1383"/>
      <c r="J1383" s="4"/>
      <c r="K1383"/>
    </row>
    <row r="1384" spans="1:11" hidden="1">
      <c r="A1384" s="386"/>
      <c r="F1384" s="374">
        <v>1.4E-2</v>
      </c>
      <c r="G1384" s="250" t="s">
        <v>2226</v>
      </c>
      <c r="H1384" s="244" t="s">
        <v>708</v>
      </c>
      <c r="I1384" s="8" t="e">
        <f>K49</f>
        <v>#REF!</v>
      </c>
      <c r="J1384" s="2" t="s">
        <v>2226</v>
      </c>
      <c r="K1384" s="8" t="e">
        <f>(F1384*I1384)</f>
        <v>#REF!</v>
      </c>
    </row>
    <row r="1385" spans="1:11" hidden="1">
      <c r="A1385" s="386"/>
      <c r="F1385" s="251">
        <v>0.3</v>
      </c>
      <c r="G1385" s="250" t="s">
        <v>563</v>
      </c>
      <c r="H1385" s="244" t="s">
        <v>709</v>
      </c>
      <c r="I1385" s="8">
        <f>C10</f>
        <v>150</v>
      </c>
      <c r="J1385" s="2" t="s">
        <v>563</v>
      </c>
      <c r="K1385" s="8">
        <f>(F1385*I1385)</f>
        <v>45</v>
      </c>
    </row>
    <row r="1386" spans="1:11" hidden="1">
      <c r="A1386" s="386"/>
      <c r="F1386" s="251">
        <v>0.3</v>
      </c>
      <c r="G1386" s="250" t="s">
        <v>563</v>
      </c>
      <c r="H1386" s="244" t="s">
        <v>838</v>
      </c>
      <c r="I1386" s="8">
        <f>C12</f>
        <v>95</v>
      </c>
      <c r="J1386" s="2" t="s">
        <v>563</v>
      </c>
      <c r="K1386" s="8">
        <f>(F1386*I1386)</f>
        <v>28.5</v>
      </c>
    </row>
    <row r="1387" spans="1:11" hidden="1">
      <c r="A1387" s="386"/>
      <c r="G1387" s="250" t="s">
        <v>448</v>
      </c>
      <c r="H1387" s="244" t="s">
        <v>2359</v>
      </c>
      <c r="I1387"/>
      <c r="J1387" s="2" t="s">
        <v>448</v>
      </c>
      <c r="K1387">
        <v>0</v>
      </c>
    </row>
    <row r="1388" spans="1:11" hidden="1">
      <c r="A1388" s="386"/>
      <c r="I1388"/>
      <c r="J1388" s="4"/>
      <c r="K1388" s="5" t="s">
        <v>1667</v>
      </c>
    </row>
    <row r="1389" spans="1:11" hidden="1">
      <c r="A1389" s="386"/>
      <c r="H1389" s="354" t="s">
        <v>710</v>
      </c>
      <c r="I1389"/>
      <c r="J1389" s="4"/>
      <c r="K1389" s="8" t="e">
        <f>SUM(K1384:K1387)</f>
        <v>#REF!</v>
      </c>
    </row>
    <row r="1390" spans="1:11" hidden="1">
      <c r="A1390" s="386"/>
      <c r="I1390"/>
      <c r="J1390" s="4"/>
      <c r="K1390" s="5" t="s">
        <v>1667</v>
      </c>
    </row>
    <row r="1391" spans="1:11" hidden="1">
      <c r="A1391" s="386"/>
      <c r="H1391" s="354" t="s">
        <v>711</v>
      </c>
      <c r="I1391"/>
      <c r="J1391" s="4"/>
      <c r="K1391" s="8" t="e">
        <f>K1389/6.77</f>
        <v>#REF!</v>
      </c>
    </row>
    <row r="1392" spans="1:11" hidden="1">
      <c r="A1392" s="386"/>
      <c r="F1392" s="244" t="s">
        <v>995</v>
      </c>
      <c r="I1392"/>
      <c r="J1392" s="4"/>
      <c r="K1392"/>
    </row>
    <row r="1393" spans="1:11" hidden="1">
      <c r="A1393" s="386"/>
      <c r="I1393"/>
      <c r="J1393" s="4"/>
      <c r="K1393" s="5" t="s">
        <v>2130</v>
      </c>
    </row>
    <row r="1394" spans="1:11" hidden="1">
      <c r="A1394" s="386"/>
      <c r="G1394" s="250" t="s">
        <v>519</v>
      </c>
      <c r="H1394" s="244" t="s">
        <v>712</v>
      </c>
      <c r="I1394"/>
      <c r="J1394" s="4"/>
      <c r="K1394"/>
    </row>
    <row r="1395" spans="1:11" hidden="1">
      <c r="A1395" s="386"/>
      <c r="G1395" s="250" t="s">
        <v>1667</v>
      </c>
      <c r="H1395" s="248" t="s">
        <v>1667</v>
      </c>
      <c r="I1395"/>
      <c r="J1395" s="4"/>
      <c r="K1395"/>
    </row>
    <row r="1396" spans="1:11" hidden="1">
      <c r="A1396" s="386"/>
      <c r="F1396" s="374">
        <v>7.0000000000000001E-3</v>
      </c>
      <c r="G1396" s="250" t="s">
        <v>2226</v>
      </c>
      <c r="H1396" s="244" t="s">
        <v>708</v>
      </c>
      <c r="I1396" s="8" t="e">
        <f>K49</f>
        <v>#REF!</v>
      </c>
      <c r="J1396" s="2" t="s">
        <v>2226</v>
      </c>
      <c r="K1396" s="8" t="e">
        <f>(F1396*I1396)</f>
        <v>#REF!</v>
      </c>
    </row>
    <row r="1397" spans="1:11" hidden="1">
      <c r="A1397" s="386"/>
      <c r="F1397" s="251">
        <v>0.2</v>
      </c>
      <c r="G1397" s="250" t="s">
        <v>563</v>
      </c>
      <c r="H1397" s="244" t="s">
        <v>709</v>
      </c>
      <c r="I1397" s="8">
        <f>C10</f>
        <v>150</v>
      </c>
      <c r="J1397" s="2" t="s">
        <v>563</v>
      </c>
      <c r="K1397" s="8">
        <f>(F1397*I1397)</f>
        <v>30</v>
      </c>
    </row>
    <row r="1398" spans="1:11" hidden="1">
      <c r="A1398" s="386"/>
      <c r="F1398" s="251">
        <v>0.2</v>
      </c>
      <c r="G1398" s="250" t="s">
        <v>563</v>
      </c>
      <c r="H1398" s="244" t="s">
        <v>838</v>
      </c>
      <c r="I1398" s="8">
        <f>C12</f>
        <v>95</v>
      </c>
      <c r="J1398" s="2" t="s">
        <v>563</v>
      </c>
      <c r="K1398" s="8">
        <f>(F1398*I1398)</f>
        <v>19</v>
      </c>
    </row>
    <row r="1399" spans="1:11" hidden="1">
      <c r="A1399" s="386"/>
      <c r="H1399" s="244" t="s">
        <v>2359</v>
      </c>
      <c r="I1399"/>
      <c r="J1399" s="4"/>
      <c r="K1399">
        <v>0</v>
      </c>
    </row>
    <row r="1400" spans="1:11" hidden="1">
      <c r="A1400" s="386"/>
      <c r="I1400"/>
      <c r="J1400" s="4"/>
      <c r="K1400" s="5" t="s">
        <v>1667</v>
      </c>
    </row>
    <row r="1401" spans="1:11" hidden="1">
      <c r="A1401" s="386"/>
      <c r="H1401" s="354" t="s">
        <v>710</v>
      </c>
      <c r="I1401"/>
      <c r="J1401" s="4"/>
      <c r="K1401" s="8" t="e">
        <f>SUM(K1396:K1399)</f>
        <v>#REF!</v>
      </c>
    </row>
    <row r="1402" spans="1:11" hidden="1">
      <c r="A1402" s="386"/>
      <c r="I1402"/>
      <c r="J1402" s="4"/>
      <c r="K1402" s="5" t="s">
        <v>1667</v>
      </c>
    </row>
    <row r="1403" spans="1:11" hidden="1">
      <c r="A1403" s="386"/>
      <c r="H1403" s="354" t="s">
        <v>711</v>
      </c>
      <c r="I1403"/>
      <c r="J1403" s="4"/>
      <c r="K1403" s="8" t="e">
        <f>K1401/6.77</f>
        <v>#REF!</v>
      </c>
    </row>
    <row r="1404" spans="1:11" hidden="1">
      <c r="A1404" s="386"/>
      <c r="I1404"/>
      <c r="J1404" s="4"/>
      <c r="K1404" s="5" t="s">
        <v>2130</v>
      </c>
    </row>
    <row r="1405" spans="1:11" hidden="1">
      <c r="A1405" s="386"/>
      <c r="I1405"/>
      <c r="J1405" s="4"/>
      <c r="K1405" s="5"/>
    </row>
    <row r="1406" spans="1:11" hidden="1">
      <c r="A1406" s="386"/>
      <c r="I1406"/>
      <c r="J1406" s="4"/>
      <c r="K1406" s="5"/>
    </row>
    <row r="1407" spans="1:11" hidden="1">
      <c r="A1407" s="386"/>
      <c r="G1407" s="250" t="s">
        <v>321</v>
      </c>
      <c r="H1407" s="244" t="s">
        <v>954</v>
      </c>
      <c r="I1407"/>
      <c r="J1407" s="4"/>
      <c r="K1407" s="5"/>
    </row>
    <row r="1408" spans="1:11" hidden="1">
      <c r="A1408" s="386"/>
      <c r="G1408" s="250" t="s">
        <v>1667</v>
      </c>
      <c r="H1408" s="248" t="s">
        <v>1667</v>
      </c>
      <c r="I1408"/>
      <c r="J1408" s="4"/>
      <c r="K1408" s="5"/>
    </row>
    <row r="1409" spans="1:11" hidden="1">
      <c r="A1409" s="386"/>
      <c r="F1409" s="374">
        <v>4.7000000000000002E-3</v>
      </c>
      <c r="G1409" s="250" t="s">
        <v>2226</v>
      </c>
      <c r="H1409" s="244" t="s">
        <v>708</v>
      </c>
      <c r="I1409" t="e">
        <f>K49</f>
        <v>#REF!</v>
      </c>
      <c r="J1409" s="2" t="s">
        <v>2226</v>
      </c>
      <c r="K1409" s="8" t="e">
        <f>(F1409*I1409)</f>
        <v>#REF!</v>
      </c>
    </row>
    <row r="1410" spans="1:11" hidden="1">
      <c r="A1410" s="386"/>
      <c r="F1410" s="251">
        <v>0.15</v>
      </c>
      <c r="G1410" s="250" t="s">
        <v>563</v>
      </c>
      <c r="H1410" s="244" t="s">
        <v>709</v>
      </c>
      <c r="I1410">
        <f>C10</f>
        <v>150</v>
      </c>
      <c r="J1410" s="2" t="s">
        <v>563</v>
      </c>
      <c r="K1410" s="8">
        <f>(F1410*I1410)</f>
        <v>22.5</v>
      </c>
    </row>
    <row r="1411" spans="1:11" hidden="1">
      <c r="A1411" s="386"/>
      <c r="F1411" s="251">
        <v>0.15</v>
      </c>
      <c r="G1411" s="250" t="s">
        <v>563</v>
      </c>
      <c r="H1411" s="244" t="s">
        <v>838</v>
      </c>
      <c r="I1411">
        <f>C12</f>
        <v>95</v>
      </c>
      <c r="J1411" s="2" t="s">
        <v>563</v>
      </c>
      <c r="K1411" s="8">
        <f>(F1411*I1411)</f>
        <v>14.25</v>
      </c>
    </row>
    <row r="1412" spans="1:11" hidden="1">
      <c r="A1412" s="386"/>
      <c r="H1412" s="244" t="s">
        <v>2359</v>
      </c>
      <c r="I1412"/>
      <c r="J1412" s="4"/>
      <c r="K1412">
        <v>0</v>
      </c>
    </row>
    <row r="1413" spans="1:11" hidden="1">
      <c r="A1413" s="386"/>
      <c r="I1413"/>
      <c r="J1413" s="4"/>
      <c r="K1413" s="5" t="s">
        <v>1667</v>
      </c>
    </row>
    <row r="1414" spans="1:11" hidden="1">
      <c r="A1414" s="386"/>
      <c r="H1414" s="354" t="s">
        <v>710</v>
      </c>
      <c r="I1414"/>
      <c r="J1414" s="4"/>
      <c r="K1414" s="8" t="e">
        <f>SUM(K1409:K1412)</f>
        <v>#REF!</v>
      </c>
    </row>
    <row r="1415" spans="1:11" hidden="1">
      <c r="A1415" s="386"/>
      <c r="I1415"/>
      <c r="J1415" s="4"/>
      <c r="K1415" s="5" t="s">
        <v>1667</v>
      </c>
    </row>
    <row r="1416" spans="1:11" hidden="1">
      <c r="A1416" s="386"/>
      <c r="H1416" s="354" t="s">
        <v>711</v>
      </c>
      <c r="I1416"/>
      <c r="J1416" s="4"/>
      <c r="K1416" s="8" t="e">
        <f>K1414/6.77</f>
        <v>#REF!</v>
      </c>
    </row>
    <row r="1417" spans="1:11" hidden="1">
      <c r="A1417" s="386"/>
      <c r="I1417"/>
      <c r="J1417" s="4"/>
      <c r="K1417" s="5" t="s">
        <v>2130</v>
      </c>
    </row>
    <row r="1418" spans="1:11" hidden="1">
      <c r="A1418" s="386"/>
      <c r="I1418"/>
      <c r="J1418" s="4"/>
      <c r="K1418" s="5"/>
    </row>
    <row r="1419" spans="1:11" hidden="1">
      <c r="A1419" s="386"/>
      <c r="F1419" s="364">
        <v>37.1</v>
      </c>
      <c r="G1419" s="250" t="s">
        <v>2338</v>
      </c>
      <c r="H1419" s="244" t="s">
        <v>394</v>
      </c>
      <c r="I1419"/>
      <c r="J1419" s="4"/>
      <c r="K1419"/>
    </row>
    <row r="1420" spans="1:11" hidden="1">
      <c r="A1420" s="386"/>
      <c r="H1420" s="248" t="s">
        <v>1667</v>
      </c>
      <c r="I1420"/>
      <c r="J1420" s="4"/>
      <c r="K1420"/>
    </row>
    <row r="1421" spans="1:11" hidden="1">
      <c r="A1421" s="386"/>
      <c r="F1421" s="251">
        <v>0.09</v>
      </c>
      <c r="G1421" s="250" t="s">
        <v>884</v>
      </c>
      <c r="H1421" s="244" t="s">
        <v>2077</v>
      </c>
      <c r="I1421" s="8">
        <f>(C84)</f>
        <v>773</v>
      </c>
      <c r="J1421" s="2" t="s">
        <v>884</v>
      </c>
      <c r="K1421" s="8">
        <f>(F1421*I1421)</f>
        <v>69.569999999999993</v>
      </c>
    </row>
    <row r="1422" spans="1:11" hidden="1">
      <c r="A1422" s="386"/>
      <c r="F1422" s="251">
        <v>2.2000000000000002</v>
      </c>
      <c r="G1422" s="250" t="s">
        <v>883</v>
      </c>
      <c r="H1422" s="244" t="s">
        <v>1791</v>
      </c>
      <c r="I1422" s="8">
        <f>(C11)</f>
        <v>135</v>
      </c>
      <c r="J1422" s="2" t="s">
        <v>883</v>
      </c>
      <c r="K1422" s="8">
        <f>(F1422*I1422)</f>
        <v>297</v>
      </c>
    </row>
    <row r="1423" spans="1:11" hidden="1">
      <c r="A1423" s="386"/>
      <c r="F1423" s="251">
        <v>0.5</v>
      </c>
      <c r="G1423" s="250" t="s">
        <v>883</v>
      </c>
      <c r="H1423" s="244" t="s">
        <v>1979</v>
      </c>
      <c r="I1423" s="8">
        <f>(C12)</f>
        <v>95</v>
      </c>
      <c r="J1423" s="2" t="s">
        <v>883</v>
      </c>
      <c r="K1423" s="8">
        <f>(F1423*I1423)</f>
        <v>47.5</v>
      </c>
    </row>
    <row r="1424" spans="1:11" hidden="1">
      <c r="A1424" s="386"/>
      <c r="F1424" s="251">
        <v>3.8</v>
      </c>
      <c r="G1424" s="250" t="s">
        <v>883</v>
      </c>
      <c r="H1424" s="244" t="s">
        <v>324</v>
      </c>
      <c r="I1424" s="8">
        <f>(C13)</f>
        <v>85</v>
      </c>
      <c r="J1424" s="2" t="s">
        <v>883</v>
      </c>
      <c r="K1424" s="8">
        <f>(F1424*I1424)</f>
        <v>323</v>
      </c>
    </row>
    <row r="1425" spans="1:11" hidden="1">
      <c r="A1425" s="386"/>
      <c r="G1425" s="250" t="s">
        <v>448</v>
      </c>
      <c r="H1425" s="244" t="s">
        <v>503</v>
      </c>
      <c r="I1425" s="1" t="s">
        <v>995</v>
      </c>
      <c r="J1425" s="2" t="s">
        <v>448</v>
      </c>
      <c r="K1425" s="8">
        <v>1.5</v>
      </c>
    </row>
    <row r="1426" spans="1:11" hidden="1">
      <c r="A1426" s="386"/>
      <c r="I1426"/>
      <c r="J1426" s="4"/>
      <c r="K1426" s="5" t="s">
        <v>1667</v>
      </c>
    </row>
    <row r="1427" spans="1:11" hidden="1">
      <c r="A1427" s="386"/>
      <c r="H1427" s="244" t="s">
        <v>1915</v>
      </c>
      <c r="I1427"/>
      <c r="J1427" s="4"/>
      <c r="K1427" s="8">
        <f>SUM(K1420:K1425)</f>
        <v>738.57</v>
      </c>
    </row>
    <row r="1428" spans="1:11" hidden="1">
      <c r="A1428" s="386"/>
      <c r="I1428"/>
      <c r="J1428" s="4"/>
      <c r="K1428" s="5" t="s">
        <v>1667</v>
      </c>
    </row>
    <row r="1429" spans="1:11" hidden="1">
      <c r="A1429" s="386"/>
      <c r="H1429" s="244" t="s">
        <v>555</v>
      </c>
      <c r="I1429"/>
      <c r="J1429" s="4"/>
      <c r="K1429" s="8">
        <f>(K1427/100)</f>
        <v>7.39</v>
      </c>
    </row>
    <row r="1430" spans="1:11" hidden="1">
      <c r="A1430" s="386"/>
      <c r="I1430"/>
      <c r="J1430" s="4"/>
      <c r="K1430" s="5" t="s">
        <v>2130</v>
      </c>
    </row>
    <row r="1431" spans="1:11" hidden="1">
      <c r="A1431" s="386"/>
      <c r="F1431" s="354" t="s">
        <v>863</v>
      </c>
      <c r="G1431" s="250" t="s">
        <v>2338</v>
      </c>
      <c r="H1431" s="244" t="s">
        <v>1019</v>
      </c>
      <c r="I1431"/>
      <c r="J1431" s="4"/>
      <c r="K1431"/>
    </row>
    <row r="1432" spans="1:11" hidden="1">
      <c r="A1432" s="386"/>
      <c r="H1432" s="244" t="s">
        <v>1020</v>
      </c>
      <c r="I1432"/>
      <c r="J1432" s="4"/>
      <c r="K1432"/>
    </row>
    <row r="1433" spans="1:11" hidden="1">
      <c r="A1433" s="386"/>
      <c r="H1433" s="244" t="s">
        <v>1021</v>
      </c>
      <c r="I1433"/>
      <c r="J1433" s="4"/>
      <c r="K1433"/>
    </row>
    <row r="1434" spans="1:11" hidden="1">
      <c r="A1434" s="386"/>
      <c r="H1434" s="244" t="s">
        <v>34</v>
      </c>
      <c r="I1434"/>
      <c r="J1434" s="4"/>
      <c r="K1434"/>
    </row>
    <row r="1435" spans="1:11" hidden="1">
      <c r="A1435" s="386"/>
      <c r="H1435" s="248" t="s">
        <v>1667</v>
      </c>
      <c r="I1435"/>
      <c r="J1435" s="4"/>
      <c r="K1435"/>
    </row>
    <row r="1436" spans="1:11" hidden="1">
      <c r="A1436" s="386"/>
      <c r="F1436" s="251">
        <v>4.8</v>
      </c>
      <c r="G1436" s="250" t="s">
        <v>1730</v>
      </c>
      <c r="H1436" s="244" t="s">
        <v>439</v>
      </c>
      <c r="I1436" s="8">
        <f>(C270)</f>
        <v>35</v>
      </c>
      <c r="J1436" s="2" t="s">
        <v>1730</v>
      </c>
      <c r="K1436" s="8">
        <f>(F1436*I1436)</f>
        <v>168</v>
      </c>
    </row>
    <row r="1437" spans="1:11" hidden="1">
      <c r="A1437" s="386"/>
      <c r="F1437" s="251">
        <v>0.75</v>
      </c>
      <c r="G1437" s="250" t="s">
        <v>883</v>
      </c>
      <c r="H1437" s="244" t="s">
        <v>35</v>
      </c>
      <c r="I1437" s="8">
        <f>(C14)</f>
        <v>120</v>
      </c>
      <c r="J1437" s="2" t="s">
        <v>883</v>
      </c>
      <c r="K1437" s="8">
        <f>(F1437*I1437)</f>
        <v>90</v>
      </c>
    </row>
    <row r="1438" spans="1:11" hidden="1">
      <c r="A1438" s="386"/>
      <c r="F1438" s="251">
        <v>0.75</v>
      </c>
      <c r="G1438" s="250" t="s">
        <v>883</v>
      </c>
      <c r="H1438" s="244" t="s">
        <v>949</v>
      </c>
      <c r="I1438" s="8">
        <f>(C12)</f>
        <v>95</v>
      </c>
      <c r="J1438" s="2" t="s">
        <v>883</v>
      </c>
      <c r="K1438" s="8">
        <f>(F1438*I1438)</f>
        <v>71.25</v>
      </c>
    </row>
    <row r="1439" spans="1:11" hidden="1">
      <c r="A1439" s="386"/>
      <c r="F1439" s="251">
        <v>1.2</v>
      </c>
      <c r="G1439" s="250" t="s">
        <v>883</v>
      </c>
      <c r="H1439" s="244" t="s">
        <v>324</v>
      </c>
      <c r="I1439" s="8">
        <f>(C13)</f>
        <v>85</v>
      </c>
      <c r="J1439" s="2" t="s">
        <v>883</v>
      </c>
      <c r="K1439" s="8">
        <f>(F1439*I1439)</f>
        <v>102</v>
      </c>
    </row>
    <row r="1440" spans="1:11" hidden="1">
      <c r="A1440" s="386"/>
      <c r="G1440" s="250" t="s">
        <v>448</v>
      </c>
      <c r="H1440" s="244" t="s">
        <v>1913</v>
      </c>
      <c r="I1440" s="1" t="s">
        <v>995</v>
      </c>
      <c r="J1440" s="2" t="s">
        <v>448</v>
      </c>
      <c r="K1440" s="8">
        <v>1.45</v>
      </c>
    </row>
    <row r="1441" spans="1:11" hidden="1">
      <c r="A1441" s="386"/>
      <c r="I1441"/>
      <c r="J1441" s="4"/>
      <c r="K1441" s="5" t="s">
        <v>1667</v>
      </c>
    </row>
    <row r="1442" spans="1:11" hidden="1">
      <c r="A1442" s="386"/>
      <c r="H1442" s="244" t="s">
        <v>440</v>
      </c>
      <c r="I1442"/>
      <c r="J1442" s="4"/>
      <c r="K1442" s="8">
        <f>SUM(K1436:K1440)</f>
        <v>432.7</v>
      </c>
    </row>
    <row r="1443" spans="1:11" hidden="1">
      <c r="A1443" s="386"/>
      <c r="I1443"/>
      <c r="J1443" s="4"/>
      <c r="K1443" s="5" t="s">
        <v>1667</v>
      </c>
    </row>
    <row r="1444" spans="1:11" hidden="1">
      <c r="A1444" s="386"/>
      <c r="H1444" s="244" t="s">
        <v>555</v>
      </c>
      <c r="I1444"/>
      <c r="J1444" s="4"/>
      <c r="K1444" s="8">
        <f>(K1442/10)</f>
        <v>43.27</v>
      </c>
    </row>
    <row r="1445" spans="1:11" hidden="1">
      <c r="A1445" s="386"/>
      <c r="I1445"/>
      <c r="J1445" s="4"/>
      <c r="K1445" s="5" t="s">
        <v>2130</v>
      </c>
    </row>
    <row r="1446" spans="1:11" hidden="1">
      <c r="A1446" s="386"/>
      <c r="F1446" s="354" t="s">
        <v>36</v>
      </c>
      <c r="G1446" s="250" t="s">
        <v>2338</v>
      </c>
      <c r="H1446" s="354" t="s">
        <v>37</v>
      </c>
      <c r="I1446"/>
      <c r="J1446" s="4"/>
      <c r="K1446"/>
    </row>
    <row r="1447" spans="1:11" hidden="1">
      <c r="A1447" s="386"/>
      <c r="H1447" s="354" t="s">
        <v>38</v>
      </c>
      <c r="I1447"/>
      <c r="J1447" s="4"/>
      <c r="K1447"/>
    </row>
    <row r="1448" spans="1:11" hidden="1">
      <c r="A1448" s="386"/>
      <c r="F1448" s="251">
        <v>3.08</v>
      </c>
      <c r="G1448" s="250" t="s">
        <v>1430</v>
      </c>
      <c r="H1448" s="244" t="s">
        <v>37</v>
      </c>
      <c r="I1448" s="8">
        <v>120</v>
      </c>
      <c r="J1448" s="2" t="s">
        <v>1430</v>
      </c>
      <c r="K1448" s="8">
        <f>(F1448*I1448)</f>
        <v>369.6</v>
      </c>
    </row>
    <row r="1449" spans="1:11" hidden="1">
      <c r="A1449" s="386"/>
      <c r="F1449" s="251">
        <v>0.5</v>
      </c>
      <c r="G1449" s="250" t="s">
        <v>563</v>
      </c>
      <c r="H1449" s="244" t="s">
        <v>1431</v>
      </c>
      <c r="I1449" s="8">
        <f>C14</f>
        <v>120</v>
      </c>
      <c r="J1449" s="2" t="s">
        <v>563</v>
      </c>
      <c r="K1449" s="8">
        <f>(F1449*I1449)</f>
        <v>60</v>
      </c>
    </row>
    <row r="1450" spans="1:11" hidden="1">
      <c r="A1450" s="386"/>
      <c r="F1450" s="251">
        <v>0.5</v>
      </c>
      <c r="G1450" s="250" t="s">
        <v>563</v>
      </c>
      <c r="H1450" s="244" t="s">
        <v>838</v>
      </c>
      <c r="I1450" s="8">
        <f>C12</f>
        <v>95</v>
      </c>
      <c r="J1450" s="2" t="s">
        <v>563</v>
      </c>
      <c r="K1450" s="8">
        <f>(F1450*I1450)</f>
        <v>47.5</v>
      </c>
    </row>
    <row r="1451" spans="1:11" hidden="1">
      <c r="A1451" s="386"/>
      <c r="F1451" s="251">
        <v>0.8</v>
      </c>
      <c r="G1451" s="250" t="s">
        <v>563</v>
      </c>
      <c r="H1451" s="244" t="s">
        <v>1432</v>
      </c>
      <c r="I1451" s="8">
        <f>C13</f>
        <v>85</v>
      </c>
      <c r="J1451" s="2" t="s">
        <v>563</v>
      </c>
      <c r="K1451" s="8">
        <f>(F1451*I1451)</f>
        <v>68</v>
      </c>
    </row>
    <row r="1452" spans="1:11" hidden="1">
      <c r="A1452" s="386"/>
      <c r="G1452" s="250" t="s">
        <v>448</v>
      </c>
      <c r="H1452" s="244" t="s">
        <v>1913</v>
      </c>
      <c r="I1452"/>
      <c r="J1452" s="2" t="s">
        <v>448</v>
      </c>
      <c r="K1452" s="8">
        <v>1.5</v>
      </c>
    </row>
    <row r="1453" spans="1:11" hidden="1">
      <c r="A1453" s="386"/>
      <c r="I1453"/>
      <c r="J1453" s="4"/>
      <c r="K1453"/>
    </row>
    <row r="1454" spans="1:11" hidden="1">
      <c r="A1454" s="386"/>
      <c r="I1454"/>
      <c r="J1454" s="4"/>
      <c r="K1454" s="5" t="s">
        <v>1667</v>
      </c>
    </row>
    <row r="1455" spans="1:11" hidden="1">
      <c r="A1455" s="386"/>
      <c r="H1455" s="354" t="s">
        <v>1433</v>
      </c>
      <c r="I1455"/>
      <c r="J1455" s="4"/>
      <c r="K1455" s="8">
        <f>SUM(K1448:K1452)</f>
        <v>546.6</v>
      </c>
    </row>
    <row r="1456" spans="1:11" hidden="1">
      <c r="A1456" s="386"/>
      <c r="I1456"/>
      <c r="J1456" s="4"/>
      <c r="K1456" s="5" t="s">
        <v>1667</v>
      </c>
    </row>
    <row r="1457" spans="1:11" hidden="1">
      <c r="A1457" s="386"/>
      <c r="F1457" s="244" t="s">
        <v>995</v>
      </c>
      <c r="G1457" s="250" t="s">
        <v>995</v>
      </c>
      <c r="H1457" s="354" t="s">
        <v>1779</v>
      </c>
      <c r="I1457" s="1" t="s">
        <v>995</v>
      </c>
      <c r="J1457" s="2" t="s">
        <v>995</v>
      </c>
      <c r="K1457" s="8">
        <f>K1455/10</f>
        <v>54.66</v>
      </c>
    </row>
    <row r="1458" spans="1:11" hidden="1">
      <c r="A1458" s="386"/>
      <c r="I1458"/>
      <c r="J1458" s="4"/>
      <c r="K1458" s="5" t="s">
        <v>2130</v>
      </c>
    </row>
    <row r="1459" spans="1:11" hidden="1">
      <c r="A1459" s="386"/>
      <c r="F1459" s="354" t="s">
        <v>1434</v>
      </c>
      <c r="G1459" s="250" t="s">
        <v>2338</v>
      </c>
      <c r="H1459" s="244" t="s">
        <v>1435</v>
      </c>
      <c r="I1459"/>
      <c r="J1459" s="4"/>
      <c r="K1459"/>
    </row>
    <row r="1460" spans="1:11" hidden="1">
      <c r="A1460" s="386"/>
      <c r="H1460" s="244" t="s">
        <v>1436</v>
      </c>
      <c r="I1460"/>
      <c r="J1460" s="4"/>
      <c r="K1460"/>
    </row>
    <row r="1461" spans="1:11" hidden="1">
      <c r="A1461" s="386"/>
      <c r="H1461" s="244" t="s">
        <v>1296</v>
      </c>
      <c r="I1461"/>
      <c r="J1461" s="4"/>
      <c r="K1461"/>
    </row>
    <row r="1462" spans="1:11" hidden="1">
      <c r="A1462" s="386"/>
      <c r="H1462" s="248" t="s">
        <v>1667</v>
      </c>
      <c r="I1462"/>
      <c r="J1462" s="4"/>
      <c r="K1462"/>
    </row>
    <row r="1463" spans="1:11" hidden="1">
      <c r="A1463" s="386"/>
      <c r="F1463" s="251">
        <v>1.44</v>
      </c>
      <c r="G1463" s="250" t="s">
        <v>1297</v>
      </c>
      <c r="H1463" s="244" t="s">
        <v>1228</v>
      </c>
      <c r="I1463" s="8">
        <f>(C195)</f>
        <v>100</v>
      </c>
      <c r="J1463" s="2" t="s">
        <v>1297</v>
      </c>
      <c r="K1463" s="8">
        <f>(F1463*I1463)</f>
        <v>144</v>
      </c>
    </row>
    <row r="1464" spans="1:11" hidden="1">
      <c r="A1464" s="386"/>
      <c r="F1464" s="251">
        <v>0.7</v>
      </c>
      <c r="G1464" s="250" t="s">
        <v>781</v>
      </c>
      <c r="H1464" s="244" t="s">
        <v>1229</v>
      </c>
      <c r="I1464" s="8">
        <f>(C14)</f>
        <v>120</v>
      </c>
      <c r="J1464" s="2" t="s">
        <v>781</v>
      </c>
      <c r="K1464" s="8">
        <f>(F1464*I1464)</f>
        <v>84</v>
      </c>
    </row>
    <row r="1465" spans="1:11" hidden="1">
      <c r="A1465" s="386"/>
      <c r="F1465" s="251">
        <v>2.5499999999999998</v>
      </c>
      <c r="G1465" s="250" t="s">
        <v>1297</v>
      </c>
      <c r="H1465" s="244" t="s">
        <v>1230</v>
      </c>
      <c r="I1465" s="8">
        <f>(C194)</f>
        <v>160</v>
      </c>
      <c r="J1465" s="2" t="s">
        <v>1297</v>
      </c>
      <c r="K1465" s="8">
        <f>(F1465*I1465)</f>
        <v>408</v>
      </c>
    </row>
    <row r="1466" spans="1:11" hidden="1">
      <c r="A1466" s="386"/>
      <c r="F1466" s="251">
        <v>1.2</v>
      </c>
      <c r="G1466" s="250" t="s">
        <v>781</v>
      </c>
      <c r="H1466" s="244" t="s">
        <v>1229</v>
      </c>
      <c r="I1466" s="8">
        <f>(C14)</f>
        <v>120</v>
      </c>
      <c r="J1466" s="2" t="s">
        <v>781</v>
      </c>
      <c r="K1466" s="8">
        <f>(F1466*I1466)</f>
        <v>144</v>
      </c>
    </row>
    <row r="1467" spans="1:11" hidden="1">
      <c r="A1467" s="386"/>
      <c r="G1467" s="250" t="s">
        <v>448</v>
      </c>
      <c r="H1467" s="244" t="s">
        <v>1231</v>
      </c>
      <c r="I1467" s="1" t="s">
        <v>995</v>
      </c>
      <c r="J1467" s="2" t="s">
        <v>448</v>
      </c>
      <c r="K1467" s="8">
        <v>1.5</v>
      </c>
    </row>
    <row r="1468" spans="1:11" hidden="1">
      <c r="A1468" s="386"/>
      <c r="I1468"/>
      <c r="J1468" s="4"/>
      <c r="K1468" s="5" t="s">
        <v>1667</v>
      </c>
    </row>
    <row r="1469" spans="1:11" hidden="1">
      <c r="A1469" s="386"/>
      <c r="H1469" s="244" t="s">
        <v>440</v>
      </c>
      <c r="I1469"/>
      <c r="J1469" s="4"/>
      <c r="K1469" s="8">
        <f>SUM(K1463:K1467)</f>
        <v>781.5</v>
      </c>
    </row>
    <row r="1470" spans="1:11" hidden="1">
      <c r="A1470" s="386"/>
      <c r="I1470"/>
      <c r="J1470" s="4"/>
      <c r="K1470" s="5" t="s">
        <v>1667</v>
      </c>
    </row>
    <row r="1471" spans="1:11" hidden="1">
      <c r="A1471" s="386"/>
      <c r="H1471" s="244" t="s">
        <v>555</v>
      </c>
      <c r="I1471"/>
      <c r="J1471" s="4"/>
      <c r="K1471" s="8">
        <f>(K1469/10)</f>
        <v>78.150000000000006</v>
      </c>
    </row>
    <row r="1472" spans="1:11" hidden="1">
      <c r="A1472" s="386"/>
      <c r="F1472" s="244" t="s">
        <v>995</v>
      </c>
      <c r="I1472"/>
      <c r="J1472" s="4"/>
      <c r="K1472"/>
    </row>
    <row r="1473" spans="1:11" hidden="1">
      <c r="A1473" s="386"/>
      <c r="I1473"/>
      <c r="J1473" s="4"/>
      <c r="K1473" s="5" t="s">
        <v>2130</v>
      </c>
    </row>
    <row r="1474" spans="1:11" hidden="1">
      <c r="A1474" s="386"/>
      <c r="F1474" s="360">
        <v>41</v>
      </c>
      <c r="G1474" s="250" t="s">
        <v>2338</v>
      </c>
      <c r="H1474" s="244" t="s">
        <v>1435</v>
      </c>
      <c r="I1474"/>
      <c r="J1474" s="4"/>
      <c r="K1474"/>
    </row>
    <row r="1475" spans="1:11" hidden="1">
      <c r="A1475" s="386"/>
      <c r="H1475" s="244" t="s">
        <v>1079</v>
      </c>
      <c r="I1475"/>
      <c r="J1475" s="4"/>
      <c r="K1475"/>
    </row>
    <row r="1476" spans="1:11" hidden="1">
      <c r="A1476" s="386"/>
      <c r="H1476" s="244" t="s">
        <v>1296</v>
      </c>
      <c r="I1476"/>
      <c r="J1476" s="4"/>
      <c r="K1476"/>
    </row>
    <row r="1477" spans="1:11" hidden="1">
      <c r="A1477" s="386"/>
      <c r="H1477" s="248" t="s">
        <v>1667</v>
      </c>
      <c r="I1477"/>
      <c r="J1477" s="4"/>
      <c r="K1477"/>
    </row>
    <row r="1478" spans="1:11" hidden="1">
      <c r="A1478" s="386"/>
      <c r="F1478" s="251">
        <v>2.2200000000000002</v>
      </c>
      <c r="G1478" s="250" t="s">
        <v>1297</v>
      </c>
      <c r="H1478" s="244" t="s">
        <v>1230</v>
      </c>
      <c r="I1478" s="8">
        <f>(C206)</f>
        <v>150</v>
      </c>
      <c r="J1478" s="2" t="s">
        <v>1297</v>
      </c>
      <c r="K1478" s="8">
        <f>(F1478*I1478)</f>
        <v>333</v>
      </c>
    </row>
    <row r="1479" spans="1:11" hidden="1">
      <c r="A1479" s="386"/>
      <c r="F1479" s="251">
        <v>1.1000000000000001</v>
      </c>
      <c r="G1479" s="250" t="s">
        <v>781</v>
      </c>
      <c r="H1479" s="244" t="s">
        <v>1229</v>
      </c>
      <c r="I1479" s="8">
        <f>(C14)</f>
        <v>120</v>
      </c>
      <c r="J1479" s="2" t="s">
        <v>781</v>
      </c>
      <c r="K1479" s="8">
        <f>(F1479*I1479)</f>
        <v>132</v>
      </c>
    </row>
    <row r="1480" spans="1:11" hidden="1">
      <c r="A1480" s="386"/>
      <c r="G1480" s="250" t="s">
        <v>448</v>
      </c>
      <c r="H1480" s="244" t="s">
        <v>1231</v>
      </c>
      <c r="I1480" s="1" t="s">
        <v>995</v>
      </c>
      <c r="J1480" s="2" t="s">
        <v>448</v>
      </c>
      <c r="K1480" s="8">
        <v>1.5</v>
      </c>
    </row>
    <row r="1481" spans="1:11" hidden="1">
      <c r="A1481" s="386"/>
      <c r="I1481"/>
      <c r="J1481" s="4"/>
      <c r="K1481" s="5" t="s">
        <v>1667</v>
      </c>
    </row>
    <row r="1482" spans="1:11" hidden="1">
      <c r="A1482" s="386"/>
      <c r="H1482" s="244" t="s">
        <v>440</v>
      </c>
      <c r="I1482"/>
      <c r="J1482" s="4"/>
      <c r="K1482" s="8">
        <f>SUM(K1478:K1480)</f>
        <v>466.5</v>
      </c>
    </row>
    <row r="1483" spans="1:11" hidden="1">
      <c r="A1483" s="386"/>
      <c r="I1483"/>
      <c r="J1483" s="4"/>
      <c r="K1483" s="5" t="s">
        <v>1667</v>
      </c>
    </row>
    <row r="1484" spans="1:11" hidden="1">
      <c r="A1484" s="386"/>
      <c r="H1484" s="244" t="s">
        <v>555</v>
      </c>
      <c r="I1484"/>
      <c r="J1484" s="4"/>
      <c r="K1484" s="8">
        <f>(K1482/10)</f>
        <v>46.65</v>
      </c>
    </row>
    <row r="1485" spans="1:11" hidden="1">
      <c r="A1485" s="386"/>
      <c r="H1485" s="244"/>
      <c r="I1485"/>
      <c r="J1485" s="4"/>
      <c r="K1485" s="8"/>
    </row>
    <row r="1486" spans="1:11" hidden="1">
      <c r="A1486" s="386"/>
      <c r="H1486" s="244"/>
      <c r="I1486"/>
      <c r="J1486" s="4"/>
      <c r="K1486" s="8"/>
    </row>
    <row r="1487" spans="1:11" hidden="1">
      <c r="A1487" s="386"/>
      <c r="F1487" s="360">
        <v>238</v>
      </c>
      <c r="G1487" s="250" t="s">
        <v>2338</v>
      </c>
      <c r="H1487" s="244" t="s">
        <v>588</v>
      </c>
      <c r="I1487"/>
      <c r="J1487" s="4"/>
      <c r="K1487"/>
    </row>
    <row r="1488" spans="1:11" hidden="1">
      <c r="A1488" s="386"/>
      <c r="H1488" s="244" t="s">
        <v>3298</v>
      </c>
      <c r="I1488"/>
      <c r="J1488" s="4"/>
      <c r="K1488"/>
    </row>
    <row r="1489" spans="1:11" hidden="1">
      <c r="A1489" s="386"/>
      <c r="H1489" s="248" t="s">
        <v>1667</v>
      </c>
      <c r="I1489"/>
      <c r="J1489" s="4"/>
      <c r="K1489"/>
    </row>
    <row r="1490" spans="1:11" hidden="1">
      <c r="A1490" s="386"/>
      <c r="F1490" s="251">
        <v>20</v>
      </c>
      <c r="G1490" s="250" t="s">
        <v>1297</v>
      </c>
      <c r="H1490" s="244" t="s">
        <v>589</v>
      </c>
      <c r="I1490" s="8">
        <f>D40</f>
        <v>105.45</v>
      </c>
      <c r="J1490" s="2" t="s">
        <v>1297</v>
      </c>
      <c r="K1490" s="8">
        <f>(F1490*I1490)</f>
        <v>2109</v>
      </c>
    </row>
    <row r="1491" spans="1:11" hidden="1">
      <c r="A1491" s="386"/>
      <c r="H1491" s="244" t="s">
        <v>590</v>
      </c>
      <c r="I1491"/>
      <c r="J1491" s="4"/>
      <c r="K1491" s="1" t="s">
        <v>995</v>
      </c>
    </row>
    <row r="1492" spans="1:11" hidden="1">
      <c r="A1492" s="386"/>
      <c r="F1492" s="251">
        <v>50</v>
      </c>
      <c r="G1492" s="250" t="s">
        <v>1730</v>
      </c>
      <c r="H1492" s="244" t="s">
        <v>877</v>
      </c>
      <c r="I1492" s="8">
        <f>C67/1000</f>
        <v>3.8</v>
      </c>
      <c r="J1492" s="2" t="s">
        <v>1730</v>
      </c>
      <c r="K1492" s="8">
        <f>(F1492*I1492)</f>
        <v>190</v>
      </c>
    </row>
    <row r="1493" spans="1:11" hidden="1">
      <c r="A1493" s="386"/>
      <c r="F1493" s="251">
        <v>1</v>
      </c>
      <c r="G1493" s="250" t="s">
        <v>448</v>
      </c>
      <c r="H1493" s="244" t="s">
        <v>591</v>
      </c>
      <c r="I1493" s="8">
        <v>75</v>
      </c>
      <c r="J1493" s="2" t="s">
        <v>448</v>
      </c>
      <c r="K1493" s="8">
        <f>(F1493*I1493)</f>
        <v>75</v>
      </c>
    </row>
    <row r="1494" spans="1:11" hidden="1">
      <c r="A1494" s="386"/>
      <c r="F1494" s="251">
        <v>1</v>
      </c>
      <c r="G1494" s="250" t="s">
        <v>448</v>
      </c>
      <c r="H1494" s="244" t="s">
        <v>592</v>
      </c>
      <c r="I1494" s="8">
        <f>C38</f>
        <v>40</v>
      </c>
      <c r="J1494" s="2" t="s">
        <v>448</v>
      </c>
      <c r="K1494" s="8">
        <f>(F1494*I1494)</f>
        <v>40</v>
      </c>
    </row>
    <row r="1495" spans="1:11" hidden="1">
      <c r="A1495" s="386"/>
      <c r="F1495" s="251">
        <v>2.5</v>
      </c>
      <c r="G1495" s="250" t="s">
        <v>448</v>
      </c>
      <c r="H1495" s="244" t="s">
        <v>593</v>
      </c>
      <c r="I1495" s="8">
        <f>D14</f>
        <v>110</v>
      </c>
      <c r="J1495" s="2" t="s">
        <v>448</v>
      </c>
      <c r="K1495" s="8">
        <f>(F1495*I1495)</f>
        <v>275</v>
      </c>
    </row>
    <row r="1496" spans="1:11" hidden="1">
      <c r="A1496" s="386"/>
      <c r="G1496" s="250" t="s">
        <v>448</v>
      </c>
      <c r="H1496" s="244" t="s">
        <v>504</v>
      </c>
      <c r="I1496"/>
      <c r="J1496" s="2" t="s">
        <v>448</v>
      </c>
      <c r="K1496" s="6">
        <v>1.5</v>
      </c>
    </row>
    <row r="1497" spans="1:11" hidden="1">
      <c r="A1497" s="386"/>
      <c r="I1497"/>
      <c r="J1497" s="4"/>
      <c r="K1497" s="5" t="s">
        <v>1667</v>
      </c>
    </row>
    <row r="1498" spans="1:11" hidden="1">
      <c r="A1498" s="386"/>
      <c r="H1498" s="244" t="s">
        <v>594</v>
      </c>
      <c r="I1498"/>
      <c r="J1498" s="4"/>
      <c r="K1498" s="8">
        <f>SUM(K1490:K1496)</f>
        <v>2690.5</v>
      </c>
    </row>
    <row r="1499" spans="1:11" hidden="1">
      <c r="A1499" s="386"/>
      <c r="H1499" s="244"/>
      <c r="I1499"/>
      <c r="J1499" s="4"/>
      <c r="K1499" s="5" t="s">
        <v>1667</v>
      </c>
    </row>
    <row r="1500" spans="1:11" hidden="1">
      <c r="A1500" s="386"/>
      <c r="I1500"/>
      <c r="J1500" s="4"/>
      <c r="K1500" s="5"/>
    </row>
    <row r="1501" spans="1:11" hidden="1">
      <c r="A1501" s="386"/>
      <c r="F1501" s="354" t="s">
        <v>1080</v>
      </c>
      <c r="G1501" s="250" t="s">
        <v>2338</v>
      </c>
      <c r="H1501" s="244" t="s">
        <v>554</v>
      </c>
      <c r="I1501"/>
      <c r="J1501" s="4"/>
      <c r="K1501"/>
    </row>
    <row r="1502" spans="1:11" hidden="1">
      <c r="A1502" s="386"/>
      <c r="H1502" s="244" t="s">
        <v>2208</v>
      </c>
      <c r="I1502"/>
      <c r="J1502" s="4"/>
      <c r="K1502"/>
    </row>
    <row r="1503" spans="1:11" hidden="1">
      <c r="A1503" s="386"/>
      <c r="H1503" s="248" t="s">
        <v>1667</v>
      </c>
      <c r="I1503"/>
      <c r="J1503" s="4"/>
      <c r="K1503"/>
    </row>
    <row r="1504" spans="1:11" hidden="1">
      <c r="A1504" s="386"/>
      <c r="F1504" s="251">
        <v>1</v>
      </c>
      <c r="G1504" s="250" t="s">
        <v>526</v>
      </c>
      <c r="H1504" s="244" t="s">
        <v>527</v>
      </c>
      <c r="I1504" s="8">
        <f>(C138)</f>
        <v>28000</v>
      </c>
      <c r="J1504" s="2" t="s">
        <v>528</v>
      </c>
      <c r="K1504" s="8">
        <f>(F1504*I1504)/10</f>
        <v>2800</v>
      </c>
    </row>
    <row r="1505" spans="1:15" hidden="1">
      <c r="A1505" s="386"/>
      <c r="F1505" s="363">
        <v>0.01</v>
      </c>
      <c r="G1505" s="250" t="s">
        <v>526</v>
      </c>
      <c r="H1505" s="244" t="s">
        <v>193</v>
      </c>
      <c r="I1505" s="8">
        <f>(C142)</f>
        <v>30000</v>
      </c>
      <c r="J1505" s="2" t="s">
        <v>528</v>
      </c>
      <c r="K1505" s="8">
        <f>(F1505*I1505)/10</f>
        <v>30</v>
      </c>
    </row>
    <row r="1506" spans="1:15" hidden="1">
      <c r="A1506" s="386"/>
      <c r="F1506" s="363">
        <v>3.5</v>
      </c>
      <c r="G1506" s="250" t="s">
        <v>781</v>
      </c>
      <c r="H1506" s="244" t="s">
        <v>529</v>
      </c>
      <c r="I1506" s="8">
        <f>(C17)</f>
        <v>130</v>
      </c>
      <c r="J1506" s="2" t="s">
        <v>1458</v>
      </c>
      <c r="K1506" s="8">
        <f>(F1506*I1506)</f>
        <v>455</v>
      </c>
      <c r="O1506" s="245">
        <f>92+18.4</f>
        <v>110.4</v>
      </c>
    </row>
    <row r="1507" spans="1:15" hidden="1">
      <c r="A1507" s="386"/>
      <c r="F1507" s="251">
        <v>1.3</v>
      </c>
      <c r="G1507" s="250" t="s">
        <v>1730</v>
      </c>
      <c r="H1507" s="244" t="s">
        <v>530</v>
      </c>
      <c r="I1507" s="8">
        <f>C67/1000</f>
        <v>3.8</v>
      </c>
      <c r="J1507" s="2" t="s">
        <v>1730</v>
      </c>
      <c r="K1507" s="8">
        <f>(F1507*I1507)</f>
        <v>4.9400000000000004</v>
      </c>
      <c r="O1507" s="245">
        <f>95+19</f>
        <v>114</v>
      </c>
    </row>
    <row r="1508" spans="1:15" hidden="1">
      <c r="A1508" s="386"/>
      <c r="F1508" s="251">
        <v>0.25</v>
      </c>
      <c r="G1508" s="250" t="s">
        <v>781</v>
      </c>
      <c r="H1508" s="244" t="s">
        <v>531</v>
      </c>
      <c r="I1508" s="8">
        <f>D14</f>
        <v>110</v>
      </c>
      <c r="J1508" s="2" t="s">
        <v>1458</v>
      </c>
      <c r="K1508" s="8">
        <f>(F1508*I1508)</f>
        <v>27.5</v>
      </c>
    </row>
    <row r="1509" spans="1:15" hidden="1">
      <c r="A1509" s="386"/>
      <c r="F1509" s="363"/>
      <c r="G1509" s="250" t="s">
        <v>448</v>
      </c>
      <c r="H1509" s="244" t="s">
        <v>449</v>
      </c>
      <c r="I1509"/>
      <c r="J1509" s="2" t="s">
        <v>448</v>
      </c>
      <c r="K1509" s="8">
        <f>(F1509*I1509)</f>
        <v>0</v>
      </c>
    </row>
    <row r="1510" spans="1:15" hidden="1">
      <c r="A1510" s="386"/>
      <c r="F1510" s="363"/>
      <c r="I1510"/>
      <c r="J1510" s="4"/>
      <c r="K1510" s="5" t="s">
        <v>1667</v>
      </c>
    </row>
    <row r="1511" spans="1:15" hidden="1">
      <c r="A1511" s="386"/>
      <c r="F1511" s="363"/>
      <c r="H1511" s="244" t="s">
        <v>532</v>
      </c>
      <c r="I1511"/>
      <c r="J1511" s="4"/>
      <c r="K1511" s="8">
        <f>SUM(K1504:K1509)</f>
        <v>3317.44</v>
      </c>
    </row>
    <row r="1512" spans="1:15" hidden="1">
      <c r="A1512" s="386"/>
      <c r="F1512" s="363"/>
      <c r="I1512"/>
      <c r="J1512" s="4"/>
      <c r="K1512" s="5" t="s">
        <v>1667</v>
      </c>
    </row>
    <row r="1513" spans="1:15" hidden="1">
      <c r="A1513" s="386"/>
      <c r="F1513" s="363"/>
      <c r="H1513" s="244" t="s">
        <v>533</v>
      </c>
      <c r="I1513"/>
      <c r="J1513" s="4"/>
      <c r="K1513" s="8">
        <f>(K1511*10)</f>
        <v>33174.400000000001</v>
      </c>
    </row>
    <row r="1514" spans="1:15" hidden="1">
      <c r="A1514" s="386"/>
      <c r="F1514" s="363"/>
      <c r="I1514"/>
      <c r="J1514" s="4"/>
      <c r="K1514" s="5" t="s">
        <v>2130</v>
      </c>
    </row>
    <row r="1515" spans="1:15" hidden="1">
      <c r="A1515" s="386"/>
      <c r="F1515" s="363"/>
      <c r="I1515"/>
      <c r="J1515" s="4"/>
      <c r="K1515" s="5"/>
    </row>
    <row r="1516" spans="1:15" hidden="1">
      <c r="A1516" s="386"/>
      <c r="F1516" s="363"/>
      <c r="H1516" s="391" t="s">
        <v>534</v>
      </c>
      <c r="I1516"/>
      <c r="J1516" s="4"/>
      <c r="K1516" s="5"/>
    </row>
    <row r="1517" spans="1:15" hidden="1">
      <c r="A1517" s="386"/>
      <c r="F1517" s="251">
        <v>1</v>
      </c>
      <c r="G1517" s="250" t="s">
        <v>526</v>
      </c>
      <c r="H1517" s="244" t="s">
        <v>535</v>
      </c>
      <c r="I1517">
        <f>C137</f>
        <v>26500</v>
      </c>
      <c r="J1517" s="2" t="s">
        <v>528</v>
      </c>
      <c r="K1517" s="8">
        <f>(F1517*I1517)/10</f>
        <v>2650</v>
      </c>
    </row>
    <row r="1518" spans="1:15" hidden="1">
      <c r="A1518" s="386"/>
      <c r="F1518" s="363">
        <v>0.01</v>
      </c>
      <c r="G1518" s="250" t="s">
        <v>526</v>
      </c>
      <c r="H1518" s="244" t="s">
        <v>193</v>
      </c>
      <c r="I1518">
        <f>C142</f>
        <v>30000</v>
      </c>
      <c r="J1518" s="2" t="s">
        <v>528</v>
      </c>
      <c r="K1518" s="8">
        <f>(F1518*I1518)/10</f>
        <v>30</v>
      </c>
    </row>
    <row r="1519" spans="1:15" hidden="1">
      <c r="A1519" s="386"/>
      <c r="F1519" s="363">
        <v>3.5</v>
      </c>
      <c r="G1519" s="250" t="s">
        <v>781</v>
      </c>
      <c r="H1519" s="244" t="s">
        <v>529</v>
      </c>
      <c r="I1519">
        <f>C17</f>
        <v>130</v>
      </c>
      <c r="J1519" s="2" t="s">
        <v>1458</v>
      </c>
      <c r="K1519" s="8">
        <f>(F1519*I1519)</f>
        <v>455</v>
      </c>
    </row>
    <row r="1520" spans="1:15" hidden="1">
      <c r="A1520" s="386"/>
      <c r="F1520" s="251">
        <v>1.3</v>
      </c>
      <c r="G1520" s="250" t="s">
        <v>1730</v>
      </c>
      <c r="H1520" s="244" t="s">
        <v>530</v>
      </c>
      <c r="I1520">
        <f>C67/1000</f>
        <v>3.8</v>
      </c>
      <c r="J1520" s="2" t="s">
        <v>1730</v>
      </c>
      <c r="K1520" s="8">
        <f>(F1520*I1520)</f>
        <v>4.9400000000000004</v>
      </c>
    </row>
    <row r="1521" spans="1:11" hidden="1">
      <c r="A1521" s="386"/>
      <c r="F1521" s="251">
        <v>0.25</v>
      </c>
      <c r="G1521" s="250" t="s">
        <v>781</v>
      </c>
      <c r="H1521" s="244" t="s">
        <v>531</v>
      </c>
      <c r="I1521">
        <f>D14</f>
        <v>110</v>
      </c>
      <c r="J1521" s="2" t="s">
        <v>1458</v>
      </c>
      <c r="K1521" s="8">
        <f>(F1521*I1521)</f>
        <v>27.5</v>
      </c>
    </row>
    <row r="1522" spans="1:11" hidden="1">
      <c r="A1522" s="386"/>
      <c r="F1522" s="363"/>
      <c r="G1522" s="250" t="s">
        <v>448</v>
      </c>
      <c r="H1522" s="244" t="s">
        <v>449</v>
      </c>
      <c r="I1522"/>
      <c r="J1522" s="2" t="s">
        <v>448</v>
      </c>
      <c r="K1522" s="8">
        <f>(F1522*I1522)</f>
        <v>0</v>
      </c>
    </row>
    <row r="1523" spans="1:11" hidden="1">
      <c r="A1523" s="386"/>
      <c r="F1523" s="363"/>
      <c r="I1523"/>
      <c r="J1523" s="4"/>
      <c r="K1523" s="5" t="s">
        <v>1667</v>
      </c>
    </row>
    <row r="1524" spans="1:11" hidden="1">
      <c r="A1524" s="386"/>
      <c r="F1524" s="363"/>
      <c r="H1524" s="244" t="s">
        <v>532</v>
      </c>
      <c r="I1524"/>
      <c r="J1524" s="4"/>
      <c r="K1524" s="8">
        <f>SUM(K1517:K1522)</f>
        <v>3167.44</v>
      </c>
    </row>
    <row r="1525" spans="1:11" hidden="1">
      <c r="A1525" s="386"/>
      <c r="F1525" s="363"/>
      <c r="I1525"/>
      <c r="J1525" s="4"/>
      <c r="K1525" s="5" t="s">
        <v>1667</v>
      </c>
    </row>
    <row r="1526" spans="1:11" hidden="1">
      <c r="A1526" s="386"/>
      <c r="F1526" s="363"/>
      <c r="H1526" s="244" t="s">
        <v>533</v>
      </c>
      <c r="I1526"/>
      <c r="J1526" s="4"/>
      <c r="K1526" s="8">
        <f>(K1524*10)</f>
        <v>31674.400000000001</v>
      </c>
    </row>
    <row r="1527" spans="1:11" hidden="1">
      <c r="A1527" s="386"/>
      <c r="F1527" s="363"/>
      <c r="I1527"/>
      <c r="J1527" s="4"/>
      <c r="K1527" s="5" t="s">
        <v>2130</v>
      </c>
    </row>
    <row r="1528" spans="1:11" hidden="1">
      <c r="A1528" s="386"/>
      <c r="F1528" s="363"/>
      <c r="H1528" s="244" t="s">
        <v>995</v>
      </c>
      <c r="I1528"/>
      <c r="J1528" s="4"/>
      <c r="K1528" s="1" t="s">
        <v>995</v>
      </c>
    </row>
    <row r="1529" spans="1:11" hidden="1">
      <c r="A1529" s="386"/>
      <c r="F1529" s="392" t="s">
        <v>536</v>
      </c>
      <c r="G1529" s="250" t="s">
        <v>1981</v>
      </c>
      <c r="H1529" s="244" t="s">
        <v>554</v>
      </c>
      <c r="I1529"/>
      <c r="J1529" s="4"/>
      <c r="K1529"/>
    </row>
    <row r="1530" spans="1:11" hidden="1">
      <c r="A1530" s="386"/>
      <c r="F1530" s="363"/>
      <c r="H1530" s="244" t="s">
        <v>537</v>
      </c>
      <c r="I1530"/>
      <c r="J1530" s="4"/>
      <c r="K1530"/>
    </row>
    <row r="1531" spans="1:11" hidden="1">
      <c r="A1531" s="386"/>
      <c r="F1531" s="363"/>
      <c r="H1531" s="248" t="s">
        <v>1667</v>
      </c>
      <c r="I1531"/>
      <c r="J1531" s="4"/>
      <c r="K1531"/>
    </row>
    <row r="1532" spans="1:11" hidden="1">
      <c r="A1532" s="386"/>
      <c r="F1532" s="251">
        <v>1</v>
      </c>
      <c r="G1532" s="250" t="s">
        <v>526</v>
      </c>
      <c r="H1532" s="244" t="s">
        <v>527</v>
      </c>
      <c r="I1532" s="8">
        <f>(C138)</f>
        <v>28000</v>
      </c>
      <c r="J1532" s="2" t="s">
        <v>528</v>
      </c>
      <c r="K1532" s="8">
        <f>(F1532*I1532)/10</f>
        <v>2800</v>
      </c>
    </row>
    <row r="1533" spans="1:11" hidden="1">
      <c r="A1533" s="386"/>
      <c r="F1533" s="363">
        <v>0.01</v>
      </c>
      <c r="G1533" s="250" t="s">
        <v>526</v>
      </c>
      <c r="H1533" s="244" t="s">
        <v>193</v>
      </c>
      <c r="I1533" s="8">
        <f>(C142)</f>
        <v>30000</v>
      </c>
      <c r="J1533" s="2" t="s">
        <v>528</v>
      </c>
      <c r="K1533" s="8">
        <f>(F1533*I1533)/10</f>
        <v>30</v>
      </c>
    </row>
    <row r="1534" spans="1:11" hidden="1">
      <c r="A1534" s="386"/>
      <c r="F1534" s="363">
        <v>3.5</v>
      </c>
      <c r="G1534" s="250" t="s">
        <v>781</v>
      </c>
      <c r="H1534" s="244" t="s">
        <v>529</v>
      </c>
      <c r="I1534" s="8">
        <f>(C17)</f>
        <v>130</v>
      </c>
      <c r="J1534" s="2" t="s">
        <v>781</v>
      </c>
      <c r="K1534" s="8">
        <f>(F1534*I1534)</f>
        <v>455</v>
      </c>
    </row>
    <row r="1535" spans="1:11" hidden="1">
      <c r="A1535" s="386"/>
      <c r="F1535" s="363"/>
      <c r="G1535" s="250" t="s">
        <v>448</v>
      </c>
      <c r="H1535" s="244" t="s">
        <v>449</v>
      </c>
      <c r="I1535"/>
      <c r="J1535" s="2" t="s">
        <v>448</v>
      </c>
      <c r="K1535" s="8">
        <v>0</v>
      </c>
    </row>
    <row r="1536" spans="1:11" hidden="1">
      <c r="A1536" s="386"/>
      <c r="I1536"/>
      <c r="J1536" s="4"/>
      <c r="K1536" s="5" t="s">
        <v>1667</v>
      </c>
    </row>
    <row r="1537" spans="1:11" hidden="1">
      <c r="A1537" s="386"/>
      <c r="H1537" s="244" t="s">
        <v>532</v>
      </c>
      <c r="I1537"/>
      <c r="J1537" s="4"/>
      <c r="K1537" s="8">
        <f>SUM(K1532:K1535)</f>
        <v>3285</v>
      </c>
    </row>
    <row r="1538" spans="1:11" hidden="1">
      <c r="A1538" s="386"/>
      <c r="I1538"/>
      <c r="J1538" s="4"/>
      <c r="K1538" s="5" t="s">
        <v>1667</v>
      </c>
    </row>
    <row r="1539" spans="1:11" hidden="1">
      <c r="A1539" s="386"/>
      <c r="H1539" s="244" t="s">
        <v>533</v>
      </c>
      <c r="I1539"/>
      <c r="J1539" s="4"/>
      <c r="K1539" s="8">
        <f>(K1537*10)</f>
        <v>32850</v>
      </c>
    </row>
    <row r="1540" spans="1:11" hidden="1">
      <c r="A1540" s="386"/>
      <c r="H1540" s="244" t="s">
        <v>995</v>
      </c>
      <c r="I1540"/>
      <c r="J1540" s="4"/>
      <c r="K1540" s="1" t="s">
        <v>995</v>
      </c>
    </row>
    <row r="1541" spans="1:11" hidden="1">
      <c r="A1541" s="386"/>
      <c r="G1541" s="243" t="s">
        <v>519</v>
      </c>
      <c r="H1541" s="244" t="s">
        <v>554</v>
      </c>
      <c r="I1541"/>
      <c r="J1541" s="4"/>
      <c r="K1541" s="1"/>
    </row>
    <row r="1542" spans="1:11" hidden="1">
      <c r="A1542" s="386"/>
      <c r="H1542" s="244" t="s">
        <v>1676</v>
      </c>
      <c r="I1542"/>
      <c r="J1542" s="4"/>
      <c r="K1542" s="1"/>
    </row>
    <row r="1543" spans="1:11" hidden="1">
      <c r="A1543" s="386"/>
      <c r="F1543" s="363"/>
      <c r="H1543" s="248" t="s">
        <v>1667</v>
      </c>
      <c r="I1543"/>
      <c r="J1543" s="4"/>
      <c r="K1543" s="1"/>
    </row>
    <row r="1544" spans="1:11" hidden="1">
      <c r="A1544" s="386"/>
      <c r="F1544" s="251">
        <v>1</v>
      </c>
      <c r="G1544" s="250" t="s">
        <v>526</v>
      </c>
      <c r="H1544" s="244" t="s">
        <v>535</v>
      </c>
      <c r="I1544">
        <f>C137</f>
        <v>26500</v>
      </c>
      <c r="J1544" s="2" t="s">
        <v>528</v>
      </c>
      <c r="K1544" s="8">
        <f>(F1544*I1544)/10</f>
        <v>2650</v>
      </c>
    </row>
    <row r="1545" spans="1:11" hidden="1">
      <c r="A1545" s="386"/>
      <c r="F1545" s="363">
        <v>0.01</v>
      </c>
      <c r="G1545" s="250" t="s">
        <v>526</v>
      </c>
      <c r="H1545" s="244" t="s">
        <v>193</v>
      </c>
      <c r="I1545">
        <f>C142</f>
        <v>30000</v>
      </c>
      <c r="J1545" s="2" t="s">
        <v>528</v>
      </c>
      <c r="K1545" s="8">
        <f>(F1545*I1545)/10</f>
        <v>30</v>
      </c>
    </row>
    <row r="1546" spans="1:11" hidden="1">
      <c r="A1546" s="386"/>
      <c r="F1546" s="363">
        <v>3.5</v>
      </c>
      <c r="G1546" s="250" t="s">
        <v>781</v>
      </c>
      <c r="H1546" s="244" t="s">
        <v>529</v>
      </c>
      <c r="I1546">
        <f>C17</f>
        <v>130</v>
      </c>
      <c r="J1546" s="2" t="s">
        <v>781</v>
      </c>
      <c r="K1546" s="8">
        <f>(F1546*I1546)</f>
        <v>455</v>
      </c>
    </row>
    <row r="1547" spans="1:11" hidden="1">
      <c r="A1547" s="386"/>
      <c r="F1547" s="363"/>
      <c r="G1547" s="250" t="s">
        <v>448</v>
      </c>
      <c r="H1547" s="244" t="s">
        <v>449</v>
      </c>
      <c r="I1547"/>
      <c r="J1547" s="2" t="s">
        <v>448</v>
      </c>
      <c r="K1547" s="8">
        <v>0</v>
      </c>
    </row>
    <row r="1548" spans="1:11" hidden="1">
      <c r="A1548" s="386"/>
      <c r="I1548"/>
      <c r="J1548" s="4"/>
      <c r="K1548" s="5" t="s">
        <v>1667</v>
      </c>
    </row>
    <row r="1549" spans="1:11" hidden="1">
      <c r="A1549" s="386"/>
      <c r="H1549" s="244" t="s">
        <v>532</v>
      </c>
      <c r="I1549"/>
      <c r="J1549" s="4"/>
      <c r="K1549" s="8">
        <f>SUM(K1544:K1547)</f>
        <v>3135</v>
      </c>
    </row>
    <row r="1550" spans="1:11" hidden="1">
      <c r="A1550" s="386"/>
      <c r="I1550"/>
      <c r="J1550" s="4"/>
      <c r="K1550" s="5" t="s">
        <v>1667</v>
      </c>
    </row>
    <row r="1551" spans="1:11" hidden="1">
      <c r="A1551" s="386"/>
      <c r="H1551" s="244" t="s">
        <v>533</v>
      </c>
      <c r="I1551"/>
      <c r="J1551" s="4"/>
      <c r="K1551" s="8">
        <f>(K1549*10)</f>
        <v>31350</v>
      </c>
    </row>
    <row r="1552" spans="1:11" hidden="1">
      <c r="A1552" s="386"/>
      <c r="H1552" s="244" t="s">
        <v>995</v>
      </c>
      <c r="I1552"/>
      <c r="J1552" s="4"/>
      <c r="K1552"/>
    </row>
    <row r="1553" spans="1:11" hidden="1">
      <c r="A1553" s="386"/>
      <c r="F1553" s="364">
        <v>44.1</v>
      </c>
      <c r="G1553" s="250" t="s">
        <v>2338</v>
      </c>
      <c r="H1553" s="244" t="s">
        <v>1677</v>
      </c>
      <c r="I1553"/>
      <c r="J1553" s="4"/>
      <c r="K1553"/>
    </row>
    <row r="1554" spans="1:11" hidden="1">
      <c r="A1554" s="386"/>
      <c r="H1554" s="244" t="s">
        <v>1678</v>
      </c>
      <c r="I1554"/>
      <c r="J1554" s="4"/>
      <c r="K1554"/>
    </row>
    <row r="1555" spans="1:11" hidden="1">
      <c r="A1555" s="386"/>
      <c r="H1555" s="244" t="s">
        <v>3299</v>
      </c>
      <c r="I1555"/>
      <c r="J1555" s="4"/>
      <c r="K1555"/>
    </row>
    <row r="1556" spans="1:11" hidden="1">
      <c r="A1556" s="386"/>
      <c r="H1556" s="248" t="s">
        <v>1667</v>
      </c>
      <c r="I1556"/>
      <c r="J1556" s="4"/>
      <c r="K1556"/>
    </row>
    <row r="1557" spans="1:11" hidden="1">
      <c r="A1557" s="386"/>
      <c r="F1557" s="251">
        <v>3</v>
      </c>
      <c r="G1557" s="250" t="s">
        <v>1854</v>
      </c>
      <c r="H1557" s="244" t="s">
        <v>2123</v>
      </c>
      <c r="I1557" s="8">
        <f>(C598)</f>
        <v>120</v>
      </c>
      <c r="J1557" s="2" t="s">
        <v>1854</v>
      </c>
      <c r="K1557" s="8">
        <f t="shared" ref="K1557:K1562" si="60">(F1557*I1557)</f>
        <v>360</v>
      </c>
    </row>
    <row r="1558" spans="1:11" hidden="1">
      <c r="A1558" s="386"/>
      <c r="F1558" s="251">
        <v>1</v>
      </c>
      <c r="G1558" s="250" t="s">
        <v>883</v>
      </c>
      <c r="H1558" s="244" t="s">
        <v>2172</v>
      </c>
      <c r="I1558" s="8">
        <f>(C601)</f>
        <v>65</v>
      </c>
      <c r="J1558" s="2" t="s">
        <v>883</v>
      </c>
      <c r="K1558" s="8">
        <f t="shared" si="60"/>
        <v>65</v>
      </c>
    </row>
    <row r="1559" spans="1:11" hidden="1">
      <c r="A1559" s="386"/>
      <c r="F1559" s="251">
        <v>1</v>
      </c>
      <c r="G1559" s="250" t="s">
        <v>883</v>
      </c>
      <c r="H1559" s="244" t="s">
        <v>2173</v>
      </c>
      <c r="I1559" s="8">
        <f>(C604)</f>
        <v>45</v>
      </c>
      <c r="J1559" s="2" t="s">
        <v>883</v>
      </c>
      <c r="K1559" s="8">
        <f t="shared" si="60"/>
        <v>45</v>
      </c>
    </row>
    <row r="1560" spans="1:11" hidden="1">
      <c r="A1560" s="386"/>
      <c r="F1560" s="251">
        <v>2</v>
      </c>
      <c r="G1560" s="250" t="s">
        <v>883</v>
      </c>
      <c r="H1560" s="244" t="s">
        <v>2174</v>
      </c>
      <c r="I1560" s="8">
        <f>C575</f>
        <v>16.440000000000001</v>
      </c>
      <c r="J1560" s="2" t="s">
        <v>883</v>
      </c>
      <c r="K1560" s="8">
        <f t="shared" si="60"/>
        <v>32.880000000000003</v>
      </c>
    </row>
    <row r="1561" spans="1:11" hidden="1">
      <c r="A1561" s="386"/>
      <c r="F1561" s="251">
        <v>1</v>
      </c>
      <c r="G1561" s="250" t="s">
        <v>883</v>
      </c>
      <c r="H1561" s="244" t="s">
        <v>2175</v>
      </c>
      <c r="I1561" s="8">
        <f>(C666)</f>
        <v>18</v>
      </c>
      <c r="J1561" s="2" t="s">
        <v>883</v>
      </c>
      <c r="K1561" s="8">
        <f t="shared" si="60"/>
        <v>18</v>
      </c>
    </row>
    <row r="1562" spans="1:11" hidden="1">
      <c r="A1562" s="386"/>
      <c r="F1562" s="251">
        <v>0.5</v>
      </c>
      <c r="G1562" s="250" t="s">
        <v>883</v>
      </c>
      <c r="H1562" s="244" t="s">
        <v>2176</v>
      </c>
      <c r="I1562" s="8">
        <f>(C15)</f>
        <v>130</v>
      </c>
      <c r="J1562" s="2" t="s">
        <v>883</v>
      </c>
      <c r="K1562" s="8">
        <f t="shared" si="60"/>
        <v>65</v>
      </c>
    </row>
    <row r="1563" spans="1:11" hidden="1">
      <c r="A1563" s="386"/>
      <c r="G1563" s="250" t="s">
        <v>448</v>
      </c>
      <c r="H1563" s="244" t="s">
        <v>607</v>
      </c>
      <c r="I1563"/>
      <c r="J1563" s="2" t="s">
        <v>448</v>
      </c>
      <c r="K1563" s="8">
        <v>0.75</v>
      </c>
    </row>
    <row r="1564" spans="1:11" hidden="1">
      <c r="A1564" s="386"/>
      <c r="H1564" s="244" t="s">
        <v>21</v>
      </c>
      <c r="I1564"/>
      <c r="J1564" s="4"/>
      <c r="K1564"/>
    </row>
    <row r="1565" spans="1:11" hidden="1">
      <c r="A1565" s="386"/>
      <c r="I1565"/>
      <c r="J1565" s="4"/>
      <c r="K1565" s="5" t="s">
        <v>1667</v>
      </c>
    </row>
    <row r="1566" spans="1:11" hidden="1">
      <c r="A1566" s="386"/>
      <c r="H1566" s="244" t="s">
        <v>1375</v>
      </c>
      <c r="I1566"/>
      <c r="J1566" s="4"/>
      <c r="K1566" s="8">
        <f>SUM(K1557:K1563)</f>
        <v>586.63</v>
      </c>
    </row>
    <row r="1567" spans="1:11" hidden="1">
      <c r="A1567" s="386"/>
      <c r="F1567" s="244" t="s">
        <v>995</v>
      </c>
      <c r="I1567"/>
      <c r="J1567" s="4"/>
      <c r="K1567"/>
    </row>
    <row r="1568" spans="1:11" hidden="1">
      <c r="A1568" s="386"/>
      <c r="I1568"/>
      <c r="J1568" s="4"/>
      <c r="K1568" s="5" t="s">
        <v>1667</v>
      </c>
    </row>
    <row r="1569" spans="1:11" hidden="1">
      <c r="A1569" s="386"/>
      <c r="H1569" s="244" t="s">
        <v>1622</v>
      </c>
      <c r="I1569"/>
      <c r="J1569" s="4"/>
      <c r="K1569" s="8">
        <f>(K1566/3)</f>
        <v>195.54</v>
      </c>
    </row>
    <row r="1570" spans="1:11" hidden="1">
      <c r="A1570" s="386"/>
      <c r="H1570" s="244"/>
      <c r="I1570"/>
      <c r="J1570" s="4"/>
      <c r="K1570" s="5" t="s">
        <v>2130</v>
      </c>
    </row>
    <row r="1571" spans="1:11" hidden="1">
      <c r="A1571" s="386"/>
      <c r="F1571" s="354" t="s">
        <v>1376</v>
      </c>
      <c r="H1571" s="244" t="s">
        <v>15</v>
      </c>
      <c r="I1571"/>
      <c r="J1571" s="4"/>
      <c r="K1571"/>
    </row>
    <row r="1572" spans="1:11" hidden="1">
      <c r="A1572" s="386"/>
      <c r="H1572" s="244" t="s">
        <v>16</v>
      </c>
      <c r="I1572"/>
      <c r="J1572" s="4"/>
      <c r="K1572"/>
    </row>
    <row r="1573" spans="1:11" hidden="1">
      <c r="A1573" s="386"/>
      <c r="H1573" s="244" t="s">
        <v>2112</v>
      </c>
      <c r="I1573"/>
      <c r="J1573" s="4"/>
      <c r="K1573"/>
    </row>
    <row r="1574" spans="1:11" hidden="1">
      <c r="A1574" s="386"/>
      <c r="H1574" s="248" t="s">
        <v>1667</v>
      </c>
      <c r="I1574"/>
      <c r="J1574" s="4"/>
      <c r="K1574"/>
    </row>
    <row r="1575" spans="1:11" hidden="1">
      <c r="A1575" s="386"/>
      <c r="F1575" s="251">
        <v>0.15</v>
      </c>
      <c r="G1575" s="250" t="s">
        <v>884</v>
      </c>
      <c r="H1575" s="244" t="s">
        <v>2113</v>
      </c>
      <c r="I1575" s="8" t="e">
        <f>(C70)</f>
        <v>#REF!</v>
      </c>
      <c r="J1575" s="2" t="s">
        <v>884</v>
      </c>
      <c r="K1575" s="8" t="e">
        <f>(F1575*I1575)</f>
        <v>#REF!</v>
      </c>
    </row>
    <row r="1576" spans="1:11" hidden="1">
      <c r="A1576" s="386"/>
      <c r="F1576" s="374">
        <v>8.6499999999999994E-2</v>
      </c>
      <c r="G1576" s="250" t="s">
        <v>876</v>
      </c>
      <c r="H1576" s="244" t="s">
        <v>877</v>
      </c>
      <c r="I1576" s="8">
        <f>(C67)</f>
        <v>3800</v>
      </c>
      <c r="J1576" s="2" t="s">
        <v>876</v>
      </c>
      <c r="K1576" s="8">
        <f>(F1576*I1576)</f>
        <v>328.7</v>
      </c>
    </row>
    <row r="1577" spans="1:11" hidden="1">
      <c r="A1577" s="386"/>
      <c r="F1577" s="251">
        <v>1.6</v>
      </c>
      <c r="G1577" s="250" t="s">
        <v>781</v>
      </c>
      <c r="H1577" s="244" t="s">
        <v>2082</v>
      </c>
      <c r="I1577" s="8">
        <f>(C10)</f>
        <v>150</v>
      </c>
      <c r="J1577" s="2" t="s">
        <v>781</v>
      </c>
      <c r="K1577" s="8">
        <f>(F1577*I1577)</f>
        <v>240</v>
      </c>
    </row>
    <row r="1578" spans="1:11" hidden="1">
      <c r="A1578" s="386"/>
      <c r="F1578" s="251">
        <v>0.5</v>
      </c>
      <c r="G1578" s="250" t="s">
        <v>781</v>
      </c>
      <c r="H1578" s="244" t="s">
        <v>1979</v>
      </c>
      <c r="I1578" s="8">
        <f>(C12)</f>
        <v>95</v>
      </c>
      <c r="J1578" s="2" t="s">
        <v>781</v>
      </c>
      <c r="K1578" s="8">
        <f>(F1578*I1578)</f>
        <v>47.5</v>
      </c>
    </row>
    <row r="1579" spans="1:11" hidden="1">
      <c r="A1579" s="386"/>
      <c r="F1579" s="251">
        <v>1.1000000000000001</v>
      </c>
      <c r="G1579" s="250" t="s">
        <v>781</v>
      </c>
      <c r="H1579" s="244" t="s">
        <v>324</v>
      </c>
      <c r="I1579" s="8">
        <f>(C13)</f>
        <v>85</v>
      </c>
      <c r="J1579" s="2" t="s">
        <v>781</v>
      </c>
      <c r="K1579" s="8">
        <f>(F1579*I1579)</f>
        <v>93.5</v>
      </c>
    </row>
    <row r="1580" spans="1:11" hidden="1">
      <c r="A1580" s="386"/>
      <c r="G1580" s="250" t="s">
        <v>448</v>
      </c>
      <c r="H1580" s="244" t="s">
        <v>449</v>
      </c>
      <c r="I1580" s="1" t="s">
        <v>995</v>
      </c>
      <c r="J1580" s="2" t="s">
        <v>448</v>
      </c>
      <c r="K1580" s="8">
        <v>0</v>
      </c>
    </row>
    <row r="1581" spans="1:11" hidden="1">
      <c r="A1581" s="386"/>
      <c r="I1581"/>
      <c r="J1581" s="4"/>
      <c r="K1581" s="5" t="s">
        <v>1667</v>
      </c>
    </row>
    <row r="1582" spans="1:11" hidden="1">
      <c r="A1582" s="386"/>
      <c r="H1582" s="244" t="s">
        <v>440</v>
      </c>
      <c r="I1582"/>
      <c r="J1582" s="4"/>
      <c r="K1582" s="8" t="e">
        <f>SUM(K1575:K1580)</f>
        <v>#REF!</v>
      </c>
    </row>
    <row r="1583" spans="1:11" hidden="1">
      <c r="A1583" s="386"/>
      <c r="I1583"/>
      <c r="J1583" s="4"/>
      <c r="K1583" s="5" t="s">
        <v>1667</v>
      </c>
    </row>
    <row r="1584" spans="1:11" hidden="1">
      <c r="A1584" s="386"/>
      <c r="H1584" s="244" t="s">
        <v>555</v>
      </c>
      <c r="I1584"/>
      <c r="J1584" s="4"/>
      <c r="K1584" s="8" t="e">
        <f>(K1582/10)</f>
        <v>#REF!</v>
      </c>
    </row>
    <row r="1585" spans="1:11" hidden="1">
      <c r="A1585" s="386"/>
      <c r="I1585"/>
      <c r="J1585" s="4"/>
      <c r="K1585" s="5" t="s">
        <v>2130</v>
      </c>
    </row>
    <row r="1586" spans="1:11" hidden="1">
      <c r="A1586" s="386"/>
      <c r="F1586" s="354" t="s">
        <v>2114</v>
      </c>
      <c r="G1586" s="250" t="s">
        <v>2338</v>
      </c>
      <c r="H1586" s="244" t="s">
        <v>2115</v>
      </c>
      <c r="I1586"/>
      <c r="J1586" s="4"/>
      <c r="K1586"/>
    </row>
    <row r="1587" spans="1:11" hidden="1">
      <c r="A1587" s="386"/>
      <c r="H1587" s="244" t="s">
        <v>1269</v>
      </c>
      <c r="I1587"/>
      <c r="J1587" s="4"/>
      <c r="K1587"/>
    </row>
    <row r="1588" spans="1:11" hidden="1">
      <c r="A1588" s="386"/>
      <c r="H1588" s="244" t="s">
        <v>1270</v>
      </c>
      <c r="I1588"/>
      <c r="J1588" s="2" t="s">
        <v>995</v>
      </c>
      <c r="K1588"/>
    </row>
    <row r="1589" spans="1:11" hidden="1">
      <c r="A1589" s="386"/>
      <c r="H1589" s="244" t="s">
        <v>1145</v>
      </c>
      <c r="I1589"/>
      <c r="J1589" s="4"/>
      <c r="K1589"/>
    </row>
    <row r="1590" spans="1:11" hidden="1">
      <c r="A1590" s="386"/>
      <c r="H1590" s="244" t="s">
        <v>1053</v>
      </c>
      <c r="I1590"/>
      <c r="J1590" s="4"/>
      <c r="K1590"/>
    </row>
    <row r="1591" spans="1:11" hidden="1">
      <c r="A1591" s="386"/>
      <c r="H1591" s="244" t="s">
        <v>1890</v>
      </c>
      <c r="I1591"/>
      <c r="J1591" s="4"/>
      <c r="K1591"/>
    </row>
    <row r="1592" spans="1:11" hidden="1">
      <c r="A1592" s="386"/>
      <c r="H1592" s="244" t="s">
        <v>280</v>
      </c>
      <c r="I1592"/>
      <c r="J1592" s="4"/>
      <c r="K1592"/>
    </row>
    <row r="1593" spans="1:11" hidden="1">
      <c r="A1593" s="386"/>
      <c r="H1593" s="244" t="s">
        <v>281</v>
      </c>
      <c r="I1593"/>
      <c r="J1593" s="4"/>
      <c r="K1593"/>
    </row>
    <row r="1594" spans="1:11" hidden="1">
      <c r="A1594" s="386"/>
      <c r="H1594" s="244" t="s">
        <v>282</v>
      </c>
      <c r="I1594"/>
      <c r="J1594" s="4"/>
      <c r="K1594"/>
    </row>
    <row r="1595" spans="1:11" hidden="1">
      <c r="A1595" s="386"/>
      <c r="H1595" s="248" t="s">
        <v>2130</v>
      </c>
      <c r="I1595"/>
      <c r="J1595" s="4"/>
      <c r="K1595"/>
    </row>
    <row r="1596" spans="1:11" hidden="1">
      <c r="A1596" s="386"/>
      <c r="I1596"/>
      <c r="J1596" s="4"/>
      <c r="K1596"/>
    </row>
    <row r="1597" spans="1:11" hidden="1">
      <c r="A1597" s="386"/>
      <c r="F1597" s="251">
        <v>1</v>
      </c>
      <c r="G1597" s="250" t="s">
        <v>840</v>
      </c>
      <c r="H1597" s="244" t="s">
        <v>283</v>
      </c>
      <c r="I1597" s="8">
        <v>50</v>
      </c>
      <c r="J1597" s="2" t="s">
        <v>840</v>
      </c>
      <c r="K1597" s="8">
        <f>(F1597*I1597)</f>
        <v>50</v>
      </c>
    </row>
    <row r="1598" spans="1:11" hidden="1">
      <c r="A1598" s="386"/>
      <c r="F1598" s="251">
        <v>1</v>
      </c>
      <c r="G1598" s="250" t="s">
        <v>284</v>
      </c>
      <c r="H1598" s="244" t="s">
        <v>1202</v>
      </c>
      <c r="I1598" s="8">
        <v>9</v>
      </c>
      <c r="J1598" s="2" t="s">
        <v>284</v>
      </c>
      <c r="K1598" s="8">
        <f>(F1598*I1598)</f>
        <v>9</v>
      </c>
    </row>
    <row r="1599" spans="1:11" hidden="1">
      <c r="A1599" s="386"/>
      <c r="G1599" s="250" t="s">
        <v>448</v>
      </c>
      <c r="H1599" s="244" t="s">
        <v>505</v>
      </c>
      <c r="I1599"/>
      <c r="J1599" s="2" t="s">
        <v>448</v>
      </c>
      <c r="K1599" s="8">
        <v>7</v>
      </c>
    </row>
    <row r="1600" spans="1:11" hidden="1">
      <c r="A1600" s="386"/>
      <c r="I1600"/>
      <c r="J1600" s="4"/>
      <c r="K1600" s="5" t="s">
        <v>1667</v>
      </c>
    </row>
    <row r="1601" spans="1:11" hidden="1">
      <c r="A1601" s="386"/>
      <c r="H1601" s="354" t="s">
        <v>1724</v>
      </c>
      <c r="I1601"/>
      <c r="J1601" s="4"/>
      <c r="K1601" s="8">
        <f>SUM(K1597:K1599)</f>
        <v>66</v>
      </c>
    </row>
    <row r="1602" spans="1:11" hidden="1">
      <c r="A1602" s="386"/>
      <c r="I1602"/>
      <c r="J1602" s="4"/>
      <c r="K1602" s="5" t="s">
        <v>2130</v>
      </c>
    </row>
    <row r="1603" spans="1:11" hidden="1">
      <c r="A1603" s="386"/>
      <c r="F1603" s="354" t="s">
        <v>1725</v>
      </c>
      <c r="G1603" s="250" t="s">
        <v>2338</v>
      </c>
      <c r="H1603" s="244" t="s">
        <v>768</v>
      </c>
      <c r="I1603"/>
      <c r="J1603" s="4"/>
      <c r="K1603"/>
    </row>
    <row r="1604" spans="1:11" hidden="1">
      <c r="A1604" s="386"/>
      <c r="H1604" s="244" t="s">
        <v>401</v>
      </c>
      <c r="I1604"/>
      <c r="J1604" s="4"/>
      <c r="K1604"/>
    </row>
    <row r="1605" spans="1:11" hidden="1">
      <c r="A1605" s="386"/>
      <c r="H1605" s="244" t="s">
        <v>402</v>
      </c>
      <c r="I1605"/>
      <c r="J1605" s="4"/>
      <c r="K1605"/>
    </row>
    <row r="1606" spans="1:11" hidden="1">
      <c r="A1606" s="386"/>
      <c r="H1606" s="244" t="s">
        <v>399</v>
      </c>
      <c r="I1606"/>
      <c r="J1606" s="4"/>
      <c r="K1606"/>
    </row>
    <row r="1607" spans="1:11" hidden="1">
      <c r="A1607" s="386"/>
      <c r="H1607" s="244" t="s">
        <v>1842</v>
      </c>
      <c r="I1607"/>
      <c r="J1607" s="4"/>
      <c r="K1607"/>
    </row>
    <row r="1608" spans="1:11" hidden="1">
      <c r="A1608" s="386"/>
      <c r="H1608" s="248" t="s">
        <v>1667</v>
      </c>
      <c r="I1608" s="5" t="s">
        <v>1667</v>
      </c>
      <c r="J1608" s="4"/>
      <c r="K1608"/>
    </row>
    <row r="1609" spans="1:11" hidden="1">
      <c r="A1609" s="386"/>
      <c r="F1609" s="251">
        <v>1</v>
      </c>
      <c r="G1609" s="250" t="s">
        <v>1843</v>
      </c>
      <c r="H1609" s="244" t="s">
        <v>1632</v>
      </c>
      <c r="I1609" s="8">
        <v>27.3</v>
      </c>
      <c r="J1609" s="2" t="s">
        <v>1458</v>
      </c>
      <c r="K1609" s="8">
        <f>(F1609*I1609)</f>
        <v>27.3</v>
      </c>
    </row>
    <row r="1610" spans="1:11" hidden="1">
      <c r="A1610" s="386"/>
      <c r="G1610" s="250" t="s">
        <v>448</v>
      </c>
      <c r="H1610" s="244" t="s">
        <v>1633</v>
      </c>
      <c r="I1610"/>
      <c r="J1610" s="2" t="s">
        <v>448</v>
      </c>
      <c r="K1610" s="8">
        <v>7.5</v>
      </c>
    </row>
    <row r="1611" spans="1:11" hidden="1">
      <c r="A1611" s="386"/>
      <c r="G1611" s="250" t="s">
        <v>448</v>
      </c>
      <c r="H1611" s="244" t="s">
        <v>631</v>
      </c>
      <c r="I1611"/>
      <c r="J1611" s="2" t="s">
        <v>448</v>
      </c>
      <c r="K1611" s="8">
        <v>1.2</v>
      </c>
    </row>
    <row r="1612" spans="1:11" hidden="1">
      <c r="A1612" s="386"/>
      <c r="H1612" s="244" t="s">
        <v>632</v>
      </c>
      <c r="I1612"/>
      <c r="J1612" s="4"/>
      <c r="K1612" s="5" t="s">
        <v>1667</v>
      </c>
    </row>
    <row r="1613" spans="1:11" hidden="1">
      <c r="A1613" s="386"/>
      <c r="H1613" s="354" t="s">
        <v>1724</v>
      </c>
      <c r="I1613"/>
      <c r="J1613" s="4"/>
      <c r="K1613" s="8">
        <f>SUM(K1609:K1611)</f>
        <v>36</v>
      </c>
    </row>
    <row r="1614" spans="1:11" hidden="1">
      <c r="A1614" s="386"/>
      <c r="I1614"/>
      <c r="J1614" s="4"/>
      <c r="K1614" s="5" t="s">
        <v>2130</v>
      </c>
    </row>
    <row r="1615" spans="1:11" hidden="1">
      <c r="A1615" s="386"/>
      <c r="F1615" s="354" t="s">
        <v>633</v>
      </c>
      <c r="G1615" s="250" t="s">
        <v>2338</v>
      </c>
      <c r="H1615" s="244" t="s">
        <v>542</v>
      </c>
      <c r="I1615"/>
      <c r="J1615" s="4"/>
      <c r="K1615"/>
    </row>
    <row r="1616" spans="1:11" hidden="1">
      <c r="A1616" s="386"/>
      <c r="H1616" s="244" t="s">
        <v>634</v>
      </c>
      <c r="I1616"/>
      <c r="J1616" s="4"/>
      <c r="K1616" s="1" t="s">
        <v>995</v>
      </c>
    </row>
    <row r="1617" spans="1:11" hidden="1">
      <c r="A1617" s="386"/>
      <c r="H1617" s="248" t="s">
        <v>1667</v>
      </c>
      <c r="I1617"/>
      <c r="J1617" s="4"/>
      <c r="K1617"/>
    </row>
    <row r="1618" spans="1:11" hidden="1">
      <c r="A1618" s="386"/>
      <c r="F1618" s="251">
        <v>1</v>
      </c>
      <c r="G1618" s="250" t="s">
        <v>1843</v>
      </c>
      <c r="H1618" s="244" t="s">
        <v>635</v>
      </c>
      <c r="I1618" s="8">
        <v>20</v>
      </c>
      <c r="J1618" s="2" t="s">
        <v>1458</v>
      </c>
      <c r="K1618" s="8">
        <f>(F1618*I1618)</f>
        <v>20</v>
      </c>
    </row>
    <row r="1619" spans="1:11" hidden="1">
      <c r="A1619" s="386"/>
      <c r="G1619" s="250" t="s">
        <v>448</v>
      </c>
      <c r="H1619" s="244" t="s">
        <v>636</v>
      </c>
      <c r="I1619"/>
      <c r="J1619" s="2" t="s">
        <v>448</v>
      </c>
      <c r="K1619" s="8">
        <v>5</v>
      </c>
    </row>
    <row r="1620" spans="1:11" hidden="1">
      <c r="A1620" s="386"/>
      <c r="I1620"/>
      <c r="J1620" s="4"/>
      <c r="K1620" s="5" t="s">
        <v>1667</v>
      </c>
    </row>
    <row r="1621" spans="1:11" hidden="1">
      <c r="A1621" s="386"/>
      <c r="H1621" s="354" t="s">
        <v>637</v>
      </c>
      <c r="I1621"/>
      <c r="J1621" s="4"/>
      <c r="K1621" s="8">
        <f>SUM(K1617:K1619)</f>
        <v>25</v>
      </c>
    </row>
    <row r="1622" spans="1:11" hidden="1">
      <c r="A1622" s="386"/>
      <c r="I1622"/>
      <c r="J1622" s="4"/>
      <c r="K1622" s="5" t="s">
        <v>2130</v>
      </c>
    </row>
    <row r="1623" spans="1:11" hidden="1">
      <c r="A1623" s="386"/>
      <c r="F1623" s="354" t="s">
        <v>2223</v>
      </c>
      <c r="G1623" s="250" t="s">
        <v>2338</v>
      </c>
      <c r="H1623" s="244" t="s">
        <v>543</v>
      </c>
      <c r="I1623"/>
      <c r="J1623" s="4"/>
      <c r="K1623"/>
    </row>
    <row r="1624" spans="1:11" hidden="1">
      <c r="A1624" s="386"/>
      <c r="H1624" s="248" t="s">
        <v>1667</v>
      </c>
      <c r="I1624" s="5" t="s">
        <v>1667</v>
      </c>
      <c r="J1624" s="4"/>
      <c r="K1624"/>
    </row>
    <row r="1625" spans="1:11" hidden="1">
      <c r="A1625" s="386"/>
      <c r="F1625" s="251">
        <v>1</v>
      </c>
      <c r="G1625" s="250" t="s">
        <v>1843</v>
      </c>
      <c r="H1625" s="244" t="s">
        <v>2224</v>
      </c>
      <c r="I1625" s="8">
        <v>1</v>
      </c>
      <c r="J1625" s="2" t="s">
        <v>1458</v>
      </c>
      <c r="K1625" s="8">
        <f>(F1625*I1625)</f>
        <v>1</v>
      </c>
    </row>
    <row r="1626" spans="1:11" hidden="1">
      <c r="A1626" s="386"/>
      <c r="G1626" s="250" t="s">
        <v>448</v>
      </c>
      <c r="H1626" s="244" t="s">
        <v>636</v>
      </c>
      <c r="I1626"/>
      <c r="J1626" s="2" t="s">
        <v>448</v>
      </c>
      <c r="K1626" s="8">
        <v>0.25</v>
      </c>
    </row>
    <row r="1627" spans="1:11" hidden="1">
      <c r="A1627" s="386"/>
      <c r="I1627"/>
      <c r="J1627" s="4"/>
      <c r="K1627" s="5" t="s">
        <v>1667</v>
      </c>
    </row>
    <row r="1628" spans="1:11" hidden="1">
      <c r="A1628" s="386"/>
      <c r="H1628" s="354" t="s">
        <v>637</v>
      </c>
      <c r="I1628"/>
      <c r="J1628" s="4"/>
      <c r="K1628" s="8">
        <f>SUM(K1623:K1626)</f>
        <v>1.25</v>
      </c>
    </row>
    <row r="1629" spans="1:11" hidden="1">
      <c r="A1629" s="386"/>
      <c r="F1629" s="244" t="s">
        <v>995</v>
      </c>
      <c r="I1629"/>
      <c r="J1629" s="4"/>
      <c r="K1629" s="5" t="s">
        <v>1667</v>
      </c>
    </row>
    <row r="1630" spans="1:11" hidden="1">
      <c r="A1630" s="386"/>
      <c r="F1630" s="364">
        <v>50.1</v>
      </c>
      <c r="G1630" s="250" t="s">
        <v>2338</v>
      </c>
      <c r="H1630" s="244" t="s">
        <v>2240</v>
      </c>
      <c r="I1630"/>
      <c r="J1630" s="4"/>
      <c r="K1630"/>
    </row>
    <row r="1631" spans="1:11" hidden="1">
      <c r="A1631" s="386"/>
      <c r="H1631" s="244" t="s">
        <v>13</v>
      </c>
      <c r="I1631"/>
      <c r="J1631" s="4"/>
      <c r="K1631"/>
    </row>
    <row r="1632" spans="1:11" hidden="1">
      <c r="A1632" s="386"/>
      <c r="H1632" s="244" t="s">
        <v>47</v>
      </c>
      <c r="I1632"/>
      <c r="J1632" s="4"/>
      <c r="K1632"/>
    </row>
    <row r="1633" spans="1:11" hidden="1">
      <c r="A1633" s="386"/>
      <c r="H1633" s="244" t="s">
        <v>48</v>
      </c>
      <c r="I1633"/>
      <c r="J1633" s="4"/>
      <c r="K1633"/>
    </row>
    <row r="1634" spans="1:11" hidden="1">
      <c r="A1634" s="386"/>
      <c r="H1634" s="244" t="s">
        <v>49</v>
      </c>
      <c r="I1634"/>
      <c r="J1634" s="4"/>
      <c r="K1634"/>
    </row>
    <row r="1635" spans="1:11" hidden="1">
      <c r="A1635" s="386"/>
      <c r="H1635" s="248" t="s">
        <v>1667</v>
      </c>
      <c r="I1635" s="5" t="s">
        <v>1667</v>
      </c>
      <c r="J1635" s="4"/>
      <c r="K1635"/>
    </row>
    <row r="1636" spans="1:11" hidden="1">
      <c r="A1636" s="386"/>
      <c r="F1636" s="251">
        <v>9</v>
      </c>
      <c r="G1636" s="250" t="s">
        <v>2226</v>
      </c>
      <c r="H1636" s="244" t="s">
        <v>1654</v>
      </c>
      <c r="I1636" s="8" t="e">
        <f>C73</f>
        <v>#REF!</v>
      </c>
      <c r="J1636" s="2" t="s">
        <v>2226</v>
      </c>
      <c r="K1636" s="8" t="e">
        <f>(F1636*I1636)</f>
        <v>#REF!</v>
      </c>
    </row>
    <row r="1637" spans="1:11" hidden="1">
      <c r="A1637" s="386"/>
      <c r="F1637" s="251">
        <v>4.5</v>
      </c>
      <c r="G1637" s="250" t="s">
        <v>2226</v>
      </c>
      <c r="H1637" s="244" t="s">
        <v>1655</v>
      </c>
      <c r="I1637" s="8" t="e">
        <f>K32</f>
        <v>#REF!</v>
      </c>
      <c r="J1637" s="2" t="s">
        <v>2226</v>
      </c>
      <c r="K1637" s="8" t="e">
        <f>(F1637*I1637)</f>
        <v>#REF!</v>
      </c>
    </row>
    <row r="1638" spans="1:11" hidden="1">
      <c r="A1638" s="386"/>
      <c r="F1638" s="251">
        <v>1.8</v>
      </c>
      <c r="G1638" s="250" t="s">
        <v>563</v>
      </c>
      <c r="H1638" s="244" t="s">
        <v>1656</v>
      </c>
      <c r="I1638" s="8">
        <f>C11</f>
        <v>135</v>
      </c>
      <c r="J1638" s="2" t="s">
        <v>1458</v>
      </c>
      <c r="K1638" s="8">
        <f>(F1638*I1638)</f>
        <v>243</v>
      </c>
    </row>
    <row r="1639" spans="1:11" hidden="1">
      <c r="A1639" s="386"/>
      <c r="F1639" s="251">
        <v>17.7</v>
      </c>
      <c r="G1639" s="250" t="s">
        <v>563</v>
      </c>
      <c r="H1639" s="244" t="s">
        <v>838</v>
      </c>
      <c r="I1639" s="8">
        <f>C12</f>
        <v>95</v>
      </c>
      <c r="J1639" s="2" t="s">
        <v>1458</v>
      </c>
      <c r="K1639" s="8">
        <f>(F1639*I1639)</f>
        <v>1681.5</v>
      </c>
    </row>
    <row r="1640" spans="1:11" hidden="1">
      <c r="A1640" s="386"/>
      <c r="F1640" s="251">
        <v>14.1</v>
      </c>
      <c r="G1640" s="250" t="s">
        <v>563</v>
      </c>
      <c r="H1640" s="244" t="s">
        <v>1432</v>
      </c>
      <c r="I1640" s="8">
        <f>C13</f>
        <v>85</v>
      </c>
      <c r="J1640" s="2" t="s">
        <v>1458</v>
      </c>
      <c r="K1640" s="8">
        <f>(F1640*I1640)</f>
        <v>1198.5</v>
      </c>
    </row>
    <row r="1641" spans="1:11" hidden="1">
      <c r="A1641" s="386"/>
      <c r="I1641"/>
      <c r="J1641" s="4"/>
      <c r="K1641" s="5" t="s">
        <v>1667</v>
      </c>
    </row>
    <row r="1642" spans="1:11" hidden="1">
      <c r="A1642" s="386"/>
      <c r="H1642" s="354" t="s">
        <v>1657</v>
      </c>
      <c r="I1642"/>
      <c r="J1642" s="4"/>
      <c r="K1642" s="8" t="e">
        <f>SUM(K1636:K1640)</f>
        <v>#REF!</v>
      </c>
    </row>
    <row r="1643" spans="1:11" hidden="1">
      <c r="A1643" s="386"/>
      <c r="I1643"/>
      <c r="J1643" s="4"/>
      <c r="K1643" s="5" t="s">
        <v>1667</v>
      </c>
    </row>
    <row r="1644" spans="1:11" hidden="1">
      <c r="A1644" s="386"/>
      <c r="H1644" s="354" t="s">
        <v>1658</v>
      </c>
      <c r="I1644"/>
      <c r="J1644" s="4"/>
      <c r="K1644" s="8" t="e">
        <f>(K1642/10)</f>
        <v>#REF!</v>
      </c>
    </row>
    <row r="1645" spans="1:11" hidden="1">
      <c r="A1645" s="386"/>
      <c r="I1645"/>
      <c r="J1645" s="4"/>
      <c r="K1645" s="5" t="s">
        <v>2130</v>
      </c>
    </row>
    <row r="1646" spans="1:11" hidden="1">
      <c r="A1646" s="386"/>
      <c r="I1646"/>
      <c r="J1646" s="4"/>
      <c r="K1646"/>
    </row>
    <row r="1647" spans="1:11" hidden="1">
      <c r="A1647" s="386"/>
      <c r="G1647" s="250" t="s">
        <v>685</v>
      </c>
      <c r="H1647" s="244" t="s">
        <v>1194</v>
      </c>
      <c r="I1647"/>
      <c r="J1647" s="4"/>
      <c r="K1647"/>
    </row>
    <row r="1648" spans="1:11" hidden="1">
      <c r="A1648" s="386"/>
      <c r="H1648" s="244" t="s">
        <v>602</v>
      </c>
      <c r="I1648"/>
      <c r="J1648" s="4"/>
      <c r="K1648"/>
    </row>
    <row r="1649" spans="1:11" hidden="1">
      <c r="A1649" s="386"/>
      <c r="H1649" s="248" t="s">
        <v>1667</v>
      </c>
      <c r="I1649" s="5" t="s">
        <v>1667</v>
      </c>
      <c r="J1649" s="4"/>
      <c r="K1649"/>
    </row>
    <row r="1650" spans="1:11" hidden="1">
      <c r="A1650" s="386"/>
      <c r="I1650"/>
      <c r="J1650" s="4"/>
      <c r="K1650"/>
    </row>
    <row r="1651" spans="1:11" hidden="1">
      <c r="A1651" s="386"/>
      <c r="F1651" s="363">
        <v>0.314</v>
      </c>
      <c r="G1651" s="250" t="s">
        <v>2226</v>
      </c>
      <c r="H1651" s="244" t="s">
        <v>441</v>
      </c>
      <c r="I1651" s="8" t="e">
        <f>K1644</f>
        <v>#REF!</v>
      </c>
      <c r="J1651" s="2" t="s">
        <v>2226</v>
      </c>
      <c r="K1651" s="8" t="e">
        <f>(F1651*I1651)</f>
        <v>#REF!</v>
      </c>
    </row>
    <row r="1652" spans="1:11" hidden="1">
      <c r="A1652" s="386"/>
      <c r="F1652" s="251">
        <v>18</v>
      </c>
      <c r="G1652" s="250" t="s">
        <v>563</v>
      </c>
      <c r="H1652" s="244" t="s">
        <v>538</v>
      </c>
      <c r="I1652" s="8">
        <v>2</v>
      </c>
      <c r="J1652" s="2" t="s">
        <v>1458</v>
      </c>
      <c r="K1652" s="8">
        <f>(F1652*I1652)</f>
        <v>36</v>
      </c>
    </row>
    <row r="1653" spans="1:11" hidden="1">
      <c r="A1653" s="386"/>
      <c r="F1653" s="251">
        <v>18</v>
      </c>
      <c r="G1653" s="250" t="s">
        <v>563</v>
      </c>
      <c r="H1653" s="244" t="s">
        <v>539</v>
      </c>
      <c r="I1653" s="8">
        <v>1</v>
      </c>
      <c r="J1653" s="2" t="s">
        <v>1458</v>
      </c>
      <c r="K1653" s="8">
        <f>(F1653*I1653)</f>
        <v>18</v>
      </c>
    </row>
    <row r="1654" spans="1:11" hidden="1">
      <c r="A1654" s="386"/>
      <c r="F1654" s="251">
        <v>18</v>
      </c>
      <c r="G1654" s="250" t="s">
        <v>563</v>
      </c>
      <c r="H1654" s="244" t="s">
        <v>540</v>
      </c>
      <c r="I1654" s="8">
        <v>2</v>
      </c>
      <c r="J1654" s="2" t="s">
        <v>1458</v>
      </c>
      <c r="K1654" s="8">
        <f>(F1654*I1654)</f>
        <v>36</v>
      </c>
    </row>
    <row r="1655" spans="1:11" hidden="1">
      <c r="A1655" s="386"/>
      <c r="I1655"/>
      <c r="J1655" s="4"/>
      <c r="K1655" s="5" t="s">
        <v>1667</v>
      </c>
    </row>
    <row r="1656" spans="1:11" hidden="1">
      <c r="A1656" s="386"/>
      <c r="H1656" s="354" t="s">
        <v>2025</v>
      </c>
      <c r="I1656"/>
      <c r="J1656" s="4"/>
      <c r="K1656" s="8" t="e">
        <f>SUM(K1650:K1654)</f>
        <v>#REF!</v>
      </c>
    </row>
    <row r="1657" spans="1:11" hidden="1">
      <c r="A1657" s="386"/>
      <c r="I1657"/>
      <c r="J1657" s="4"/>
      <c r="K1657" s="5" t="s">
        <v>1667</v>
      </c>
    </row>
    <row r="1658" spans="1:11" hidden="1">
      <c r="A1658" s="386"/>
      <c r="H1658" s="354" t="s">
        <v>2026</v>
      </c>
      <c r="I1658"/>
      <c r="J1658" s="4"/>
      <c r="K1658" s="8" t="e">
        <f>(K1656/6.28)</f>
        <v>#REF!</v>
      </c>
    </row>
    <row r="1659" spans="1:11" hidden="1">
      <c r="A1659" s="386"/>
      <c r="I1659"/>
      <c r="J1659" s="4"/>
      <c r="K1659" s="5" t="s">
        <v>2130</v>
      </c>
    </row>
    <row r="1660" spans="1:11" hidden="1">
      <c r="A1660" s="386"/>
      <c r="F1660" s="244" t="s">
        <v>995</v>
      </c>
      <c r="H1660" s="244" t="s">
        <v>742</v>
      </c>
      <c r="I1660"/>
      <c r="J1660" s="4"/>
      <c r="K1660"/>
    </row>
    <row r="1661" spans="1:11" hidden="1">
      <c r="A1661" s="386"/>
      <c r="H1661" s="248" t="s">
        <v>1667</v>
      </c>
      <c r="I1661"/>
      <c r="J1661" s="4"/>
      <c r="K1661"/>
    </row>
    <row r="1662" spans="1:11" hidden="1">
      <c r="A1662" s="386"/>
      <c r="F1662" s="363">
        <v>0.01</v>
      </c>
      <c r="G1662" s="250" t="s">
        <v>2226</v>
      </c>
      <c r="H1662" s="244" t="s">
        <v>441</v>
      </c>
      <c r="I1662" s="8" t="e">
        <f>K1644</f>
        <v>#REF!</v>
      </c>
      <c r="J1662" s="2" t="s">
        <v>2226</v>
      </c>
      <c r="K1662" s="8" t="e">
        <f>(F1662*I1662)</f>
        <v>#REF!</v>
      </c>
    </row>
    <row r="1663" spans="1:11" hidden="1">
      <c r="A1663" s="386"/>
      <c r="F1663" s="251">
        <v>0.01</v>
      </c>
      <c r="G1663" s="250" t="s">
        <v>1402</v>
      </c>
      <c r="H1663" s="244" t="s">
        <v>743</v>
      </c>
      <c r="I1663" s="6" t="s">
        <v>667</v>
      </c>
      <c r="J1663" s="4"/>
      <c r="K1663" s="8">
        <v>1.2</v>
      </c>
    </row>
    <row r="1664" spans="1:11" hidden="1">
      <c r="A1664" s="386"/>
      <c r="I1664" s="34"/>
      <c r="J1664" s="4"/>
      <c r="K1664" s="5" t="s">
        <v>1667</v>
      </c>
    </row>
    <row r="1665" spans="1:11" hidden="1">
      <c r="A1665" s="386"/>
      <c r="H1665" s="354" t="s">
        <v>752</v>
      </c>
      <c r="I1665"/>
      <c r="J1665" s="4"/>
      <c r="K1665" s="8" t="e">
        <f>SUM(K1659:K1663)</f>
        <v>#REF!</v>
      </c>
    </row>
    <row r="1666" spans="1:11" hidden="1">
      <c r="A1666" s="386"/>
      <c r="I1666"/>
      <c r="J1666" s="4"/>
      <c r="K1666" s="5" t="s">
        <v>1667</v>
      </c>
    </row>
    <row r="1667" spans="1:11" hidden="1">
      <c r="A1667" s="386"/>
      <c r="H1667" s="354" t="s">
        <v>2251</v>
      </c>
      <c r="I1667"/>
      <c r="J1667" s="4"/>
      <c r="K1667" s="8" t="e">
        <f>K1665/0.01</f>
        <v>#REF!</v>
      </c>
    </row>
    <row r="1668" spans="1:11" hidden="1">
      <c r="A1668" s="386"/>
      <c r="I1668"/>
      <c r="J1668" s="4"/>
      <c r="K1668" s="5" t="s">
        <v>2130</v>
      </c>
    </row>
    <row r="1669" spans="1:11" hidden="1">
      <c r="A1669" s="386"/>
      <c r="F1669" s="354" t="s">
        <v>2252</v>
      </c>
      <c r="G1669" s="250" t="s">
        <v>685</v>
      </c>
      <c r="H1669" s="244" t="s">
        <v>1194</v>
      </c>
      <c r="I1669"/>
      <c r="J1669" s="4"/>
      <c r="K1669"/>
    </row>
    <row r="1670" spans="1:11" hidden="1">
      <c r="A1670" s="386"/>
      <c r="H1670" s="366" t="s">
        <v>603</v>
      </c>
      <c r="I1670"/>
      <c r="J1670" s="4"/>
      <c r="K1670"/>
    </row>
    <row r="1671" spans="1:11" hidden="1">
      <c r="A1671" s="386"/>
      <c r="H1671" s="248" t="s">
        <v>1667</v>
      </c>
      <c r="I1671" s="5" t="s">
        <v>1667</v>
      </c>
      <c r="J1671" s="4"/>
      <c r="K1671"/>
    </row>
    <row r="1672" spans="1:11" hidden="1">
      <c r="A1672" s="386"/>
      <c r="F1672" s="363">
        <v>0.40500000000000003</v>
      </c>
      <c r="G1672" s="250" t="s">
        <v>2226</v>
      </c>
      <c r="H1672" s="244" t="s">
        <v>441</v>
      </c>
      <c r="I1672" s="8" t="e">
        <f>K1667</f>
        <v>#REF!</v>
      </c>
      <c r="J1672" s="2" t="s">
        <v>2226</v>
      </c>
      <c r="K1672" s="8" t="e">
        <f>(F1672*I1672)</f>
        <v>#REF!</v>
      </c>
    </row>
    <row r="1673" spans="1:11" hidden="1">
      <c r="A1673" s="386"/>
      <c r="F1673" s="244" t="s">
        <v>995</v>
      </c>
      <c r="G1673" s="250" t="s">
        <v>995</v>
      </c>
      <c r="H1673" s="244" t="s">
        <v>1733</v>
      </c>
      <c r="I1673" s="6" t="s">
        <v>667</v>
      </c>
      <c r="J1673" s="4"/>
      <c r="K1673" s="1" t="s">
        <v>995</v>
      </c>
    </row>
    <row r="1674" spans="1:11" hidden="1">
      <c r="A1674" s="386"/>
      <c r="I1674"/>
      <c r="J1674" s="4"/>
      <c r="K1674" s="5" t="s">
        <v>1667</v>
      </c>
    </row>
    <row r="1675" spans="1:11" hidden="1">
      <c r="A1675" s="386"/>
      <c r="H1675" s="354" t="s">
        <v>1734</v>
      </c>
      <c r="I1675"/>
      <c r="J1675" s="4"/>
      <c r="K1675" s="8" t="e">
        <f>SUM(K1669:K1673)</f>
        <v>#REF!</v>
      </c>
    </row>
    <row r="1676" spans="1:11" hidden="1">
      <c r="A1676" s="386"/>
      <c r="I1676"/>
      <c r="J1676" s="4"/>
      <c r="K1676" s="5" t="s">
        <v>1667</v>
      </c>
    </row>
    <row r="1677" spans="1:11" hidden="1">
      <c r="A1677" s="386"/>
      <c r="H1677" s="354" t="s">
        <v>1735</v>
      </c>
      <c r="I1677"/>
      <c r="J1677" s="4"/>
      <c r="K1677" s="8" t="e">
        <f>K1675/9</f>
        <v>#REF!</v>
      </c>
    </row>
    <row r="1678" spans="1:11" hidden="1">
      <c r="A1678" s="386"/>
      <c r="I1678"/>
      <c r="J1678" s="4"/>
      <c r="K1678" s="5" t="s">
        <v>2130</v>
      </c>
    </row>
    <row r="1679" spans="1:11" hidden="1">
      <c r="A1679" s="386"/>
      <c r="F1679" s="354" t="s">
        <v>1465</v>
      </c>
      <c r="H1679" s="244" t="s">
        <v>469</v>
      </c>
      <c r="I1679"/>
      <c r="J1679" s="4"/>
      <c r="K1679"/>
    </row>
    <row r="1680" spans="1:11" hidden="1">
      <c r="A1680" s="386"/>
      <c r="H1680" s="248" t="s">
        <v>1667</v>
      </c>
      <c r="I1680"/>
      <c r="J1680" s="4"/>
      <c r="K1680"/>
    </row>
    <row r="1681" spans="1:11" hidden="1">
      <c r="A1681" s="386"/>
      <c r="F1681" s="251">
        <v>4.32</v>
      </c>
      <c r="G1681" s="250" t="s">
        <v>884</v>
      </c>
      <c r="H1681" s="244" t="s">
        <v>362</v>
      </c>
      <c r="I1681" s="8">
        <f>C61</f>
        <v>25</v>
      </c>
      <c r="J1681" s="2" t="s">
        <v>884</v>
      </c>
      <c r="K1681" s="8">
        <f t="shared" ref="K1681:K1688" si="61">(F1681*I1681)</f>
        <v>108</v>
      </c>
    </row>
    <row r="1682" spans="1:11" hidden="1">
      <c r="A1682" s="386"/>
      <c r="F1682" s="251">
        <v>1.44</v>
      </c>
      <c r="G1682" s="250" t="s">
        <v>884</v>
      </c>
      <c r="H1682" s="244" t="s">
        <v>470</v>
      </c>
      <c r="I1682" s="8">
        <v>60.5</v>
      </c>
      <c r="J1682" s="2" t="s">
        <v>884</v>
      </c>
      <c r="K1682" s="8">
        <f t="shared" si="61"/>
        <v>87.12</v>
      </c>
    </row>
    <row r="1683" spans="1:11" hidden="1">
      <c r="A1683" s="386"/>
      <c r="F1683" s="251">
        <v>1.44</v>
      </c>
      <c r="G1683" s="250" t="s">
        <v>884</v>
      </c>
      <c r="H1683" s="244" t="s">
        <v>471</v>
      </c>
      <c r="I1683" s="8">
        <f>C35</f>
        <v>169</v>
      </c>
      <c r="J1683" s="2" t="s">
        <v>884</v>
      </c>
      <c r="K1683" s="8">
        <f t="shared" si="61"/>
        <v>243.36</v>
      </c>
    </row>
    <row r="1684" spans="1:11" hidden="1">
      <c r="A1684" s="386"/>
      <c r="F1684" s="251">
        <v>1.44</v>
      </c>
      <c r="G1684" s="250" t="s">
        <v>884</v>
      </c>
      <c r="H1684" s="244" t="s">
        <v>472</v>
      </c>
      <c r="I1684" s="8" t="e">
        <f>C78</f>
        <v>#REF!</v>
      </c>
      <c r="J1684" s="2" t="s">
        <v>884</v>
      </c>
      <c r="K1684" s="8" t="e">
        <f t="shared" si="61"/>
        <v>#REF!</v>
      </c>
    </row>
    <row r="1685" spans="1:11" hidden="1">
      <c r="A1685" s="386"/>
      <c r="F1685" s="251">
        <v>2.88</v>
      </c>
      <c r="G1685" s="250" t="s">
        <v>884</v>
      </c>
      <c r="H1685" s="244" t="s">
        <v>473</v>
      </c>
      <c r="I1685" s="8">
        <v>10</v>
      </c>
      <c r="J1685" s="2" t="s">
        <v>884</v>
      </c>
      <c r="K1685" s="8">
        <f t="shared" si="61"/>
        <v>28.8</v>
      </c>
    </row>
    <row r="1686" spans="1:11" hidden="1">
      <c r="A1686" s="386"/>
      <c r="F1686" s="251">
        <v>20</v>
      </c>
      <c r="G1686" s="250" t="s">
        <v>257</v>
      </c>
      <c r="H1686" s="244" t="s">
        <v>1709</v>
      </c>
      <c r="I1686" s="8">
        <v>40</v>
      </c>
      <c r="J1686" s="2" t="s">
        <v>257</v>
      </c>
      <c r="K1686" s="8">
        <f t="shared" si="61"/>
        <v>800</v>
      </c>
    </row>
    <row r="1687" spans="1:11" hidden="1">
      <c r="A1687" s="386"/>
      <c r="F1687" s="251">
        <v>42</v>
      </c>
      <c r="G1687" s="250" t="s">
        <v>2272</v>
      </c>
      <c r="H1687" s="244" t="s">
        <v>3300</v>
      </c>
      <c r="I1687" s="8">
        <v>10</v>
      </c>
      <c r="J1687" s="2" t="s">
        <v>2272</v>
      </c>
      <c r="K1687" s="8">
        <f t="shared" si="61"/>
        <v>420</v>
      </c>
    </row>
    <row r="1688" spans="1:11" hidden="1">
      <c r="A1688" s="386"/>
      <c r="F1688" s="251">
        <v>4.32</v>
      </c>
      <c r="G1688" s="250" t="s">
        <v>884</v>
      </c>
      <c r="H1688" s="244" t="s">
        <v>1700</v>
      </c>
      <c r="I1688" s="8">
        <f>C27</f>
        <v>7.8</v>
      </c>
      <c r="J1688" s="2" t="s">
        <v>884</v>
      </c>
      <c r="K1688" s="8">
        <f t="shared" si="61"/>
        <v>33.700000000000003</v>
      </c>
    </row>
    <row r="1689" spans="1:11" hidden="1">
      <c r="A1689" s="386"/>
      <c r="F1689" s="354" t="s">
        <v>744</v>
      </c>
      <c r="H1689" s="244" t="s">
        <v>1042</v>
      </c>
      <c r="I1689"/>
      <c r="J1689" s="4"/>
      <c r="K1689" s="8">
        <v>2000</v>
      </c>
    </row>
    <row r="1690" spans="1:11" hidden="1">
      <c r="A1690" s="386"/>
      <c r="I1690"/>
      <c r="J1690" s="4"/>
      <c r="K1690" s="5" t="s">
        <v>1667</v>
      </c>
    </row>
    <row r="1691" spans="1:11" hidden="1">
      <c r="A1691" s="386"/>
      <c r="H1691" s="244" t="s">
        <v>1043</v>
      </c>
      <c r="I1691"/>
      <c r="J1691" s="4"/>
      <c r="K1691" s="8" t="e">
        <f>SUM(K1681:K1689)</f>
        <v>#REF!</v>
      </c>
    </row>
    <row r="1692" spans="1:11" hidden="1">
      <c r="A1692" s="386"/>
      <c r="I1692"/>
      <c r="J1692" s="4"/>
      <c r="K1692" s="5" t="s">
        <v>1667</v>
      </c>
    </row>
    <row r="1693" spans="1:11" hidden="1">
      <c r="A1693" s="386"/>
      <c r="H1693" s="244" t="s">
        <v>1461</v>
      </c>
      <c r="I1693"/>
      <c r="J1693" s="4"/>
      <c r="K1693" s="8" t="e">
        <f>K1691/20</f>
        <v>#REF!</v>
      </c>
    </row>
    <row r="1694" spans="1:11" hidden="1">
      <c r="A1694" s="386"/>
      <c r="I1694"/>
      <c r="J1694" s="4"/>
      <c r="K1694" s="5" t="s">
        <v>2130</v>
      </c>
    </row>
    <row r="1695" spans="1:11" hidden="1">
      <c r="A1695" s="386"/>
      <c r="I1695"/>
      <c r="J1695" s="4"/>
      <c r="K1695"/>
    </row>
    <row r="1696" spans="1:11" hidden="1">
      <c r="A1696" s="386"/>
      <c r="F1696" s="354" t="s">
        <v>1044</v>
      </c>
      <c r="H1696" s="244" t="s">
        <v>1374</v>
      </c>
      <c r="I1696"/>
      <c r="J1696" s="4"/>
      <c r="K1696"/>
    </row>
    <row r="1697" spans="1:11" hidden="1">
      <c r="A1697" s="386"/>
      <c r="H1697" s="248" t="s">
        <v>1667</v>
      </c>
      <c r="I1697"/>
      <c r="J1697" s="4"/>
      <c r="K1697"/>
    </row>
    <row r="1698" spans="1:11" hidden="1">
      <c r="A1698" s="386"/>
      <c r="F1698" s="251">
        <v>0.1</v>
      </c>
      <c r="G1698" s="250" t="s">
        <v>884</v>
      </c>
      <c r="H1698" s="244" t="s">
        <v>362</v>
      </c>
      <c r="I1698" s="8">
        <f>K90</f>
        <v>50</v>
      </c>
      <c r="J1698" s="2" t="s">
        <v>884</v>
      </c>
      <c r="K1698" s="8">
        <f t="shared" ref="K1698:K1703" si="62">(F1698*I1698)</f>
        <v>5</v>
      </c>
    </row>
    <row r="1699" spans="1:11" hidden="1">
      <c r="A1699" s="386"/>
      <c r="F1699" s="251">
        <v>6.3</v>
      </c>
      <c r="G1699" s="250" t="s">
        <v>2272</v>
      </c>
      <c r="H1699" s="244" t="s">
        <v>643</v>
      </c>
      <c r="I1699" s="57">
        <v>21</v>
      </c>
      <c r="J1699" s="2" t="s">
        <v>2272</v>
      </c>
      <c r="K1699" s="8">
        <f t="shared" si="62"/>
        <v>132.30000000000001</v>
      </c>
    </row>
    <row r="1700" spans="1:11" hidden="1">
      <c r="A1700" s="386"/>
      <c r="F1700" s="251">
        <v>6.3</v>
      </c>
      <c r="G1700" s="250" t="s">
        <v>2272</v>
      </c>
      <c r="H1700" s="244" t="s">
        <v>3300</v>
      </c>
      <c r="I1700" s="8">
        <v>10</v>
      </c>
      <c r="J1700" s="2" t="s">
        <v>2272</v>
      </c>
      <c r="K1700" s="8">
        <f t="shared" si="62"/>
        <v>63</v>
      </c>
    </row>
    <row r="1701" spans="1:11" hidden="1">
      <c r="A1701" s="386"/>
      <c r="F1701" s="251">
        <v>3.15</v>
      </c>
      <c r="G1701" s="250" t="s">
        <v>234</v>
      </c>
      <c r="H1701" s="244" t="s">
        <v>644</v>
      </c>
      <c r="I1701" s="57">
        <v>22.6</v>
      </c>
      <c r="J1701" s="2" t="s">
        <v>234</v>
      </c>
      <c r="K1701" s="8">
        <f t="shared" si="62"/>
        <v>71.19</v>
      </c>
    </row>
    <row r="1702" spans="1:11" hidden="1">
      <c r="A1702" s="386"/>
      <c r="F1702" s="251">
        <v>0.25</v>
      </c>
      <c r="G1702" s="250" t="s">
        <v>1843</v>
      </c>
      <c r="H1702" s="244" t="s">
        <v>645</v>
      </c>
      <c r="I1702" s="8">
        <f>D16</f>
        <v>135</v>
      </c>
      <c r="J1702" s="2" t="s">
        <v>1843</v>
      </c>
      <c r="K1702" s="8">
        <f t="shared" si="62"/>
        <v>33.75</v>
      </c>
    </row>
    <row r="1703" spans="1:11" hidden="1">
      <c r="A1703" s="386"/>
      <c r="F1703" s="251">
        <v>0.2</v>
      </c>
      <c r="G1703" s="250" t="s">
        <v>1843</v>
      </c>
      <c r="H1703" s="244" t="s">
        <v>646</v>
      </c>
      <c r="I1703" s="8">
        <f>C17</f>
        <v>130</v>
      </c>
      <c r="J1703" s="2" t="s">
        <v>1843</v>
      </c>
      <c r="K1703" s="8">
        <f t="shared" si="62"/>
        <v>26</v>
      </c>
    </row>
    <row r="1704" spans="1:11" hidden="1">
      <c r="A1704" s="386"/>
      <c r="H1704" s="244" t="s">
        <v>506</v>
      </c>
      <c r="I1704" s="1" t="s">
        <v>995</v>
      </c>
      <c r="J1704" s="2" t="s">
        <v>995</v>
      </c>
      <c r="K1704" s="8">
        <v>0</v>
      </c>
    </row>
    <row r="1705" spans="1:11" hidden="1">
      <c r="A1705" s="386"/>
      <c r="I1705"/>
      <c r="J1705" s="2" t="s">
        <v>995</v>
      </c>
      <c r="K1705" s="5" t="s">
        <v>1667</v>
      </c>
    </row>
    <row r="1706" spans="1:11" hidden="1">
      <c r="A1706" s="386"/>
      <c r="F1706" s="244" t="s">
        <v>995</v>
      </c>
      <c r="G1706" s="250" t="s">
        <v>995</v>
      </c>
      <c r="H1706" s="244" t="s">
        <v>1461</v>
      </c>
      <c r="I1706"/>
      <c r="J1706" s="4"/>
      <c r="K1706" s="8">
        <f>SUM(K1698:K1704)</f>
        <v>331.24</v>
      </c>
    </row>
    <row r="1707" spans="1:11" hidden="1">
      <c r="A1707" s="386"/>
      <c r="H1707" s="244" t="s">
        <v>995</v>
      </c>
      <c r="I1707"/>
      <c r="J1707" s="4"/>
      <c r="K1707" s="5" t="s">
        <v>1667</v>
      </c>
    </row>
    <row r="1708" spans="1:11" hidden="1">
      <c r="A1708" s="386"/>
      <c r="I1708"/>
      <c r="J1708" s="4"/>
      <c r="K1708" s="5"/>
    </row>
    <row r="1709" spans="1:11" hidden="1">
      <c r="A1709" s="386"/>
      <c r="F1709" s="354" t="s">
        <v>595</v>
      </c>
      <c r="H1709" s="244" t="s">
        <v>945</v>
      </c>
      <c r="I1709"/>
      <c r="J1709" s="4"/>
      <c r="K1709"/>
    </row>
    <row r="1710" spans="1:11" hidden="1">
      <c r="A1710" s="386"/>
      <c r="H1710" s="248" t="s">
        <v>1667</v>
      </c>
      <c r="I1710"/>
      <c r="J1710" s="4"/>
      <c r="K1710"/>
    </row>
    <row r="1711" spans="1:11" hidden="1">
      <c r="A1711" s="386"/>
      <c r="F1711" s="374">
        <v>0.48599999999999999</v>
      </c>
      <c r="G1711" s="250" t="s">
        <v>1402</v>
      </c>
      <c r="H1711" s="244" t="s">
        <v>362</v>
      </c>
      <c r="I1711" s="8">
        <f>C61</f>
        <v>25</v>
      </c>
      <c r="J1711" s="2" t="s">
        <v>1402</v>
      </c>
      <c r="K1711" s="8">
        <f t="shared" ref="K1711:K1717" si="63">(F1711*I1711)</f>
        <v>12.15</v>
      </c>
    </row>
    <row r="1712" spans="1:11" hidden="1">
      <c r="A1712" s="386"/>
      <c r="F1712" s="374">
        <v>0.48599999999999999</v>
      </c>
      <c r="G1712" s="250" t="s">
        <v>1402</v>
      </c>
      <c r="H1712" s="244" t="s">
        <v>363</v>
      </c>
      <c r="I1712" s="8" t="e">
        <f>K203</f>
        <v>#REF!</v>
      </c>
      <c r="J1712" s="2" t="s">
        <v>1402</v>
      </c>
      <c r="K1712" s="8" t="e">
        <f t="shared" si="63"/>
        <v>#REF!</v>
      </c>
    </row>
    <row r="1713" spans="1:11" hidden="1">
      <c r="A1713" s="386"/>
      <c r="F1713" s="251">
        <v>81.75</v>
      </c>
      <c r="G1713" s="250" t="s">
        <v>364</v>
      </c>
      <c r="H1713" s="244" t="s">
        <v>365</v>
      </c>
      <c r="I1713" s="8">
        <v>30</v>
      </c>
      <c r="J1713" s="2" t="s">
        <v>364</v>
      </c>
      <c r="K1713" s="8">
        <f t="shared" si="63"/>
        <v>2452.5</v>
      </c>
    </row>
    <row r="1714" spans="1:11" hidden="1">
      <c r="A1714" s="386"/>
      <c r="F1714" s="251">
        <v>7.2</v>
      </c>
      <c r="G1714" s="250" t="s">
        <v>364</v>
      </c>
      <c r="H1714" s="244" t="s">
        <v>366</v>
      </c>
      <c r="I1714" s="8">
        <v>30</v>
      </c>
      <c r="J1714" s="2" t="s">
        <v>364</v>
      </c>
      <c r="K1714" s="8">
        <f t="shared" si="63"/>
        <v>216</v>
      </c>
    </row>
    <row r="1715" spans="1:11" hidden="1">
      <c r="A1715" s="386"/>
      <c r="F1715" s="251">
        <v>43.68</v>
      </c>
      <c r="G1715" s="250" t="s">
        <v>364</v>
      </c>
      <c r="H1715" s="244" t="s">
        <v>1636</v>
      </c>
      <c r="I1715" s="8">
        <f>I1713</f>
        <v>30</v>
      </c>
      <c r="J1715" s="2" t="s">
        <v>364</v>
      </c>
      <c r="K1715" s="8">
        <f t="shared" si="63"/>
        <v>1310.4000000000001</v>
      </c>
    </row>
    <row r="1716" spans="1:11" hidden="1">
      <c r="A1716" s="386"/>
      <c r="F1716" s="251">
        <v>132.63</v>
      </c>
      <c r="G1716" s="250" t="s">
        <v>364</v>
      </c>
      <c r="H1716" s="244" t="s">
        <v>1637</v>
      </c>
      <c r="I1716" s="57">
        <v>12.3</v>
      </c>
      <c r="J1716" s="2" t="s">
        <v>364</v>
      </c>
      <c r="K1716" s="8">
        <f t="shared" si="63"/>
        <v>1631.35</v>
      </c>
    </row>
    <row r="1717" spans="1:11" hidden="1">
      <c r="A1717" s="386"/>
      <c r="F1717" s="251">
        <v>2.2000000000000002</v>
      </c>
      <c r="G1717" s="250" t="s">
        <v>234</v>
      </c>
      <c r="H1717" s="244" t="s">
        <v>2528</v>
      </c>
      <c r="I1717" s="8">
        <v>360</v>
      </c>
      <c r="J1717" s="2" t="s">
        <v>234</v>
      </c>
      <c r="K1717" s="8">
        <f t="shared" si="63"/>
        <v>792</v>
      </c>
    </row>
    <row r="1718" spans="1:11" hidden="1">
      <c r="A1718" s="386"/>
      <c r="F1718" s="252" t="s">
        <v>667</v>
      </c>
      <c r="H1718" s="244" t="s">
        <v>1638</v>
      </c>
      <c r="I1718" s="6" t="s">
        <v>667</v>
      </c>
      <c r="J1718" s="4"/>
      <c r="K1718" s="8">
        <v>250</v>
      </c>
    </row>
    <row r="1719" spans="1:11" hidden="1">
      <c r="A1719" s="386"/>
      <c r="F1719" s="252" t="s">
        <v>667</v>
      </c>
      <c r="H1719" s="244" t="s">
        <v>1460</v>
      </c>
      <c r="I1719" s="6" t="s">
        <v>667</v>
      </c>
      <c r="J1719" s="4"/>
      <c r="K1719" s="8">
        <v>20</v>
      </c>
    </row>
    <row r="1720" spans="1:11" hidden="1">
      <c r="A1720" s="386"/>
      <c r="I1720"/>
      <c r="J1720" s="4"/>
      <c r="K1720" s="5" t="s">
        <v>1667</v>
      </c>
    </row>
    <row r="1721" spans="1:11" hidden="1">
      <c r="A1721" s="386"/>
      <c r="I1721"/>
      <c r="J1721" s="4"/>
      <c r="K1721" s="8" t="e">
        <f>SUM(K1711:K1720)</f>
        <v>#REF!</v>
      </c>
    </row>
    <row r="1722" spans="1:11" hidden="1">
      <c r="A1722" s="386"/>
      <c r="I1722"/>
      <c r="J1722" s="4"/>
      <c r="K1722" s="5" t="s">
        <v>1667</v>
      </c>
    </row>
    <row r="1723" spans="1:11" hidden="1">
      <c r="A1723" s="386"/>
      <c r="I1723"/>
      <c r="J1723" s="4"/>
      <c r="K1723" s="5"/>
    </row>
    <row r="1724" spans="1:11" hidden="1">
      <c r="A1724" s="386"/>
      <c r="F1724" s="360">
        <v>86</v>
      </c>
      <c r="H1724" s="244" t="s">
        <v>2131</v>
      </c>
      <c r="I1724"/>
      <c r="J1724" s="4"/>
      <c r="K1724" s="8">
        <f>C777</f>
        <v>30</v>
      </c>
    </row>
    <row r="1725" spans="1:11" hidden="1">
      <c r="A1725" s="386"/>
      <c r="F1725" s="364"/>
      <c r="H1725" s="244"/>
      <c r="I1725"/>
      <c r="J1725" s="4"/>
      <c r="K1725" s="8"/>
    </row>
    <row r="1726" spans="1:11" hidden="1">
      <c r="A1726" s="386"/>
      <c r="F1726" s="354" t="s">
        <v>1736</v>
      </c>
      <c r="H1726" s="244" t="s">
        <v>2363</v>
      </c>
      <c r="I1726"/>
      <c r="J1726" s="4"/>
      <c r="K1726" s="1">
        <v>3135</v>
      </c>
    </row>
    <row r="1727" spans="1:11" hidden="1">
      <c r="A1727" s="386"/>
      <c r="H1727" s="244" t="s">
        <v>2364</v>
      </c>
      <c r="I1727"/>
      <c r="J1727" s="4"/>
      <c r="K1727">
        <f>K1726</f>
        <v>3135</v>
      </c>
    </row>
    <row r="1728" spans="1:11" hidden="1">
      <c r="A1728" s="386"/>
      <c r="F1728" s="244" t="s">
        <v>995</v>
      </c>
      <c r="I1728"/>
      <c r="J1728" s="4"/>
      <c r="K1728"/>
    </row>
    <row r="1729" spans="1:11" hidden="1">
      <c r="A1729" s="386"/>
      <c r="F1729" s="364"/>
      <c r="G1729" s="250" t="s">
        <v>2338</v>
      </c>
      <c r="H1729" s="244" t="s">
        <v>2124</v>
      </c>
      <c r="I1729"/>
      <c r="J1729" s="4"/>
      <c r="K1729"/>
    </row>
    <row r="1730" spans="1:11" hidden="1">
      <c r="A1730" s="386"/>
      <c r="H1730" s="244" t="s">
        <v>2365</v>
      </c>
      <c r="I1730"/>
      <c r="J1730" s="4"/>
      <c r="K1730"/>
    </row>
    <row r="1731" spans="1:11" hidden="1">
      <c r="A1731" s="386"/>
      <c r="H1731" s="244" t="s">
        <v>967</v>
      </c>
      <c r="I1731"/>
      <c r="J1731" s="4"/>
      <c r="K1731"/>
    </row>
    <row r="1732" spans="1:11" hidden="1">
      <c r="A1732" s="386"/>
      <c r="H1732" s="248" t="s">
        <v>1667</v>
      </c>
      <c r="I1732"/>
      <c r="J1732" s="4"/>
      <c r="K1732"/>
    </row>
    <row r="1733" spans="1:11" hidden="1">
      <c r="A1733" s="386"/>
      <c r="G1733" s="250" t="s">
        <v>2366</v>
      </c>
      <c r="H1733" s="244" t="s">
        <v>967</v>
      </c>
      <c r="I1733"/>
      <c r="J1733" s="4"/>
      <c r="K1733" s="1" t="s">
        <v>1514</v>
      </c>
    </row>
    <row r="1734" spans="1:11" hidden="1">
      <c r="A1734" s="386"/>
      <c r="H1734" s="248" t="s">
        <v>1667</v>
      </c>
      <c r="I1734"/>
      <c r="J1734" s="4"/>
      <c r="K1734" s="5" t="s">
        <v>2130</v>
      </c>
    </row>
    <row r="1735" spans="1:11" hidden="1">
      <c r="A1735" s="386"/>
      <c r="F1735" s="251">
        <v>30</v>
      </c>
      <c r="G1735" s="250" t="s">
        <v>1854</v>
      </c>
      <c r="H1735" s="244" t="s">
        <v>1750</v>
      </c>
      <c r="I1735" s="8">
        <f>(C639)</f>
        <v>3</v>
      </c>
      <c r="J1735" s="2" t="s">
        <v>1854</v>
      </c>
      <c r="K1735" s="8">
        <f>(F1735*I1735)</f>
        <v>90</v>
      </c>
    </row>
    <row r="1736" spans="1:11" hidden="1">
      <c r="A1736" s="386"/>
      <c r="F1736" s="244" t="s">
        <v>995</v>
      </c>
      <c r="H1736" s="244" t="s">
        <v>1753</v>
      </c>
      <c r="I1736" s="1" t="s">
        <v>995</v>
      </c>
      <c r="J1736" s="4"/>
      <c r="K1736" s="1" t="s">
        <v>995</v>
      </c>
    </row>
    <row r="1737" spans="1:11" hidden="1">
      <c r="A1737" s="386"/>
      <c r="F1737" s="251">
        <v>8</v>
      </c>
      <c r="G1737" s="250" t="s">
        <v>883</v>
      </c>
      <c r="H1737" s="244" t="s">
        <v>2218</v>
      </c>
      <c r="I1737" s="8">
        <f>(C641)</f>
        <v>2.2000000000000002</v>
      </c>
      <c r="J1737" s="2" t="s">
        <v>883</v>
      </c>
      <c r="K1737" s="8">
        <f t="shared" ref="K1737:K1742" si="64">(F1737*I1737)</f>
        <v>17.600000000000001</v>
      </c>
    </row>
    <row r="1738" spans="1:11" hidden="1">
      <c r="A1738" s="386"/>
      <c r="F1738" s="251">
        <v>8</v>
      </c>
      <c r="G1738" s="250" t="s">
        <v>883</v>
      </c>
      <c r="H1738" s="244" t="s">
        <v>467</v>
      </c>
      <c r="I1738" s="8">
        <f>(C642)</f>
        <v>3.2</v>
      </c>
      <c r="J1738" s="2" t="s">
        <v>883</v>
      </c>
      <c r="K1738" s="8">
        <f t="shared" si="64"/>
        <v>25.6</v>
      </c>
    </row>
    <row r="1739" spans="1:11" hidden="1">
      <c r="A1739" s="386"/>
      <c r="F1739" s="251">
        <v>3</v>
      </c>
      <c r="G1739" s="250" t="s">
        <v>883</v>
      </c>
      <c r="H1739" s="244" t="s">
        <v>1922</v>
      </c>
      <c r="I1739" s="8">
        <f>(C41)</f>
        <v>110</v>
      </c>
      <c r="J1739" s="2" t="s">
        <v>883</v>
      </c>
      <c r="K1739" s="8">
        <f t="shared" si="64"/>
        <v>330</v>
      </c>
    </row>
    <row r="1740" spans="1:11" hidden="1">
      <c r="A1740" s="386"/>
      <c r="F1740" s="251">
        <v>1</v>
      </c>
      <c r="G1740" s="250" t="s">
        <v>883</v>
      </c>
      <c r="H1740" s="244" t="s">
        <v>1440</v>
      </c>
      <c r="I1740" s="8">
        <f>(C10)</f>
        <v>150</v>
      </c>
      <c r="J1740" s="2" t="s">
        <v>883</v>
      </c>
      <c r="K1740" s="8">
        <f t="shared" si="64"/>
        <v>150</v>
      </c>
    </row>
    <row r="1741" spans="1:11" hidden="1">
      <c r="A1741" s="386"/>
      <c r="F1741" s="251">
        <v>2</v>
      </c>
      <c r="G1741" s="250" t="s">
        <v>883</v>
      </c>
      <c r="H1741" s="244" t="s">
        <v>1979</v>
      </c>
      <c r="I1741" s="8">
        <f>(C12)</f>
        <v>95</v>
      </c>
      <c r="J1741" s="2" t="s">
        <v>883</v>
      </c>
      <c r="K1741" s="8">
        <f t="shared" si="64"/>
        <v>190</v>
      </c>
    </row>
    <row r="1742" spans="1:11" hidden="1">
      <c r="A1742" s="386"/>
      <c r="F1742" s="251">
        <v>1</v>
      </c>
      <c r="G1742" s="250" t="s">
        <v>883</v>
      </c>
      <c r="H1742" s="244" t="s">
        <v>324</v>
      </c>
      <c r="I1742" s="8">
        <f>(C13)</f>
        <v>85</v>
      </c>
      <c r="J1742" s="2" t="s">
        <v>883</v>
      </c>
      <c r="K1742" s="8">
        <f t="shared" si="64"/>
        <v>85</v>
      </c>
    </row>
    <row r="1743" spans="1:11" hidden="1">
      <c r="A1743" s="386"/>
      <c r="G1743" s="250" t="s">
        <v>448</v>
      </c>
      <c r="H1743" s="244" t="s">
        <v>1441</v>
      </c>
      <c r="I1743" s="1" t="s">
        <v>995</v>
      </c>
      <c r="J1743" s="2" t="s">
        <v>448</v>
      </c>
      <c r="K1743" s="8">
        <v>5</v>
      </c>
    </row>
    <row r="1744" spans="1:11" hidden="1">
      <c r="A1744" s="386"/>
      <c r="H1744" s="244" t="s">
        <v>947</v>
      </c>
      <c r="I1744" s="1" t="s">
        <v>995</v>
      </c>
      <c r="J1744" s="4"/>
      <c r="K1744" s="1" t="s">
        <v>995</v>
      </c>
    </row>
    <row r="1745" spans="1:11" hidden="1">
      <c r="A1745" s="386"/>
      <c r="G1745" s="250" t="s">
        <v>448</v>
      </c>
      <c r="H1745" s="244" t="s">
        <v>449</v>
      </c>
      <c r="I1745"/>
      <c r="J1745" s="2" t="s">
        <v>448</v>
      </c>
      <c r="K1745" s="8">
        <v>0</v>
      </c>
    </row>
    <row r="1746" spans="1:11" hidden="1">
      <c r="A1746" s="386"/>
      <c r="I1746"/>
      <c r="J1746" s="4"/>
      <c r="K1746" s="5" t="s">
        <v>1667</v>
      </c>
    </row>
    <row r="1747" spans="1:11" hidden="1">
      <c r="A1747" s="386"/>
      <c r="H1747" s="244" t="s">
        <v>1927</v>
      </c>
      <c r="I1747"/>
      <c r="J1747" s="4"/>
      <c r="K1747" s="8">
        <f>SUM(K1735:K1745)</f>
        <v>893.2</v>
      </c>
    </row>
    <row r="1748" spans="1:11" hidden="1">
      <c r="A1748" s="386"/>
      <c r="I1748"/>
      <c r="J1748" s="4"/>
      <c r="K1748" s="5" t="s">
        <v>1667</v>
      </c>
    </row>
    <row r="1749" spans="1:11" hidden="1">
      <c r="A1749" s="386"/>
      <c r="H1749" s="244" t="s">
        <v>1622</v>
      </c>
      <c r="I1749"/>
      <c r="J1749" s="4"/>
      <c r="K1749" s="8">
        <f>(K1747/30)</f>
        <v>29.77</v>
      </c>
    </row>
    <row r="1750" spans="1:11" hidden="1">
      <c r="A1750" s="386"/>
      <c r="I1750"/>
      <c r="J1750" s="4"/>
      <c r="K1750" s="5" t="s">
        <v>1667</v>
      </c>
    </row>
    <row r="1751" spans="1:11" hidden="1">
      <c r="A1751" s="386"/>
      <c r="G1751" s="250" t="s">
        <v>519</v>
      </c>
      <c r="H1751" s="244" t="s">
        <v>967</v>
      </c>
      <c r="I1751"/>
      <c r="J1751" s="4"/>
      <c r="K1751" s="1" t="s">
        <v>22</v>
      </c>
    </row>
    <row r="1752" spans="1:11" hidden="1">
      <c r="A1752" s="386"/>
      <c r="H1752" s="248" t="s">
        <v>1667</v>
      </c>
      <c r="I1752"/>
      <c r="J1752" s="4"/>
      <c r="K1752" s="5" t="s">
        <v>2130</v>
      </c>
    </row>
    <row r="1753" spans="1:11" hidden="1">
      <c r="A1753" s="386"/>
      <c r="F1753" s="251">
        <v>30</v>
      </c>
      <c r="G1753" s="250" t="s">
        <v>1854</v>
      </c>
      <c r="H1753" s="244" t="s">
        <v>1750</v>
      </c>
      <c r="I1753" s="8">
        <f>(C639)</f>
        <v>3</v>
      </c>
      <c r="J1753" s="2" t="s">
        <v>1854</v>
      </c>
      <c r="K1753" s="8">
        <f>(F1753*I1753)</f>
        <v>90</v>
      </c>
    </row>
    <row r="1754" spans="1:11" hidden="1">
      <c r="A1754" s="386"/>
      <c r="F1754" s="244" t="s">
        <v>995</v>
      </c>
      <c r="H1754" s="244" t="s">
        <v>1753</v>
      </c>
      <c r="I1754" s="1" t="s">
        <v>995</v>
      </c>
      <c r="J1754" s="4"/>
      <c r="K1754" s="1" t="s">
        <v>995</v>
      </c>
    </row>
    <row r="1755" spans="1:11" hidden="1">
      <c r="A1755" s="386"/>
      <c r="F1755" s="251">
        <v>8</v>
      </c>
      <c r="G1755" s="250" t="s">
        <v>883</v>
      </c>
      <c r="H1755" s="244" t="s">
        <v>2218</v>
      </c>
      <c r="I1755" s="8">
        <f>(C641)</f>
        <v>2.2000000000000002</v>
      </c>
      <c r="J1755" s="2" t="s">
        <v>883</v>
      </c>
      <c r="K1755" s="8">
        <f t="shared" ref="K1755:K1760" si="65">(F1755*I1755)</f>
        <v>17.600000000000001</v>
      </c>
    </row>
    <row r="1756" spans="1:11" hidden="1">
      <c r="A1756" s="386"/>
      <c r="F1756" s="251">
        <v>8</v>
      </c>
      <c r="G1756" s="250" t="s">
        <v>883</v>
      </c>
      <c r="H1756" s="244" t="s">
        <v>467</v>
      </c>
      <c r="I1756" s="8">
        <f>(D642)</f>
        <v>3.2</v>
      </c>
      <c r="J1756" s="2" t="s">
        <v>883</v>
      </c>
      <c r="K1756" s="8">
        <f t="shared" si="65"/>
        <v>25.6</v>
      </c>
    </row>
    <row r="1757" spans="1:11" hidden="1">
      <c r="A1757" s="386"/>
      <c r="F1757" s="251">
        <v>3</v>
      </c>
      <c r="G1757" s="250" t="s">
        <v>883</v>
      </c>
      <c r="H1757" s="244" t="s">
        <v>1922</v>
      </c>
      <c r="I1757" s="8">
        <f>(C41)</f>
        <v>110</v>
      </c>
      <c r="J1757" s="2" t="s">
        <v>883</v>
      </c>
      <c r="K1757" s="8">
        <f t="shared" si="65"/>
        <v>330</v>
      </c>
    </row>
    <row r="1758" spans="1:11" hidden="1">
      <c r="A1758" s="386"/>
      <c r="F1758" s="251">
        <v>1</v>
      </c>
      <c r="G1758" s="250" t="s">
        <v>883</v>
      </c>
      <c r="H1758" s="244" t="s">
        <v>1440</v>
      </c>
      <c r="I1758" s="8">
        <f>(C10)</f>
        <v>150</v>
      </c>
      <c r="J1758" s="2" t="s">
        <v>883</v>
      </c>
      <c r="K1758" s="8">
        <f t="shared" si="65"/>
        <v>150</v>
      </c>
    </row>
    <row r="1759" spans="1:11" hidden="1">
      <c r="A1759" s="386"/>
      <c r="F1759" s="251">
        <v>2</v>
      </c>
      <c r="G1759" s="250" t="s">
        <v>883</v>
      </c>
      <c r="H1759" s="244" t="s">
        <v>1979</v>
      </c>
      <c r="I1759" s="8">
        <f>(C12)</f>
        <v>95</v>
      </c>
      <c r="J1759" s="2" t="s">
        <v>883</v>
      </c>
      <c r="K1759" s="8">
        <f t="shared" si="65"/>
        <v>190</v>
      </c>
    </row>
    <row r="1760" spans="1:11" hidden="1">
      <c r="A1760" s="386"/>
      <c r="F1760" s="251">
        <v>1</v>
      </c>
      <c r="G1760" s="250" t="s">
        <v>883</v>
      </c>
      <c r="H1760" s="244" t="s">
        <v>324</v>
      </c>
      <c r="I1760" s="8">
        <f>(C13)</f>
        <v>85</v>
      </c>
      <c r="J1760" s="2" t="s">
        <v>883</v>
      </c>
      <c r="K1760" s="8">
        <f t="shared" si="65"/>
        <v>85</v>
      </c>
    </row>
    <row r="1761" spans="1:11" hidden="1">
      <c r="A1761" s="386"/>
      <c r="G1761" s="250" t="s">
        <v>448</v>
      </c>
      <c r="H1761" s="244" t="s">
        <v>1441</v>
      </c>
      <c r="I1761" s="1" t="s">
        <v>995</v>
      </c>
      <c r="J1761" s="2" t="s">
        <v>448</v>
      </c>
      <c r="K1761" s="8">
        <v>5</v>
      </c>
    </row>
    <row r="1762" spans="1:11" hidden="1">
      <c r="A1762" s="386"/>
      <c r="H1762" s="244" t="s">
        <v>947</v>
      </c>
      <c r="I1762" s="1" t="s">
        <v>995</v>
      </c>
      <c r="J1762" s="4"/>
      <c r="K1762" s="1" t="s">
        <v>995</v>
      </c>
    </row>
    <row r="1763" spans="1:11" hidden="1">
      <c r="A1763" s="386"/>
      <c r="G1763" s="250" t="s">
        <v>448</v>
      </c>
      <c r="H1763" s="244" t="s">
        <v>449</v>
      </c>
      <c r="I1763"/>
      <c r="J1763" s="2" t="s">
        <v>448</v>
      </c>
      <c r="K1763" s="8">
        <v>0</v>
      </c>
    </row>
    <row r="1764" spans="1:11" hidden="1">
      <c r="A1764" s="386"/>
      <c r="I1764"/>
      <c r="J1764" s="4"/>
      <c r="K1764" s="5" t="s">
        <v>1667</v>
      </c>
    </row>
    <row r="1765" spans="1:11" hidden="1">
      <c r="A1765" s="386"/>
      <c r="H1765" s="244" t="s">
        <v>1927</v>
      </c>
      <c r="I1765"/>
      <c r="J1765" s="4"/>
      <c r="K1765" s="8">
        <f>SUM(K1753:K1763)</f>
        <v>893.2</v>
      </c>
    </row>
    <row r="1766" spans="1:11" hidden="1">
      <c r="A1766" s="386"/>
      <c r="I1766"/>
      <c r="J1766" s="4"/>
      <c r="K1766" s="5" t="s">
        <v>1667</v>
      </c>
    </row>
    <row r="1767" spans="1:11" hidden="1">
      <c r="A1767" s="386"/>
      <c r="H1767" s="244" t="s">
        <v>1622</v>
      </c>
      <c r="I1767"/>
      <c r="J1767" s="4"/>
      <c r="K1767" s="8">
        <f>(K1765/30)</f>
        <v>29.77</v>
      </c>
    </row>
    <row r="1768" spans="1:11" hidden="1">
      <c r="A1768" s="386"/>
      <c r="I1768"/>
      <c r="J1768" s="4"/>
      <c r="K1768" s="5" t="s">
        <v>1667</v>
      </c>
    </row>
    <row r="1769" spans="1:11" hidden="1">
      <c r="A1769" s="386"/>
      <c r="G1769" s="250" t="s">
        <v>1981</v>
      </c>
      <c r="H1769" s="244" t="s">
        <v>967</v>
      </c>
      <c r="I1769"/>
      <c r="J1769" s="4"/>
      <c r="K1769" s="1" t="s">
        <v>23</v>
      </c>
    </row>
    <row r="1770" spans="1:11" hidden="1">
      <c r="A1770" s="386"/>
      <c r="H1770" s="248" t="s">
        <v>1667</v>
      </c>
      <c r="I1770"/>
      <c r="J1770" s="4"/>
      <c r="K1770" s="5" t="s">
        <v>2130</v>
      </c>
    </row>
    <row r="1771" spans="1:11" hidden="1">
      <c r="A1771" s="386"/>
      <c r="F1771" s="251">
        <v>30</v>
      </c>
      <c r="G1771" s="250" t="s">
        <v>1854</v>
      </c>
      <c r="H1771" s="244" t="s">
        <v>1750</v>
      </c>
      <c r="I1771" s="8">
        <f>(C639)</f>
        <v>3</v>
      </c>
      <c r="J1771" s="2" t="s">
        <v>1854</v>
      </c>
      <c r="K1771" s="8">
        <f>(F1771*I1771)</f>
        <v>90</v>
      </c>
    </row>
    <row r="1772" spans="1:11" hidden="1">
      <c r="A1772" s="386"/>
      <c r="F1772" s="244" t="s">
        <v>995</v>
      </c>
      <c r="H1772" s="244" t="s">
        <v>1753</v>
      </c>
      <c r="I1772" s="1" t="s">
        <v>995</v>
      </c>
      <c r="J1772" s="4"/>
      <c r="K1772" s="1" t="s">
        <v>995</v>
      </c>
    </row>
    <row r="1773" spans="1:11" hidden="1">
      <c r="A1773" s="386"/>
      <c r="F1773" s="251">
        <v>8</v>
      </c>
      <c r="G1773" s="250" t="s">
        <v>883</v>
      </c>
      <c r="H1773" s="244" t="s">
        <v>2218</v>
      </c>
      <c r="I1773" s="8">
        <f>(D641)</f>
        <v>2.7</v>
      </c>
      <c r="J1773" s="2" t="s">
        <v>883</v>
      </c>
      <c r="K1773" s="8">
        <f t="shared" ref="K1773:K1778" si="66">(F1773*I1773)</f>
        <v>21.6</v>
      </c>
    </row>
    <row r="1774" spans="1:11" hidden="1">
      <c r="A1774" s="386"/>
      <c r="F1774" s="251">
        <v>8</v>
      </c>
      <c r="G1774" s="250" t="s">
        <v>883</v>
      </c>
      <c r="H1774" s="244" t="s">
        <v>467</v>
      </c>
      <c r="I1774" s="8">
        <f>(C647)</f>
        <v>6.4</v>
      </c>
      <c r="J1774" s="2" t="s">
        <v>883</v>
      </c>
      <c r="K1774" s="8">
        <f t="shared" si="66"/>
        <v>51.2</v>
      </c>
    </row>
    <row r="1775" spans="1:11" hidden="1">
      <c r="A1775" s="386"/>
      <c r="F1775" s="251">
        <v>3</v>
      </c>
      <c r="G1775" s="250" t="s">
        <v>883</v>
      </c>
      <c r="H1775" s="244" t="s">
        <v>1922</v>
      </c>
      <c r="I1775" s="8">
        <f>(C41)</f>
        <v>110</v>
      </c>
      <c r="J1775" s="2" t="s">
        <v>883</v>
      </c>
      <c r="K1775" s="8">
        <f t="shared" si="66"/>
        <v>330</v>
      </c>
    </row>
    <row r="1776" spans="1:11" hidden="1">
      <c r="A1776" s="386"/>
      <c r="F1776" s="251">
        <v>1</v>
      </c>
      <c r="G1776" s="250" t="s">
        <v>883</v>
      </c>
      <c r="H1776" s="244" t="s">
        <v>1440</v>
      </c>
      <c r="I1776" s="8">
        <f>(C10)</f>
        <v>150</v>
      </c>
      <c r="J1776" s="2" t="s">
        <v>883</v>
      </c>
      <c r="K1776" s="8">
        <f t="shared" si="66"/>
        <v>150</v>
      </c>
    </row>
    <row r="1777" spans="1:11" hidden="1">
      <c r="A1777" s="386"/>
      <c r="F1777" s="251">
        <v>2</v>
      </c>
      <c r="G1777" s="250" t="s">
        <v>883</v>
      </c>
      <c r="H1777" s="244" t="s">
        <v>1979</v>
      </c>
      <c r="I1777" s="8">
        <f>(C12)</f>
        <v>95</v>
      </c>
      <c r="J1777" s="2" t="s">
        <v>883</v>
      </c>
      <c r="K1777" s="8">
        <f t="shared" si="66"/>
        <v>190</v>
      </c>
    </row>
    <row r="1778" spans="1:11" hidden="1">
      <c r="A1778" s="386"/>
      <c r="F1778" s="251">
        <v>1</v>
      </c>
      <c r="G1778" s="250" t="s">
        <v>883</v>
      </c>
      <c r="H1778" s="244" t="s">
        <v>324</v>
      </c>
      <c r="I1778" s="8">
        <f>(C13)</f>
        <v>85</v>
      </c>
      <c r="J1778" s="2" t="s">
        <v>883</v>
      </c>
      <c r="K1778" s="8">
        <f t="shared" si="66"/>
        <v>85</v>
      </c>
    </row>
    <row r="1779" spans="1:11" hidden="1">
      <c r="A1779" s="386"/>
      <c r="G1779" s="250" t="s">
        <v>448</v>
      </c>
      <c r="H1779" s="244" t="s">
        <v>1441</v>
      </c>
      <c r="I1779" s="1" t="s">
        <v>995</v>
      </c>
      <c r="J1779" s="2" t="s">
        <v>448</v>
      </c>
      <c r="K1779" s="8">
        <v>5</v>
      </c>
    </row>
    <row r="1780" spans="1:11" hidden="1">
      <c r="A1780" s="386"/>
      <c r="H1780" s="244" t="s">
        <v>947</v>
      </c>
      <c r="I1780" s="1" t="s">
        <v>995</v>
      </c>
      <c r="J1780" s="4"/>
      <c r="K1780" s="1" t="s">
        <v>995</v>
      </c>
    </row>
    <row r="1781" spans="1:11" hidden="1">
      <c r="A1781" s="386"/>
      <c r="G1781" s="250" t="s">
        <v>448</v>
      </c>
      <c r="H1781" s="244" t="s">
        <v>449</v>
      </c>
      <c r="I1781"/>
      <c r="J1781" s="2" t="s">
        <v>448</v>
      </c>
      <c r="K1781" s="8">
        <v>0</v>
      </c>
    </row>
    <row r="1782" spans="1:11" hidden="1">
      <c r="A1782" s="386"/>
      <c r="I1782"/>
      <c r="J1782" s="4"/>
      <c r="K1782" s="5" t="s">
        <v>1667</v>
      </c>
    </row>
    <row r="1783" spans="1:11" hidden="1">
      <c r="A1783" s="386"/>
      <c r="H1783" s="244" t="s">
        <v>1927</v>
      </c>
      <c r="I1783"/>
      <c r="J1783" s="4"/>
      <c r="K1783" s="8">
        <f>SUM(K1771:K1781)</f>
        <v>922.8</v>
      </c>
    </row>
    <row r="1784" spans="1:11" hidden="1">
      <c r="A1784" s="386"/>
      <c r="I1784"/>
      <c r="J1784" s="4"/>
      <c r="K1784" s="5" t="s">
        <v>1667</v>
      </c>
    </row>
    <row r="1785" spans="1:11" hidden="1">
      <c r="A1785" s="386"/>
      <c r="H1785" s="244" t="s">
        <v>1622</v>
      </c>
      <c r="I1785"/>
      <c r="J1785" s="4"/>
      <c r="K1785" s="8">
        <f>(K1783/30)</f>
        <v>30.76</v>
      </c>
    </row>
    <row r="1786" spans="1:11" hidden="1">
      <c r="A1786" s="386"/>
      <c r="I1786"/>
      <c r="J1786" s="4"/>
      <c r="K1786" s="5" t="s">
        <v>1667</v>
      </c>
    </row>
    <row r="1787" spans="1:11" hidden="1">
      <c r="A1787" s="386"/>
      <c r="I1787"/>
      <c r="J1787" s="4"/>
      <c r="K1787"/>
    </row>
    <row r="1788" spans="1:11" hidden="1">
      <c r="A1788" s="386"/>
      <c r="F1788" s="393">
        <v>52</v>
      </c>
      <c r="G1788" s="250" t="s">
        <v>2338</v>
      </c>
      <c r="H1788" s="244" t="s">
        <v>102</v>
      </c>
      <c r="I1788"/>
      <c r="J1788" s="4"/>
      <c r="K1788"/>
    </row>
    <row r="1789" spans="1:11" hidden="1">
      <c r="A1789" s="386"/>
      <c r="H1789" s="244" t="s">
        <v>2244</v>
      </c>
      <c r="I1789"/>
      <c r="J1789" s="4"/>
      <c r="K1789"/>
    </row>
    <row r="1790" spans="1:11" hidden="1">
      <c r="A1790" s="386"/>
      <c r="H1790" s="244" t="s">
        <v>2245</v>
      </c>
      <c r="I1790"/>
      <c r="J1790" s="4"/>
      <c r="K1790"/>
    </row>
    <row r="1791" spans="1:11" hidden="1">
      <c r="A1791" s="386"/>
      <c r="H1791" s="244" t="s">
        <v>1466</v>
      </c>
      <c r="I1791"/>
      <c r="J1791" s="4"/>
      <c r="K1791"/>
    </row>
    <row r="1792" spans="1:11" hidden="1">
      <c r="A1792" s="386"/>
      <c r="H1792" s="244" t="s">
        <v>1467</v>
      </c>
      <c r="I1792"/>
      <c r="J1792" s="4"/>
      <c r="K1792"/>
    </row>
    <row r="1793" spans="1:11" hidden="1">
      <c r="A1793" s="386"/>
      <c r="H1793" s="244" t="s">
        <v>1412</v>
      </c>
      <c r="I1793"/>
      <c r="J1793" s="4"/>
      <c r="K1793"/>
    </row>
    <row r="1794" spans="1:11" hidden="1">
      <c r="A1794" s="386"/>
      <c r="H1794" s="244" t="s">
        <v>1413</v>
      </c>
      <c r="I1794"/>
      <c r="J1794" s="4"/>
      <c r="K1794"/>
    </row>
    <row r="1795" spans="1:11" hidden="1">
      <c r="A1795" s="386"/>
      <c r="H1795" s="244" t="s">
        <v>718</v>
      </c>
      <c r="I1795"/>
      <c r="J1795" s="4"/>
      <c r="K1795"/>
    </row>
    <row r="1796" spans="1:11" hidden="1">
      <c r="A1796" s="386"/>
      <c r="H1796" s="248" t="s">
        <v>2130</v>
      </c>
      <c r="I1796" s="5" t="s">
        <v>2130</v>
      </c>
      <c r="J1796" s="4"/>
      <c r="K1796"/>
    </row>
    <row r="1797" spans="1:11" hidden="1">
      <c r="A1797" s="386"/>
      <c r="G1797" s="250" t="s">
        <v>2338</v>
      </c>
      <c r="H1797" s="244" t="s">
        <v>934</v>
      </c>
      <c r="I1797"/>
      <c r="J1797" s="4"/>
      <c r="K1797"/>
    </row>
    <row r="1798" spans="1:11" hidden="1">
      <c r="A1798" s="386"/>
      <c r="H1798" s="244" t="s">
        <v>822</v>
      </c>
      <c r="I1798"/>
      <c r="J1798" s="4"/>
      <c r="K1798"/>
    </row>
    <row r="1799" spans="1:11" hidden="1">
      <c r="A1799" s="386"/>
      <c r="G1799" s="250" t="s">
        <v>321</v>
      </c>
      <c r="H1799" s="244" t="s">
        <v>823</v>
      </c>
      <c r="I1799"/>
      <c r="J1799" s="4"/>
      <c r="K1799"/>
    </row>
    <row r="1800" spans="1:11" hidden="1">
      <c r="A1800" s="386"/>
      <c r="H1800" s="248" t="s">
        <v>1667</v>
      </c>
      <c r="I1800"/>
      <c r="J1800" s="4"/>
      <c r="K1800"/>
    </row>
    <row r="1801" spans="1:11" hidden="1">
      <c r="A1801" s="386"/>
      <c r="F1801" s="251">
        <v>1</v>
      </c>
      <c r="G1801" s="250" t="s">
        <v>840</v>
      </c>
      <c r="H1801" s="244" t="s">
        <v>622</v>
      </c>
      <c r="I1801" s="8">
        <f>C509</f>
        <v>32.9</v>
      </c>
      <c r="J1801" s="2" t="s">
        <v>840</v>
      </c>
      <c r="K1801" s="8">
        <f>(F1801*I1801)</f>
        <v>32.9</v>
      </c>
    </row>
    <row r="1802" spans="1:11" hidden="1">
      <c r="A1802" s="386"/>
      <c r="F1802" s="251">
        <v>1</v>
      </c>
      <c r="G1802" s="250" t="s">
        <v>448</v>
      </c>
      <c r="H1802" s="244" t="s">
        <v>1881</v>
      </c>
      <c r="I1802" s="8">
        <f>I1801*0.7</f>
        <v>23.03</v>
      </c>
      <c r="J1802" s="2" t="s">
        <v>448</v>
      </c>
      <c r="K1802" s="8">
        <f>(F1802*I1802)</f>
        <v>23.03</v>
      </c>
    </row>
    <row r="1803" spans="1:11" hidden="1">
      <c r="A1803" s="386"/>
      <c r="F1803" s="251">
        <v>1</v>
      </c>
      <c r="G1803" s="250" t="s">
        <v>840</v>
      </c>
      <c r="H1803" s="244" t="s">
        <v>167</v>
      </c>
      <c r="I1803" s="8">
        <f>K1749</f>
        <v>29.77</v>
      </c>
      <c r="J1803" s="2" t="s">
        <v>840</v>
      </c>
      <c r="K1803" s="8">
        <f>(F1803*I1803)</f>
        <v>29.77</v>
      </c>
    </row>
    <row r="1804" spans="1:11" hidden="1">
      <c r="A1804" s="386"/>
      <c r="I1804" s="1" t="s">
        <v>995</v>
      </c>
      <c r="J1804" s="4"/>
      <c r="K1804" s="5" t="s">
        <v>1667</v>
      </c>
    </row>
    <row r="1805" spans="1:11" hidden="1">
      <c r="A1805" s="386"/>
      <c r="H1805" s="244" t="s">
        <v>379</v>
      </c>
      <c r="I1805"/>
      <c r="J1805" s="4"/>
      <c r="K1805" s="8">
        <f>SUM(K1801:K1803)</f>
        <v>85.7</v>
      </c>
    </row>
    <row r="1806" spans="1:11" hidden="1">
      <c r="A1806" s="386"/>
      <c r="H1806" s="244" t="s">
        <v>995</v>
      </c>
      <c r="I1806" s="1" t="s">
        <v>995</v>
      </c>
      <c r="J1806" s="4"/>
      <c r="K1806" s="5" t="s">
        <v>2130</v>
      </c>
    </row>
    <row r="1807" spans="1:11" hidden="1">
      <c r="A1807" s="386"/>
      <c r="G1807" s="250" t="s">
        <v>519</v>
      </c>
      <c r="H1807" s="244" t="s">
        <v>754</v>
      </c>
      <c r="I1807"/>
      <c r="J1807" s="4"/>
      <c r="K1807"/>
    </row>
    <row r="1808" spans="1:11" hidden="1">
      <c r="A1808" s="386"/>
      <c r="H1808" s="248" t="s">
        <v>1667</v>
      </c>
      <c r="I1808"/>
      <c r="J1808" s="4"/>
      <c r="K1808"/>
    </row>
    <row r="1809" spans="1:11" hidden="1">
      <c r="A1809" s="386"/>
      <c r="F1809" s="251">
        <v>1</v>
      </c>
      <c r="G1809" s="250" t="s">
        <v>840</v>
      </c>
      <c r="H1809" s="244" t="s">
        <v>755</v>
      </c>
      <c r="I1809" s="8">
        <f>C510</f>
        <v>48.8</v>
      </c>
      <c r="J1809" s="2" t="s">
        <v>840</v>
      </c>
      <c r="K1809" s="8">
        <f>(F1809*I1809)</f>
        <v>48.8</v>
      </c>
    </row>
    <row r="1810" spans="1:11" hidden="1">
      <c r="A1810" s="386"/>
      <c r="F1810" s="251">
        <v>1</v>
      </c>
      <c r="G1810" s="250" t="s">
        <v>448</v>
      </c>
      <c r="H1810" s="244" t="s">
        <v>909</v>
      </c>
      <c r="I1810" s="8">
        <f>I1809*0.4</f>
        <v>19.52</v>
      </c>
      <c r="J1810" s="2" t="s">
        <v>448</v>
      </c>
      <c r="K1810" s="8">
        <f>(F1810*I1810)</f>
        <v>19.52</v>
      </c>
    </row>
    <row r="1811" spans="1:11" hidden="1">
      <c r="A1811" s="386"/>
      <c r="F1811" s="251">
        <v>1</v>
      </c>
      <c r="G1811" s="250" t="s">
        <v>840</v>
      </c>
      <c r="H1811" s="244" t="s">
        <v>167</v>
      </c>
      <c r="I1811" s="8">
        <f>K1767</f>
        <v>29.77</v>
      </c>
      <c r="J1811" s="2" t="s">
        <v>840</v>
      </c>
      <c r="K1811" s="8">
        <f>(F1811*I1811)</f>
        <v>29.77</v>
      </c>
    </row>
    <row r="1812" spans="1:11" hidden="1">
      <c r="A1812" s="386"/>
      <c r="I1812" s="1" t="s">
        <v>995</v>
      </c>
      <c r="J1812" s="4"/>
      <c r="K1812" s="5" t="s">
        <v>1667</v>
      </c>
    </row>
    <row r="1813" spans="1:11" hidden="1">
      <c r="A1813" s="386"/>
      <c r="H1813" s="244" t="s">
        <v>379</v>
      </c>
      <c r="I1813"/>
      <c r="J1813" s="4"/>
      <c r="K1813" s="8">
        <f>SUM(K1809:K1811)</f>
        <v>98.09</v>
      </c>
    </row>
    <row r="1814" spans="1:11" hidden="1">
      <c r="A1814" s="386"/>
      <c r="I1814" s="1" t="s">
        <v>995</v>
      </c>
      <c r="J1814" s="4"/>
      <c r="K1814" s="5" t="s">
        <v>2130</v>
      </c>
    </row>
    <row r="1815" spans="1:11" hidden="1">
      <c r="A1815" s="386"/>
      <c r="G1815" s="250" t="s">
        <v>1981</v>
      </c>
      <c r="H1815" s="244" t="s">
        <v>377</v>
      </c>
      <c r="I1815"/>
      <c r="J1815" s="4"/>
      <c r="K1815"/>
    </row>
    <row r="1816" spans="1:11" hidden="1">
      <c r="A1816" s="386"/>
      <c r="H1816" s="248" t="s">
        <v>1667</v>
      </c>
      <c r="I1816"/>
      <c r="J1816" s="4"/>
      <c r="K1816"/>
    </row>
    <row r="1817" spans="1:11" hidden="1">
      <c r="A1817" s="386"/>
      <c r="F1817" s="251">
        <v>1</v>
      </c>
      <c r="G1817" s="250" t="s">
        <v>840</v>
      </c>
      <c r="H1817" s="244" t="s">
        <v>1757</v>
      </c>
      <c r="I1817" s="8">
        <f>C511</f>
        <v>65.7</v>
      </c>
      <c r="J1817" s="2" t="s">
        <v>840</v>
      </c>
      <c r="K1817" s="8">
        <f>(F1817*I1817)</f>
        <v>65.7</v>
      </c>
    </row>
    <row r="1818" spans="1:11" hidden="1">
      <c r="A1818" s="386"/>
      <c r="F1818" s="251">
        <v>1</v>
      </c>
      <c r="G1818" s="250" t="s">
        <v>448</v>
      </c>
      <c r="H1818" s="244" t="s">
        <v>1758</v>
      </c>
      <c r="I1818" s="8">
        <f>I1817*0.2</f>
        <v>13.14</v>
      </c>
      <c r="J1818" s="2" t="s">
        <v>448</v>
      </c>
      <c r="K1818" s="8">
        <f>(F1818*I1818)</f>
        <v>13.14</v>
      </c>
    </row>
    <row r="1819" spans="1:11" hidden="1">
      <c r="A1819" s="386"/>
      <c r="F1819" s="251">
        <v>1</v>
      </c>
      <c r="G1819" s="250" t="s">
        <v>840</v>
      </c>
      <c r="H1819" s="244" t="s">
        <v>167</v>
      </c>
      <c r="I1819" s="8">
        <f>K1785</f>
        <v>30.76</v>
      </c>
      <c r="J1819" s="2" t="s">
        <v>840</v>
      </c>
      <c r="K1819" s="8">
        <f>(F1819*I1819)</f>
        <v>30.76</v>
      </c>
    </row>
    <row r="1820" spans="1:11" hidden="1">
      <c r="A1820" s="386"/>
      <c r="I1820" s="1" t="s">
        <v>995</v>
      </c>
      <c r="J1820" s="4"/>
      <c r="K1820" s="5" t="s">
        <v>1667</v>
      </c>
    </row>
    <row r="1821" spans="1:11" hidden="1">
      <c r="A1821" s="386"/>
      <c r="H1821" s="244" t="s">
        <v>379</v>
      </c>
      <c r="I1821"/>
      <c r="J1821" s="4"/>
      <c r="K1821" s="8">
        <f>SUM(K1817:K1819)</f>
        <v>109.6</v>
      </c>
    </row>
    <row r="1822" spans="1:11" hidden="1">
      <c r="A1822" s="386"/>
      <c r="I1822" s="1" t="s">
        <v>995</v>
      </c>
      <c r="J1822" s="4"/>
      <c r="K1822" s="5" t="s">
        <v>2130</v>
      </c>
    </row>
    <row r="1823" spans="1:11" hidden="1">
      <c r="A1823" s="386"/>
      <c r="I1823" s="1"/>
      <c r="J1823" s="4"/>
      <c r="K1823" s="5"/>
    </row>
    <row r="1824" spans="1:11" ht="31.5" hidden="1">
      <c r="A1824" s="386"/>
      <c r="F1824" s="372">
        <v>52.1</v>
      </c>
      <c r="H1824" s="394" t="s">
        <v>2277</v>
      </c>
      <c r="I1824" s="1"/>
      <c r="J1824" s="4"/>
      <c r="K1824" s="5"/>
    </row>
    <row r="1825" spans="1:11" hidden="1">
      <c r="A1825" s="386"/>
      <c r="I1825" s="1"/>
      <c r="J1825" s="4"/>
      <c r="K1825" s="5"/>
    </row>
    <row r="1826" spans="1:11" hidden="1">
      <c r="A1826" s="386"/>
      <c r="F1826" s="354"/>
      <c r="G1826" s="250"/>
      <c r="H1826" s="244" t="s">
        <v>2124</v>
      </c>
      <c r="I1826" s="1"/>
      <c r="J1826" s="4"/>
      <c r="K1826" s="5"/>
    </row>
    <row r="1827" spans="1:11" hidden="1">
      <c r="A1827" s="386"/>
      <c r="G1827" s="250"/>
      <c r="H1827" s="244" t="s">
        <v>2278</v>
      </c>
      <c r="I1827" s="1"/>
      <c r="J1827" s="4"/>
      <c r="K1827" s="5"/>
    </row>
    <row r="1828" spans="1:11" hidden="1">
      <c r="A1828" s="386"/>
      <c r="H1828" s="248" t="s">
        <v>1667</v>
      </c>
      <c r="I1828" s="1"/>
      <c r="J1828" s="4"/>
      <c r="K1828" s="5"/>
    </row>
    <row r="1829" spans="1:11" hidden="1">
      <c r="A1829" s="386"/>
      <c r="F1829" s="251">
        <v>30</v>
      </c>
      <c r="G1829" s="250" t="s">
        <v>1854</v>
      </c>
      <c r="H1829" s="244" t="s">
        <v>153</v>
      </c>
      <c r="I1829" s="6">
        <f>E639</f>
        <v>5</v>
      </c>
      <c r="J1829" s="2" t="s">
        <v>1854</v>
      </c>
      <c r="K1829" s="8">
        <f>(F1829*I1829)</f>
        <v>150</v>
      </c>
    </row>
    <row r="1830" spans="1:11" hidden="1">
      <c r="A1830" s="386"/>
      <c r="F1830" s="251">
        <v>8</v>
      </c>
      <c r="G1830" s="250" t="s">
        <v>883</v>
      </c>
      <c r="H1830" s="244" t="s">
        <v>2218</v>
      </c>
      <c r="I1830" s="6">
        <f>I1737</f>
        <v>2.2000000000000002</v>
      </c>
      <c r="J1830" s="2" t="s">
        <v>883</v>
      </c>
      <c r="K1830" s="8">
        <f t="shared" ref="K1830:K1835" si="67">(F1830*I1830)</f>
        <v>17.600000000000001</v>
      </c>
    </row>
    <row r="1831" spans="1:11" hidden="1">
      <c r="A1831" s="386"/>
      <c r="F1831" s="251">
        <v>8</v>
      </c>
      <c r="G1831" s="250" t="s">
        <v>883</v>
      </c>
      <c r="H1831" s="244" t="s">
        <v>467</v>
      </c>
      <c r="I1831" s="6">
        <f>I1738</f>
        <v>3.2</v>
      </c>
      <c r="J1831" s="2" t="s">
        <v>883</v>
      </c>
      <c r="K1831" s="8">
        <f t="shared" si="67"/>
        <v>25.6</v>
      </c>
    </row>
    <row r="1832" spans="1:11" hidden="1">
      <c r="A1832" s="386"/>
      <c r="F1832" s="251">
        <v>3</v>
      </c>
      <c r="G1832" s="250" t="s">
        <v>883</v>
      </c>
      <c r="H1832" s="244" t="s">
        <v>1922</v>
      </c>
      <c r="I1832" s="6">
        <f>C41</f>
        <v>110</v>
      </c>
      <c r="J1832" s="2" t="s">
        <v>883</v>
      </c>
      <c r="K1832" s="8">
        <f t="shared" si="67"/>
        <v>330</v>
      </c>
    </row>
    <row r="1833" spans="1:11" hidden="1">
      <c r="A1833" s="386"/>
      <c r="F1833" s="251">
        <v>1</v>
      </c>
      <c r="G1833" s="250" t="s">
        <v>883</v>
      </c>
      <c r="H1833" s="244" t="s">
        <v>1440</v>
      </c>
      <c r="I1833" s="6">
        <f>C10</f>
        <v>150</v>
      </c>
      <c r="J1833" s="2" t="s">
        <v>883</v>
      </c>
      <c r="K1833" s="8">
        <f t="shared" si="67"/>
        <v>150</v>
      </c>
    </row>
    <row r="1834" spans="1:11" hidden="1">
      <c r="A1834" s="386"/>
      <c r="F1834" s="251">
        <v>2</v>
      </c>
      <c r="G1834" s="250" t="s">
        <v>883</v>
      </c>
      <c r="H1834" s="244" t="s">
        <v>1979</v>
      </c>
      <c r="I1834" s="6">
        <f>C12</f>
        <v>95</v>
      </c>
      <c r="J1834" s="2" t="s">
        <v>883</v>
      </c>
      <c r="K1834" s="8">
        <f t="shared" si="67"/>
        <v>190</v>
      </c>
    </row>
    <row r="1835" spans="1:11" hidden="1">
      <c r="A1835" s="386"/>
      <c r="F1835" s="251">
        <v>1</v>
      </c>
      <c r="G1835" s="250" t="s">
        <v>883</v>
      </c>
      <c r="H1835" s="244" t="s">
        <v>324</v>
      </c>
      <c r="I1835" s="6">
        <f>C13</f>
        <v>85</v>
      </c>
      <c r="J1835" s="2" t="s">
        <v>883</v>
      </c>
      <c r="K1835" s="8">
        <f t="shared" si="67"/>
        <v>85</v>
      </c>
    </row>
    <row r="1836" spans="1:11" hidden="1">
      <c r="A1836" s="386"/>
      <c r="I1836"/>
      <c r="J1836" s="4"/>
      <c r="K1836" s="5" t="s">
        <v>1667</v>
      </c>
    </row>
    <row r="1837" spans="1:11" hidden="1">
      <c r="A1837" s="386"/>
      <c r="H1837" s="244" t="s">
        <v>1927</v>
      </c>
      <c r="I1837"/>
      <c r="J1837" s="4"/>
      <c r="K1837" s="8">
        <f>SUM(K1829:K1835)</f>
        <v>948.2</v>
      </c>
    </row>
    <row r="1838" spans="1:11" hidden="1">
      <c r="A1838" s="386"/>
      <c r="I1838"/>
      <c r="J1838" s="4"/>
      <c r="K1838" s="5" t="s">
        <v>1667</v>
      </c>
    </row>
    <row r="1839" spans="1:11" hidden="1">
      <c r="A1839" s="386"/>
      <c r="H1839" s="244" t="s">
        <v>1622</v>
      </c>
      <c r="I1839"/>
      <c r="J1839" s="4"/>
      <c r="K1839" s="8">
        <f>(K1837/30)</f>
        <v>31.61</v>
      </c>
    </row>
    <row r="1840" spans="1:11" hidden="1">
      <c r="A1840" s="386"/>
      <c r="I1840"/>
      <c r="J1840" s="4"/>
      <c r="K1840" s="5" t="s">
        <v>1667</v>
      </c>
    </row>
    <row r="1841" spans="1:11" hidden="1">
      <c r="A1841" s="386"/>
      <c r="I1841" s="1"/>
      <c r="J1841" s="4"/>
      <c r="K1841" s="5"/>
    </row>
    <row r="1842" spans="1:11" hidden="1">
      <c r="A1842" s="386"/>
      <c r="H1842" s="245" t="s">
        <v>342</v>
      </c>
      <c r="I1842" s="1"/>
      <c r="J1842" s="4"/>
      <c r="K1842" s="5"/>
    </row>
    <row r="1843" spans="1:11" hidden="1">
      <c r="A1843" s="386"/>
      <c r="H1843" s="248" t="s">
        <v>1667</v>
      </c>
      <c r="I1843" s="1"/>
      <c r="J1843" s="4"/>
      <c r="K1843" s="5"/>
    </row>
    <row r="1844" spans="1:11" hidden="1">
      <c r="A1844" s="386"/>
      <c r="F1844" s="251">
        <v>1</v>
      </c>
      <c r="G1844" s="250" t="s">
        <v>840</v>
      </c>
      <c r="H1844" s="244" t="s">
        <v>343</v>
      </c>
      <c r="I1844" s="6">
        <f>E509</f>
        <v>70</v>
      </c>
      <c r="J1844" s="2" t="s">
        <v>840</v>
      </c>
      <c r="K1844" s="8">
        <f>(F1844*I1844)</f>
        <v>70</v>
      </c>
    </row>
    <row r="1845" spans="1:11" hidden="1">
      <c r="A1845" s="386"/>
      <c r="F1845" s="251">
        <v>1</v>
      </c>
      <c r="G1845" s="250" t="s">
        <v>448</v>
      </c>
      <c r="H1845" s="244" t="s">
        <v>344</v>
      </c>
      <c r="I1845" s="6">
        <f>I1844*0.2</f>
        <v>14</v>
      </c>
      <c r="J1845" s="2" t="s">
        <v>448</v>
      </c>
      <c r="K1845" s="8">
        <f>(F1845*I1845)</f>
        <v>14</v>
      </c>
    </row>
    <row r="1846" spans="1:11" hidden="1">
      <c r="A1846" s="386"/>
      <c r="F1846" s="251">
        <v>1</v>
      </c>
      <c r="G1846" s="250" t="s">
        <v>840</v>
      </c>
      <c r="H1846" s="244" t="s">
        <v>167</v>
      </c>
      <c r="I1846" s="6">
        <f>K1839</f>
        <v>31.61</v>
      </c>
      <c r="J1846" s="2" t="s">
        <v>840</v>
      </c>
      <c r="K1846" s="8">
        <f>(F1846*I1846)</f>
        <v>31.61</v>
      </c>
    </row>
    <row r="1847" spans="1:11" ht="31.5" hidden="1">
      <c r="A1847" s="386"/>
      <c r="F1847" s="251"/>
      <c r="G1847" s="250"/>
      <c r="H1847" s="368" t="s">
        <v>1116</v>
      </c>
      <c r="I1847" s="6"/>
      <c r="J1847" s="2" t="s">
        <v>448</v>
      </c>
      <c r="K1847" s="8">
        <v>1.25</v>
      </c>
    </row>
    <row r="1848" spans="1:11" hidden="1">
      <c r="A1848" s="386"/>
      <c r="I1848" s="1"/>
      <c r="J1848" s="4"/>
      <c r="K1848" s="5" t="s">
        <v>1667</v>
      </c>
    </row>
    <row r="1849" spans="1:11" hidden="1">
      <c r="A1849" s="386"/>
      <c r="H1849" s="244" t="s">
        <v>379</v>
      </c>
      <c r="I1849" s="1"/>
      <c r="J1849" s="4"/>
      <c r="K1849" s="8">
        <f>SUM(K1844:K1847)</f>
        <v>116.86</v>
      </c>
    </row>
    <row r="1850" spans="1:11" hidden="1">
      <c r="A1850" s="386"/>
      <c r="I1850" s="1"/>
      <c r="J1850" s="4"/>
      <c r="K1850" s="5" t="s">
        <v>2130</v>
      </c>
    </row>
    <row r="1851" spans="1:11" hidden="1">
      <c r="A1851" s="386"/>
      <c r="I1851" s="1"/>
      <c r="J1851" s="4"/>
      <c r="K1851" s="5"/>
    </row>
    <row r="1852" spans="1:11" hidden="1">
      <c r="A1852" s="386"/>
      <c r="I1852" s="1"/>
      <c r="J1852" s="4"/>
      <c r="K1852" s="5"/>
    </row>
    <row r="1853" spans="1:11" hidden="1">
      <c r="A1853" s="386"/>
      <c r="F1853" s="364">
        <v>53.1</v>
      </c>
      <c r="G1853" s="250" t="s">
        <v>2338</v>
      </c>
      <c r="H1853" s="244" t="s">
        <v>2299</v>
      </c>
      <c r="I1853"/>
      <c r="J1853" s="4"/>
      <c r="K1853"/>
    </row>
    <row r="1854" spans="1:11" hidden="1">
      <c r="A1854" s="386"/>
      <c r="H1854" s="366" t="s">
        <v>1511</v>
      </c>
      <c r="I1854"/>
      <c r="J1854" s="4"/>
      <c r="K1854"/>
    </row>
    <row r="1855" spans="1:11" hidden="1">
      <c r="A1855" s="386"/>
      <c r="H1855" s="244" t="s">
        <v>1189</v>
      </c>
      <c r="I1855"/>
      <c r="J1855" s="4"/>
      <c r="K1855"/>
    </row>
    <row r="1856" spans="1:11" hidden="1">
      <c r="A1856" s="386"/>
      <c r="H1856" s="244" t="s">
        <v>1190</v>
      </c>
      <c r="I1856"/>
      <c r="J1856" s="4"/>
      <c r="K1856"/>
    </row>
    <row r="1857" spans="1:11" hidden="1">
      <c r="A1857" s="386"/>
      <c r="H1857" s="248" t="s">
        <v>1667</v>
      </c>
      <c r="I1857"/>
      <c r="J1857" s="4"/>
      <c r="K1857"/>
    </row>
    <row r="1858" spans="1:11" ht="57" hidden="1" customHeight="1">
      <c r="A1858" s="386"/>
      <c r="F1858" s="395">
        <v>1</v>
      </c>
      <c r="G1858" s="395" t="s">
        <v>883</v>
      </c>
      <c r="H1858" s="368" t="s">
        <v>2791</v>
      </c>
      <c r="I1858" s="23">
        <f>(C595)</f>
        <v>1050</v>
      </c>
      <c r="J1858" s="23" t="s">
        <v>883</v>
      </c>
      <c r="K1858" s="23">
        <f>(F1858*I1858)</f>
        <v>1050</v>
      </c>
    </row>
    <row r="1859" spans="1:11" hidden="1">
      <c r="A1859" s="386"/>
      <c r="F1859" s="251"/>
      <c r="G1859" s="250"/>
      <c r="H1859" s="244"/>
      <c r="I1859" s="8"/>
      <c r="J1859" s="2"/>
      <c r="K1859" s="8"/>
    </row>
    <row r="1860" spans="1:11" hidden="1">
      <c r="A1860" s="386"/>
      <c r="F1860" s="251"/>
      <c r="G1860" s="250"/>
      <c r="H1860" s="244"/>
      <c r="I1860" s="8"/>
      <c r="J1860" s="2"/>
      <c r="K1860" s="8"/>
    </row>
    <row r="1861" spans="1:11" hidden="1">
      <c r="A1861" s="386"/>
      <c r="F1861" s="251"/>
      <c r="G1861" s="250"/>
      <c r="H1861" s="244"/>
      <c r="I1861" s="8"/>
      <c r="J1861" s="2"/>
      <c r="K1861" s="8"/>
    </row>
    <row r="1862" spans="1:11" hidden="1">
      <c r="A1862" s="386"/>
      <c r="F1862" s="251"/>
      <c r="G1862" s="250"/>
      <c r="H1862" s="244"/>
      <c r="I1862" s="8"/>
      <c r="J1862" s="2"/>
      <c r="K1862" s="8"/>
    </row>
    <row r="1863" spans="1:11" hidden="1">
      <c r="A1863" s="386"/>
      <c r="F1863" s="251"/>
      <c r="G1863" s="250"/>
      <c r="H1863" s="244"/>
      <c r="I1863" s="8"/>
      <c r="J1863" s="2"/>
      <c r="K1863" s="8"/>
    </row>
    <row r="1864" spans="1:11" hidden="1">
      <c r="A1864" s="386"/>
      <c r="F1864" s="251"/>
      <c r="G1864" s="250"/>
      <c r="H1864" s="244"/>
      <c r="I1864" s="8"/>
      <c r="J1864" s="2"/>
      <c r="K1864" s="8"/>
    </row>
    <row r="1865" spans="1:11" hidden="1">
      <c r="A1865" s="386"/>
      <c r="F1865" s="251">
        <v>0.5</v>
      </c>
      <c r="G1865" s="250" t="s">
        <v>883</v>
      </c>
      <c r="H1865" s="244" t="s">
        <v>2176</v>
      </c>
      <c r="I1865" s="8">
        <f>(C15)</f>
        <v>130</v>
      </c>
      <c r="J1865" s="2" t="s">
        <v>883</v>
      </c>
      <c r="K1865" s="8">
        <f>(F1865*I1865)</f>
        <v>65</v>
      </c>
    </row>
    <row r="1866" spans="1:11" hidden="1">
      <c r="A1866" s="386"/>
      <c r="F1866" s="251">
        <v>1</v>
      </c>
      <c r="G1866" s="250" t="s">
        <v>883</v>
      </c>
      <c r="H1866" s="244" t="s">
        <v>1979</v>
      </c>
      <c r="I1866" s="8">
        <f>(C12)</f>
        <v>95</v>
      </c>
      <c r="J1866" s="2" t="s">
        <v>883</v>
      </c>
      <c r="K1866" s="8">
        <f>(F1866*I1866)</f>
        <v>95</v>
      </c>
    </row>
    <row r="1867" spans="1:11" hidden="1">
      <c r="A1867" s="386"/>
      <c r="F1867" s="251">
        <v>0.5</v>
      </c>
      <c r="G1867" s="250" t="s">
        <v>883</v>
      </c>
      <c r="H1867" s="244" t="s">
        <v>2082</v>
      </c>
      <c r="I1867" s="8">
        <f>(C10)</f>
        <v>150</v>
      </c>
      <c r="J1867" s="2" t="s">
        <v>883</v>
      </c>
      <c r="K1867" s="8">
        <f>(F1867*I1867)</f>
        <v>75</v>
      </c>
    </row>
    <row r="1868" spans="1:11" hidden="1">
      <c r="A1868" s="386"/>
      <c r="G1868" s="250" t="s">
        <v>448</v>
      </c>
      <c r="H1868" s="244" t="s">
        <v>1191</v>
      </c>
      <c r="I1868"/>
      <c r="J1868" s="2" t="s">
        <v>448</v>
      </c>
      <c r="K1868" s="8">
        <v>0.5</v>
      </c>
    </row>
    <row r="1869" spans="1:11" hidden="1">
      <c r="A1869" s="386"/>
      <c r="I1869"/>
      <c r="J1869" s="4"/>
      <c r="K1869" s="5" t="s">
        <v>1667</v>
      </c>
    </row>
    <row r="1870" spans="1:11" hidden="1">
      <c r="A1870" s="386"/>
      <c r="H1870" s="244" t="s">
        <v>1834</v>
      </c>
      <c r="I1870"/>
      <c r="J1870" s="4"/>
      <c r="K1870" s="8">
        <f>SUM(K1858:K1868)</f>
        <v>1285.5</v>
      </c>
    </row>
    <row r="1871" spans="1:11" hidden="1">
      <c r="A1871" s="386"/>
      <c r="I1871"/>
      <c r="J1871" s="4"/>
      <c r="K1871" s="5" t="s">
        <v>1667</v>
      </c>
    </row>
    <row r="1872" spans="1:11" hidden="1">
      <c r="A1872" s="386"/>
      <c r="F1872" s="354" t="s">
        <v>1462</v>
      </c>
      <c r="H1872" s="244" t="s">
        <v>1463</v>
      </c>
      <c r="I1872"/>
      <c r="J1872" s="4"/>
      <c r="K1872" s="1" t="s">
        <v>2792</v>
      </c>
    </row>
    <row r="1873" spans="1:11" hidden="1">
      <c r="A1873" s="386"/>
      <c r="I1873"/>
      <c r="J1873" s="4"/>
      <c r="K1873"/>
    </row>
    <row r="1874" spans="1:11" hidden="1">
      <c r="A1874" s="386"/>
      <c r="F1874" s="354" t="s">
        <v>1464</v>
      </c>
      <c r="H1874" s="244" t="s">
        <v>2793</v>
      </c>
      <c r="I1874"/>
      <c r="J1874" s="4"/>
      <c r="K1874" s="1" t="s">
        <v>2794</v>
      </c>
    </row>
    <row r="1875" spans="1:11" hidden="1">
      <c r="A1875" s="386"/>
      <c r="F1875" s="354"/>
      <c r="H1875" s="244"/>
      <c r="I1875"/>
      <c r="J1875" s="4"/>
      <c r="K1875" s="1"/>
    </row>
    <row r="1876" spans="1:11" hidden="1">
      <c r="A1876" s="386"/>
      <c r="F1876" s="360">
        <v>54</v>
      </c>
      <c r="G1876" s="250" t="s">
        <v>2338</v>
      </c>
      <c r="H1876" s="244" t="s">
        <v>1186</v>
      </c>
      <c r="I1876"/>
      <c r="J1876" s="2" t="s">
        <v>1458</v>
      </c>
      <c r="K1876" s="8">
        <v>140</v>
      </c>
    </row>
    <row r="1877" spans="1:11" hidden="1">
      <c r="A1877" s="386"/>
      <c r="I1877"/>
      <c r="J1877" s="4"/>
      <c r="K1877" s="5" t="s">
        <v>2130</v>
      </c>
    </row>
    <row r="1878" spans="1:11" hidden="1">
      <c r="A1878" s="386"/>
      <c r="I1878"/>
      <c r="J1878" s="4"/>
      <c r="K1878"/>
    </row>
    <row r="1879" spans="1:11" hidden="1">
      <c r="A1879" s="386"/>
      <c r="F1879" s="364">
        <v>54.1</v>
      </c>
      <c r="G1879" s="250" t="s">
        <v>2338</v>
      </c>
      <c r="H1879" s="244" t="s">
        <v>1352</v>
      </c>
      <c r="I1879"/>
      <c r="J1879" s="2" t="s">
        <v>1458</v>
      </c>
      <c r="K1879" s="8">
        <v>240</v>
      </c>
    </row>
    <row r="1880" spans="1:11" hidden="1">
      <c r="A1880" s="386"/>
      <c r="I1880"/>
      <c r="J1880" s="4"/>
      <c r="K1880" s="5" t="s">
        <v>2130</v>
      </c>
    </row>
    <row r="1881" spans="1:11" hidden="1">
      <c r="A1881" s="386"/>
      <c r="I1881"/>
      <c r="J1881" s="4"/>
      <c r="K1881"/>
    </row>
    <row r="1882" spans="1:11" hidden="1">
      <c r="A1882" s="386"/>
      <c r="F1882" s="364">
        <v>54.2</v>
      </c>
      <c r="G1882" s="250" t="s">
        <v>2338</v>
      </c>
      <c r="H1882" s="244" t="s">
        <v>953</v>
      </c>
      <c r="I1882"/>
      <c r="J1882" s="2" t="s">
        <v>1458</v>
      </c>
      <c r="K1882" s="8">
        <v>270</v>
      </c>
    </row>
    <row r="1883" spans="1:11" hidden="1">
      <c r="A1883" s="386"/>
      <c r="I1883"/>
      <c r="J1883" s="4"/>
      <c r="K1883" s="5" t="s">
        <v>2130</v>
      </c>
    </row>
    <row r="1884" spans="1:11" hidden="1">
      <c r="A1884" s="386"/>
      <c r="I1884"/>
      <c r="J1884" s="4"/>
      <c r="K1884"/>
    </row>
    <row r="1885" spans="1:11" hidden="1">
      <c r="A1885" s="386"/>
      <c r="F1885" s="354" t="s">
        <v>1187</v>
      </c>
      <c r="G1885" s="250" t="s">
        <v>2338</v>
      </c>
      <c r="H1885" s="244" t="s">
        <v>85</v>
      </c>
      <c r="I1885"/>
      <c r="J1885" s="4"/>
      <c r="K1885"/>
    </row>
    <row r="1886" spans="1:11" hidden="1">
      <c r="A1886" s="386"/>
      <c r="H1886" s="244" t="s">
        <v>1139</v>
      </c>
      <c r="I1886"/>
      <c r="J1886" s="4"/>
      <c r="K1886"/>
    </row>
    <row r="1887" spans="1:11" hidden="1">
      <c r="A1887" s="386"/>
      <c r="H1887" s="244" t="s">
        <v>1140</v>
      </c>
      <c r="I1887"/>
      <c r="J1887" s="4"/>
      <c r="K1887"/>
    </row>
    <row r="1888" spans="1:11" hidden="1">
      <c r="A1888" s="386"/>
      <c r="H1888" s="244" t="s">
        <v>1141</v>
      </c>
      <c r="I1888"/>
      <c r="J1888" s="4"/>
      <c r="K1888"/>
    </row>
    <row r="1889" spans="1:22" hidden="1">
      <c r="A1889" s="386"/>
      <c r="H1889" s="248" t="s">
        <v>1667</v>
      </c>
      <c r="I1889"/>
      <c r="J1889" s="4"/>
      <c r="K1889"/>
    </row>
    <row r="1890" spans="1:22" hidden="1">
      <c r="A1890" s="386"/>
      <c r="F1890" s="251">
        <v>1</v>
      </c>
      <c r="G1890" s="250" t="s">
        <v>883</v>
      </c>
      <c r="H1890" s="244" t="s">
        <v>720</v>
      </c>
      <c r="I1890" s="8">
        <f>(C200)</f>
        <v>750</v>
      </c>
      <c r="J1890" s="2" t="s">
        <v>883</v>
      </c>
      <c r="K1890" s="8">
        <f t="shared" ref="K1890:K1896" si="68">(F1890*I1890)</f>
        <v>750</v>
      </c>
    </row>
    <row r="1891" spans="1:22" hidden="1">
      <c r="A1891" s="386"/>
      <c r="F1891" s="251">
        <v>0.65</v>
      </c>
      <c r="G1891" s="250" t="s">
        <v>884</v>
      </c>
      <c r="H1891" s="244" t="s">
        <v>247</v>
      </c>
      <c r="I1891" s="8">
        <f>(C61*2)</f>
        <v>50</v>
      </c>
      <c r="J1891" s="2" t="s">
        <v>884</v>
      </c>
      <c r="K1891" s="8">
        <f t="shared" si="68"/>
        <v>32.5</v>
      </c>
    </row>
    <row r="1892" spans="1:22" hidden="1">
      <c r="A1892" s="386"/>
      <c r="F1892" s="251">
        <v>0.56999999999999995</v>
      </c>
      <c r="G1892" s="250" t="s">
        <v>884</v>
      </c>
      <c r="H1892" s="244" t="s">
        <v>248</v>
      </c>
      <c r="I1892" s="8">
        <f>(C26)</f>
        <v>8.8000000000000007</v>
      </c>
      <c r="J1892" s="2" t="s">
        <v>884</v>
      </c>
      <c r="K1892" s="8">
        <f t="shared" si="68"/>
        <v>5.0199999999999996</v>
      </c>
    </row>
    <row r="1893" spans="1:22" hidden="1">
      <c r="A1893" s="386"/>
      <c r="F1893" s="363">
        <v>8.1000000000000003E-2</v>
      </c>
      <c r="G1893" s="250" t="s">
        <v>884</v>
      </c>
      <c r="H1893" s="244" t="s">
        <v>249</v>
      </c>
      <c r="I1893" s="8" t="e">
        <f>(R60)</f>
        <v>#REF!</v>
      </c>
      <c r="J1893" s="2" t="s">
        <v>884</v>
      </c>
      <c r="K1893" s="8" t="e">
        <f t="shared" si="68"/>
        <v>#REF!</v>
      </c>
    </row>
    <row r="1894" spans="1:22" hidden="1">
      <c r="A1894" s="386"/>
      <c r="F1894" s="251">
        <v>1</v>
      </c>
      <c r="G1894" s="250" t="s">
        <v>883</v>
      </c>
      <c r="H1894" s="244" t="s">
        <v>2176</v>
      </c>
      <c r="I1894" s="8">
        <f>(C15)</f>
        <v>130</v>
      </c>
      <c r="J1894" s="2" t="s">
        <v>883</v>
      </c>
      <c r="K1894" s="8">
        <f t="shared" si="68"/>
        <v>130</v>
      </c>
    </row>
    <row r="1895" spans="1:22" hidden="1">
      <c r="A1895" s="386"/>
      <c r="F1895" s="251">
        <v>0.5</v>
      </c>
      <c r="G1895" s="250" t="s">
        <v>883</v>
      </c>
      <c r="H1895" s="244" t="s">
        <v>1791</v>
      </c>
      <c r="I1895" s="8">
        <f>(C11)</f>
        <v>135</v>
      </c>
      <c r="J1895" s="2" t="s">
        <v>883</v>
      </c>
      <c r="K1895" s="8">
        <f t="shared" si="68"/>
        <v>67.5</v>
      </c>
    </row>
    <row r="1896" spans="1:22" hidden="1">
      <c r="A1896" s="386"/>
      <c r="F1896" s="251">
        <v>0.5</v>
      </c>
      <c r="G1896" s="250" t="s">
        <v>883</v>
      </c>
      <c r="H1896" s="244" t="s">
        <v>1979</v>
      </c>
      <c r="I1896" s="8">
        <f>(C12)</f>
        <v>95</v>
      </c>
      <c r="J1896" s="2" t="s">
        <v>883</v>
      </c>
      <c r="K1896" s="8">
        <f t="shared" si="68"/>
        <v>47.5</v>
      </c>
    </row>
    <row r="1897" spans="1:22" hidden="1">
      <c r="A1897" s="386"/>
      <c r="G1897" s="250" t="s">
        <v>448</v>
      </c>
      <c r="H1897" s="244" t="s">
        <v>449</v>
      </c>
      <c r="I1897" s="1" t="s">
        <v>995</v>
      </c>
      <c r="J1897" s="2" t="s">
        <v>448</v>
      </c>
      <c r="K1897" s="8">
        <v>0</v>
      </c>
    </row>
    <row r="1898" spans="1:22" hidden="1">
      <c r="A1898" s="386"/>
      <c r="I1898"/>
      <c r="J1898" s="4"/>
      <c r="K1898" s="5" t="s">
        <v>1667</v>
      </c>
    </row>
    <row r="1899" spans="1:22" hidden="1">
      <c r="A1899" s="386"/>
      <c r="H1899" s="244" t="s">
        <v>1834</v>
      </c>
      <c r="I1899"/>
      <c r="J1899" s="4"/>
      <c r="K1899" s="8" t="e">
        <f>SUM(K1890:K1897)</f>
        <v>#REF!</v>
      </c>
    </row>
    <row r="1900" spans="1:22" hidden="1">
      <c r="A1900" s="386"/>
      <c r="I1900"/>
      <c r="J1900" s="4"/>
      <c r="K1900" s="5" t="s">
        <v>2130</v>
      </c>
    </row>
    <row r="1901" spans="1:22" hidden="1">
      <c r="A1901" s="386"/>
      <c r="G1901" s="250" t="s">
        <v>995</v>
      </c>
      <c r="H1901" s="244" t="s">
        <v>995</v>
      </c>
      <c r="I1901"/>
      <c r="J1901" s="4"/>
      <c r="K1901" s="1" t="s">
        <v>995</v>
      </c>
    </row>
    <row r="1902" spans="1:22" hidden="1">
      <c r="A1902" s="386"/>
      <c r="I1902"/>
      <c r="J1902" s="2" t="s">
        <v>995</v>
      </c>
      <c r="K1902" s="1" t="s">
        <v>995</v>
      </c>
    </row>
    <row r="1903" spans="1:22" hidden="1">
      <c r="A1903" s="386"/>
      <c r="F1903" s="354" t="s">
        <v>250</v>
      </c>
      <c r="G1903" s="250" t="s">
        <v>2338</v>
      </c>
      <c r="H1903" s="244" t="s">
        <v>85</v>
      </c>
      <c r="I1903"/>
      <c r="J1903" s="4"/>
      <c r="K1903"/>
    </row>
    <row r="1904" spans="1:22" hidden="1">
      <c r="A1904" s="386"/>
      <c r="H1904" s="244" t="s">
        <v>1139</v>
      </c>
      <c r="I1904"/>
      <c r="J1904" s="4"/>
      <c r="K1904"/>
      <c r="V1904" s="244" t="s">
        <v>1514</v>
      </c>
    </row>
    <row r="1905" spans="1:11" hidden="1">
      <c r="A1905" s="386"/>
      <c r="H1905" s="244" t="s">
        <v>1140</v>
      </c>
      <c r="I1905"/>
      <c r="J1905" s="4"/>
      <c r="K1905"/>
    </row>
    <row r="1906" spans="1:11" hidden="1">
      <c r="A1906" s="386"/>
      <c r="H1906" s="244" t="s">
        <v>251</v>
      </c>
      <c r="I1906"/>
      <c r="J1906" s="4"/>
      <c r="K1906"/>
    </row>
    <row r="1907" spans="1:11" hidden="1">
      <c r="A1907" s="386"/>
      <c r="H1907" s="248" t="s">
        <v>1667</v>
      </c>
      <c r="I1907"/>
      <c r="J1907" s="4"/>
      <c r="K1907"/>
    </row>
    <row r="1908" spans="1:11" hidden="1">
      <c r="A1908" s="386"/>
      <c r="F1908" s="251">
        <v>1</v>
      </c>
      <c r="G1908" s="250" t="s">
        <v>883</v>
      </c>
      <c r="H1908" s="244" t="s">
        <v>720</v>
      </c>
      <c r="I1908" s="8">
        <f>(C200)</f>
        <v>750</v>
      </c>
      <c r="J1908" s="2" t="s">
        <v>883</v>
      </c>
      <c r="K1908" s="8">
        <f>(F1908*I1908)</f>
        <v>750</v>
      </c>
    </row>
    <row r="1909" spans="1:11" hidden="1">
      <c r="A1909" s="386"/>
      <c r="F1909" s="363">
        <v>0.40500000000000003</v>
      </c>
      <c r="G1909" s="250" t="s">
        <v>884</v>
      </c>
      <c r="H1909" s="244" t="s">
        <v>2766</v>
      </c>
      <c r="I1909" s="8" t="e">
        <f>(K1262)</f>
        <v>#REF!</v>
      </c>
      <c r="J1909" s="2" t="s">
        <v>884</v>
      </c>
      <c r="K1909" s="8" t="e">
        <f>(F1909*I1909)</f>
        <v>#REF!</v>
      </c>
    </row>
    <row r="1910" spans="1:11" hidden="1">
      <c r="A1910" s="386"/>
      <c r="H1910" s="244" t="s">
        <v>1134</v>
      </c>
      <c r="I1910" s="1" t="s">
        <v>995</v>
      </c>
      <c r="J1910" s="4"/>
      <c r="K1910" s="1" t="s">
        <v>995</v>
      </c>
    </row>
    <row r="1911" spans="1:11" hidden="1">
      <c r="A1911" s="386"/>
      <c r="F1911" s="251">
        <v>1.89</v>
      </c>
      <c r="G1911" s="250" t="s">
        <v>611</v>
      </c>
      <c r="H1911" s="244" t="s">
        <v>263</v>
      </c>
      <c r="I1911" s="8" t="e">
        <f>(K1373)</f>
        <v>#REF!</v>
      </c>
      <c r="J1911" s="2" t="s">
        <v>611</v>
      </c>
      <c r="K1911" s="8" t="e">
        <f>(F1911*I1911)</f>
        <v>#REF!</v>
      </c>
    </row>
    <row r="1912" spans="1:11" hidden="1">
      <c r="A1912" s="386"/>
      <c r="H1912" s="244" t="s">
        <v>264</v>
      </c>
      <c r="I1912" s="1" t="s">
        <v>995</v>
      </c>
      <c r="J1912" s="4"/>
      <c r="K1912" s="1" t="s">
        <v>995</v>
      </c>
    </row>
    <row r="1913" spans="1:11" hidden="1">
      <c r="A1913" s="386"/>
      <c r="F1913" s="363">
        <v>8.1000000000000003E-2</v>
      </c>
      <c r="G1913" s="250" t="s">
        <v>884</v>
      </c>
      <c r="H1913" s="244" t="s">
        <v>265</v>
      </c>
      <c r="I1913" s="8" t="e">
        <f>(R60)</f>
        <v>#REF!</v>
      </c>
      <c r="J1913" s="2" t="s">
        <v>884</v>
      </c>
      <c r="K1913" s="8" t="e">
        <f>(F1913*I1913)</f>
        <v>#REF!</v>
      </c>
    </row>
    <row r="1914" spans="1:11" hidden="1">
      <c r="A1914" s="386"/>
      <c r="H1914" s="244" t="s">
        <v>266</v>
      </c>
      <c r="I1914"/>
      <c r="J1914" s="4"/>
      <c r="K1914"/>
    </row>
    <row r="1915" spans="1:11" hidden="1">
      <c r="A1915" s="386"/>
      <c r="F1915" s="251">
        <v>1</v>
      </c>
      <c r="G1915" s="250" t="s">
        <v>781</v>
      </c>
      <c r="H1915" s="244" t="s">
        <v>2176</v>
      </c>
      <c r="I1915" s="8">
        <f>(C15)</f>
        <v>130</v>
      </c>
      <c r="J1915" s="2" t="s">
        <v>781</v>
      </c>
      <c r="K1915" s="8">
        <f>(F1915*I1915)</f>
        <v>130</v>
      </c>
    </row>
    <row r="1916" spans="1:11" hidden="1">
      <c r="A1916" s="386"/>
      <c r="F1916" s="251">
        <v>0.5</v>
      </c>
      <c r="G1916" s="250" t="s">
        <v>883</v>
      </c>
      <c r="H1916" s="244" t="s">
        <v>1791</v>
      </c>
      <c r="I1916" s="8">
        <f>(C11)</f>
        <v>135</v>
      </c>
      <c r="J1916" s="2" t="s">
        <v>883</v>
      </c>
      <c r="K1916" s="8">
        <f>(F1916*I1916)</f>
        <v>67.5</v>
      </c>
    </row>
    <row r="1917" spans="1:11" hidden="1">
      <c r="A1917" s="386"/>
      <c r="F1917" s="251">
        <v>0.5</v>
      </c>
      <c r="G1917" s="250" t="s">
        <v>883</v>
      </c>
      <c r="H1917" s="244" t="s">
        <v>1979</v>
      </c>
      <c r="I1917" s="8">
        <f>(C12)</f>
        <v>95</v>
      </c>
      <c r="J1917" s="2" t="s">
        <v>883</v>
      </c>
      <c r="K1917" s="8">
        <f>(F1917*I1917)</f>
        <v>47.5</v>
      </c>
    </row>
    <row r="1918" spans="1:11" hidden="1">
      <c r="A1918" s="386"/>
      <c r="G1918" s="250" t="s">
        <v>448</v>
      </c>
      <c r="H1918" s="244" t="s">
        <v>449</v>
      </c>
      <c r="I1918" s="1" t="s">
        <v>995</v>
      </c>
      <c r="J1918" s="2" t="s">
        <v>448</v>
      </c>
      <c r="K1918" s="8">
        <v>0</v>
      </c>
    </row>
    <row r="1919" spans="1:11" hidden="1">
      <c r="A1919" s="386"/>
      <c r="H1919" s="244" t="s">
        <v>995</v>
      </c>
      <c r="I1919"/>
      <c r="J1919" s="4"/>
      <c r="K1919" s="5" t="s">
        <v>1667</v>
      </c>
    </row>
    <row r="1920" spans="1:11" hidden="1">
      <c r="A1920" s="386"/>
      <c r="H1920" s="244" t="s">
        <v>1834</v>
      </c>
      <c r="I1920"/>
      <c r="J1920" s="4"/>
      <c r="K1920" s="8" t="e">
        <f>SUM(K1908:K1918)</f>
        <v>#REF!</v>
      </c>
    </row>
    <row r="1921" spans="1:11" hidden="1">
      <c r="A1921" s="386"/>
      <c r="I1921"/>
      <c r="J1921" s="4"/>
      <c r="K1921" s="5" t="s">
        <v>2130</v>
      </c>
    </row>
    <row r="1922" spans="1:11" hidden="1">
      <c r="A1922" s="386"/>
      <c r="G1922" s="250" t="s">
        <v>995</v>
      </c>
      <c r="H1922" s="244" t="s">
        <v>995</v>
      </c>
      <c r="I1922"/>
      <c r="J1922" s="4"/>
      <c r="K1922" s="1" t="s">
        <v>995</v>
      </c>
    </row>
    <row r="1923" spans="1:11" hidden="1">
      <c r="A1923" s="386"/>
      <c r="I1923"/>
      <c r="J1923" s="2" t="s">
        <v>995</v>
      </c>
      <c r="K1923" s="1" t="s">
        <v>246</v>
      </c>
    </row>
    <row r="1924" spans="1:11" hidden="1">
      <c r="A1924" s="386"/>
      <c r="F1924" s="360">
        <v>57</v>
      </c>
      <c r="G1924" s="250" t="s">
        <v>2338</v>
      </c>
      <c r="H1924" s="244" t="s">
        <v>256</v>
      </c>
      <c r="I1924"/>
      <c r="J1924" s="4"/>
      <c r="K1924"/>
    </row>
    <row r="1925" spans="1:11" hidden="1">
      <c r="A1925" s="386"/>
      <c r="H1925" s="244" t="s">
        <v>204</v>
      </c>
      <c r="I1925"/>
      <c r="J1925" s="4"/>
      <c r="K1925"/>
    </row>
    <row r="1926" spans="1:11" hidden="1">
      <c r="A1926" s="386"/>
      <c r="H1926" s="244" t="s">
        <v>1855</v>
      </c>
      <c r="I1926"/>
      <c r="J1926" s="4"/>
      <c r="K1926"/>
    </row>
    <row r="1927" spans="1:11" hidden="1">
      <c r="A1927" s="386"/>
      <c r="H1927" s="248" t="s">
        <v>1667</v>
      </c>
      <c r="I1927"/>
      <c r="J1927" s="4"/>
      <c r="K1927"/>
    </row>
    <row r="1928" spans="1:11" ht="95.25" hidden="1" customHeight="1">
      <c r="A1928" s="386"/>
      <c r="F1928" s="395">
        <v>1</v>
      </c>
      <c r="G1928" s="395" t="s">
        <v>799</v>
      </c>
      <c r="H1928" s="368" t="s">
        <v>1166</v>
      </c>
      <c r="I1928" s="23">
        <f>C591</f>
        <v>1700</v>
      </c>
      <c r="J1928" s="396" t="s">
        <v>799</v>
      </c>
      <c r="K1928" s="23">
        <f>(F1928*I1928)</f>
        <v>1700</v>
      </c>
    </row>
    <row r="1929" spans="1:11" hidden="1">
      <c r="A1929" s="386"/>
      <c r="F1929" s="251"/>
      <c r="G1929" s="250"/>
      <c r="H1929" s="397" t="s">
        <v>1208</v>
      </c>
      <c r="I1929" s="8"/>
      <c r="J1929" s="2"/>
      <c r="K1929" s="8"/>
    </row>
    <row r="1930" spans="1:11" hidden="1">
      <c r="A1930" s="386"/>
      <c r="F1930" s="251">
        <v>1</v>
      </c>
      <c r="G1930" s="250" t="s">
        <v>883</v>
      </c>
      <c r="H1930" s="244" t="s">
        <v>2082</v>
      </c>
      <c r="I1930" s="8">
        <f>(C10)</f>
        <v>150</v>
      </c>
      <c r="J1930" s="2" t="s">
        <v>883</v>
      </c>
      <c r="K1930" s="8">
        <f>(F1930*I1930)</f>
        <v>150</v>
      </c>
    </row>
    <row r="1931" spans="1:11" hidden="1">
      <c r="A1931" s="386"/>
      <c r="F1931" s="251">
        <v>2</v>
      </c>
      <c r="G1931" s="250" t="s">
        <v>883</v>
      </c>
      <c r="H1931" s="244" t="s">
        <v>2176</v>
      </c>
      <c r="I1931" s="8">
        <f>(C15)</f>
        <v>130</v>
      </c>
      <c r="J1931" s="2" t="s">
        <v>883</v>
      </c>
      <c r="K1931" s="8">
        <f>(F1931*I1931)</f>
        <v>260</v>
      </c>
    </row>
    <row r="1932" spans="1:11" hidden="1">
      <c r="A1932" s="386"/>
      <c r="F1932" s="251">
        <v>1</v>
      </c>
      <c r="G1932" s="250" t="s">
        <v>883</v>
      </c>
      <c r="H1932" s="244" t="s">
        <v>324</v>
      </c>
      <c r="I1932" s="8">
        <f>(C13)</f>
        <v>85</v>
      </c>
      <c r="J1932" s="2" t="s">
        <v>883</v>
      </c>
      <c r="K1932" s="8">
        <f>(F1932*I1932)</f>
        <v>85</v>
      </c>
    </row>
    <row r="1933" spans="1:11" hidden="1">
      <c r="A1933" s="386"/>
      <c r="F1933" s="251"/>
      <c r="G1933" s="250"/>
      <c r="H1933" s="397" t="s">
        <v>721</v>
      </c>
      <c r="I1933" s="8"/>
      <c r="J1933" s="2"/>
      <c r="K1933" s="8"/>
    </row>
    <row r="1934" spans="1:11" hidden="1">
      <c r="A1934" s="386"/>
      <c r="F1934" s="251">
        <v>0.5</v>
      </c>
      <c r="G1934" s="250" t="s">
        <v>883</v>
      </c>
      <c r="H1934" s="244" t="s">
        <v>2176</v>
      </c>
      <c r="I1934" s="8">
        <f>(C15)</f>
        <v>130</v>
      </c>
      <c r="J1934" s="2" t="s">
        <v>883</v>
      </c>
      <c r="K1934" s="8">
        <f>(F1934*I1934)</f>
        <v>65</v>
      </c>
    </row>
    <row r="1935" spans="1:11" hidden="1">
      <c r="A1935" s="386"/>
      <c r="F1935" s="251">
        <v>0.5</v>
      </c>
      <c r="G1935" s="250" t="s">
        <v>883</v>
      </c>
      <c r="H1935" s="244" t="s">
        <v>1979</v>
      </c>
      <c r="I1935" s="8">
        <f>(C12)</f>
        <v>95</v>
      </c>
      <c r="J1935" s="2" t="s">
        <v>883</v>
      </c>
      <c r="K1935" s="8">
        <f>(F1935*I1935)</f>
        <v>47.5</v>
      </c>
    </row>
    <row r="1936" spans="1:11" hidden="1">
      <c r="A1936" s="386"/>
      <c r="G1936" s="250" t="s">
        <v>448</v>
      </c>
      <c r="H1936" s="244" t="s">
        <v>449</v>
      </c>
      <c r="I1936"/>
      <c r="J1936" s="2" t="s">
        <v>448</v>
      </c>
      <c r="K1936" s="8">
        <v>0</v>
      </c>
    </row>
    <row r="1937" spans="1:11" hidden="1">
      <c r="A1937" s="386"/>
      <c r="I1937"/>
      <c r="J1937" s="4"/>
      <c r="K1937" s="5" t="s">
        <v>1667</v>
      </c>
    </row>
    <row r="1938" spans="1:11" hidden="1">
      <c r="A1938" s="386"/>
      <c r="H1938" s="244" t="s">
        <v>1834</v>
      </c>
      <c r="I1938"/>
      <c r="J1938" s="4"/>
      <c r="K1938" s="8">
        <f>SUM(K1928:K1936)</f>
        <v>2307.5</v>
      </c>
    </row>
    <row r="1939" spans="1:11" hidden="1">
      <c r="A1939" s="386"/>
      <c r="F1939" s="244" t="s">
        <v>995</v>
      </c>
      <c r="I1939"/>
      <c r="J1939" s="4"/>
      <c r="K1939"/>
    </row>
    <row r="1940" spans="1:11" hidden="1">
      <c r="A1940" s="386"/>
      <c r="I1940"/>
      <c r="J1940" s="4"/>
      <c r="K1940" s="5" t="s">
        <v>1667</v>
      </c>
    </row>
    <row r="1941" spans="1:11" hidden="1">
      <c r="A1941" s="386"/>
      <c r="G1941" s="250" t="s">
        <v>995</v>
      </c>
      <c r="H1941" s="244" t="s">
        <v>995</v>
      </c>
      <c r="I1941"/>
      <c r="J1941" s="4"/>
      <c r="K1941" s="1" t="s">
        <v>995</v>
      </c>
    </row>
    <row r="1942" spans="1:11" hidden="1">
      <c r="A1942" s="386"/>
      <c r="H1942" s="244" t="s">
        <v>995</v>
      </c>
      <c r="I1942"/>
      <c r="J1942" s="4"/>
      <c r="K1942"/>
    </row>
    <row r="1943" spans="1:11" hidden="1">
      <c r="A1943" s="386"/>
      <c r="F1943" s="364">
        <v>57.1</v>
      </c>
      <c r="G1943" s="250" t="s">
        <v>2338</v>
      </c>
      <c r="H1943" s="244" t="s">
        <v>1639</v>
      </c>
      <c r="I1943"/>
      <c r="J1943" s="4"/>
      <c r="K1943"/>
    </row>
    <row r="1944" spans="1:11" hidden="1">
      <c r="A1944" s="386"/>
      <c r="H1944" s="244" t="s">
        <v>204</v>
      </c>
      <c r="I1944"/>
      <c r="J1944" s="4"/>
      <c r="K1944"/>
    </row>
    <row r="1945" spans="1:11" hidden="1">
      <c r="A1945" s="386"/>
      <c r="H1945" s="244" t="s">
        <v>1855</v>
      </c>
      <c r="I1945"/>
      <c r="J1945" s="4"/>
      <c r="K1945"/>
    </row>
    <row r="1946" spans="1:11" hidden="1">
      <c r="A1946" s="386"/>
      <c r="H1946" s="248" t="s">
        <v>1667</v>
      </c>
      <c r="I1946"/>
      <c r="J1946" s="4"/>
      <c r="K1946"/>
    </row>
    <row r="1947" spans="1:11" ht="78.75" hidden="1">
      <c r="A1947" s="386"/>
      <c r="F1947" s="395">
        <v>1</v>
      </c>
      <c r="G1947" s="395" t="s">
        <v>799</v>
      </c>
      <c r="H1947" s="368" t="s">
        <v>1166</v>
      </c>
      <c r="I1947">
        <f>E591</f>
        <v>2000</v>
      </c>
      <c r="J1947" s="396" t="s">
        <v>799</v>
      </c>
      <c r="K1947" s="23">
        <f>(F1947*I1947)</f>
        <v>2000</v>
      </c>
    </row>
    <row r="1948" spans="1:11" hidden="1">
      <c r="A1948" s="386"/>
      <c r="F1948" s="251"/>
      <c r="G1948" s="250"/>
      <c r="H1948" s="397" t="s">
        <v>1208</v>
      </c>
      <c r="I1948"/>
      <c r="J1948" s="2"/>
      <c r="K1948" s="8"/>
    </row>
    <row r="1949" spans="1:11" hidden="1">
      <c r="A1949" s="386"/>
      <c r="F1949" s="251">
        <v>1</v>
      </c>
      <c r="G1949" s="250" t="s">
        <v>883</v>
      </c>
      <c r="H1949" s="244" t="s">
        <v>2082</v>
      </c>
      <c r="I1949">
        <f>C10</f>
        <v>150</v>
      </c>
      <c r="J1949" s="2" t="s">
        <v>883</v>
      </c>
      <c r="K1949" s="8">
        <f>(F1949*I1949)</f>
        <v>150</v>
      </c>
    </row>
    <row r="1950" spans="1:11" hidden="1">
      <c r="A1950" s="386"/>
      <c r="F1950" s="251">
        <v>2</v>
      </c>
      <c r="G1950" s="250" t="s">
        <v>883</v>
      </c>
      <c r="H1950" s="244" t="s">
        <v>2176</v>
      </c>
      <c r="I1950">
        <f>C15</f>
        <v>130</v>
      </c>
      <c r="J1950" s="2" t="s">
        <v>883</v>
      </c>
      <c r="K1950" s="8">
        <f>(F1950*I1950)</f>
        <v>260</v>
      </c>
    </row>
    <row r="1951" spans="1:11" hidden="1">
      <c r="A1951" s="386"/>
      <c r="F1951" s="251">
        <v>1</v>
      </c>
      <c r="G1951" s="250" t="s">
        <v>883</v>
      </c>
      <c r="H1951" s="244" t="s">
        <v>324</v>
      </c>
      <c r="I1951">
        <f>C13</f>
        <v>85</v>
      </c>
      <c r="J1951" s="2" t="s">
        <v>883</v>
      </c>
      <c r="K1951" s="8">
        <f>(F1951*I1951)</f>
        <v>85</v>
      </c>
    </row>
    <row r="1952" spans="1:11" hidden="1">
      <c r="A1952" s="386"/>
      <c r="F1952" s="251"/>
      <c r="G1952" s="250"/>
      <c r="H1952" s="397" t="s">
        <v>721</v>
      </c>
      <c r="I1952"/>
      <c r="J1952" s="2"/>
      <c r="K1952" s="8"/>
    </row>
    <row r="1953" spans="1:11" hidden="1">
      <c r="A1953" s="386"/>
      <c r="F1953" s="251">
        <v>0.5</v>
      </c>
      <c r="G1953" s="250" t="s">
        <v>883</v>
      </c>
      <c r="H1953" s="244" t="s">
        <v>2176</v>
      </c>
      <c r="I1953">
        <f>C15</f>
        <v>130</v>
      </c>
      <c r="J1953" s="2" t="s">
        <v>883</v>
      </c>
      <c r="K1953" s="8">
        <f>(F1953*I1953)</f>
        <v>65</v>
      </c>
    </row>
    <row r="1954" spans="1:11" hidden="1">
      <c r="A1954" s="386"/>
      <c r="F1954" s="251">
        <v>0.5</v>
      </c>
      <c r="G1954" s="250" t="s">
        <v>883</v>
      </c>
      <c r="H1954" s="244" t="s">
        <v>1979</v>
      </c>
      <c r="I1954">
        <f>C12</f>
        <v>95</v>
      </c>
      <c r="J1954" s="2" t="s">
        <v>883</v>
      </c>
      <c r="K1954" s="8">
        <f>(F1954*I1954)</f>
        <v>47.5</v>
      </c>
    </row>
    <row r="1955" spans="1:11" hidden="1">
      <c r="A1955" s="386"/>
      <c r="G1955" s="250" t="s">
        <v>448</v>
      </c>
      <c r="H1955" s="244" t="s">
        <v>449</v>
      </c>
      <c r="I1955"/>
      <c r="J1955" s="2" t="s">
        <v>448</v>
      </c>
      <c r="K1955" s="8">
        <v>0</v>
      </c>
    </row>
    <row r="1956" spans="1:11" hidden="1">
      <c r="A1956" s="386"/>
      <c r="I1956"/>
      <c r="J1956" s="4"/>
      <c r="K1956" s="5" t="s">
        <v>1667</v>
      </c>
    </row>
    <row r="1957" spans="1:11" hidden="1">
      <c r="A1957" s="386"/>
      <c r="H1957" s="244" t="s">
        <v>1834</v>
      </c>
      <c r="I1957"/>
      <c r="J1957" s="4"/>
      <c r="K1957" s="8">
        <f>SUM(K1947:K1955)</f>
        <v>2607.5</v>
      </c>
    </row>
    <row r="1958" spans="1:11" hidden="1">
      <c r="A1958" s="386"/>
      <c r="H1958" s="244"/>
      <c r="I1958"/>
      <c r="J1958" s="4"/>
      <c r="K1958"/>
    </row>
    <row r="1959" spans="1:11" hidden="1">
      <c r="A1959" s="386"/>
      <c r="H1959" s="244"/>
      <c r="I1959"/>
      <c r="J1959" s="4"/>
      <c r="K1959" s="5" t="s">
        <v>1667</v>
      </c>
    </row>
    <row r="1960" spans="1:11" hidden="1">
      <c r="A1960" s="386"/>
      <c r="H1960" s="244"/>
      <c r="I1960"/>
      <c r="J1960" s="4"/>
      <c r="K1960"/>
    </row>
    <row r="1961" spans="1:11" hidden="1">
      <c r="A1961" s="386"/>
      <c r="F1961" s="354" t="s">
        <v>722</v>
      </c>
      <c r="G1961" s="250" t="s">
        <v>2338</v>
      </c>
      <c r="H1961" s="244" t="s">
        <v>824</v>
      </c>
      <c r="I1961"/>
      <c r="J1961" s="4"/>
      <c r="K1961"/>
    </row>
    <row r="1962" spans="1:11" hidden="1">
      <c r="A1962" s="386"/>
      <c r="H1962" s="244" t="s">
        <v>166</v>
      </c>
      <c r="I1962"/>
      <c r="J1962" s="4"/>
      <c r="K1962"/>
    </row>
    <row r="1963" spans="1:11" hidden="1">
      <c r="A1963" s="386"/>
      <c r="H1963" s="248" t="s">
        <v>1667</v>
      </c>
      <c r="I1963"/>
      <c r="J1963" s="4"/>
      <c r="K1963"/>
    </row>
    <row r="1964" spans="1:11" hidden="1">
      <c r="A1964" s="386"/>
      <c r="G1964" s="250" t="s">
        <v>699</v>
      </c>
      <c r="H1964" s="244" t="s">
        <v>46</v>
      </c>
      <c r="I1964"/>
      <c r="J1964" s="4"/>
      <c r="K1964"/>
    </row>
    <row r="1965" spans="1:11" hidden="1">
      <c r="A1965" s="386"/>
      <c r="H1965" s="244" t="s">
        <v>2767</v>
      </c>
      <c r="I1965"/>
      <c r="J1965" s="4"/>
      <c r="K1965"/>
    </row>
    <row r="1966" spans="1:11" hidden="1">
      <c r="A1966" s="386"/>
      <c r="H1966" s="244" t="s">
        <v>965</v>
      </c>
      <c r="I1966"/>
      <c r="J1966" s="4"/>
      <c r="K1966"/>
    </row>
    <row r="1967" spans="1:11" hidden="1">
      <c r="A1967" s="386"/>
      <c r="H1967" s="244" t="s">
        <v>966</v>
      </c>
      <c r="I1967"/>
      <c r="J1967" s="4"/>
      <c r="K1967"/>
    </row>
    <row r="1968" spans="1:11" hidden="1">
      <c r="A1968" s="386"/>
      <c r="H1968" s="244" t="s">
        <v>2177</v>
      </c>
      <c r="I1968"/>
      <c r="J1968" s="4"/>
      <c r="K1968"/>
    </row>
    <row r="1969" spans="1:11" hidden="1">
      <c r="A1969" s="386"/>
      <c r="H1969" s="244" t="s">
        <v>2178</v>
      </c>
      <c r="I1969"/>
      <c r="J1969" s="4"/>
      <c r="K1969"/>
    </row>
    <row r="1970" spans="1:11" hidden="1">
      <c r="A1970" s="386"/>
      <c r="H1970" s="244" t="s">
        <v>2768</v>
      </c>
      <c r="I1970"/>
      <c r="J1970" s="4"/>
      <c r="K1970"/>
    </row>
    <row r="1971" spans="1:11" hidden="1">
      <c r="A1971" s="386"/>
      <c r="H1971" s="248" t="s">
        <v>1667</v>
      </c>
      <c r="I1971"/>
      <c r="J1971" s="4"/>
      <c r="K1971"/>
    </row>
    <row r="1972" spans="1:11" hidden="1">
      <c r="A1972" s="386"/>
      <c r="F1972" s="251">
        <v>3</v>
      </c>
      <c r="G1972" s="250" t="s">
        <v>1854</v>
      </c>
      <c r="H1972" s="244" t="s">
        <v>2179</v>
      </c>
      <c r="I1972" s="8">
        <f>(C598)</f>
        <v>120</v>
      </c>
      <c r="J1972" s="2" t="s">
        <v>1854</v>
      </c>
      <c r="K1972" s="8">
        <f t="shared" ref="K1972:K1978" si="69">(F1972*I1972)</f>
        <v>360</v>
      </c>
    </row>
    <row r="1973" spans="1:11" hidden="1">
      <c r="A1973" s="386"/>
      <c r="F1973" s="251">
        <v>1</v>
      </c>
      <c r="G1973" s="250" t="s">
        <v>781</v>
      </c>
      <c r="H1973" s="244" t="s">
        <v>680</v>
      </c>
      <c r="I1973" s="8">
        <f>C601</f>
        <v>65</v>
      </c>
      <c r="J1973" s="2" t="s">
        <v>1796</v>
      </c>
      <c r="K1973" s="8">
        <f t="shared" si="69"/>
        <v>65</v>
      </c>
    </row>
    <row r="1974" spans="1:11" hidden="1">
      <c r="A1974" s="386"/>
      <c r="F1974" s="251">
        <v>1</v>
      </c>
      <c r="G1974" s="250" t="s">
        <v>781</v>
      </c>
      <c r="H1974" s="244" t="s">
        <v>681</v>
      </c>
      <c r="I1974" s="8">
        <f>C626</f>
        <v>12</v>
      </c>
      <c r="J1974" s="2" t="s">
        <v>1796</v>
      </c>
      <c r="K1974" s="8">
        <f t="shared" si="69"/>
        <v>12</v>
      </c>
    </row>
    <row r="1975" spans="1:11" hidden="1">
      <c r="A1975" s="386"/>
      <c r="F1975" s="251">
        <v>1</v>
      </c>
      <c r="G1975" s="250" t="s">
        <v>781</v>
      </c>
      <c r="H1975" s="244" t="s">
        <v>1583</v>
      </c>
      <c r="I1975" s="8">
        <f>C623</f>
        <v>110</v>
      </c>
      <c r="J1975" s="2" t="s">
        <v>1796</v>
      </c>
      <c r="K1975" s="8">
        <f t="shared" si="69"/>
        <v>110</v>
      </c>
    </row>
    <row r="1976" spans="1:11" hidden="1">
      <c r="A1976" s="386"/>
      <c r="F1976" s="251">
        <v>0.5</v>
      </c>
      <c r="G1976" s="250" t="s">
        <v>883</v>
      </c>
      <c r="H1976" s="244" t="s">
        <v>2176</v>
      </c>
      <c r="I1976" s="8">
        <f>(C15)</f>
        <v>130</v>
      </c>
      <c r="J1976" s="2" t="s">
        <v>1796</v>
      </c>
      <c r="K1976" s="8">
        <f t="shared" si="69"/>
        <v>65</v>
      </c>
    </row>
    <row r="1977" spans="1:11" hidden="1">
      <c r="A1977" s="386"/>
      <c r="F1977" s="251">
        <v>0.5</v>
      </c>
      <c r="G1977" s="250" t="s">
        <v>883</v>
      </c>
      <c r="H1977" s="244" t="s">
        <v>1791</v>
      </c>
      <c r="I1977" s="8">
        <f>(C11)</f>
        <v>135</v>
      </c>
      <c r="J1977" s="2" t="s">
        <v>1796</v>
      </c>
      <c r="K1977" s="8">
        <f t="shared" si="69"/>
        <v>67.5</v>
      </c>
    </row>
    <row r="1978" spans="1:11" hidden="1">
      <c r="A1978" s="386"/>
      <c r="F1978" s="251">
        <v>0.5</v>
      </c>
      <c r="G1978" s="250" t="s">
        <v>883</v>
      </c>
      <c r="H1978" s="244" t="s">
        <v>1979</v>
      </c>
      <c r="I1978" s="8">
        <f>(C12)</f>
        <v>95</v>
      </c>
      <c r="J1978" s="2" t="s">
        <v>1796</v>
      </c>
      <c r="K1978" s="8">
        <f t="shared" si="69"/>
        <v>47.5</v>
      </c>
    </row>
    <row r="1979" spans="1:11" hidden="1">
      <c r="A1979" s="386"/>
      <c r="G1979" s="250" t="s">
        <v>448</v>
      </c>
      <c r="H1979" s="244" t="s">
        <v>1584</v>
      </c>
      <c r="I1979" s="8">
        <v>2.79</v>
      </c>
      <c r="J1979" s="2" t="s">
        <v>448</v>
      </c>
      <c r="K1979" s="8">
        <v>2.79</v>
      </c>
    </row>
    <row r="1980" spans="1:11" hidden="1">
      <c r="A1980" s="386"/>
      <c r="H1980" s="244" t="s">
        <v>87</v>
      </c>
      <c r="I1980"/>
      <c r="J1980" s="4"/>
      <c r="K1980"/>
    </row>
    <row r="1981" spans="1:11" hidden="1">
      <c r="A1981" s="386"/>
      <c r="H1981" s="244" t="s">
        <v>191</v>
      </c>
      <c r="I1981"/>
      <c r="J1981" s="4"/>
      <c r="K1981"/>
    </row>
    <row r="1982" spans="1:11" hidden="1">
      <c r="A1982" s="386"/>
      <c r="H1982" s="244" t="s">
        <v>745</v>
      </c>
      <c r="I1982"/>
      <c r="J1982" s="2" t="s">
        <v>448</v>
      </c>
      <c r="K1982" s="8">
        <v>0</v>
      </c>
    </row>
    <row r="1983" spans="1:11" hidden="1">
      <c r="A1983" s="386"/>
      <c r="I1983"/>
      <c r="J1983" s="4"/>
      <c r="K1983" s="5" t="s">
        <v>1667</v>
      </c>
    </row>
    <row r="1984" spans="1:11" hidden="1">
      <c r="A1984" s="386"/>
      <c r="H1984" s="244" t="s">
        <v>1375</v>
      </c>
      <c r="I1984"/>
      <c r="J1984" s="4"/>
      <c r="K1984" s="8">
        <f>SUM(K1972:K1982)</f>
        <v>729.79</v>
      </c>
    </row>
    <row r="1985" spans="1:11" hidden="1">
      <c r="A1985" s="386"/>
      <c r="I1985"/>
      <c r="J1985" s="4"/>
      <c r="K1985" s="5" t="s">
        <v>1667</v>
      </c>
    </row>
    <row r="1986" spans="1:11" hidden="1">
      <c r="A1986" s="386"/>
      <c r="H1986" s="244" t="s">
        <v>1622</v>
      </c>
      <c r="I1986"/>
      <c r="J1986" s="4"/>
      <c r="K1986" s="8">
        <f>(K1984/3)</f>
        <v>243.26</v>
      </c>
    </row>
    <row r="1987" spans="1:11" hidden="1">
      <c r="A1987" s="386"/>
      <c r="I1987"/>
      <c r="J1987" s="4"/>
      <c r="K1987" s="5" t="s">
        <v>1667</v>
      </c>
    </row>
    <row r="1988" spans="1:11" hidden="1">
      <c r="A1988" s="386"/>
      <c r="F1988" s="354" t="s">
        <v>746</v>
      </c>
      <c r="G1988" s="250" t="s">
        <v>287</v>
      </c>
      <c r="H1988" s="244" t="s">
        <v>747</v>
      </c>
      <c r="I1988"/>
      <c r="J1988" s="4"/>
      <c r="K1988"/>
    </row>
    <row r="1989" spans="1:11" hidden="1">
      <c r="A1989" s="386"/>
      <c r="H1989" s="244" t="s">
        <v>3556</v>
      </c>
      <c r="I1989"/>
      <c r="J1989" s="4"/>
      <c r="K1989"/>
    </row>
    <row r="1990" spans="1:11" hidden="1">
      <c r="A1990" s="386"/>
      <c r="H1990" s="244" t="s">
        <v>965</v>
      </c>
      <c r="I1990"/>
      <c r="J1990" s="4"/>
      <c r="K1990"/>
    </row>
    <row r="1991" spans="1:11" hidden="1">
      <c r="A1991" s="386"/>
      <c r="H1991" s="244" t="s">
        <v>748</v>
      </c>
      <c r="I1991"/>
      <c r="J1991" s="4"/>
      <c r="K1991"/>
    </row>
    <row r="1992" spans="1:11" hidden="1">
      <c r="A1992" s="386"/>
      <c r="H1992" s="244" t="s">
        <v>541</v>
      </c>
      <c r="I1992"/>
      <c r="J1992" s="4"/>
      <c r="K1992"/>
    </row>
    <row r="1993" spans="1:11" hidden="1">
      <c r="A1993" s="386"/>
      <c r="H1993" s="244" t="s">
        <v>2178</v>
      </c>
      <c r="I1993"/>
      <c r="J1993" s="4"/>
      <c r="K1993"/>
    </row>
    <row r="1994" spans="1:11" hidden="1">
      <c r="A1994" s="386"/>
      <c r="H1994" s="244" t="s">
        <v>2768</v>
      </c>
      <c r="I1994"/>
      <c r="J1994" s="4"/>
      <c r="K1994"/>
    </row>
    <row r="1995" spans="1:11" hidden="1">
      <c r="A1995" s="386"/>
      <c r="H1995" s="248" t="s">
        <v>1667</v>
      </c>
      <c r="I1995"/>
      <c r="J1995" s="4"/>
      <c r="K1995"/>
    </row>
    <row r="1996" spans="1:11" hidden="1">
      <c r="A1996" s="386"/>
      <c r="F1996" s="251">
        <v>3</v>
      </c>
      <c r="G1996" s="250" t="s">
        <v>1854</v>
      </c>
      <c r="H1996" s="244" t="s">
        <v>1024</v>
      </c>
      <c r="I1996" s="8">
        <f>(C599)</f>
        <v>80</v>
      </c>
      <c r="J1996" s="2" t="s">
        <v>1854</v>
      </c>
      <c r="K1996" s="8">
        <f t="shared" ref="K1996:K2002" si="70">(F1996*I1996)</f>
        <v>240</v>
      </c>
    </row>
    <row r="1997" spans="1:11" hidden="1">
      <c r="A1997" s="386"/>
      <c r="F1997" s="251">
        <v>1</v>
      </c>
      <c r="G1997" s="250" t="s">
        <v>781</v>
      </c>
      <c r="H1997" s="244" t="s">
        <v>1025</v>
      </c>
      <c r="I1997" s="8">
        <f>C602</f>
        <v>40</v>
      </c>
      <c r="J1997" s="4" t="s">
        <v>781</v>
      </c>
      <c r="K1997" s="8">
        <f t="shared" si="70"/>
        <v>40</v>
      </c>
    </row>
    <row r="1998" spans="1:11" hidden="1">
      <c r="A1998" s="386"/>
      <c r="F1998" s="251">
        <v>1</v>
      </c>
      <c r="G1998" s="250" t="s">
        <v>781</v>
      </c>
      <c r="H1998" s="244" t="s">
        <v>1026</v>
      </c>
      <c r="I1998" s="8">
        <f>C627</f>
        <v>7.5</v>
      </c>
      <c r="J1998" s="4" t="s">
        <v>781</v>
      </c>
      <c r="K1998" s="8">
        <f t="shared" si="70"/>
        <v>7.5</v>
      </c>
    </row>
    <row r="1999" spans="1:11" hidden="1">
      <c r="A1999" s="386"/>
      <c r="F1999" s="251">
        <v>1</v>
      </c>
      <c r="G1999" s="250" t="s">
        <v>781</v>
      </c>
      <c r="H1999" s="244" t="s">
        <v>88</v>
      </c>
      <c r="I1999" s="8">
        <f>C624</f>
        <v>70</v>
      </c>
      <c r="J1999" s="4" t="s">
        <v>781</v>
      </c>
      <c r="K1999" s="8">
        <f t="shared" si="70"/>
        <v>70</v>
      </c>
    </row>
    <row r="2000" spans="1:11" hidden="1">
      <c r="A2000" s="386"/>
      <c r="F2000" s="251">
        <v>0.5</v>
      </c>
      <c r="G2000" s="250" t="s">
        <v>883</v>
      </c>
      <c r="H2000" s="244" t="s">
        <v>2176</v>
      </c>
      <c r="I2000" s="8">
        <f>(C15)</f>
        <v>130</v>
      </c>
      <c r="J2000" s="2" t="s">
        <v>883</v>
      </c>
      <c r="K2000" s="8">
        <f t="shared" si="70"/>
        <v>65</v>
      </c>
    </row>
    <row r="2001" spans="1:11" hidden="1">
      <c r="A2001" s="386"/>
      <c r="F2001" s="251">
        <v>0.5</v>
      </c>
      <c r="G2001" s="250" t="s">
        <v>883</v>
      </c>
      <c r="H2001" s="244" t="s">
        <v>1791</v>
      </c>
      <c r="I2001" s="8">
        <f>(C11)</f>
        <v>135</v>
      </c>
      <c r="J2001" s="2" t="s">
        <v>883</v>
      </c>
      <c r="K2001" s="8">
        <f t="shared" si="70"/>
        <v>67.5</v>
      </c>
    </row>
    <row r="2002" spans="1:11" hidden="1">
      <c r="A2002" s="386"/>
      <c r="F2002" s="251">
        <v>0.5</v>
      </c>
      <c r="G2002" s="250" t="s">
        <v>883</v>
      </c>
      <c r="H2002" s="244" t="s">
        <v>1979</v>
      </c>
      <c r="I2002" s="8">
        <f>(C12)</f>
        <v>95</v>
      </c>
      <c r="J2002" s="2" t="s">
        <v>883</v>
      </c>
      <c r="K2002" s="8">
        <f t="shared" si="70"/>
        <v>47.5</v>
      </c>
    </row>
    <row r="2003" spans="1:11" hidden="1">
      <c r="A2003" s="386"/>
      <c r="G2003" s="250" t="s">
        <v>448</v>
      </c>
      <c r="H2003" s="244" t="s">
        <v>1584</v>
      </c>
      <c r="I2003" s="1" t="s">
        <v>995</v>
      </c>
      <c r="J2003" s="2" t="s">
        <v>448</v>
      </c>
      <c r="K2003" s="8">
        <v>2.73</v>
      </c>
    </row>
    <row r="2004" spans="1:11" hidden="1">
      <c r="A2004" s="386"/>
      <c r="H2004" s="244" t="s">
        <v>87</v>
      </c>
      <c r="I2004"/>
      <c r="J2004" s="4"/>
      <c r="K2004"/>
    </row>
    <row r="2005" spans="1:11" hidden="1">
      <c r="A2005" s="386"/>
      <c r="H2005" s="244" t="s">
        <v>191</v>
      </c>
      <c r="I2005"/>
      <c r="J2005" s="4"/>
      <c r="K2005"/>
    </row>
    <row r="2006" spans="1:11" hidden="1">
      <c r="A2006" s="386"/>
      <c r="H2006" s="244" t="s">
        <v>745</v>
      </c>
      <c r="I2006"/>
      <c r="J2006" s="2" t="s">
        <v>448</v>
      </c>
      <c r="K2006" s="8">
        <v>0</v>
      </c>
    </row>
    <row r="2007" spans="1:11" hidden="1">
      <c r="A2007" s="386"/>
      <c r="I2007"/>
      <c r="J2007" s="4"/>
      <c r="K2007" s="5" t="s">
        <v>1667</v>
      </c>
    </row>
    <row r="2008" spans="1:11" hidden="1">
      <c r="A2008" s="386"/>
      <c r="H2008" s="244" t="s">
        <v>1375</v>
      </c>
      <c r="I2008"/>
      <c r="J2008" s="4"/>
      <c r="K2008" s="8">
        <f>SUM(K1996:K2006)</f>
        <v>540.23</v>
      </c>
    </row>
    <row r="2009" spans="1:11" hidden="1">
      <c r="A2009" s="386"/>
      <c r="I2009"/>
      <c r="J2009" s="4"/>
      <c r="K2009" s="5" t="s">
        <v>1667</v>
      </c>
    </row>
    <row r="2010" spans="1:11" hidden="1">
      <c r="A2010" s="386"/>
      <c r="H2010" s="244" t="s">
        <v>1622</v>
      </c>
      <c r="I2010"/>
      <c r="J2010" s="4"/>
      <c r="K2010" s="8">
        <f>(K2008/3)</f>
        <v>180.08</v>
      </c>
    </row>
    <row r="2011" spans="1:11" hidden="1">
      <c r="A2011" s="386"/>
      <c r="I2011"/>
      <c r="J2011" s="4"/>
      <c r="K2011" s="5" t="s">
        <v>1667</v>
      </c>
    </row>
    <row r="2012" spans="1:11" hidden="1">
      <c r="A2012" s="386"/>
      <c r="F2012" s="354" t="s">
        <v>89</v>
      </c>
      <c r="H2012" s="244" t="s">
        <v>209</v>
      </c>
      <c r="I2012"/>
      <c r="J2012" s="4"/>
      <c r="K2012"/>
    </row>
    <row r="2013" spans="1:11" hidden="1">
      <c r="A2013" s="386"/>
      <c r="H2013" s="244" t="s">
        <v>1897</v>
      </c>
      <c r="I2013"/>
      <c r="J2013" s="4"/>
      <c r="K2013"/>
    </row>
    <row r="2014" spans="1:11" hidden="1">
      <c r="A2014" s="386"/>
      <c r="F2014" s="244" t="s">
        <v>995</v>
      </c>
      <c r="H2014" s="244" t="s">
        <v>2271</v>
      </c>
      <c r="I2014"/>
      <c r="J2014" s="4"/>
      <c r="K2014"/>
    </row>
    <row r="2015" spans="1:11" hidden="1">
      <c r="A2015" s="386"/>
      <c r="H2015" s="248" t="s">
        <v>1667</v>
      </c>
      <c r="I2015"/>
      <c r="J2015" s="4"/>
      <c r="K2015"/>
    </row>
    <row r="2016" spans="1:11" hidden="1">
      <c r="A2016" s="386"/>
      <c r="F2016" s="251">
        <v>3</v>
      </c>
      <c r="G2016" s="250" t="s">
        <v>2272</v>
      </c>
      <c r="H2016" s="244" t="s">
        <v>2273</v>
      </c>
      <c r="I2016" s="8">
        <v>108</v>
      </c>
      <c r="J2016" s="2" t="s">
        <v>2272</v>
      </c>
      <c r="K2016" s="8">
        <f>(F2016*I2016)</f>
        <v>324</v>
      </c>
    </row>
    <row r="2017" spans="1:11" hidden="1">
      <c r="A2017" s="386"/>
      <c r="F2017" s="251">
        <v>1</v>
      </c>
      <c r="G2017" s="250" t="s">
        <v>1843</v>
      </c>
      <c r="H2017" s="244" t="s">
        <v>2274</v>
      </c>
      <c r="I2017" s="8">
        <v>12</v>
      </c>
      <c r="J2017" s="2" t="s">
        <v>1843</v>
      </c>
      <c r="K2017" s="8">
        <f>(F2017*I2017)</f>
        <v>12</v>
      </c>
    </row>
    <row r="2018" spans="1:11" hidden="1">
      <c r="A2018" s="386"/>
      <c r="F2018" s="251">
        <v>1</v>
      </c>
      <c r="G2018" s="250" t="s">
        <v>1843</v>
      </c>
      <c r="H2018" s="244" t="s">
        <v>2275</v>
      </c>
      <c r="I2018" s="8">
        <v>8</v>
      </c>
      <c r="J2018" s="2" t="s">
        <v>1843</v>
      </c>
      <c r="K2018" s="8">
        <f>(F2018*I2018)</f>
        <v>8</v>
      </c>
    </row>
    <row r="2019" spans="1:11" hidden="1">
      <c r="A2019" s="386"/>
      <c r="F2019" s="354" t="s">
        <v>744</v>
      </c>
      <c r="H2019" s="244" t="s">
        <v>2276</v>
      </c>
      <c r="I2019" s="2" t="s">
        <v>744</v>
      </c>
      <c r="J2019" s="4"/>
      <c r="K2019" s="8">
        <v>1.21</v>
      </c>
    </row>
    <row r="2020" spans="1:11" hidden="1">
      <c r="A2020" s="386"/>
      <c r="I2020"/>
      <c r="J2020" s="4"/>
      <c r="K2020" s="5" t="s">
        <v>1667</v>
      </c>
    </row>
    <row r="2021" spans="1:11" hidden="1">
      <c r="A2021" s="386"/>
      <c r="H2021" s="244" t="s">
        <v>395</v>
      </c>
      <c r="I2021"/>
      <c r="J2021" s="4"/>
      <c r="K2021" s="8">
        <f>SUM(K2016:K2019)</f>
        <v>345.21</v>
      </c>
    </row>
    <row r="2022" spans="1:11" hidden="1">
      <c r="A2022" s="386"/>
      <c r="I2022"/>
      <c r="J2022" s="4"/>
      <c r="K2022" s="5" t="s">
        <v>1667</v>
      </c>
    </row>
    <row r="2023" spans="1:11" hidden="1">
      <c r="A2023" s="386"/>
      <c r="I2023"/>
      <c r="J2023" s="4"/>
      <c r="K2023"/>
    </row>
    <row r="2024" spans="1:11" hidden="1">
      <c r="A2024" s="386"/>
      <c r="F2024" s="354" t="s">
        <v>396</v>
      </c>
      <c r="G2024" s="250" t="s">
        <v>2338</v>
      </c>
      <c r="H2024" s="244" t="s">
        <v>1177</v>
      </c>
      <c r="I2024"/>
      <c r="J2024" s="4"/>
      <c r="K2024"/>
    </row>
    <row r="2025" spans="1:11" hidden="1">
      <c r="A2025" s="386"/>
      <c r="H2025" s="244" t="s">
        <v>298</v>
      </c>
      <c r="I2025"/>
      <c r="J2025" s="4"/>
      <c r="K2025"/>
    </row>
    <row r="2026" spans="1:11" hidden="1">
      <c r="A2026" s="386"/>
      <c r="H2026" s="248" t="s">
        <v>1667</v>
      </c>
      <c r="I2026"/>
      <c r="J2026" s="4"/>
      <c r="K2026"/>
    </row>
    <row r="2027" spans="1:11" hidden="1">
      <c r="A2027" s="386"/>
      <c r="F2027" s="251">
        <v>1</v>
      </c>
      <c r="G2027" s="250" t="s">
        <v>883</v>
      </c>
      <c r="H2027" s="244" t="s">
        <v>298</v>
      </c>
      <c r="I2027" s="8">
        <f>(C265)</f>
        <v>115</v>
      </c>
      <c r="J2027" s="2" t="s">
        <v>883</v>
      </c>
      <c r="K2027" s="8">
        <f>(F2027*I2027)</f>
        <v>115</v>
      </c>
    </row>
    <row r="2028" spans="1:11" hidden="1">
      <c r="A2028" s="386"/>
      <c r="F2028" s="251">
        <v>0.05</v>
      </c>
      <c r="G2028" s="250" t="s">
        <v>884</v>
      </c>
      <c r="H2028" s="244" t="s">
        <v>1225</v>
      </c>
      <c r="I2028" s="8" t="e">
        <f>(R60)</f>
        <v>#REF!</v>
      </c>
      <c r="J2028" s="2" t="s">
        <v>884</v>
      </c>
      <c r="K2028" s="8" t="e">
        <f>(F2028*I2028)</f>
        <v>#REF!</v>
      </c>
    </row>
    <row r="2029" spans="1:11" hidden="1">
      <c r="A2029" s="386"/>
      <c r="F2029" s="251">
        <v>0.5</v>
      </c>
      <c r="G2029" s="250" t="s">
        <v>883</v>
      </c>
      <c r="H2029" s="244" t="s">
        <v>2176</v>
      </c>
      <c r="I2029" s="8">
        <f>(C15)</f>
        <v>130</v>
      </c>
      <c r="J2029" s="2" t="s">
        <v>883</v>
      </c>
      <c r="K2029" s="8">
        <f>(F2029*I2029)</f>
        <v>65</v>
      </c>
    </row>
    <row r="2030" spans="1:11" hidden="1">
      <c r="A2030" s="386"/>
      <c r="F2030" s="251">
        <v>1</v>
      </c>
      <c r="G2030" s="250" t="s">
        <v>883</v>
      </c>
      <c r="H2030" s="244" t="s">
        <v>1979</v>
      </c>
      <c r="I2030" s="8">
        <f>(C12)</f>
        <v>95</v>
      </c>
      <c r="J2030" s="2" t="s">
        <v>883</v>
      </c>
      <c r="K2030" s="8">
        <f>(F2030*I2030)</f>
        <v>95</v>
      </c>
    </row>
    <row r="2031" spans="1:11" hidden="1">
      <c r="A2031" s="386"/>
      <c r="F2031" s="251">
        <v>1</v>
      </c>
      <c r="G2031" s="250" t="s">
        <v>883</v>
      </c>
      <c r="H2031" s="244" t="s">
        <v>324</v>
      </c>
      <c r="I2031" s="8">
        <f>(C13)</f>
        <v>85</v>
      </c>
      <c r="J2031" s="2" t="s">
        <v>883</v>
      </c>
      <c r="K2031" s="8">
        <f>(F2031*I2031)</f>
        <v>85</v>
      </c>
    </row>
    <row r="2032" spans="1:11" hidden="1">
      <c r="A2032" s="386"/>
      <c r="G2032" s="250" t="s">
        <v>448</v>
      </c>
      <c r="H2032" s="244" t="s">
        <v>449</v>
      </c>
      <c r="I2032" s="1" t="s">
        <v>995</v>
      </c>
      <c r="J2032" s="2" t="s">
        <v>448</v>
      </c>
      <c r="K2032" s="8">
        <v>0</v>
      </c>
    </row>
    <row r="2033" spans="1:11" hidden="1">
      <c r="A2033" s="386"/>
      <c r="H2033" s="244" t="s">
        <v>995</v>
      </c>
      <c r="I2033"/>
      <c r="J2033" s="4"/>
      <c r="K2033" s="5" t="s">
        <v>1667</v>
      </c>
    </row>
    <row r="2034" spans="1:11" hidden="1">
      <c r="A2034" s="386"/>
      <c r="H2034" s="244" t="s">
        <v>1834</v>
      </c>
      <c r="I2034"/>
      <c r="J2034" s="4"/>
      <c r="K2034" s="8" t="e">
        <f>SUM(K2027:K2032)</f>
        <v>#REF!</v>
      </c>
    </row>
    <row r="2035" spans="1:11" hidden="1">
      <c r="A2035" s="386"/>
      <c r="I2035"/>
      <c r="J2035" s="4"/>
      <c r="K2035" s="5" t="s">
        <v>2130</v>
      </c>
    </row>
    <row r="2036" spans="1:11" hidden="1">
      <c r="A2036" s="386"/>
      <c r="F2036" s="354" t="s">
        <v>1226</v>
      </c>
      <c r="G2036" s="250" t="s">
        <v>2338</v>
      </c>
      <c r="H2036" s="244" t="s">
        <v>2305</v>
      </c>
      <c r="I2036"/>
      <c r="J2036" s="4"/>
      <c r="K2036"/>
    </row>
    <row r="2037" spans="1:11" hidden="1">
      <c r="A2037" s="386"/>
      <c r="H2037" s="244" t="s">
        <v>2483</v>
      </c>
      <c r="I2037"/>
      <c r="J2037" s="4"/>
      <c r="K2037"/>
    </row>
    <row r="2038" spans="1:11" hidden="1">
      <c r="A2038" s="386"/>
      <c r="H2038" s="248" t="s">
        <v>1667</v>
      </c>
      <c r="I2038"/>
      <c r="J2038" s="4"/>
      <c r="K2038"/>
    </row>
    <row r="2039" spans="1:11" hidden="1">
      <c r="A2039" s="386"/>
      <c r="F2039" s="251">
        <v>1</v>
      </c>
      <c r="G2039" s="250" t="s">
        <v>883</v>
      </c>
      <c r="H2039" s="244" t="s">
        <v>2306</v>
      </c>
      <c r="I2039" s="8">
        <f>(D266)</f>
        <v>90</v>
      </c>
      <c r="J2039" s="2" t="s">
        <v>883</v>
      </c>
      <c r="K2039" s="8">
        <f>(F2039*I2039)</f>
        <v>90</v>
      </c>
    </row>
    <row r="2040" spans="1:11" hidden="1">
      <c r="A2040" s="386"/>
      <c r="G2040" s="250" t="s">
        <v>448</v>
      </c>
      <c r="H2040" s="244" t="s">
        <v>1772</v>
      </c>
      <c r="I2040"/>
      <c r="J2040" s="2" t="s">
        <v>448</v>
      </c>
      <c r="K2040" s="8">
        <v>4</v>
      </c>
    </row>
    <row r="2041" spans="1:11" hidden="1">
      <c r="A2041" s="386"/>
      <c r="I2041"/>
      <c r="J2041" s="2" t="s">
        <v>995</v>
      </c>
      <c r="K2041" s="5" t="s">
        <v>1667</v>
      </c>
    </row>
    <row r="2042" spans="1:11" hidden="1">
      <c r="A2042" s="386"/>
      <c r="H2042" s="244" t="s">
        <v>1834</v>
      </c>
      <c r="I2042"/>
      <c r="J2042" s="4"/>
      <c r="K2042" s="8">
        <f>SUM(K2039:K2041)</f>
        <v>94</v>
      </c>
    </row>
    <row r="2043" spans="1:11" hidden="1">
      <c r="A2043" s="386"/>
      <c r="I2043"/>
      <c r="J2043" s="4"/>
      <c r="K2043" s="5" t="s">
        <v>1667</v>
      </c>
    </row>
    <row r="2044" spans="1:11" hidden="1">
      <c r="A2044" s="386"/>
      <c r="F2044" s="354" t="s">
        <v>1773</v>
      </c>
      <c r="G2044" s="250" t="s">
        <v>2338</v>
      </c>
      <c r="H2044" s="244" t="s">
        <v>57</v>
      </c>
      <c r="I2044"/>
      <c r="J2044" s="4"/>
      <c r="K2044"/>
    </row>
    <row r="2045" spans="1:11" hidden="1">
      <c r="A2045" s="386"/>
      <c r="H2045" s="244" t="s">
        <v>58</v>
      </c>
      <c r="I2045"/>
      <c r="J2045" s="4"/>
      <c r="K2045"/>
    </row>
    <row r="2046" spans="1:11" hidden="1">
      <c r="A2046" s="386"/>
      <c r="H2046" s="248" t="s">
        <v>1667</v>
      </c>
      <c r="I2046"/>
      <c r="J2046" s="4"/>
      <c r="K2046"/>
    </row>
    <row r="2047" spans="1:11" hidden="1">
      <c r="A2047" s="386"/>
      <c r="F2047" s="251">
        <v>50</v>
      </c>
      <c r="G2047" s="250" t="s">
        <v>883</v>
      </c>
      <c r="H2047" s="244" t="s">
        <v>806</v>
      </c>
      <c r="I2047" s="8">
        <f>(C203)</f>
        <v>40</v>
      </c>
      <c r="J2047" s="2" t="s">
        <v>883</v>
      </c>
      <c r="K2047" s="8">
        <f t="shared" ref="K2047:K2056" si="71">(F2047*I2047)</f>
        <v>2000</v>
      </c>
    </row>
    <row r="2048" spans="1:11" hidden="1">
      <c r="A2048" s="386"/>
      <c r="F2048" s="251">
        <v>21.6</v>
      </c>
      <c r="G2048" s="250" t="s">
        <v>884</v>
      </c>
      <c r="H2048" s="244" t="s">
        <v>807</v>
      </c>
      <c r="I2048" s="8">
        <f>(C61*2)</f>
        <v>50</v>
      </c>
      <c r="J2048" s="2" t="s">
        <v>884</v>
      </c>
      <c r="K2048" s="8">
        <f t="shared" si="71"/>
        <v>1080</v>
      </c>
    </row>
    <row r="2049" spans="1:11" hidden="1">
      <c r="A2049" s="386"/>
      <c r="F2049" s="251">
        <v>21.6</v>
      </c>
      <c r="G2049" s="250" t="s">
        <v>884</v>
      </c>
      <c r="H2049" s="244" t="s">
        <v>248</v>
      </c>
      <c r="I2049" s="8">
        <f>(C26)</f>
        <v>8.8000000000000007</v>
      </c>
      <c r="J2049" s="2" t="s">
        <v>884</v>
      </c>
      <c r="K2049" s="8">
        <f t="shared" si="71"/>
        <v>190.08</v>
      </c>
    </row>
    <row r="2050" spans="1:11" hidden="1">
      <c r="A2050" s="386"/>
      <c r="F2050" s="251">
        <v>45</v>
      </c>
      <c r="G2050" s="250" t="s">
        <v>1730</v>
      </c>
      <c r="H2050" s="244" t="s">
        <v>877</v>
      </c>
      <c r="I2050" s="8">
        <f>(C67/1000)</f>
        <v>3.8</v>
      </c>
      <c r="J2050" s="2" t="s">
        <v>1730</v>
      </c>
      <c r="K2050" s="8">
        <f t="shared" si="71"/>
        <v>171</v>
      </c>
    </row>
    <row r="2051" spans="1:11" hidden="1">
      <c r="A2051" s="386"/>
      <c r="F2051" s="251">
        <v>0.04</v>
      </c>
      <c r="G2051" s="250" t="s">
        <v>884</v>
      </c>
      <c r="H2051" s="244" t="s">
        <v>885</v>
      </c>
      <c r="I2051" s="8" t="e">
        <f>(C78)</f>
        <v>#REF!</v>
      </c>
      <c r="J2051" s="2" t="s">
        <v>884</v>
      </c>
      <c r="K2051" s="8" t="e">
        <f t="shared" si="71"/>
        <v>#REF!</v>
      </c>
    </row>
    <row r="2052" spans="1:11" hidden="1">
      <c r="A2052" s="386"/>
      <c r="F2052" s="251">
        <v>3.63</v>
      </c>
      <c r="G2052" s="250" t="s">
        <v>1730</v>
      </c>
      <c r="H2052" s="244" t="s">
        <v>808</v>
      </c>
      <c r="I2052" s="8">
        <f>(C585)</f>
        <v>7</v>
      </c>
      <c r="J2052" s="2" t="s">
        <v>1730</v>
      </c>
      <c r="K2052" s="8">
        <f t="shared" si="71"/>
        <v>25.41</v>
      </c>
    </row>
    <row r="2053" spans="1:11" hidden="1">
      <c r="A2053" s="386"/>
      <c r="F2053" s="251">
        <v>2</v>
      </c>
      <c r="G2053" s="250" t="s">
        <v>883</v>
      </c>
      <c r="H2053" s="244" t="s">
        <v>2082</v>
      </c>
      <c r="I2053" s="8">
        <f>(C10)</f>
        <v>150</v>
      </c>
      <c r="J2053" s="2" t="s">
        <v>883</v>
      </c>
      <c r="K2053" s="8">
        <f t="shared" si="71"/>
        <v>300</v>
      </c>
    </row>
    <row r="2054" spans="1:11" hidden="1">
      <c r="A2054" s="386"/>
      <c r="F2054" s="251">
        <v>1</v>
      </c>
      <c r="G2054" s="250" t="s">
        <v>883</v>
      </c>
      <c r="H2054" s="244" t="s">
        <v>809</v>
      </c>
      <c r="I2054" s="8">
        <f>AE37</f>
        <v>120</v>
      </c>
      <c r="J2054" s="2" t="s">
        <v>883</v>
      </c>
      <c r="K2054" s="8">
        <f t="shared" si="71"/>
        <v>120</v>
      </c>
    </row>
    <row r="2055" spans="1:11" hidden="1">
      <c r="A2055" s="386"/>
      <c r="F2055" s="251">
        <v>5</v>
      </c>
      <c r="G2055" s="250" t="s">
        <v>883</v>
      </c>
      <c r="H2055" s="244" t="s">
        <v>1979</v>
      </c>
      <c r="I2055" s="8">
        <f>(C12)</f>
        <v>95</v>
      </c>
      <c r="J2055" s="2" t="s">
        <v>883</v>
      </c>
      <c r="K2055" s="8">
        <f t="shared" si="71"/>
        <v>475</v>
      </c>
    </row>
    <row r="2056" spans="1:11" hidden="1">
      <c r="A2056" s="386"/>
      <c r="F2056" s="251">
        <v>2</v>
      </c>
      <c r="G2056" s="250" t="s">
        <v>883</v>
      </c>
      <c r="H2056" s="244" t="s">
        <v>324</v>
      </c>
      <c r="I2056" s="8">
        <f>(C13)</f>
        <v>85</v>
      </c>
      <c r="J2056" s="2" t="s">
        <v>883</v>
      </c>
      <c r="K2056" s="8">
        <f t="shared" si="71"/>
        <v>170</v>
      </c>
    </row>
    <row r="2057" spans="1:11" hidden="1">
      <c r="A2057" s="386"/>
      <c r="G2057" s="250" t="s">
        <v>448</v>
      </c>
      <c r="H2057" s="244" t="s">
        <v>2210</v>
      </c>
      <c r="I2057"/>
      <c r="J2057" s="2" t="s">
        <v>448</v>
      </c>
      <c r="K2057" s="8">
        <f>SUM(K2053:K2056)/10</f>
        <v>106.5</v>
      </c>
    </row>
    <row r="2058" spans="1:11" hidden="1">
      <c r="A2058" s="386"/>
      <c r="I2058"/>
      <c r="J2058" s="4"/>
      <c r="K2058" s="5" t="s">
        <v>1667</v>
      </c>
    </row>
    <row r="2059" spans="1:11" hidden="1">
      <c r="A2059" s="386"/>
      <c r="H2059" s="244" t="s">
        <v>2211</v>
      </c>
      <c r="I2059"/>
      <c r="J2059" s="4"/>
      <c r="K2059" s="8" t="e">
        <f>SUM(K2047:K2057)</f>
        <v>#REF!</v>
      </c>
    </row>
    <row r="2060" spans="1:11" hidden="1">
      <c r="A2060" s="386"/>
      <c r="I2060"/>
      <c r="J2060" s="4"/>
      <c r="K2060" s="5" t="s">
        <v>1667</v>
      </c>
    </row>
    <row r="2061" spans="1:11" hidden="1">
      <c r="A2061" s="386"/>
      <c r="H2061" s="244" t="s">
        <v>1167</v>
      </c>
      <c r="I2061"/>
      <c r="J2061" s="4"/>
      <c r="K2061" s="8" t="e">
        <f>(K2059/30)</f>
        <v>#REF!</v>
      </c>
    </row>
    <row r="2062" spans="1:11" hidden="1">
      <c r="A2062" s="386"/>
      <c r="I2062"/>
      <c r="J2062" s="4"/>
      <c r="K2062" s="5" t="s">
        <v>2130</v>
      </c>
    </row>
    <row r="2063" spans="1:11" hidden="1">
      <c r="A2063" s="386"/>
      <c r="I2063"/>
      <c r="J2063" s="4"/>
      <c r="K2063"/>
    </row>
    <row r="2064" spans="1:11" hidden="1">
      <c r="A2064" s="386"/>
      <c r="F2064" s="354" t="s">
        <v>1168</v>
      </c>
      <c r="G2064" s="250" t="s">
        <v>2338</v>
      </c>
      <c r="H2064" s="244" t="s">
        <v>1041</v>
      </c>
      <c r="I2064"/>
      <c r="J2064" s="4"/>
      <c r="K2064"/>
    </row>
    <row r="2065" spans="1:11" hidden="1">
      <c r="A2065" s="386"/>
      <c r="H2065" s="244" t="s">
        <v>58</v>
      </c>
      <c r="I2065"/>
      <c r="J2065" s="4"/>
      <c r="K2065"/>
    </row>
    <row r="2066" spans="1:11" hidden="1">
      <c r="A2066" s="386"/>
      <c r="H2066" s="248" t="s">
        <v>1667</v>
      </c>
      <c r="I2066"/>
      <c r="J2066" s="4"/>
      <c r="K2066"/>
    </row>
    <row r="2067" spans="1:11" hidden="1">
      <c r="A2067" s="386"/>
      <c r="F2067" s="251">
        <v>50</v>
      </c>
      <c r="G2067" s="250" t="s">
        <v>883</v>
      </c>
      <c r="H2067" s="244" t="s">
        <v>571</v>
      </c>
      <c r="I2067" s="8">
        <f>C204</f>
        <v>65</v>
      </c>
      <c r="J2067" s="2" t="s">
        <v>883</v>
      </c>
      <c r="K2067" s="8">
        <f t="shared" ref="K2067:K2076" si="72">(F2067*I2067)</f>
        <v>3250</v>
      </c>
    </row>
    <row r="2068" spans="1:11" hidden="1">
      <c r="A2068" s="386"/>
      <c r="F2068" s="251">
        <v>21.6</v>
      </c>
      <c r="G2068" s="250" t="s">
        <v>884</v>
      </c>
      <c r="H2068" s="244" t="s">
        <v>807</v>
      </c>
      <c r="I2068" s="8">
        <f>(C61*2)</f>
        <v>50</v>
      </c>
      <c r="J2068" s="2" t="s">
        <v>884</v>
      </c>
      <c r="K2068" s="8">
        <f t="shared" si="72"/>
        <v>1080</v>
      </c>
    </row>
    <row r="2069" spans="1:11" hidden="1">
      <c r="A2069" s="386"/>
      <c r="F2069" s="251">
        <v>21.6</v>
      </c>
      <c r="G2069" s="250" t="s">
        <v>884</v>
      </c>
      <c r="H2069" s="244" t="s">
        <v>248</v>
      </c>
      <c r="I2069" s="8">
        <f>(C26)</f>
        <v>8.8000000000000007</v>
      </c>
      <c r="J2069" s="2" t="s">
        <v>884</v>
      </c>
      <c r="K2069" s="8">
        <f t="shared" si="72"/>
        <v>190.08</v>
      </c>
    </row>
    <row r="2070" spans="1:11" hidden="1">
      <c r="A2070" s="386"/>
      <c r="F2070" s="251">
        <v>68</v>
      </c>
      <c r="G2070" s="250" t="s">
        <v>1730</v>
      </c>
      <c r="H2070" s="244" t="s">
        <v>877</v>
      </c>
      <c r="I2070" s="8">
        <f>(C67/1000)</f>
        <v>3.8</v>
      </c>
      <c r="J2070" s="2" t="s">
        <v>1730</v>
      </c>
      <c r="K2070" s="8">
        <f t="shared" si="72"/>
        <v>258.39999999999998</v>
      </c>
    </row>
    <row r="2071" spans="1:11" hidden="1">
      <c r="A2071" s="386"/>
      <c r="F2071" s="251">
        <v>7.0000000000000007E-2</v>
      </c>
      <c r="G2071" s="250" t="s">
        <v>884</v>
      </c>
      <c r="H2071" s="244" t="s">
        <v>885</v>
      </c>
      <c r="I2071" s="8" t="e">
        <f>(C78)</f>
        <v>#REF!</v>
      </c>
      <c r="J2071" s="2" t="s">
        <v>884</v>
      </c>
      <c r="K2071" s="8" t="e">
        <f t="shared" si="72"/>
        <v>#REF!</v>
      </c>
    </row>
    <row r="2072" spans="1:11" hidden="1">
      <c r="A2072" s="386"/>
      <c r="F2072" s="251">
        <v>5.45</v>
      </c>
      <c r="G2072" s="250" t="s">
        <v>1730</v>
      </c>
      <c r="H2072" s="244" t="s">
        <v>808</v>
      </c>
      <c r="I2072" s="8">
        <f>(C585)</f>
        <v>7</v>
      </c>
      <c r="J2072" s="2" t="s">
        <v>1730</v>
      </c>
      <c r="K2072" s="8">
        <f t="shared" si="72"/>
        <v>38.15</v>
      </c>
    </row>
    <row r="2073" spans="1:11" hidden="1">
      <c r="A2073" s="386"/>
      <c r="F2073" s="251">
        <v>3</v>
      </c>
      <c r="G2073" s="250" t="s">
        <v>883</v>
      </c>
      <c r="H2073" s="244" t="s">
        <v>2082</v>
      </c>
      <c r="I2073" s="8">
        <f>(C10)</f>
        <v>150</v>
      </c>
      <c r="J2073" s="2" t="s">
        <v>883</v>
      </c>
      <c r="K2073" s="8">
        <f t="shared" si="72"/>
        <v>450</v>
      </c>
    </row>
    <row r="2074" spans="1:11" hidden="1">
      <c r="A2074" s="386"/>
      <c r="F2074" s="251">
        <v>2</v>
      </c>
      <c r="G2074" s="250" t="s">
        <v>883</v>
      </c>
      <c r="H2074" s="244" t="s">
        <v>809</v>
      </c>
      <c r="I2074" s="8">
        <f>AE37</f>
        <v>120</v>
      </c>
      <c r="J2074" s="2" t="s">
        <v>883</v>
      </c>
      <c r="K2074" s="8">
        <f t="shared" si="72"/>
        <v>240</v>
      </c>
    </row>
    <row r="2075" spans="1:11" hidden="1">
      <c r="A2075" s="386"/>
      <c r="F2075" s="251">
        <v>6</v>
      </c>
      <c r="G2075" s="250" t="s">
        <v>883</v>
      </c>
      <c r="H2075" s="244" t="s">
        <v>1979</v>
      </c>
      <c r="I2075" s="8">
        <f>(C12)</f>
        <v>95</v>
      </c>
      <c r="J2075" s="2" t="s">
        <v>883</v>
      </c>
      <c r="K2075" s="8">
        <f t="shared" si="72"/>
        <v>570</v>
      </c>
    </row>
    <row r="2076" spans="1:11" hidden="1">
      <c r="A2076" s="386"/>
      <c r="F2076" s="251">
        <v>3</v>
      </c>
      <c r="G2076" s="250" t="s">
        <v>883</v>
      </c>
      <c r="H2076" s="244" t="s">
        <v>324</v>
      </c>
      <c r="I2076" s="8">
        <f>(C13)</f>
        <v>85</v>
      </c>
      <c r="J2076" s="2" t="s">
        <v>883</v>
      </c>
      <c r="K2076" s="8">
        <f t="shared" si="72"/>
        <v>255</v>
      </c>
    </row>
    <row r="2077" spans="1:11" hidden="1">
      <c r="A2077" s="386"/>
      <c r="G2077" s="250" t="s">
        <v>448</v>
      </c>
      <c r="H2077" s="244" t="s">
        <v>2210</v>
      </c>
      <c r="I2077"/>
      <c r="J2077" s="2" t="s">
        <v>448</v>
      </c>
      <c r="K2077" s="8">
        <f>SUM(K2073:K2076)/10</f>
        <v>151.5</v>
      </c>
    </row>
    <row r="2078" spans="1:11" hidden="1">
      <c r="A2078" s="386"/>
      <c r="I2078"/>
      <c r="J2078" s="4"/>
      <c r="K2078" s="5" t="s">
        <v>1667</v>
      </c>
    </row>
    <row r="2079" spans="1:11" hidden="1">
      <c r="A2079" s="386"/>
      <c r="H2079" s="244" t="s">
        <v>2211</v>
      </c>
      <c r="I2079"/>
      <c r="J2079" s="4"/>
      <c r="K2079" s="8" t="e">
        <f>SUM(K2067:K2077)</f>
        <v>#REF!</v>
      </c>
    </row>
    <row r="2080" spans="1:11" hidden="1">
      <c r="A2080" s="386"/>
      <c r="I2080"/>
      <c r="J2080" s="4"/>
      <c r="K2080" s="5" t="s">
        <v>1667</v>
      </c>
    </row>
    <row r="2081" spans="1:11" hidden="1">
      <c r="A2081" s="386"/>
      <c r="H2081" s="244" t="s">
        <v>1167</v>
      </c>
      <c r="I2081"/>
      <c r="J2081" s="4"/>
      <c r="K2081" s="8" t="e">
        <f>(K2079/30)</f>
        <v>#REF!</v>
      </c>
    </row>
    <row r="2082" spans="1:11" hidden="1">
      <c r="A2082" s="386"/>
      <c r="I2082"/>
      <c r="J2082" s="4"/>
      <c r="K2082" s="5" t="s">
        <v>2130</v>
      </c>
    </row>
    <row r="2083" spans="1:11" hidden="1">
      <c r="A2083" s="386"/>
      <c r="F2083" s="354" t="s">
        <v>572</v>
      </c>
      <c r="G2083" s="250" t="s">
        <v>2338</v>
      </c>
      <c r="H2083" s="244" t="s">
        <v>57</v>
      </c>
      <c r="I2083"/>
      <c r="J2083" s="4"/>
      <c r="K2083"/>
    </row>
    <row r="2084" spans="1:11" hidden="1">
      <c r="A2084" s="386"/>
      <c r="H2084" s="244" t="s">
        <v>223</v>
      </c>
      <c r="I2084"/>
      <c r="J2084" s="4"/>
      <c r="K2084"/>
    </row>
    <row r="2085" spans="1:11" hidden="1">
      <c r="A2085" s="386"/>
      <c r="H2085" s="248" t="s">
        <v>1667</v>
      </c>
      <c r="I2085"/>
      <c r="J2085" s="4"/>
      <c r="K2085"/>
    </row>
    <row r="2086" spans="1:11" hidden="1">
      <c r="A2086" s="386"/>
      <c r="F2086" s="251">
        <v>50</v>
      </c>
      <c r="G2086" s="250" t="s">
        <v>883</v>
      </c>
      <c r="H2086" s="244" t="s">
        <v>224</v>
      </c>
      <c r="I2086" s="8">
        <f>C203</f>
        <v>40</v>
      </c>
      <c r="J2086" s="2" t="s">
        <v>883</v>
      </c>
      <c r="K2086" s="8">
        <f>(F2086*I2086)</f>
        <v>2000</v>
      </c>
    </row>
    <row r="2087" spans="1:11" hidden="1">
      <c r="A2087" s="386"/>
      <c r="F2087" s="251">
        <v>1</v>
      </c>
      <c r="G2087" s="250" t="s">
        <v>883</v>
      </c>
      <c r="H2087" s="244" t="s">
        <v>809</v>
      </c>
      <c r="I2087" s="8">
        <f>AE37</f>
        <v>120</v>
      </c>
      <c r="J2087" s="2" t="s">
        <v>883</v>
      </c>
      <c r="K2087" s="8">
        <f>(F2087*I2087)</f>
        <v>120</v>
      </c>
    </row>
    <row r="2088" spans="1:11" hidden="1">
      <c r="A2088" s="386"/>
      <c r="F2088" s="251">
        <v>5</v>
      </c>
      <c r="G2088" s="250" t="s">
        <v>883</v>
      </c>
      <c r="H2088" s="244" t="s">
        <v>1979</v>
      </c>
      <c r="I2088" s="8">
        <f>C12</f>
        <v>95</v>
      </c>
      <c r="J2088" s="2" t="s">
        <v>883</v>
      </c>
      <c r="K2088" s="8">
        <f>(F2088*I2088)</f>
        <v>475</v>
      </c>
    </row>
    <row r="2089" spans="1:11" hidden="1">
      <c r="A2089" s="386"/>
      <c r="I2089"/>
      <c r="J2089" s="4"/>
      <c r="K2089" s="5" t="s">
        <v>1667</v>
      </c>
    </row>
    <row r="2090" spans="1:11" hidden="1">
      <c r="A2090" s="386"/>
      <c r="H2090" s="244" t="s">
        <v>2211</v>
      </c>
      <c r="I2090"/>
      <c r="J2090" s="4"/>
      <c r="K2090" s="8">
        <f>SUM(K2086:K2088)</f>
        <v>2595</v>
      </c>
    </row>
    <row r="2091" spans="1:11" hidden="1">
      <c r="A2091" s="386"/>
      <c r="F2091" s="244" t="s">
        <v>995</v>
      </c>
      <c r="I2091"/>
      <c r="J2091" s="4"/>
      <c r="K2091" s="5" t="s">
        <v>1667</v>
      </c>
    </row>
    <row r="2092" spans="1:11" hidden="1">
      <c r="A2092" s="386"/>
      <c r="H2092" s="244" t="s">
        <v>1167</v>
      </c>
      <c r="I2092"/>
      <c r="J2092" s="4"/>
      <c r="K2092" s="8">
        <f>(K2090/30)</f>
        <v>86.5</v>
      </c>
    </row>
    <row r="2093" spans="1:11" hidden="1">
      <c r="A2093" s="386"/>
      <c r="F2093" s="244" t="s">
        <v>995</v>
      </c>
      <c r="I2093"/>
      <c r="J2093" s="4"/>
      <c r="K2093"/>
    </row>
    <row r="2094" spans="1:11" hidden="1">
      <c r="A2094" s="386"/>
      <c r="F2094" s="244" t="s">
        <v>995</v>
      </c>
      <c r="I2094"/>
      <c r="J2094" s="4"/>
      <c r="K2094"/>
    </row>
    <row r="2095" spans="1:11" hidden="1">
      <c r="A2095" s="386"/>
      <c r="I2095"/>
      <c r="J2095" s="4"/>
      <c r="K2095" s="5" t="s">
        <v>2130</v>
      </c>
    </row>
    <row r="2096" spans="1:11" hidden="1">
      <c r="A2096" s="386"/>
      <c r="F2096" s="354" t="s">
        <v>1168</v>
      </c>
      <c r="G2096" s="250" t="s">
        <v>2338</v>
      </c>
      <c r="H2096" s="244" t="s">
        <v>1041</v>
      </c>
      <c r="I2096"/>
      <c r="J2096" s="4"/>
      <c r="K2096"/>
    </row>
    <row r="2097" spans="1:11" hidden="1">
      <c r="A2097" s="386"/>
      <c r="H2097" s="251" t="str">
        <f>H2084</f>
        <v>DIA S.W.PIPE(LOOSE JOINTING)</v>
      </c>
      <c r="I2097"/>
      <c r="J2097" s="4"/>
      <c r="K2097"/>
    </row>
    <row r="2098" spans="1:11" hidden="1">
      <c r="A2098" s="386"/>
      <c r="H2098" s="248" t="s">
        <v>1667</v>
      </c>
      <c r="I2098"/>
      <c r="J2098" s="4"/>
      <c r="K2098"/>
    </row>
    <row r="2099" spans="1:11" hidden="1">
      <c r="A2099" s="386"/>
      <c r="F2099" s="251">
        <v>50</v>
      </c>
      <c r="G2099" s="250" t="s">
        <v>883</v>
      </c>
      <c r="H2099" s="244" t="s">
        <v>225</v>
      </c>
      <c r="I2099" s="8">
        <f>C204</f>
        <v>65</v>
      </c>
      <c r="J2099" s="2" t="s">
        <v>883</v>
      </c>
      <c r="K2099" s="8">
        <f>(F2099*I2099)</f>
        <v>3250</v>
      </c>
    </row>
    <row r="2100" spans="1:11" hidden="1">
      <c r="A2100" s="386"/>
      <c r="F2100" s="251">
        <v>2</v>
      </c>
      <c r="G2100" s="250" t="s">
        <v>883</v>
      </c>
      <c r="H2100" s="244" t="s">
        <v>809</v>
      </c>
      <c r="I2100" s="8">
        <f>AE37</f>
        <v>120</v>
      </c>
      <c r="J2100" s="2" t="s">
        <v>883</v>
      </c>
      <c r="K2100" s="8">
        <f>(F2100*I2100)</f>
        <v>240</v>
      </c>
    </row>
    <row r="2101" spans="1:11" hidden="1">
      <c r="A2101" s="386"/>
      <c r="F2101" s="251">
        <v>6</v>
      </c>
      <c r="G2101" s="250" t="s">
        <v>883</v>
      </c>
      <c r="H2101" s="244" t="s">
        <v>1979</v>
      </c>
      <c r="I2101" s="8">
        <f>C12</f>
        <v>95</v>
      </c>
      <c r="J2101" s="2" t="s">
        <v>883</v>
      </c>
      <c r="K2101" s="8">
        <f>(F2101*I2101)</f>
        <v>570</v>
      </c>
    </row>
    <row r="2102" spans="1:11" hidden="1">
      <c r="A2102" s="386"/>
      <c r="I2102"/>
      <c r="J2102" s="4"/>
      <c r="K2102" s="5" t="s">
        <v>1667</v>
      </c>
    </row>
    <row r="2103" spans="1:11" hidden="1">
      <c r="A2103" s="386"/>
      <c r="H2103" s="244" t="s">
        <v>2211</v>
      </c>
      <c r="I2103"/>
      <c r="J2103" s="4"/>
      <c r="K2103" s="8">
        <f>SUM(K2099:K2101)</f>
        <v>4060</v>
      </c>
    </row>
    <row r="2104" spans="1:11" hidden="1">
      <c r="A2104" s="386"/>
      <c r="I2104"/>
      <c r="J2104" s="4"/>
      <c r="K2104" s="5" t="s">
        <v>1667</v>
      </c>
    </row>
    <row r="2105" spans="1:11" hidden="1">
      <c r="A2105" s="386"/>
      <c r="H2105" s="244" t="s">
        <v>1167</v>
      </c>
      <c r="I2105"/>
      <c r="J2105" s="4"/>
      <c r="K2105" s="8">
        <f>(K2103/30)</f>
        <v>135.33000000000001</v>
      </c>
    </row>
    <row r="2106" spans="1:11" hidden="1">
      <c r="A2106" s="386"/>
      <c r="I2106"/>
      <c r="J2106" s="4"/>
      <c r="K2106" s="5" t="s">
        <v>2130</v>
      </c>
    </row>
    <row r="2107" spans="1:11" hidden="1">
      <c r="A2107" s="386"/>
      <c r="H2107" s="354" t="s">
        <v>226</v>
      </c>
      <c r="I2107"/>
      <c r="J2107" s="4"/>
      <c r="K2107" s="8">
        <f>SUM(K2104:K2105)</f>
        <v>135.33000000000001</v>
      </c>
    </row>
    <row r="2108" spans="1:11" hidden="1">
      <c r="A2108" s="386"/>
      <c r="I2108"/>
      <c r="J2108" s="4"/>
      <c r="K2108" s="5" t="s">
        <v>2130</v>
      </c>
    </row>
    <row r="2109" spans="1:11" hidden="1">
      <c r="A2109" s="386"/>
      <c r="F2109" s="354" t="s">
        <v>1946</v>
      </c>
      <c r="G2109" s="250" t="s">
        <v>2338</v>
      </c>
      <c r="H2109" s="244" t="s">
        <v>57</v>
      </c>
      <c r="I2109"/>
      <c r="J2109" s="4"/>
      <c r="K2109"/>
    </row>
    <row r="2110" spans="1:11" hidden="1">
      <c r="A2110" s="386"/>
      <c r="H2110" s="244" t="s">
        <v>61</v>
      </c>
      <c r="I2110"/>
      <c r="J2110" s="4"/>
      <c r="K2110"/>
    </row>
    <row r="2111" spans="1:11" hidden="1">
      <c r="A2111" s="386"/>
      <c r="H2111" s="248" t="s">
        <v>1667</v>
      </c>
      <c r="I2111"/>
      <c r="J2111" s="4"/>
      <c r="K2111"/>
    </row>
    <row r="2112" spans="1:11" hidden="1">
      <c r="A2112" s="386"/>
      <c r="F2112" s="251">
        <v>1</v>
      </c>
      <c r="G2112" s="250" t="s">
        <v>883</v>
      </c>
      <c r="H2112" s="244" t="s">
        <v>1126</v>
      </c>
      <c r="I2112" s="8">
        <f>C205</f>
        <v>65</v>
      </c>
      <c r="J2112" s="2" t="s">
        <v>883</v>
      </c>
      <c r="K2112" s="8">
        <f>(F2112*I2112)</f>
        <v>65</v>
      </c>
    </row>
    <row r="2113" spans="1:11" hidden="1">
      <c r="A2113" s="386"/>
      <c r="F2113" s="244" t="s">
        <v>995</v>
      </c>
      <c r="H2113" s="244" t="s">
        <v>62</v>
      </c>
      <c r="I2113"/>
      <c r="J2113" s="4"/>
      <c r="K2113"/>
    </row>
    <row r="2114" spans="1:11" hidden="1">
      <c r="A2114" s="386"/>
      <c r="F2114" s="244" t="s">
        <v>995</v>
      </c>
      <c r="H2114" s="244" t="s">
        <v>63</v>
      </c>
      <c r="I2114" s="2" t="s">
        <v>448</v>
      </c>
      <c r="J2114" s="4"/>
      <c r="K2114" s="8">
        <v>2.5</v>
      </c>
    </row>
    <row r="2115" spans="1:11" hidden="1">
      <c r="A2115" s="386"/>
      <c r="I2115"/>
      <c r="J2115" s="4"/>
      <c r="K2115" s="5" t="s">
        <v>1667</v>
      </c>
    </row>
    <row r="2116" spans="1:11" hidden="1">
      <c r="A2116" s="386"/>
      <c r="H2116" s="244" t="s">
        <v>2211</v>
      </c>
      <c r="I2116"/>
      <c r="J2116" s="4"/>
      <c r="K2116" s="8">
        <f>SUM(K2112:K2114)</f>
        <v>67.5</v>
      </c>
    </row>
    <row r="2117" spans="1:11" hidden="1">
      <c r="A2117" s="386"/>
      <c r="F2117" s="354" t="s">
        <v>1946</v>
      </c>
      <c r="G2117" s="250" t="s">
        <v>2338</v>
      </c>
      <c r="H2117" s="244" t="s">
        <v>1041</v>
      </c>
      <c r="I2117"/>
      <c r="J2117" s="4"/>
      <c r="K2117" s="5" t="s">
        <v>1667</v>
      </c>
    </row>
    <row r="2118" spans="1:11" hidden="1">
      <c r="A2118" s="386"/>
      <c r="H2118" s="244" t="s">
        <v>61</v>
      </c>
      <c r="I2118"/>
      <c r="J2118" s="4"/>
      <c r="K2118" s="8"/>
    </row>
    <row r="2119" spans="1:11" hidden="1">
      <c r="A2119" s="386"/>
      <c r="H2119" s="248" t="s">
        <v>1667</v>
      </c>
      <c r="I2119"/>
      <c r="J2119" s="4"/>
      <c r="K2119" s="5" t="s">
        <v>1667</v>
      </c>
    </row>
    <row r="2120" spans="1:11" hidden="1">
      <c r="A2120" s="386"/>
      <c r="F2120" s="245">
        <v>1</v>
      </c>
      <c r="G2120" s="243" t="s">
        <v>781</v>
      </c>
      <c r="H2120" s="244" t="s">
        <v>1125</v>
      </c>
      <c r="I2120"/>
      <c r="J2120" s="4" t="s">
        <v>1454</v>
      </c>
      <c r="K2120" s="8">
        <v>92.5</v>
      </c>
    </row>
    <row r="2121" spans="1:11" hidden="1">
      <c r="A2121" s="386"/>
      <c r="I2121"/>
      <c r="J2121" s="4"/>
      <c r="K2121" s="5" t="s">
        <v>1667</v>
      </c>
    </row>
    <row r="2122" spans="1:11" hidden="1">
      <c r="A2122" s="386"/>
      <c r="F2122" s="354" t="s">
        <v>1324</v>
      </c>
      <c r="G2122" s="250" t="s">
        <v>2338</v>
      </c>
      <c r="H2122" s="244" t="s">
        <v>57</v>
      </c>
      <c r="I2122"/>
      <c r="J2122" s="4"/>
      <c r="K2122"/>
    </row>
    <row r="2123" spans="1:11" hidden="1">
      <c r="A2123" s="386"/>
      <c r="H2123" s="244" t="s">
        <v>1331</v>
      </c>
      <c r="I2123"/>
      <c r="J2123" s="4"/>
      <c r="K2123"/>
    </row>
    <row r="2124" spans="1:11" hidden="1">
      <c r="A2124" s="386"/>
      <c r="H2124" s="248" t="s">
        <v>1667</v>
      </c>
      <c r="I2124"/>
      <c r="J2124" s="4"/>
      <c r="K2124"/>
    </row>
    <row r="2125" spans="1:11" hidden="1">
      <c r="A2125" s="386"/>
      <c r="F2125" s="251">
        <v>1</v>
      </c>
      <c r="G2125" s="250" t="s">
        <v>883</v>
      </c>
      <c r="H2125" s="244" t="s">
        <v>1124</v>
      </c>
      <c r="I2125" s="8">
        <f>C202</f>
        <v>75</v>
      </c>
      <c r="J2125" s="2" t="s">
        <v>883</v>
      </c>
      <c r="K2125" s="8">
        <f>(F2125*I2125)</f>
        <v>75</v>
      </c>
    </row>
    <row r="2126" spans="1:11" hidden="1">
      <c r="A2126" s="386"/>
      <c r="F2126" s="244" t="s">
        <v>995</v>
      </c>
      <c r="H2126" s="244" t="s">
        <v>62</v>
      </c>
      <c r="I2126"/>
      <c r="J2126" s="4"/>
      <c r="K2126"/>
    </row>
    <row r="2127" spans="1:11" hidden="1">
      <c r="A2127" s="386"/>
      <c r="F2127" s="244" t="s">
        <v>995</v>
      </c>
      <c r="H2127" s="244" t="s">
        <v>63</v>
      </c>
      <c r="I2127" s="2" t="s">
        <v>448</v>
      </c>
      <c r="J2127" s="4"/>
      <c r="K2127" s="8">
        <v>3</v>
      </c>
    </row>
    <row r="2128" spans="1:11" hidden="1">
      <c r="A2128" s="386"/>
      <c r="I2128"/>
      <c r="J2128" s="4"/>
      <c r="K2128" s="5" t="s">
        <v>1667</v>
      </c>
    </row>
    <row r="2129" spans="1:11" hidden="1">
      <c r="A2129" s="386"/>
      <c r="H2129" s="244" t="s">
        <v>2211</v>
      </c>
      <c r="I2129"/>
      <c r="J2129" s="4"/>
      <c r="K2129" s="8">
        <f>SUM(K2125:K2127)</f>
        <v>78</v>
      </c>
    </row>
    <row r="2130" spans="1:11" hidden="1">
      <c r="A2130" s="386"/>
      <c r="I2130"/>
      <c r="J2130" s="4"/>
      <c r="K2130" s="5" t="s">
        <v>1667</v>
      </c>
    </row>
    <row r="2131" spans="1:11" hidden="1">
      <c r="A2131" s="386"/>
      <c r="I2131"/>
      <c r="J2131" s="4"/>
      <c r="K2131"/>
    </row>
    <row r="2132" spans="1:11" hidden="1">
      <c r="A2132" s="386"/>
      <c r="F2132" s="354" t="s">
        <v>1883</v>
      </c>
      <c r="G2132" s="250" t="s">
        <v>2338</v>
      </c>
      <c r="H2132" s="244" t="s">
        <v>1041</v>
      </c>
      <c r="I2132"/>
      <c r="J2132" s="4"/>
      <c r="K2132"/>
    </row>
    <row r="2133" spans="1:11" hidden="1">
      <c r="A2133" s="386"/>
      <c r="H2133" s="244" t="s">
        <v>1331</v>
      </c>
      <c r="I2133"/>
      <c r="J2133" s="4"/>
      <c r="K2133"/>
    </row>
    <row r="2134" spans="1:11" hidden="1">
      <c r="A2134" s="386"/>
      <c r="H2134" s="248" t="s">
        <v>1667</v>
      </c>
      <c r="I2134"/>
      <c r="J2134" s="4"/>
      <c r="K2134"/>
    </row>
    <row r="2135" spans="1:11" hidden="1">
      <c r="A2135" s="386"/>
      <c r="F2135" s="251">
        <v>1</v>
      </c>
      <c r="G2135" s="250" t="s">
        <v>883</v>
      </c>
      <c r="H2135" s="244" t="s">
        <v>821</v>
      </c>
      <c r="I2135" s="8">
        <f>C207</f>
        <v>100</v>
      </c>
      <c r="J2135" s="2" t="s">
        <v>883</v>
      </c>
      <c r="K2135" s="8">
        <f>(F2135*I2135)</f>
        <v>100</v>
      </c>
    </row>
    <row r="2136" spans="1:11" hidden="1">
      <c r="A2136" s="386"/>
      <c r="F2136" s="244" t="s">
        <v>995</v>
      </c>
      <c r="H2136" s="244" t="s">
        <v>62</v>
      </c>
      <c r="I2136"/>
      <c r="J2136" s="4"/>
      <c r="K2136"/>
    </row>
    <row r="2137" spans="1:11" hidden="1">
      <c r="A2137" s="386"/>
      <c r="F2137" s="244" t="s">
        <v>995</v>
      </c>
      <c r="H2137" s="244" t="s">
        <v>63</v>
      </c>
      <c r="I2137" s="2" t="s">
        <v>448</v>
      </c>
      <c r="J2137" s="4"/>
      <c r="K2137" s="8">
        <v>3</v>
      </c>
    </row>
    <row r="2138" spans="1:11" hidden="1">
      <c r="A2138" s="386"/>
      <c r="I2138"/>
      <c r="J2138" s="4"/>
      <c r="K2138" s="5" t="s">
        <v>1667</v>
      </c>
    </row>
    <row r="2139" spans="1:11" hidden="1">
      <c r="A2139" s="386"/>
      <c r="H2139" s="244" t="s">
        <v>2211</v>
      </c>
      <c r="I2139"/>
      <c r="J2139" s="4"/>
      <c r="K2139" s="8">
        <f>SUM(K2135:K2137)</f>
        <v>103</v>
      </c>
    </row>
    <row r="2140" spans="1:11" hidden="1">
      <c r="A2140" s="386"/>
      <c r="I2140"/>
      <c r="J2140" s="4"/>
      <c r="K2140" s="5" t="s">
        <v>1667</v>
      </c>
    </row>
    <row r="2141" spans="1:11" hidden="1">
      <c r="A2141" s="386"/>
      <c r="F2141" s="354" t="s">
        <v>1603</v>
      </c>
      <c r="H2141" s="244" t="s">
        <v>1604</v>
      </c>
      <c r="I2141"/>
      <c r="J2141" s="4"/>
      <c r="K2141"/>
    </row>
    <row r="2142" spans="1:11" hidden="1">
      <c r="A2142" s="386"/>
      <c r="H2142" s="244" t="s">
        <v>1110</v>
      </c>
      <c r="I2142"/>
      <c r="J2142" s="4"/>
      <c r="K2142"/>
    </row>
    <row r="2143" spans="1:11" hidden="1">
      <c r="A2143" s="386"/>
      <c r="H2143" s="248" t="s">
        <v>1667</v>
      </c>
      <c r="I2143"/>
      <c r="J2143" s="4"/>
      <c r="K2143"/>
    </row>
    <row r="2144" spans="1:11" hidden="1">
      <c r="A2144" s="386"/>
      <c r="F2144" s="251">
        <v>2.5</v>
      </c>
      <c r="G2144" s="250" t="s">
        <v>1111</v>
      </c>
      <c r="H2144" s="244" t="s">
        <v>1604</v>
      </c>
      <c r="I2144" s="8">
        <f>C566</f>
        <v>28.5</v>
      </c>
      <c r="J2144" s="2">
        <v>2.5</v>
      </c>
      <c r="K2144" s="8">
        <f>(F2144*I2144)/F2144</f>
        <v>28.5</v>
      </c>
    </row>
    <row r="2145" spans="1:11" hidden="1">
      <c r="A2145" s="386"/>
      <c r="H2145" s="244" t="s">
        <v>1112</v>
      </c>
      <c r="I2145"/>
      <c r="J2145" s="2" t="s">
        <v>1111</v>
      </c>
      <c r="K2145"/>
    </row>
    <row r="2146" spans="1:11" hidden="1">
      <c r="A2146" s="386"/>
      <c r="G2146" s="250" t="s">
        <v>448</v>
      </c>
      <c r="H2146" s="244" t="s">
        <v>1113</v>
      </c>
      <c r="I2146"/>
      <c r="J2146" s="2" t="s">
        <v>448</v>
      </c>
      <c r="K2146" s="8">
        <v>1.5</v>
      </c>
    </row>
    <row r="2147" spans="1:11" hidden="1">
      <c r="A2147" s="386"/>
      <c r="I2147"/>
      <c r="J2147" s="4"/>
      <c r="K2147" s="5" t="s">
        <v>1667</v>
      </c>
    </row>
    <row r="2148" spans="1:11" hidden="1">
      <c r="A2148" s="386"/>
      <c r="H2148" s="354" t="s">
        <v>226</v>
      </c>
      <c r="I2148"/>
      <c r="J2148" s="4"/>
      <c r="K2148" s="8">
        <f>SUM(K2144:K2146)</f>
        <v>30</v>
      </c>
    </row>
    <row r="2149" spans="1:11" hidden="1">
      <c r="A2149" s="386"/>
      <c r="I2149"/>
      <c r="J2149" s="4"/>
      <c r="K2149" s="5" t="s">
        <v>2130</v>
      </c>
    </row>
    <row r="2150" spans="1:11" hidden="1">
      <c r="A2150" s="386"/>
      <c r="I2150"/>
      <c r="J2150" s="4"/>
      <c r="K2150"/>
    </row>
    <row r="2151" spans="1:11" hidden="1">
      <c r="A2151" s="386"/>
      <c r="F2151" s="354" t="s">
        <v>1114</v>
      </c>
      <c r="G2151" s="250" t="s">
        <v>2338</v>
      </c>
      <c r="H2151" s="244" t="s">
        <v>269</v>
      </c>
      <c r="I2151"/>
      <c r="J2151" s="4"/>
      <c r="K2151"/>
    </row>
    <row r="2152" spans="1:11" hidden="1">
      <c r="A2152" s="386"/>
      <c r="H2152" s="244" t="s">
        <v>67</v>
      </c>
      <c r="I2152"/>
      <c r="J2152" s="4"/>
      <c r="K2152"/>
    </row>
    <row r="2153" spans="1:11" hidden="1">
      <c r="A2153" s="386"/>
      <c r="H2153" s="244" t="s">
        <v>372</v>
      </c>
      <c r="I2153"/>
      <c r="J2153" s="4"/>
      <c r="K2153"/>
    </row>
    <row r="2154" spans="1:11" hidden="1">
      <c r="A2154" s="386"/>
      <c r="H2154" s="244" t="s">
        <v>356</v>
      </c>
      <c r="I2154"/>
      <c r="J2154" s="4"/>
      <c r="K2154"/>
    </row>
    <row r="2155" spans="1:11" hidden="1">
      <c r="A2155" s="386"/>
      <c r="H2155" s="244" t="s">
        <v>430</v>
      </c>
      <c r="I2155"/>
      <c r="J2155" s="4"/>
      <c r="K2155"/>
    </row>
    <row r="2156" spans="1:11" hidden="1">
      <c r="A2156" s="386"/>
      <c r="H2156" s="244" t="s">
        <v>1542</v>
      </c>
      <c r="I2156"/>
      <c r="J2156" s="4"/>
      <c r="K2156"/>
    </row>
    <row r="2157" spans="1:11" hidden="1">
      <c r="A2157" s="386"/>
      <c r="H2157" s="244" t="s">
        <v>1944</v>
      </c>
      <c r="I2157"/>
      <c r="J2157" s="4"/>
      <c r="K2157"/>
    </row>
    <row r="2158" spans="1:11" hidden="1">
      <c r="A2158" s="386"/>
      <c r="H2158" s="244" t="s">
        <v>2279</v>
      </c>
      <c r="I2158"/>
      <c r="J2158" s="4"/>
      <c r="K2158"/>
    </row>
    <row r="2159" spans="1:11" hidden="1">
      <c r="A2159" s="386"/>
      <c r="H2159" s="244" t="s">
        <v>569</v>
      </c>
      <c r="I2159"/>
      <c r="J2159" s="4"/>
      <c r="K2159"/>
    </row>
    <row r="2160" spans="1:11" hidden="1">
      <c r="A2160" s="386"/>
      <c r="H2160" s="244" t="s">
        <v>1334</v>
      </c>
      <c r="I2160"/>
      <c r="J2160" s="4"/>
      <c r="K2160"/>
    </row>
    <row r="2161" spans="1:11" hidden="1">
      <c r="A2161" s="386"/>
      <c r="H2161" s="244" t="s">
        <v>1335</v>
      </c>
      <c r="I2161"/>
      <c r="J2161" s="4"/>
      <c r="K2161"/>
    </row>
    <row r="2162" spans="1:11" hidden="1">
      <c r="A2162" s="386"/>
      <c r="H2162" s="244" t="s">
        <v>1336</v>
      </c>
      <c r="I2162"/>
      <c r="J2162" s="4"/>
      <c r="K2162"/>
    </row>
    <row r="2163" spans="1:11" hidden="1">
      <c r="A2163" s="386"/>
      <c r="H2163" s="248" t="s">
        <v>1667</v>
      </c>
      <c r="I2163" s="5" t="s">
        <v>1667</v>
      </c>
      <c r="J2163" s="4"/>
      <c r="K2163"/>
    </row>
    <row r="2164" spans="1:11" hidden="1">
      <c r="A2164" s="386"/>
      <c r="F2164" s="244" t="s">
        <v>995</v>
      </c>
      <c r="I2164"/>
      <c r="J2164" s="4"/>
      <c r="K2164"/>
    </row>
    <row r="2165" spans="1:11" hidden="1">
      <c r="A2165" s="386"/>
      <c r="F2165" s="374">
        <v>1.7399999999999999E-2</v>
      </c>
      <c r="G2165" s="250" t="s">
        <v>2226</v>
      </c>
      <c r="H2165" s="244" t="s">
        <v>1337</v>
      </c>
      <c r="I2165" s="8">
        <f>C86</f>
        <v>20605</v>
      </c>
      <c r="J2165" s="2" t="s">
        <v>2226</v>
      </c>
      <c r="K2165" s="8">
        <f t="shared" ref="K2165:K2172" si="73">F2165*I2165</f>
        <v>358.53</v>
      </c>
    </row>
    <row r="2166" spans="1:11" hidden="1">
      <c r="A2166" s="386"/>
      <c r="F2166" s="374">
        <v>2.93E-2</v>
      </c>
      <c r="G2166" s="250" t="s">
        <v>2226</v>
      </c>
      <c r="H2166" s="244" t="s">
        <v>1338</v>
      </c>
      <c r="I2166" s="8">
        <f>C87</f>
        <v>23685</v>
      </c>
      <c r="J2166" s="2" t="s">
        <v>2226</v>
      </c>
      <c r="K2166" s="8">
        <f t="shared" si="73"/>
        <v>693.97</v>
      </c>
    </row>
    <row r="2167" spans="1:11" hidden="1">
      <c r="A2167" s="386"/>
      <c r="F2167" s="374">
        <v>1.093</v>
      </c>
      <c r="G2167" s="250" t="s">
        <v>2371</v>
      </c>
      <c r="H2167" s="244" t="s">
        <v>1339</v>
      </c>
      <c r="I2167" s="57">
        <f>C198</f>
        <v>212</v>
      </c>
      <c r="J2167" s="2" t="s">
        <v>2371</v>
      </c>
      <c r="K2167" s="8">
        <f t="shared" si="73"/>
        <v>231.72</v>
      </c>
    </row>
    <row r="2168" spans="1:11" hidden="1">
      <c r="A2168" s="386"/>
      <c r="F2168" s="251">
        <v>6</v>
      </c>
      <c r="G2168" s="250" t="s">
        <v>563</v>
      </c>
      <c r="H2168" s="244" t="s">
        <v>2484</v>
      </c>
      <c r="I2168" s="8">
        <f>C296</f>
        <v>3.25</v>
      </c>
      <c r="J2168" s="2" t="s">
        <v>1458</v>
      </c>
      <c r="K2168" s="8">
        <f t="shared" si="73"/>
        <v>19.5</v>
      </c>
    </row>
    <row r="2169" spans="1:11" hidden="1">
      <c r="A2169" s="386"/>
      <c r="F2169" s="251">
        <v>1</v>
      </c>
      <c r="G2169" s="250" t="s">
        <v>563</v>
      </c>
      <c r="H2169" s="244" t="s">
        <v>2433</v>
      </c>
      <c r="I2169" s="8">
        <f>C286</f>
        <v>80</v>
      </c>
      <c r="J2169" s="2" t="s">
        <v>1458</v>
      </c>
      <c r="K2169" s="8">
        <f t="shared" si="73"/>
        <v>80</v>
      </c>
    </row>
    <row r="2170" spans="1:11" hidden="1">
      <c r="A2170" s="386"/>
      <c r="F2170" s="251">
        <v>2</v>
      </c>
      <c r="G2170" s="250" t="s">
        <v>563</v>
      </c>
      <c r="H2170" s="244" t="s">
        <v>1832</v>
      </c>
      <c r="I2170" s="8">
        <f>C307</f>
        <v>0.9</v>
      </c>
      <c r="J2170" s="2" t="s">
        <v>1458</v>
      </c>
      <c r="K2170" s="8">
        <f t="shared" si="73"/>
        <v>1.8</v>
      </c>
    </row>
    <row r="2171" spans="1:11" hidden="1">
      <c r="A2171" s="386"/>
      <c r="F2171" s="251">
        <v>6</v>
      </c>
      <c r="G2171" s="250" t="s">
        <v>563</v>
      </c>
      <c r="H2171" s="244" t="s">
        <v>143</v>
      </c>
      <c r="I2171" s="8">
        <v>8</v>
      </c>
      <c r="J2171" s="2" t="s">
        <v>1458</v>
      </c>
      <c r="K2171" s="8">
        <f t="shared" si="73"/>
        <v>48</v>
      </c>
    </row>
    <row r="2172" spans="1:11" hidden="1">
      <c r="A2172" s="386"/>
      <c r="F2172" s="363">
        <v>1.62</v>
      </c>
      <c r="G2172" s="250" t="s">
        <v>2371</v>
      </c>
      <c r="H2172" s="244" t="s">
        <v>144</v>
      </c>
      <c r="I2172" s="8">
        <f>D33</f>
        <v>240</v>
      </c>
      <c r="J2172" s="2" t="s">
        <v>2371</v>
      </c>
      <c r="K2172" s="8">
        <f t="shared" si="73"/>
        <v>388.8</v>
      </c>
    </row>
    <row r="2173" spans="1:11" hidden="1">
      <c r="A2173" s="386"/>
      <c r="G2173" s="250" t="s">
        <v>448</v>
      </c>
      <c r="H2173" s="244" t="s">
        <v>507</v>
      </c>
      <c r="I2173"/>
      <c r="J2173" s="2" t="s">
        <v>448</v>
      </c>
      <c r="K2173" s="8">
        <v>0.25</v>
      </c>
    </row>
    <row r="2174" spans="1:11" hidden="1">
      <c r="A2174" s="386"/>
      <c r="I2174"/>
      <c r="J2174" s="4"/>
      <c r="K2174" s="5" t="s">
        <v>1667</v>
      </c>
    </row>
    <row r="2175" spans="1:11" hidden="1">
      <c r="A2175" s="386"/>
      <c r="H2175" s="354" t="s">
        <v>145</v>
      </c>
      <c r="I2175"/>
      <c r="J2175" s="4"/>
      <c r="K2175" s="8">
        <f>SUM(K2165:K2173)</f>
        <v>1822.57</v>
      </c>
    </row>
    <row r="2176" spans="1:11" hidden="1">
      <c r="A2176" s="386"/>
      <c r="I2176"/>
      <c r="J2176" s="4"/>
      <c r="K2176" s="5" t="s">
        <v>1667</v>
      </c>
    </row>
    <row r="2177" spans="1:11" hidden="1">
      <c r="A2177" s="386"/>
      <c r="I2177"/>
      <c r="J2177" s="4"/>
      <c r="K2177"/>
    </row>
    <row r="2178" spans="1:11" hidden="1">
      <c r="A2178" s="386"/>
      <c r="H2178" s="354" t="s">
        <v>146</v>
      </c>
      <c r="I2178" s="1" t="s">
        <v>995</v>
      </c>
      <c r="J2178" s="4"/>
      <c r="K2178" s="8">
        <f>K2175/1.62</f>
        <v>1125.04</v>
      </c>
    </row>
    <row r="2179" spans="1:11" hidden="1">
      <c r="A2179" s="386"/>
      <c r="F2179" s="244" t="s">
        <v>995</v>
      </c>
      <c r="G2179" s="250" t="s">
        <v>995</v>
      </c>
      <c r="H2179" s="244" t="s">
        <v>995</v>
      </c>
      <c r="I2179" s="1" t="s">
        <v>995</v>
      </c>
      <c r="J2179" s="2" t="s">
        <v>995</v>
      </c>
      <c r="K2179"/>
    </row>
    <row r="2180" spans="1:11" hidden="1">
      <c r="A2180" s="386"/>
      <c r="I2180"/>
      <c r="J2180" s="4"/>
      <c r="K2180"/>
    </row>
    <row r="2181" spans="1:11" hidden="1">
      <c r="A2181" s="386"/>
      <c r="G2181" s="250" t="s">
        <v>1602</v>
      </c>
      <c r="H2181" s="244" t="s">
        <v>1453</v>
      </c>
      <c r="I2181"/>
      <c r="J2181" s="4"/>
      <c r="K2181"/>
    </row>
    <row r="2182" spans="1:11" hidden="1">
      <c r="A2182" s="386"/>
      <c r="H2182" s="244" t="s">
        <v>813</v>
      </c>
      <c r="I2182"/>
      <c r="J2182" s="4"/>
      <c r="K2182"/>
    </row>
    <row r="2183" spans="1:11" hidden="1">
      <c r="A2183" s="386"/>
      <c r="F2183" s="244" t="s">
        <v>995</v>
      </c>
      <c r="H2183" s="244" t="s">
        <v>814</v>
      </c>
      <c r="I2183"/>
      <c r="J2183" s="4"/>
      <c r="K2183"/>
    </row>
    <row r="2184" spans="1:11" hidden="1">
      <c r="A2184" s="386"/>
      <c r="F2184" s="354" t="s">
        <v>815</v>
      </c>
      <c r="H2184" s="244" t="s">
        <v>2254</v>
      </c>
      <c r="I2184"/>
      <c r="J2184" s="4"/>
      <c r="K2184" s="8">
        <f>K2860</f>
        <v>882</v>
      </c>
    </row>
    <row r="2185" spans="1:11" hidden="1">
      <c r="A2185" s="386"/>
      <c r="F2185" s="354" t="s">
        <v>816</v>
      </c>
      <c r="H2185" s="354" t="s">
        <v>786</v>
      </c>
      <c r="I2185"/>
      <c r="J2185" s="4"/>
      <c r="K2185" s="8">
        <f>K2884</f>
        <v>885</v>
      </c>
    </row>
    <row r="2186" spans="1:11" hidden="1">
      <c r="A2186" s="386"/>
      <c r="F2186" s="354" t="s">
        <v>817</v>
      </c>
      <c r="H2186" s="244" t="s">
        <v>1328</v>
      </c>
      <c r="I2186"/>
      <c r="J2186" s="4"/>
      <c r="K2186" s="8">
        <f>K2899</f>
        <v>922</v>
      </c>
    </row>
    <row r="2187" spans="1:11" hidden="1">
      <c r="A2187" s="386"/>
      <c r="F2187" s="360">
        <v>65</v>
      </c>
      <c r="H2187" s="244" t="s">
        <v>788</v>
      </c>
      <c r="I2187"/>
      <c r="J2187" s="4"/>
      <c r="K2187" s="8">
        <f>K2921</f>
        <v>953</v>
      </c>
    </row>
    <row r="2188" spans="1:11" hidden="1">
      <c r="A2188" s="386"/>
      <c r="F2188" s="360">
        <v>66</v>
      </c>
      <c r="H2188" s="244" t="s">
        <v>615</v>
      </c>
      <c r="I2188"/>
      <c r="J2188" s="4"/>
      <c r="K2188" s="8">
        <f>K2945</f>
        <v>1562</v>
      </c>
    </row>
    <row r="2189" spans="1:11" hidden="1">
      <c r="A2189" s="386"/>
      <c r="F2189" s="360">
        <v>67</v>
      </c>
      <c r="H2189" s="244" t="s">
        <v>573</v>
      </c>
      <c r="I2189"/>
      <c r="J2189" s="4"/>
      <c r="K2189" s="8">
        <f>K2977</f>
        <v>424</v>
      </c>
    </row>
    <row r="2190" spans="1:11" hidden="1">
      <c r="A2190" s="386"/>
      <c r="F2190" s="360">
        <v>68</v>
      </c>
      <c r="H2190" s="244" t="s">
        <v>853</v>
      </c>
      <c r="I2190"/>
      <c r="J2190" s="4"/>
      <c r="K2190" s="8">
        <f>K2965</f>
        <v>633</v>
      </c>
    </row>
    <row r="2191" spans="1:11" hidden="1">
      <c r="A2191" s="386"/>
      <c r="F2191" s="360">
        <v>69</v>
      </c>
      <c r="H2191" s="244" t="s">
        <v>818</v>
      </c>
      <c r="I2191"/>
      <c r="J2191" s="4"/>
      <c r="K2191" s="8">
        <f>K2988</f>
        <v>150</v>
      </c>
    </row>
    <row r="2192" spans="1:11" hidden="1">
      <c r="A2192" s="386"/>
      <c r="F2192" s="360" t="s">
        <v>819</v>
      </c>
      <c r="H2192" s="244" t="s">
        <v>496</v>
      </c>
      <c r="I2192"/>
      <c r="J2192" s="4"/>
      <c r="K2192" s="8">
        <f>K3135</f>
        <v>417</v>
      </c>
    </row>
    <row r="2193" spans="1:11" hidden="1">
      <c r="A2193" s="386"/>
      <c r="F2193" s="360" t="s">
        <v>297</v>
      </c>
      <c r="H2193" s="244" t="s">
        <v>2434</v>
      </c>
      <c r="I2193"/>
      <c r="J2193" s="4"/>
      <c r="K2193" s="8"/>
    </row>
    <row r="2194" spans="1:11" hidden="1">
      <c r="A2194" s="386"/>
      <c r="F2194" s="360" t="s">
        <v>2018</v>
      </c>
      <c r="H2194" s="244" t="s">
        <v>1565</v>
      </c>
      <c r="I2194"/>
      <c r="J2194" s="4"/>
      <c r="K2194" s="8">
        <v>10</v>
      </c>
    </row>
    <row r="2195" spans="1:11" hidden="1">
      <c r="A2195" s="386"/>
      <c r="F2195" s="360" t="s">
        <v>2019</v>
      </c>
      <c r="H2195" s="244" t="s">
        <v>584</v>
      </c>
      <c r="I2195"/>
      <c r="J2195" s="4"/>
      <c r="K2195" s="8">
        <v>8</v>
      </c>
    </row>
    <row r="2196" spans="1:11" hidden="1">
      <c r="A2196" s="386"/>
      <c r="F2196" s="360">
        <v>71</v>
      </c>
      <c r="H2196" s="244" t="s">
        <v>1203</v>
      </c>
      <c r="I2196"/>
      <c r="J2196" s="4"/>
      <c r="K2196" s="8">
        <f>K3154</f>
        <v>480</v>
      </c>
    </row>
    <row r="2197" spans="1:11" hidden="1">
      <c r="A2197" s="386"/>
      <c r="F2197" s="360">
        <v>72</v>
      </c>
      <c r="H2197" s="244" t="s">
        <v>820</v>
      </c>
      <c r="I2197"/>
      <c r="J2197" s="4"/>
      <c r="K2197" s="8">
        <v>31</v>
      </c>
    </row>
    <row r="2198" spans="1:11" hidden="1">
      <c r="A2198" s="386"/>
      <c r="F2198" s="360" t="s">
        <v>585</v>
      </c>
      <c r="H2198" s="244" t="s">
        <v>272</v>
      </c>
      <c r="I2198"/>
      <c r="J2198" s="4"/>
      <c r="K2198" s="8">
        <f>K3233</f>
        <v>4120</v>
      </c>
    </row>
    <row r="2199" spans="1:11" hidden="1">
      <c r="A2199" s="386"/>
      <c r="F2199" s="360" t="s">
        <v>586</v>
      </c>
      <c r="H2199" s="244" t="s">
        <v>587</v>
      </c>
      <c r="I2199"/>
      <c r="J2199" s="4"/>
      <c r="K2199" s="8">
        <f>K3221</f>
        <v>3240</v>
      </c>
    </row>
    <row r="2200" spans="1:11" hidden="1">
      <c r="A2200" s="386"/>
      <c r="F2200" s="360">
        <v>74</v>
      </c>
      <c r="H2200" s="244" t="s">
        <v>168</v>
      </c>
      <c r="I2200"/>
      <c r="J2200" s="4"/>
      <c r="K2200" s="8">
        <f>K3277</f>
        <v>225</v>
      </c>
    </row>
    <row r="2201" spans="1:11" hidden="1">
      <c r="A2201" s="386"/>
      <c r="F2201" s="360" t="s">
        <v>640</v>
      </c>
      <c r="H2201" s="244" t="s">
        <v>1442</v>
      </c>
      <c r="I2201"/>
      <c r="J2201" s="4"/>
      <c r="K2201" s="8">
        <f>K3764</f>
        <v>1499</v>
      </c>
    </row>
    <row r="2202" spans="1:11" hidden="1">
      <c r="A2202" s="386"/>
      <c r="F2202" s="360" t="s">
        <v>641</v>
      </c>
      <c r="H2202" s="244" t="s">
        <v>135</v>
      </c>
      <c r="I2202"/>
      <c r="J2202" s="4"/>
      <c r="K2202" s="8">
        <v>0</v>
      </c>
    </row>
    <row r="2203" spans="1:11" hidden="1">
      <c r="A2203" s="386"/>
      <c r="F2203" s="360">
        <v>112</v>
      </c>
      <c r="H2203" s="244" t="s">
        <v>758</v>
      </c>
      <c r="I2203"/>
      <c r="J2203" s="4"/>
      <c r="K2203" s="8">
        <f>K3741</f>
        <v>1766</v>
      </c>
    </row>
    <row r="2204" spans="1:11" hidden="1">
      <c r="A2204" s="386"/>
      <c r="F2204" s="360">
        <v>76</v>
      </c>
      <c r="H2204" s="244" t="s">
        <v>2007</v>
      </c>
      <c r="I2204"/>
      <c r="J2204" s="4"/>
      <c r="K2204" s="8">
        <f>K3294</f>
        <v>15.5</v>
      </c>
    </row>
    <row r="2205" spans="1:11" hidden="1">
      <c r="A2205" s="386"/>
      <c r="F2205" s="360">
        <v>77</v>
      </c>
      <c r="H2205" s="244" t="s">
        <v>2355</v>
      </c>
      <c r="I2205"/>
      <c r="J2205" s="4"/>
      <c r="K2205" s="8">
        <f>K3080</f>
        <v>120</v>
      </c>
    </row>
    <row r="2206" spans="1:11" ht="47.25" hidden="1">
      <c r="A2206" s="386"/>
      <c r="F2206" s="398">
        <v>77.099999999999994</v>
      </c>
      <c r="H2206" s="368" t="s">
        <v>1886</v>
      </c>
      <c r="I2206"/>
      <c r="J2206" s="4"/>
      <c r="K2206" s="399">
        <f>K3105</f>
        <v>168.9</v>
      </c>
    </row>
    <row r="2207" spans="1:11" hidden="1">
      <c r="A2207" s="386"/>
      <c r="F2207" s="364">
        <v>77.2</v>
      </c>
      <c r="H2207" s="244" t="s">
        <v>1887</v>
      </c>
      <c r="I2207"/>
      <c r="J2207" s="4"/>
      <c r="K2207" s="8">
        <v>500</v>
      </c>
    </row>
    <row r="2208" spans="1:11" hidden="1">
      <c r="A2208" s="386"/>
      <c r="F2208" s="364">
        <v>77.3</v>
      </c>
      <c r="H2208" s="244" t="s">
        <v>1564</v>
      </c>
      <c r="I2208"/>
      <c r="J2208" s="4"/>
      <c r="K2208" s="8">
        <f>K3709</f>
        <v>53</v>
      </c>
    </row>
    <row r="2209" spans="1:11" hidden="1">
      <c r="A2209" s="386"/>
      <c r="F2209" s="360">
        <v>78</v>
      </c>
      <c r="H2209" s="244" t="s">
        <v>83</v>
      </c>
      <c r="I2209"/>
      <c r="J2209" s="4"/>
      <c r="K2209" s="8">
        <f>K3319</f>
        <v>1830</v>
      </c>
    </row>
    <row r="2210" spans="1:11" hidden="1">
      <c r="A2210" s="386"/>
      <c r="F2210" s="360">
        <v>80</v>
      </c>
      <c r="H2210" s="244" t="s">
        <v>2189</v>
      </c>
      <c r="I2210"/>
      <c r="J2210" s="4"/>
      <c r="K2210" s="8">
        <f>K3441</f>
        <v>452</v>
      </c>
    </row>
    <row r="2211" spans="1:11" hidden="1">
      <c r="A2211" s="386"/>
      <c r="F2211" s="360">
        <v>81</v>
      </c>
      <c r="H2211" s="244" t="s">
        <v>94</v>
      </c>
      <c r="I2211"/>
      <c r="J2211" s="4"/>
      <c r="K2211" s="8">
        <f>K2178</f>
        <v>1125.04</v>
      </c>
    </row>
    <row r="2212" spans="1:11" hidden="1">
      <c r="A2212" s="386"/>
      <c r="F2212" s="360">
        <v>82</v>
      </c>
      <c r="H2212" s="244" t="s">
        <v>1627</v>
      </c>
      <c r="I2212"/>
      <c r="J2212" s="4"/>
      <c r="K2212" s="8">
        <f>K3638</f>
        <v>1972</v>
      </c>
    </row>
    <row r="2213" spans="1:11" hidden="1">
      <c r="A2213" s="386"/>
      <c r="F2213" s="360">
        <v>87</v>
      </c>
      <c r="H2213" s="244" t="s">
        <v>1845</v>
      </c>
      <c r="I2213"/>
      <c r="J2213" s="4"/>
      <c r="K2213" s="8">
        <f>K3458</f>
        <v>2696</v>
      </c>
    </row>
    <row r="2214" spans="1:11" hidden="1">
      <c r="A2214" s="386"/>
      <c r="I2214"/>
      <c r="J2214" s="4"/>
      <c r="K2214"/>
    </row>
    <row r="2215" spans="1:11" hidden="1">
      <c r="A2215" s="386"/>
      <c r="I2215"/>
      <c r="J2215" s="4"/>
      <c r="K2215"/>
    </row>
    <row r="2216" spans="1:11" ht="31.5" hidden="1">
      <c r="A2216" s="386"/>
      <c r="F2216" s="400">
        <v>77.400000000000006</v>
      </c>
      <c r="H2216" s="371" t="s">
        <v>1802</v>
      </c>
      <c r="I2216"/>
      <c r="J2216" s="4"/>
      <c r="K2216"/>
    </row>
    <row r="2217" spans="1:11" hidden="1">
      <c r="A2217" s="386"/>
      <c r="H2217" s="244" t="s">
        <v>813</v>
      </c>
      <c r="I2217"/>
      <c r="J2217" s="4"/>
      <c r="K2217"/>
    </row>
    <row r="2218" spans="1:11" ht="31.5" hidden="1">
      <c r="A2218" s="386"/>
      <c r="F2218" s="245">
        <v>90</v>
      </c>
      <c r="G2218" s="243" t="s">
        <v>374</v>
      </c>
      <c r="H2218" s="394" t="s">
        <v>2293</v>
      </c>
      <c r="I2218">
        <v>16.95</v>
      </c>
      <c r="J2218" s="4" t="s">
        <v>374</v>
      </c>
      <c r="K2218">
        <f>I2218*F2218</f>
        <v>1525.5</v>
      </c>
    </row>
    <row r="2219" spans="1:11" hidden="1">
      <c r="A2219" s="386"/>
      <c r="F2219" s="245">
        <v>0.15</v>
      </c>
      <c r="G2219" s="243" t="s">
        <v>528</v>
      </c>
      <c r="H2219" s="245" t="s">
        <v>877</v>
      </c>
      <c r="I2219">
        <f>AC31</f>
        <v>3800</v>
      </c>
      <c r="J2219" s="4" t="s">
        <v>528</v>
      </c>
      <c r="K2219">
        <f>I2219*F2219</f>
        <v>570</v>
      </c>
    </row>
    <row r="2220" spans="1:11" hidden="1">
      <c r="A2220" s="386"/>
      <c r="F2220" s="245">
        <v>1</v>
      </c>
      <c r="G2220" s="243" t="s">
        <v>781</v>
      </c>
      <c r="H2220" s="245" t="s">
        <v>373</v>
      </c>
      <c r="I2220">
        <f>C780</f>
        <v>160</v>
      </c>
      <c r="J2220" s="4" t="s">
        <v>781</v>
      </c>
      <c r="K2220">
        <f>I2220*F2220</f>
        <v>160</v>
      </c>
    </row>
    <row r="2221" spans="1:11" hidden="1">
      <c r="A2221" s="386"/>
      <c r="F2221" s="245">
        <v>2</v>
      </c>
      <c r="G2221" s="243" t="s">
        <v>781</v>
      </c>
      <c r="H2221" s="245" t="s">
        <v>1791</v>
      </c>
      <c r="I2221">
        <f>AE10</f>
        <v>135</v>
      </c>
      <c r="J2221" s="4" t="s">
        <v>781</v>
      </c>
      <c r="K2221">
        <f>I2221*F2221</f>
        <v>270</v>
      </c>
    </row>
    <row r="2222" spans="1:11" hidden="1">
      <c r="A2222" s="386"/>
      <c r="F2222" s="245">
        <v>4</v>
      </c>
      <c r="G2222" s="243" t="s">
        <v>781</v>
      </c>
      <c r="H2222" s="245" t="s">
        <v>1343</v>
      </c>
      <c r="I2222">
        <f>C781</f>
        <v>110</v>
      </c>
      <c r="J2222" s="4" t="s">
        <v>781</v>
      </c>
      <c r="K2222">
        <f>I2222*F2222</f>
        <v>440</v>
      </c>
    </row>
    <row r="2223" spans="1:11" hidden="1">
      <c r="A2223" s="386"/>
      <c r="H2223" s="245" t="s">
        <v>375</v>
      </c>
      <c r="I2223"/>
      <c r="J2223" s="4"/>
      <c r="K2223">
        <v>8.5</v>
      </c>
    </row>
    <row r="2224" spans="1:11" hidden="1">
      <c r="A2224" s="386"/>
      <c r="I2224"/>
      <c r="J2224" s="4"/>
      <c r="K2224" s="5" t="s">
        <v>1667</v>
      </c>
    </row>
    <row r="2225" spans="1:11" hidden="1">
      <c r="A2225" s="386"/>
      <c r="H2225" s="244" t="s">
        <v>2354</v>
      </c>
      <c r="I2225"/>
      <c r="J2225" s="4"/>
      <c r="K2225" s="8">
        <f>SUM(K2218:K2223)</f>
        <v>2974</v>
      </c>
    </row>
    <row r="2226" spans="1:11" hidden="1">
      <c r="A2226" s="386"/>
      <c r="I2226"/>
      <c r="J2226" s="4"/>
      <c r="K2226" s="5" t="s">
        <v>1667</v>
      </c>
    </row>
    <row r="2227" spans="1:11" hidden="1">
      <c r="A2227" s="386"/>
      <c r="H2227" s="244" t="s">
        <v>1167</v>
      </c>
      <c r="I2227"/>
      <c r="J2227" s="4"/>
      <c r="K2227" s="8">
        <f>(K2225/90)</f>
        <v>33.04</v>
      </c>
    </row>
    <row r="2228" spans="1:11" hidden="1">
      <c r="A2228" s="386"/>
      <c r="I2228"/>
      <c r="J2228" s="4"/>
      <c r="K2228" s="5" t="s">
        <v>2130</v>
      </c>
    </row>
    <row r="2229" spans="1:11" hidden="1">
      <c r="A2229" s="386"/>
      <c r="I2229"/>
      <c r="J2229" s="4"/>
      <c r="K2229"/>
    </row>
    <row r="2230" spans="1:11" hidden="1">
      <c r="A2230" s="386"/>
      <c r="F2230" s="375">
        <v>78.099999999999994</v>
      </c>
      <c r="H2230" s="244" t="s">
        <v>1641</v>
      </c>
      <c r="I2230"/>
      <c r="J2230" s="4"/>
      <c r="K2230"/>
    </row>
    <row r="2231" spans="1:11" hidden="1">
      <c r="A2231" s="386"/>
      <c r="H2231" s="244" t="s">
        <v>813</v>
      </c>
      <c r="I2231"/>
      <c r="J2231" s="4"/>
      <c r="K2231"/>
    </row>
    <row r="2232" spans="1:11" hidden="1">
      <c r="A2232" s="386"/>
      <c r="F2232" s="245">
        <v>2.5</v>
      </c>
      <c r="G2232" s="243" t="s">
        <v>781</v>
      </c>
      <c r="H2232" s="245" t="s">
        <v>1642</v>
      </c>
      <c r="I2232">
        <v>120</v>
      </c>
      <c r="J2232" s="4" t="s">
        <v>781</v>
      </c>
      <c r="K2232">
        <f t="shared" ref="K2232:K2237" si="74">I2232*F2232</f>
        <v>300</v>
      </c>
    </row>
    <row r="2233" spans="1:11" hidden="1">
      <c r="A2233" s="386"/>
      <c r="F2233" s="245">
        <v>20</v>
      </c>
      <c r="G2233" s="243" t="s">
        <v>364</v>
      </c>
      <c r="H2233" s="245" t="s">
        <v>1643</v>
      </c>
      <c r="I2233">
        <v>4</v>
      </c>
      <c r="J2233" s="4" t="s">
        <v>364</v>
      </c>
      <c r="K2233">
        <f t="shared" si="74"/>
        <v>80</v>
      </c>
    </row>
    <row r="2234" spans="1:11" hidden="1">
      <c r="A2234" s="386"/>
      <c r="F2234" s="245">
        <v>9</v>
      </c>
      <c r="G2234" s="243" t="s">
        <v>364</v>
      </c>
      <c r="H2234" s="245" t="s">
        <v>1644</v>
      </c>
      <c r="I2234">
        <v>4</v>
      </c>
      <c r="J2234" s="4" t="s">
        <v>364</v>
      </c>
      <c r="K2234">
        <f t="shared" si="74"/>
        <v>36</v>
      </c>
    </row>
    <row r="2235" spans="1:11" hidden="1">
      <c r="A2235" s="386"/>
      <c r="F2235" s="245">
        <v>0.5</v>
      </c>
      <c r="G2235" s="243" t="s">
        <v>364</v>
      </c>
      <c r="H2235" s="245" t="s">
        <v>1341</v>
      </c>
      <c r="I2235">
        <v>30</v>
      </c>
      <c r="J2235" s="4" t="s">
        <v>364</v>
      </c>
      <c r="K2235">
        <f t="shared" si="74"/>
        <v>15</v>
      </c>
    </row>
    <row r="2236" spans="1:11" hidden="1">
      <c r="A2236" s="386"/>
      <c r="F2236" s="245">
        <v>0.5</v>
      </c>
      <c r="G2236" s="243" t="s">
        <v>781</v>
      </c>
      <c r="H2236" s="245" t="s">
        <v>1342</v>
      </c>
      <c r="I2236">
        <f>C780</f>
        <v>160</v>
      </c>
      <c r="J2236" s="4" t="s">
        <v>781</v>
      </c>
      <c r="K2236">
        <f t="shared" si="74"/>
        <v>80</v>
      </c>
    </row>
    <row r="2237" spans="1:11" hidden="1">
      <c r="A2237" s="386"/>
      <c r="F2237" s="245">
        <v>1</v>
      </c>
      <c r="G2237" s="243" t="s">
        <v>781</v>
      </c>
      <c r="H2237" s="245" t="s">
        <v>1343</v>
      </c>
      <c r="I2237">
        <f>C781</f>
        <v>110</v>
      </c>
      <c r="J2237" s="4" t="s">
        <v>781</v>
      </c>
      <c r="K2237">
        <f t="shared" si="74"/>
        <v>110</v>
      </c>
    </row>
    <row r="2238" spans="1:11" ht="31.5" hidden="1">
      <c r="A2238" s="386"/>
      <c r="G2238" s="243" t="s">
        <v>667</v>
      </c>
      <c r="H2238" s="394" t="s">
        <v>1344</v>
      </c>
      <c r="I2238"/>
      <c r="J2238" s="4" t="s">
        <v>667</v>
      </c>
      <c r="K2238">
        <v>165</v>
      </c>
    </row>
    <row r="2239" spans="1:11" hidden="1">
      <c r="A2239" s="386"/>
      <c r="G2239" s="243" t="s">
        <v>667</v>
      </c>
      <c r="H2239" s="245" t="s">
        <v>1268</v>
      </c>
      <c r="I2239"/>
      <c r="J2239" s="4" t="s">
        <v>667</v>
      </c>
      <c r="K2239">
        <v>9.5</v>
      </c>
    </row>
    <row r="2240" spans="1:11" hidden="1">
      <c r="A2240" s="386"/>
      <c r="I2240"/>
      <c r="J2240" s="4"/>
      <c r="K2240" s="5" t="s">
        <v>1667</v>
      </c>
    </row>
    <row r="2241" spans="1:11" hidden="1">
      <c r="A2241" s="386"/>
      <c r="H2241" s="245" t="s">
        <v>286</v>
      </c>
      <c r="I2241"/>
      <c r="J2241" s="4"/>
      <c r="K2241" s="8">
        <f>SUM(K2232:K2239)</f>
        <v>795.5</v>
      </c>
    </row>
    <row r="2242" spans="1:11" hidden="1">
      <c r="A2242" s="386"/>
      <c r="I2242"/>
      <c r="J2242" s="4"/>
      <c r="K2242" s="5" t="s">
        <v>1667</v>
      </c>
    </row>
    <row r="2243" spans="1:11" hidden="1">
      <c r="A2243" s="386"/>
    </row>
    <row r="2244" spans="1:11" ht="21.75" hidden="1">
      <c r="A2244" s="386"/>
      <c r="E2244" s="401"/>
      <c r="F2244" s="401"/>
      <c r="G2244" s="402"/>
      <c r="H2244" s="403" t="s">
        <v>3063</v>
      </c>
      <c r="I2244" s="401"/>
      <c r="J2244" s="404"/>
      <c r="K2244" s="405"/>
    </row>
    <row r="2245" spans="1:11" ht="17.25" hidden="1">
      <c r="A2245" s="386"/>
      <c r="E2245" s="401"/>
      <c r="F2245" s="402"/>
      <c r="G2245" s="401"/>
      <c r="H2245" s="401"/>
      <c r="I2245" s="404"/>
      <c r="J2245" s="401"/>
      <c r="K2245" s="401"/>
    </row>
    <row r="2246" spans="1:11" ht="17.25" hidden="1">
      <c r="A2246" s="386"/>
      <c r="E2246" s="401"/>
      <c r="F2246" s="402">
        <v>53.3</v>
      </c>
      <c r="G2246" s="401"/>
      <c r="H2246" s="401" t="s">
        <v>3064</v>
      </c>
      <c r="I2246" s="404"/>
      <c r="J2246" s="401"/>
      <c r="K2246" s="401">
        <v>957</v>
      </c>
    </row>
    <row r="2247" spans="1:11" ht="17.25" hidden="1">
      <c r="A2247" s="386"/>
      <c r="E2247" s="401"/>
      <c r="F2247" s="402"/>
      <c r="G2247" s="401"/>
      <c r="H2247" s="401"/>
      <c r="I2247" s="404"/>
      <c r="J2247" s="401"/>
      <c r="K2247" s="401"/>
    </row>
    <row r="2248" spans="1:11" ht="34.5" hidden="1">
      <c r="A2248" s="386"/>
      <c r="E2248" s="401"/>
      <c r="F2248" s="406" t="s">
        <v>3065</v>
      </c>
      <c r="G2248" s="401"/>
      <c r="H2248" s="407" t="s">
        <v>2072</v>
      </c>
      <c r="I2248" s="404"/>
      <c r="J2248" s="401"/>
      <c r="K2248" s="401"/>
    </row>
    <row r="2249" spans="1:11" ht="17.25" hidden="1">
      <c r="A2249" s="386"/>
      <c r="E2249" s="401"/>
      <c r="F2249" s="402"/>
      <c r="G2249" s="401"/>
      <c r="H2249" s="408" t="s">
        <v>1667</v>
      </c>
      <c r="I2249" s="408" t="s">
        <v>1667</v>
      </c>
      <c r="J2249" s="408" t="s">
        <v>1667</v>
      </c>
      <c r="K2249" s="401"/>
    </row>
    <row r="2250" spans="1:11" ht="17.25" hidden="1">
      <c r="A2250" s="386"/>
      <c r="E2250" s="401"/>
      <c r="F2250" s="402"/>
      <c r="G2250" s="401"/>
      <c r="H2250" s="401"/>
      <c r="I2250" s="404"/>
      <c r="J2250" s="401"/>
      <c r="K2250" s="401"/>
    </row>
    <row r="2251" spans="1:11" ht="17.25" hidden="1">
      <c r="A2251" s="386"/>
      <c r="E2251" s="401"/>
      <c r="F2251" s="402"/>
      <c r="G2251" s="401"/>
      <c r="H2251" s="401" t="s">
        <v>2073</v>
      </c>
      <c r="I2251" s="404"/>
      <c r="J2251" s="401"/>
      <c r="K2251" s="401"/>
    </row>
    <row r="2252" spans="1:11" ht="17.25" hidden="1">
      <c r="A2252" s="386"/>
      <c r="E2252" s="401"/>
      <c r="F2252" s="402"/>
      <c r="G2252" s="401"/>
      <c r="H2252" s="401" t="s">
        <v>2074</v>
      </c>
      <c r="I2252" s="404"/>
      <c r="J2252" s="401"/>
      <c r="K2252" s="401"/>
    </row>
    <row r="2253" spans="1:11" ht="17.25" hidden="1">
      <c r="A2253" s="386"/>
      <c r="E2253" s="401"/>
      <c r="F2253" s="402"/>
      <c r="G2253" s="401"/>
      <c r="H2253" s="401" t="s">
        <v>454</v>
      </c>
      <c r="I2253" s="404"/>
      <c r="J2253" s="401"/>
      <c r="K2253" s="401"/>
    </row>
    <row r="2254" spans="1:11" ht="17.25" hidden="1">
      <c r="A2254" s="386"/>
      <c r="E2254" s="401"/>
      <c r="F2254" s="402"/>
      <c r="G2254" s="401"/>
      <c r="H2254" s="401" t="s">
        <v>455</v>
      </c>
      <c r="I2254" s="404"/>
      <c r="J2254" s="401"/>
      <c r="K2254" s="401"/>
    </row>
    <row r="2255" spans="1:11" ht="17.25" hidden="1">
      <c r="A2255" s="386"/>
      <c r="E2255" s="401"/>
      <c r="F2255" s="402"/>
      <c r="G2255" s="401"/>
      <c r="H2255" s="401" t="s">
        <v>456</v>
      </c>
      <c r="I2255" s="404"/>
      <c r="J2255" s="401"/>
      <c r="K2255" s="401"/>
    </row>
    <row r="2256" spans="1:11" ht="17.25" hidden="1">
      <c r="A2256" s="386"/>
      <c r="E2256" s="401"/>
      <c r="F2256" s="402"/>
      <c r="G2256" s="401"/>
      <c r="H2256" s="401" t="s">
        <v>3066</v>
      </c>
      <c r="I2256" s="404"/>
      <c r="J2256" s="401" t="s">
        <v>995</v>
      </c>
      <c r="K2256" s="401">
        <v>3.32E-2</v>
      </c>
    </row>
    <row r="2257" spans="1:11" ht="17.25" hidden="1">
      <c r="A2257" s="386"/>
      <c r="E2257" s="401"/>
      <c r="F2257" s="402"/>
      <c r="G2257" s="401"/>
      <c r="H2257" s="401" t="s">
        <v>3067</v>
      </c>
      <c r="I2257" s="404"/>
      <c r="J2257" s="401" t="s">
        <v>995</v>
      </c>
      <c r="K2257" s="401" t="s">
        <v>995</v>
      </c>
    </row>
    <row r="2258" spans="1:11" ht="17.25" hidden="1">
      <c r="A2258" s="386"/>
      <c r="E2258" s="401"/>
      <c r="F2258" s="402"/>
      <c r="G2258" s="401"/>
      <c r="H2258" s="401" t="s">
        <v>1907</v>
      </c>
      <c r="I2258" s="404"/>
      <c r="J2258" s="401"/>
      <c r="K2258" s="401" t="s">
        <v>995</v>
      </c>
    </row>
    <row r="2259" spans="1:11" ht="17.25" hidden="1">
      <c r="A2259" s="386"/>
      <c r="E2259" s="401"/>
      <c r="F2259" s="402"/>
      <c r="G2259" s="401"/>
      <c r="H2259" s="401"/>
      <c r="I2259" s="404"/>
      <c r="J2259" s="401"/>
      <c r="K2259" s="401"/>
    </row>
    <row r="2260" spans="1:11" ht="17.25" hidden="1">
      <c r="A2260" s="386"/>
      <c r="E2260" s="401"/>
      <c r="F2260" s="409">
        <v>1.18E-2</v>
      </c>
      <c r="G2260" s="401" t="s">
        <v>884</v>
      </c>
      <c r="H2260" s="401" t="s">
        <v>702</v>
      </c>
      <c r="I2260" s="404">
        <f>I1083</f>
        <v>65420</v>
      </c>
      <c r="J2260" s="401" t="s">
        <v>884</v>
      </c>
      <c r="K2260" s="401">
        <f>I2260*F2260</f>
        <v>771.96</v>
      </c>
    </row>
    <row r="2261" spans="1:11" ht="17.25" hidden="1">
      <c r="A2261" s="386"/>
      <c r="E2261" s="401"/>
      <c r="F2261" s="409">
        <v>3.7699999999999997E-2</v>
      </c>
      <c r="G2261" s="401" t="s">
        <v>884</v>
      </c>
      <c r="H2261" s="401" t="s">
        <v>703</v>
      </c>
      <c r="I2261" s="404">
        <f>I1084</f>
        <v>57165</v>
      </c>
      <c r="J2261" s="401" t="s">
        <v>884</v>
      </c>
      <c r="K2261" s="401">
        <f t="shared" ref="K2261:K2269" si="75">I2261*F2261</f>
        <v>2155.12</v>
      </c>
    </row>
    <row r="2262" spans="1:11" ht="17.25" hidden="1">
      <c r="A2262" s="386"/>
      <c r="E2262" s="401"/>
      <c r="F2262" s="409">
        <v>1.8550000000000001E-2</v>
      </c>
      <c r="G2262" s="401" t="s">
        <v>884</v>
      </c>
      <c r="H2262" s="401" t="s">
        <v>902</v>
      </c>
      <c r="I2262" s="404">
        <f>I1085</f>
        <v>3035</v>
      </c>
      <c r="J2262" s="401" t="s">
        <v>884</v>
      </c>
      <c r="K2262" s="401">
        <f t="shared" si="75"/>
        <v>56.3</v>
      </c>
    </row>
    <row r="2263" spans="1:11" ht="17.25" hidden="1">
      <c r="A2263" s="386"/>
      <c r="E2263" s="401"/>
      <c r="F2263" s="409">
        <v>1.36</v>
      </c>
      <c r="G2263" s="401" t="s">
        <v>611</v>
      </c>
      <c r="H2263" s="401" t="s">
        <v>903</v>
      </c>
      <c r="I2263" s="404">
        <v>385.89</v>
      </c>
      <c r="J2263" s="401" t="s">
        <v>611</v>
      </c>
      <c r="K2263" s="401">
        <f t="shared" si="75"/>
        <v>524.80999999999995</v>
      </c>
    </row>
    <row r="2264" spans="1:11" ht="17.25" hidden="1">
      <c r="A2264" s="386"/>
      <c r="E2264" s="401"/>
      <c r="F2264" s="409">
        <v>2.0499999999999998</v>
      </c>
      <c r="G2264" s="401" t="s">
        <v>611</v>
      </c>
      <c r="H2264" s="401" t="s">
        <v>1568</v>
      </c>
      <c r="I2264" s="404">
        <f>I1087</f>
        <v>287</v>
      </c>
      <c r="J2264" s="401" t="s">
        <v>611</v>
      </c>
      <c r="K2264" s="401">
        <f t="shared" si="75"/>
        <v>588.35</v>
      </c>
    </row>
    <row r="2265" spans="1:11" ht="17.25" hidden="1">
      <c r="A2265" s="386"/>
      <c r="E2265" s="401"/>
      <c r="F2265" s="410">
        <v>2</v>
      </c>
      <c r="G2265" s="401" t="s">
        <v>883</v>
      </c>
      <c r="H2265" s="401" t="s">
        <v>1449</v>
      </c>
      <c r="I2265" s="404">
        <v>25</v>
      </c>
      <c r="J2265" s="401" t="s">
        <v>883</v>
      </c>
      <c r="K2265" s="401">
        <f t="shared" si="75"/>
        <v>50</v>
      </c>
    </row>
    <row r="2266" spans="1:11" ht="17.25" hidden="1">
      <c r="A2266" s="386"/>
      <c r="E2266" s="401"/>
      <c r="F2266" s="410">
        <v>6</v>
      </c>
      <c r="G2266" s="401" t="s">
        <v>883</v>
      </c>
      <c r="H2266" s="401" t="s">
        <v>1404</v>
      </c>
      <c r="I2266" s="404">
        <v>25</v>
      </c>
      <c r="J2266" s="401" t="s">
        <v>883</v>
      </c>
      <c r="K2266" s="401">
        <f t="shared" si="75"/>
        <v>150</v>
      </c>
    </row>
    <row r="2267" spans="1:11" ht="17.25" hidden="1">
      <c r="A2267" s="386"/>
      <c r="E2267" s="401"/>
      <c r="F2267" s="410">
        <v>2</v>
      </c>
      <c r="G2267" s="401" t="s">
        <v>883</v>
      </c>
      <c r="H2267" s="401" t="s">
        <v>2531</v>
      </c>
      <c r="I2267" s="404">
        <v>35</v>
      </c>
      <c r="J2267" s="401" t="s">
        <v>883</v>
      </c>
      <c r="K2267" s="401">
        <f t="shared" si="75"/>
        <v>70</v>
      </c>
    </row>
    <row r="2268" spans="1:11" ht="17.25" hidden="1">
      <c r="A2268" s="386"/>
      <c r="E2268" s="401"/>
      <c r="F2268" s="410">
        <v>1</v>
      </c>
      <c r="G2268" s="401" t="s">
        <v>883</v>
      </c>
      <c r="H2268" s="401" t="s">
        <v>1477</v>
      </c>
      <c r="I2268" s="404">
        <v>60</v>
      </c>
      <c r="J2268" s="401" t="s">
        <v>883</v>
      </c>
      <c r="K2268" s="401">
        <f t="shared" si="75"/>
        <v>60</v>
      </c>
    </row>
    <row r="2269" spans="1:11" ht="17.25" hidden="1">
      <c r="A2269" s="386"/>
      <c r="E2269" s="401"/>
      <c r="F2269" s="409">
        <v>2.52</v>
      </c>
      <c r="G2269" s="401" t="s">
        <v>611</v>
      </c>
      <c r="H2269" s="401" t="s">
        <v>1792</v>
      </c>
      <c r="I2269" s="404">
        <f>K1122</f>
        <v>51.25</v>
      </c>
      <c r="J2269" s="401" t="s">
        <v>611</v>
      </c>
      <c r="K2269" s="401">
        <f t="shared" si="75"/>
        <v>129.15</v>
      </c>
    </row>
    <row r="2270" spans="1:11" ht="17.25" hidden="1">
      <c r="A2270" s="386"/>
      <c r="E2270" s="401"/>
      <c r="F2270" s="402"/>
      <c r="G2270" s="401"/>
      <c r="H2270" s="401" t="s">
        <v>1474</v>
      </c>
      <c r="I2270" s="404" t="s">
        <v>448</v>
      </c>
      <c r="J2270" s="401"/>
      <c r="K2270" s="401">
        <v>0.28000000000000003</v>
      </c>
    </row>
    <row r="2271" spans="1:11" ht="17.25" hidden="1">
      <c r="A2271" s="386"/>
      <c r="E2271" s="401"/>
      <c r="F2271" s="402"/>
      <c r="G2271" s="401"/>
      <c r="H2271" s="401"/>
      <c r="I2271" s="404"/>
      <c r="J2271" s="401"/>
      <c r="K2271" s="411" t="s">
        <v>1667</v>
      </c>
    </row>
    <row r="2272" spans="1:11" ht="17.25" hidden="1">
      <c r="A2272" s="386"/>
      <c r="E2272" s="401"/>
      <c r="F2272" s="402"/>
      <c r="G2272" s="401"/>
      <c r="H2272" s="401" t="s">
        <v>1475</v>
      </c>
      <c r="I2272" s="404"/>
      <c r="J2272" s="401"/>
      <c r="K2272" s="401">
        <f>SUM(K2260:K2271)</f>
        <v>4555.97</v>
      </c>
    </row>
    <row r="2273" spans="1:11" ht="17.25" hidden="1">
      <c r="A2273" s="386"/>
      <c r="E2273" s="401"/>
      <c r="F2273" s="402"/>
      <c r="G2273" s="401" t="s">
        <v>995</v>
      </c>
      <c r="H2273" s="401"/>
      <c r="I2273" s="404"/>
      <c r="J2273" s="401"/>
      <c r="K2273" s="411" t="s">
        <v>1667</v>
      </c>
    </row>
    <row r="2274" spans="1:11" ht="17.25" hidden="1">
      <c r="A2274" s="386"/>
      <c r="E2274" s="401"/>
      <c r="F2274" s="402"/>
      <c r="G2274" s="401"/>
      <c r="H2274" s="401" t="s">
        <v>555</v>
      </c>
      <c r="I2274" s="404"/>
      <c r="J2274" s="401"/>
      <c r="K2274" s="401">
        <f>K2272/F2269</f>
        <v>1807.92</v>
      </c>
    </row>
    <row r="2275" spans="1:11" ht="17.25" hidden="1">
      <c r="A2275" s="386"/>
      <c r="E2275" s="401"/>
      <c r="F2275" s="402"/>
      <c r="G2275" s="401"/>
      <c r="H2275" s="401"/>
      <c r="I2275" s="404"/>
      <c r="J2275" s="401"/>
      <c r="K2275" s="401"/>
    </row>
    <row r="2276" spans="1:11" ht="17.25" hidden="1">
      <c r="A2276" s="386"/>
      <c r="E2276" s="401"/>
      <c r="F2276" s="401"/>
      <c r="G2276" s="402"/>
      <c r="H2276" s="401"/>
      <c r="I2276" s="401"/>
      <c r="J2276" s="404"/>
      <c r="K2276" s="401"/>
    </row>
    <row r="2277" spans="1:11" ht="17.25" hidden="1">
      <c r="A2277" s="386"/>
      <c r="E2277" s="401"/>
      <c r="F2277" s="401"/>
      <c r="G2277" s="402"/>
      <c r="H2277" s="401"/>
      <c r="I2277" s="401"/>
      <c r="J2277" s="404"/>
      <c r="K2277" s="401"/>
    </row>
    <row r="2278" spans="1:11" ht="51.75" hidden="1">
      <c r="A2278" s="386"/>
      <c r="E2278" s="401"/>
      <c r="F2278" s="401"/>
      <c r="G2278" s="402"/>
      <c r="H2278" s="408" t="s">
        <v>3649</v>
      </c>
      <c r="I2278" s="401"/>
      <c r="J2278" s="404" t="s">
        <v>1458</v>
      </c>
      <c r="K2278" s="401">
        <v>600</v>
      </c>
    </row>
    <row r="2279" spans="1:11" ht="17.25" hidden="1">
      <c r="A2279" s="386"/>
      <c r="E2279" s="401"/>
      <c r="F2279" s="401"/>
      <c r="G2279" s="402"/>
      <c r="H2279" s="401"/>
      <c r="I2279" s="401"/>
      <c r="J2279" s="404"/>
      <c r="K2279" s="401"/>
    </row>
    <row r="2280" spans="1:11" ht="17.25" hidden="1">
      <c r="A2280" s="386"/>
      <c r="E2280" s="401"/>
      <c r="F2280" s="401"/>
      <c r="G2280" s="402"/>
      <c r="H2280" s="401"/>
      <c r="I2280" s="401"/>
      <c r="J2280" s="404"/>
      <c r="K2280" s="401"/>
    </row>
    <row r="2281" spans="1:11" ht="17.25" hidden="1">
      <c r="A2281" s="386"/>
      <c r="E2281" s="401"/>
      <c r="F2281" s="401"/>
      <c r="G2281" s="402"/>
      <c r="H2281" s="408" t="s">
        <v>2515</v>
      </c>
      <c r="I2281" s="401"/>
      <c r="J2281" s="404" t="s">
        <v>1458</v>
      </c>
      <c r="K2281" s="401">
        <v>300</v>
      </c>
    </row>
    <row r="2282" spans="1:11" ht="17.25" hidden="1">
      <c r="A2282" s="386"/>
      <c r="E2282" s="401"/>
      <c r="F2282" s="401"/>
      <c r="G2282" s="402"/>
      <c r="H2282" s="401"/>
      <c r="I2282" s="401"/>
      <c r="J2282" s="404"/>
      <c r="K2282" s="401"/>
    </row>
    <row r="2283" spans="1:11" ht="17.25" hidden="1">
      <c r="A2283" s="386"/>
      <c r="E2283" s="401"/>
      <c r="F2283" s="401"/>
      <c r="G2283" s="402"/>
      <c r="H2283" s="401"/>
      <c r="I2283" s="401"/>
      <c r="J2283" s="404"/>
      <c r="K2283" s="401"/>
    </row>
    <row r="2284" spans="1:11" ht="17.25" hidden="1">
      <c r="A2284" s="386"/>
      <c r="E2284" s="401"/>
      <c r="F2284" s="401"/>
      <c r="G2284" s="402"/>
      <c r="H2284" s="401"/>
      <c r="I2284" s="401"/>
      <c r="J2284" s="404"/>
      <c r="K2284" s="401"/>
    </row>
    <row r="2285" spans="1:11" ht="17.25" hidden="1">
      <c r="A2285" s="386"/>
      <c r="E2285" s="401"/>
      <c r="F2285" s="401"/>
      <c r="G2285" s="402"/>
      <c r="H2285" s="408" t="s">
        <v>2516</v>
      </c>
      <c r="I2285" s="401"/>
      <c r="J2285" s="404" t="s">
        <v>1458</v>
      </c>
      <c r="K2285" s="401">
        <v>260</v>
      </c>
    </row>
    <row r="2286" spans="1:11" ht="17.25" hidden="1">
      <c r="A2286" s="386"/>
      <c r="E2286" s="401"/>
      <c r="F2286" s="401"/>
      <c r="G2286" s="402"/>
      <c r="H2286" s="401"/>
      <c r="I2286" s="401"/>
      <c r="J2286" s="404"/>
      <c r="K2286" s="401"/>
    </row>
    <row r="2287" spans="1:11" ht="17.25" hidden="1">
      <c r="A2287" s="386"/>
      <c r="E2287" s="401"/>
      <c r="F2287" s="401"/>
      <c r="G2287" s="402"/>
      <c r="H2287" s="401"/>
      <c r="I2287" s="401"/>
      <c r="J2287" s="404"/>
      <c r="K2287" s="401"/>
    </row>
    <row r="2288" spans="1:11" ht="17.25" hidden="1">
      <c r="A2288" s="386"/>
      <c r="E2288" s="401"/>
      <c r="F2288" s="401"/>
      <c r="G2288" s="402"/>
      <c r="H2288" s="401"/>
      <c r="I2288" s="401"/>
      <c r="J2288" s="404"/>
      <c r="K2288" s="401"/>
    </row>
    <row r="2289" spans="1:11" ht="34.5" hidden="1">
      <c r="A2289" s="386"/>
      <c r="E2289" s="401"/>
      <c r="F2289" s="401"/>
      <c r="G2289" s="402"/>
      <c r="H2289" s="408" t="s">
        <v>2517</v>
      </c>
      <c r="I2289" s="401"/>
      <c r="J2289" s="404" t="s">
        <v>1458</v>
      </c>
      <c r="K2289" s="401">
        <v>650</v>
      </c>
    </row>
    <row r="2290" spans="1:11" ht="17.25" hidden="1">
      <c r="A2290" s="386"/>
      <c r="E2290" s="401"/>
      <c r="F2290" s="401"/>
      <c r="G2290" s="402"/>
      <c r="H2290" s="401"/>
      <c r="I2290" s="401"/>
      <c r="J2290" s="404"/>
      <c r="K2290" s="401"/>
    </row>
    <row r="2291" spans="1:11" ht="17.25" hidden="1">
      <c r="A2291" s="386"/>
      <c r="E2291" s="401"/>
      <c r="F2291" s="401"/>
      <c r="G2291" s="402"/>
      <c r="H2291" s="401"/>
      <c r="I2291" s="401"/>
      <c r="J2291" s="404"/>
      <c r="K2291" s="401"/>
    </row>
    <row r="2292" spans="1:11" ht="17.25" hidden="1">
      <c r="A2292" s="386"/>
      <c r="E2292" s="401"/>
      <c r="F2292" s="401"/>
      <c r="G2292" s="402"/>
      <c r="H2292" s="401" t="s">
        <v>3602</v>
      </c>
      <c r="I2292" s="401"/>
      <c r="J2292" s="404" t="s">
        <v>1458</v>
      </c>
      <c r="K2292" s="401">
        <v>436</v>
      </c>
    </row>
    <row r="2293" spans="1:11" ht="17.25" hidden="1">
      <c r="A2293" s="386"/>
      <c r="E2293" s="401"/>
      <c r="F2293" s="401"/>
      <c r="G2293" s="402"/>
      <c r="H2293" s="401"/>
      <c r="I2293" s="401"/>
      <c r="J2293" s="404"/>
      <c r="K2293" s="401"/>
    </row>
    <row r="2294" spans="1:11" ht="17.25" hidden="1">
      <c r="A2294" s="386"/>
      <c r="E2294" s="401"/>
      <c r="F2294" s="401"/>
      <c r="G2294" s="402"/>
      <c r="H2294" s="401"/>
      <c r="I2294" s="401"/>
      <c r="J2294" s="404"/>
      <c r="K2294" s="401"/>
    </row>
    <row r="2295" spans="1:11" ht="17.25" hidden="1">
      <c r="A2295" s="386"/>
      <c r="E2295" s="401"/>
      <c r="F2295" s="401"/>
      <c r="G2295" s="402"/>
      <c r="H2295" s="401" t="s">
        <v>3603</v>
      </c>
      <c r="I2295" s="401"/>
      <c r="J2295" s="404" t="s">
        <v>1458</v>
      </c>
      <c r="K2295" s="401">
        <v>518</v>
      </c>
    </row>
    <row r="2296" spans="1:11" ht="17.25" hidden="1">
      <c r="A2296" s="386"/>
      <c r="E2296" s="401"/>
      <c r="F2296" s="401"/>
      <c r="G2296" s="402"/>
      <c r="H2296" s="401"/>
      <c r="I2296" s="401"/>
      <c r="J2296" s="404"/>
      <c r="K2296" s="401"/>
    </row>
    <row r="2297" spans="1:11" ht="17.25" hidden="1">
      <c r="A2297" s="386"/>
      <c r="E2297" s="401"/>
      <c r="F2297" s="401"/>
      <c r="G2297" s="402"/>
      <c r="H2297" s="401"/>
      <c r="I2297" s="401"/>
      <c r="J2297" s="404"/>
      <c r="K2297" s="401"/>
    </row>
    <row r="2298" spans="1:11" ht="17.25" hidden="1">
      <c r="A2298" s="386"/>
      <c r="E2298" s="401"/>
      <c r="F2298" s="401"/>
      <c r="G2298" s="402"/>
      <c r="H2298" s="401"/>
      <c r="I2298" s="401"/>
      <c r="J2298" s="404"/>
      <c r="K2298" s="401"/>
    </row>
    <row r="2299" spans="1:11" ht="34.5" hidden="1">
      <c r="A2299" s="386"/>
      <c r="E2299" s="401"/>
      <c r="F2299" s="401"/>
      <c r="G2299" s="402"/>
      <c r="H2299" s="408" t="s">
        <v>3604</v>
      </c>
      <c r="I2299" s="401"/>
      <c r="J2299" s="404"/>
      <c r="K2299" s="401"/>
    </row>
    <row r="2300" spans="1:11" ht="17.25" hidden="1">
      <c r="A2300" s="386"/>
      <c r="E2300" s="401"/>
      <c r="F2300" s="401"/>
      <c r="G2300" s="402"/>
      <c r="H2300" s="401"/>
      <c r="I2300" s="401"/>
      <c r="J2300" s="404"/>
      <c r="K2300" s="401"/>
    </row>
    <row r="2301" spans="1:11" ht="17.25" hidden="1">
      <c r="A2301" s="386"/>
      <c r="E2301" s="401"/>
      <c r="F2301" s="401"/>
      <c r="G2301" s="402"/>
      <c r="H2301" s="401" t="s">
        <v>3605</v>
      </c>
      <c r="I2301" s="401"/>
      <c r="J2301" s="404"/>
      <c r="K2301" s="401"/>
    </row>
    <row r="2302" spans="1:11" ht="17.25" hidden="1">
      <c r="A2302" s="386"/>
      <c r="E2302" s="401"/>
      <c r="F2302" s="401"/>
      <c r="G2302" s="402"/>
      <c r="H2302" s="401" t="s">
        <v>3606</v>
      </c>
      <c r="I2302" s="401"/>
      <c r="J2302" s="404"/>
      <c r="K2302" s="401"/>
    </row>
    <row r="2303" spans="1:11" ht="17.25" hidden="1">
      <c r="A2303" s="386"/>
      <c r="E2303" s="401"/>
      <c r="F2303" s="401"/>
      <c r="G2303" s="402"/>
      <c r="H2303" s="401"/>
      <c r="I2303" s="401"/>
      <c r="J2303" s="404"/>
      <c r="K2303" s="401"/>
    </row>
    <row r="2304" spans="1:11" ht="17.25" hidden="1">
      <c r="A2304" s="386"/>
      <c r="E2304" s="401"/>
      <c r="F2304" s="401"/>
      <c r="G2304" s="402"/>
      <c r="H2304" s="401"/>
      <c r="I2304" s="401"/>
      <c r="J2304" s="404"/>
      <c r="K2304" s="401"/>
    </row>
    <row r="2305" spans="1:11" ht="17.25" hidden="1">
      <c r="A2305" s="386"/>
      <c r="E2305" s="401"/>
      <c r="F2305" s="401"/>
      <c r="G2305" s="402"/>
      <c r="H2305" s="401"/>
      <c r="I2305" s="401"/>
      <c r="J2305" s="404"/>
      <c r="K2305" s="401"/>
    </row>
    <row r="2306" spans="1:11" ht="17.25" hidden="1">
      <c r="A2306" s="386"/>
      <c r="E2306" s="401"/>
      <c r="F2306" s="401">
        <v>1.96</v>
      </c>
      <c r="G2306" s="402" t="s">
        <v>2226</v>
      </c>
      <c r="H2306" s="401" t="s">
        <v>3607</v>
      </c>
      <c r="I2306" s="401" t="e">
        <f>K1644</f>
        <v>#REF!</v>
      </c>
      <c r="J2306" s="404" t="s">
        <v>2226</v>
      </c>
      <c r="K2306" s="401" t="e">
        <f t="shared" ref="K2306:K2311" si="76">I2306*F2306</f>
        <v>#REF!</v>
      </c>
    </row>
    <row r="2307" spans="1:11" ht="17.25" hidden="1">
      <c r="A2307" s="386"/>
      <c r="E2307" s="401"/>
      <c r="F2307" s="401">
        <v>2</v>
      </c>
      <c r="G2307" s="402" t="s">
        <v>1454</v>
      </c>
      <c r="H2307" s="401" t="s">
        <v>3608</v>
      </c>
      <c r="I2307" s="401">
        <f>C10</f>
        <v>150</v>
      </c>
      <c r="J2307" s="404" t="s">
        <v>1454</v>
      </c>
      <c r="K2307" s="401">
        <f t="shared" si="76"/>
        <v>300</v>
      </c>
    </row>
    <row r="2308" spans="1:11" ht="17.25" hidden="1">
      <c r="A2308" s="386"/>
      <c r="E2308" s="401"/>
      <c r="F2308" s="401">
        <v>2</v>
      </c>
      <c r="G2308" s="402" t="s">
        <v>1454</v>
      </c>
      <c r="H2308" s="401" t="s">
        <v>3609</v>
      </c>
      <c r="I2308" s="401">
        <f>C13</f>
        <v>85</v>
      </c>
      <c r="J2308" s="404" t="s">
        <v>1454</v>
      </c>
      <c r="K2308" s="401">
        <f t="shared" si="76"/>
        <v>170</v>
      </c>
    </row>
    <row r="2309" spans="1:11" ht="17.25" hidden="1">
      <c r="A2309" s="386"/>
      <c r="E2309" s="401"/>
      <c r="F2309" s="401">
        <v>500</v>
      </c>
      <c r="G2309" s="402" t="s">
        <v>1454</v>
      </c>
      <c r="H2309" s="401" t="s">
        <v>3610</v>
      </c>
      <c r="I2309" s="401">
        <v>2</v>
      </c>
      <c r="J2309" s="404" t="s">
        <v>1454</v>
      </c>
      <c r="K2309" s="401">
        <f t="shared" si="76"/>
        <v>1000</v>
      </c>
    </row>
    <row r="2310" spans="1:11" ht="17.25" hidden="1">
      <c r="A2310" s="386"/>
      <c r="E2310" s="401"/>
      <c r="F2310" s="401">
        <v>8.5</v>
      </c>
      <c r="G2310" s="402" t="s">
        <v>2221</v>
      </c>
      <c r="H2310" s="401" t="s">
        <v>3611</v>
      </c>
      <c r="I2310" s="401">
        <v>25</v>
      </c>
      <c r="J2310" s="404" t="s">
        <v>2221</v>
      </c>
      <c r="K2310" s="401">
        <f t="shared" si="76"/>
        <v>212.5</v>
      </c>
    </row>
    <row r="2311" spans="1:11" ht="17.25" hidden="1">
      <c r="A2311" s="386"/>
      <c r="E2311" s="401"/>
      <c r="F2311" s="401">
        <v>0.28000000000000003</v>
      </c>
      <c r="G2311" s="402" t="s">
        <v>2371</v>
      </c>
      <c r="H2311" s="401" t="s">
        <v>3612</v>
      </c>
      <c r="I2311" s="401">
        <f>K2448</f>
        <v>168.13</v>
      </c>
      <c r="J2311" s="404" t="s">
        <v>2371</v>
      </c>
      <c r="K2311" s="401">
        <f t="shared" si="76"/>
        <v>47.08</v>
      </c>
    </row>
    <row r="2312" spans="1:11" ht="17.25" hidden="1">
      <c r="A2312" s="386"/>
      <c r="E2312" s="401"/>
      <c r="F2312" s="401"/>
      <c r="G2312" s="402"/>
      <c r="H2312" s="401"/>
      <c r="I2312" s="401"/>
      <c r="J2312" s="404"/>
      <c r="K2312" s="401" t="s">
        <v>3613</v>
      </c>
    </row>
    <row r="2313" spans="1:11" ht="17.25" hidden="1">
      <c r="A2313" s="386"/>
      <c r="E2313" s="401"/>
      <c r="F2313" s="401"/>
      <c r="G2313" s="402"/>
      <c r="H2313" s="401"/>
      <c r="I2313" s="401" t="s">
        <v>3614</v>
      </c>
      <c r="J2313" s="404">
        <v>39.200000000000003</v>
      </c>
      <c r="K2313" s="401" t="e">
        <f>SUM(K2306:K2312)</f>
        <v>#REF!</v>
      </c>
    </row>
    <row r="2314" spans="1:11" ht="17.25" hidden="1">
      <c r="A2314" s="386"/>
      <c r="E2314" s="401"/>
      <c r="F2314" s="401"/>
      <c r="G2314" s="402"/>
      <c r="H2314" s="401"/>
      <c r="I2314" s="401"/>
      <c r="J2314" s="404"/>
      <c r="K2314" s="401" t="s">
        <v>3615</v>
      </c>
    </row>
    <row r="2315" spans="1:11" ht="17.25" hidden="1">
      <c r="A2315" s="386"/>
      <c r="E2315" s="401"/>
      <c r="F2315" s="401"/>
      <c r="G2315" s="402"/>
      <c r="H2315" s="401"/>
      <c r="I2315" s="401"/>
      <c r="J2315" s="404"/>
      <c r="K2315" s="401"/>
    </row>
    <row r="2316" spans="1:11" ht="17.25" hidden="1">
      <c r="A2316" s="386"/>
      <c r="E2316" s="401"/>
      <c r="F2316" s="401"/>
      <c r="G2316" s="402"/>
      <c r="H2316" s="401"/>
      <c r="I2316" s="401" t="s">
        <v>3616</v>
      </c>
      <c r="J2316" s="404"/>
      <c r="K2316" s="412" t="e">
        <f>K2313/J2313</f>
        <v>#REF!</v>
      </c>
    </row>
    <row r="2317" spans="1:11" ht="17.25" hidden="1">
      <c r="A2317" s="386"/>
      <c r="E2317" s="401"/>
      <c r="F2317" s="401"/>
      <c r="G2317" s="402"/>
      <c r="H2317" s="401"/>
      <c r="I2317" s="401"/>
      <c r="J2317" s="404"/>
      <c r="K2317" s="411" t="s">
        <v>2130</v>
      </c>
    </row>
    <row r="2318" spans="1:11" ht="17.25" hidden="1">
      <c r="A2318" s="386"/>
      <c r="E2318" s="401"/>
      <c r="F2318" s="401"/>
      <c r="G2318" s="402"/>
      <c r="H2318" s="401"/>
      <c r="I2318" s="401"/>
      <c r="J2318" s="404"/>
      <c r="K2318" s="401"/>
    </row>
    <row r="2319" spans="1:11" ht="34.5" hidden="1">
      <c r="A2319" s="386"/>
      <c r="E2319" s="401"/>
      <c r="F2319" s="401"/>
      <c r="G2319" s="402"/>
      <c r="H2319" s="408" t="s">
        <v>3617</v>
      </c>
      <c r="I2319" s="401"/>
      <c r="J2319" s="404"/>
      <c r="K2319" s="401"/>
    </row>
    <row r="2320" spans="1:11" ht="17.25" hidden="1">
      <c r="A2320" s="386"/>
      <c r="E2320" s="401"/>
      <c r="F2320" s="401"/>
      <c r="G2320" s="402"/>
      <c r="H2320" s="401"/>
      <c r="I2320" s="401"/>
      <c r="J2320" s="404"/>
      <c r="K2320" s="401"/>
    </row>
    <row r="2321" spans="1:11" ht="17.25" hidden="1">
      <c r="A2321" s="386"/>
      <c r="E2321" s="401"/>
      <c r="F2321" s="401">
        <v>4</v>
      </c>
      <c r="G2321" s="402" t="s">
        <v>840</v>
      </c>
      <c r="H2321" s="401" t="s">
        <v>3650</v>
      </c>
      <c r="I2321" s="401">
        <v>110</v>
      </c>
      <c r="J2321" s="404" t="s">
        <v>840</v>
      </c>
      <c r="K2321" s="401">
        <f>I2321*F2321</f>
        <v>440</v>
      </c>
    </row>
    <row r="2322" spans="1:11" ht="17.25" hidden="1">
      <c r="A2322" s="386"/>
      <c r="E2322" s="401"/>
      <c r="F2322" s="401">
        <v>2.52</v>
      </c>
      <c r="G2322" s="402" t="s">
        <v>1730</v>
      </c>
      <c r="H2322" s="401" t="s">
        <v>2919</v>
      </c>
      <c r="I2322" s="401">
        <v>30</v>
      </c>
      <c r="J2322" s="404" t="s">
        <v>1730</v>
      </c>
      <c r="K2322" s="401">
        <f t="shared" ref="K2322:K2328" si="77">I2322*F2322</f>
        <v>75.599999999999994</v>
      </c>
    </row>
    <row r="2323" spans="1:11" ht="17.25" hidden="1">
      <c r="A2323" s="386"/>
      <c r="E2323" s="401"/>
      <c r="F2323" s="401">
        <v>1.1299999999999999</v>
      </c>
      <c r="G2323" s="402" t="s">
        <v>1730</v>
      </c>
      <c r="H2323" s="401" t="s">
        <v>2920</v>
      </c>
      <c r="I2323" s="401">
        <v>30</v>
      </c>
      <c r="J2323" s="404" t="s">
        <v>1730</v>
      </c>
      <c r="K2323" s="401">
        <f t="shared" si="77"/>
        <v>33.9</v>
      </c>
    </row>
    <row r="2324" spans="1:11" ht="17.25" hidden="1">
      <c r="A2324" s="386"/>
      <c r="E2324" s="401"/>
      <c r="F2324" s="401">
        <v>0.35</v>
      </c>
      <c r="G2324" s="402" t="s">
        <v>1730</v>
      </c>
      <c r="H2324" s="401" t="s">
        <v>2921</v>
      </c>
      <c r="I2324" s="401">
        <v>30</v>
      </c>
      <c r="J2324" s="404" t="s">
        <v>1730</v>
      </c>
      <c r="K2324" s="401">
        <f t="shared" si="77"/>
        <v>10.5</v>
      </c>
    </row>
    <row r="2325" spans="1:11" ht="17.25" hidden="1">
      <c r="A2325" s="386"/>
      <c r="E2325" s="401"/>
      <c r="F2325" s="401">
        <v>4</v>
      </c>
      <c r="G2325" s="402" t="s">
        <v>1730</v>
      </c>
      <c r="H2325" s="401" t="s">
        <v>110</v>
      </c>
      <c r="I2325" s="401">
        <v>12.25</v>
      </c>
      <c r="J2325" s="404" t="s">
        <v>1730</v>
      </c>
      <c r="K2325" s="401">
        <f t="shared" si="77"/>
        <v>49</v>
      </c>
    </row>
    <row r="2326" spans="1:11" ht="17.25" hidden="1">
      <c r="A2326" s="386"/>
      <c r="E2326" s="401"/>
      <c r="F2326" s="401">
        <v>6</v>
      </c>
      <c r="G2326" s="402" t="s">
        <v>1492</v>
      </c>
      <c r="H2326" s="401" t="s">
        <v>2922</v>
      </c>
      <c r="I2326" s="401">
        <v>1</v>
      </c>
      <c r="J2326" s="404" t="s">
        <v>1458</v>
      </c>
      <c r="K2326" s="401">
        <f t="shared" si="77"/>
        <v>6</v>
      </c>
    </row>
    <row r="2327" spans="1:11" ht="17.25" hidden="1">
      <c r="A2327" s="386"/>
      <c r="E2327" s="401"/>
      <c r="F2327" s="401">
        <v>0.5</v>
      </c>
      <c r="G2327" s="402" t="s">
        <v>1492</v>
      </c>
      <c r="H2327" s="401" t="s">
        <v>2923</v>
      </c>
      <c r="I2327" s="401">
        <f>C12</f>
        <v>95</v>
      </c>
      <c r="J2327" s="404" t="s">
        <v>1458</v>
      </c>
      <c r="K2327" s="401">
        <f t="shared" si="77"/>
        <v>47.5</v>
      </c>
    </row>
    <row r="2328" spans="1:11" ht="17.25" hidden="1">
      <c r="A2328" s="386"/>
      <c r="E2328" s="401"/>
      <c r="F2328" s="401">
        <v>0.5</v>
      </c>
      <c r="G2328" s="402" t="s">
        <v>1492</v>
      </c>
      <c r="H2328" s="401" t="s">
        <v>2924</v>
      </c>
      <c r="I2328" s="401">
        <f>C13</f>
        <v>85</v>
      </c>
      <c r="J2328" s="404" t="s">
        <v>1458</v>
      </c>
      <c r="K2328" s="401">
        <f t="shared" si="77"/>
        <v>42.5</v>
      </c>
    </row>
    <row r="2329" spans="1:11" ht="17.25" hidden="1">
      <c r="A2329" s="386"/>
      <c r="E2329" s="401"/>
      <c r="F2329" s="406" t="s">
        <v>448</v>
      </c>
      <c r="G2329" s="402"/>
      <c r="H2329" s="401" t="s">
        <v>2925</v>
      </c>
      <c r="I2329" s="401"/>
      <c r="J2329" s="404" t="s">
        <v>448</v>
      </c>
      <c r="K2329" s="401">
        <v>19.22</v>
      </c>
    </row>
    <row r="2330" spans="1:11" ht="17.25" hidden="1">
      <c r="A2330" s="386"/>
      <c r="E2330" s="401"/>
      <c r="F2330" s="401"/>
      <c r="G2330" s="402"/>
      <c r="H2330" s="401"/>
      <c r="I2330" s="401"/>
      <c r="J2330" s="404"/>
      <c r="K2330" s="401"/>
    </row>
    <row r="2331" spans="1:11" ht="17.25" hidden="1">
      <c r="A2331" s="386"/>
      <c r="E2331" s="401"/>
      <c r="F2331" s="401"/>
      <c r="G2331" s="402"/>
      <c r="H2331" s="401"/>
      <c r="I2331" s="401"/>
      <c r="J2331" s="404"/>
      <c r="K2331" s="401" t="s">
        <v>2926</v>
      </c>
    </row>
    <row r="2332" spans="1:11" ht="17.25" hidden="1">
      <c r="A2332" s="386"/>
      <c r="E2332" s="401"/>
      <c r="F2332" s="401"/>
      <c r="G2332" s="402"/>
      <c r="H2332" s="401"/>
      <c r="I2332" s="401" t="s">
        <v>2927</v>
      </c>
      <c r="J2332" s="404" t="s">
        <v>2928</v>
      </c>
      <c r="K2332" s="401">
        <f>SUM(K2321:K2331)</f>
        <v>724.22</v>
      </c>
    </row>
    <row r="2333" spans="1:11" ht="17.25" hidden="1">
      <c r="A2333" s="386"/>
      <c r="E2333" s="401"/>
      <c r="F2333" s="401"/>
      <c r="G2333" s="402"/>
      <c r="H2333" s="401"/>
      <c r="I2333" s="401">
        <v>2</v>
      </c>
      <c r="J2333" s="413" t="s">
        <v>1492</v>
      </c>
      <c r="K2333" s="401" t="s">
        <v>3615</v>
      </c>
    </row>
    <row r="2334" spans="1:11" ht="17.25" hidden="1">
      <c r="A2334" s="386"/>
      <c r="E2334" s="401"/>
      <c r="F2334" s="401"/>
      <c r="G2334" s="402"/>
      <c r="H2334" s="401"/>
      <c r="I2334" s="408"/>
      <c r="J2334" s="404"/>
      <c r="K2334" s="401"/>
    </row>
    <row r="2335" spans="1:11" ht="17.25" hidden="1">
      <c r="A2335" s="386"/>
      <c r="E2335" s="401"/>
      <c r="F2335" s="401"/>
      <c r="G2335" s="402"/>
      <c r="H2335" s="401"/>
      <c r="I2335" s="401"/>
      <c r="J2335" s="404"/>
      <c r="K2335" s="401"/>
    </row>
    <row r="2336" spans="1:11" ht="17.25" hidden="1">
      <c r="A2336" s="386"/>
      <c r="E2336" s="401"/>
      <c r="F2336" s="401"/>
      <c r="G2336" s="402"/>
      <c r="H2336" s="401"/>
      <c r="I2336" s="401" t="s">
        <v>2929</v>
      </c>
      <c r="J2336" s="404"/>
      <c r="K2336" s="412">
        <f>K2332/I2333</f>
        <v>362.11</v>
      </c>
    </row>
    <row r="2337" spans="1:12" ht="17.25" hidden="1">
      <c r="A2337" s="386"/>
      <c r="E2337" s="401"/>
      <c r="F2337" s="401"/>
      <c r="G2337" s="402"/>
      <c r="H2337" s="401"/>
      <c r="I2337" s="401"/>
      <c r="J2337" s="404"/>
      <c r="K2337" s="411" t="s">
        <v>2130</v>
      </c>
    </row>
    <row r="2338" spans="1:12" ht="17.25" hidden="1">
      <c r="A2338" s="386"/>
      <c r="E2338" s="401"/>
      <c r="F2338" s="401"/>
      <c r="G2338" s="402"/>
      <c r="H2338" s="401"/>
      <c r="I2338" s="401"/>
      <c r="J2338" s="404"/>
      <c r="K2338" s="401"/>
    </row>
    <row r="2339" spans="1:12" ht="19.5" hidden="1">
      <c r="A2339" s="386"/>
      <c r="E2339" s="401"/>
      <c r="F2339" s="414"/>
      <c r="G2339" s="414"/>
      <c r="H2339" s="414"/>
      <c r="I2339" s="414"/>
      <c r="J2339" s="414"/>
      <c r="K2339" s="414"/>
      <c r="L2339" s="415"/>
    </row>
    <row r="2340" spans="1:12" ht="17.25" hidden="1">
      <c r="A2340" s="386"/>
      <c r="E2340" s="401"/>
      <c r="F2340" s="401"/>
      <c r="G2340" s="401"/>
      <c r="H2340" s="401"/>
      <c r="I2340" s="401"/>
      <c r="J2340" s="401"/>
      <c r="K2340" s="401"/>
    </row>
    <row r="2341" spans="1:12" ht="18" hidden="1">
      <c r="A2341" s="386"/>
      <c r="E2341" s="1198" t="s">
        <v>2930</v>
      </c>
      <c r="F2341" s="1198"/>
      <c r="G2341" s="1198"/>
      <c r="H2341" s="1198"/>
      <c r="I2341" s="1198"/>
      <c r="J2341" s="1198"/>
      <c r="K2341" s="1198"/>
      <c r="L2341" s="416"/>
    </row>
    <row r="2342" spans="1:12" ht="18" hidden="1">
      <c r="A2342" s="386"/>
      <c r="E2342" s="175"/>
      <c r="F2342" s="175"/>
      <c r="G2342" s="175"/>
      <c r="H2342" s="175"/>
      <c r="I2342" s="175"/>
      <c r="J2342" s="175"/>
      <c r="K2342" s="175"/>
      <c r="L2342" s="417"/>
    </row>
    <row r="2343" spans="1:12" ht="18" hidden="1">
      <c r="A2343" s="386"/>
      <c r="E2343" s="418"/>
      <c r="F2343" s="416" t="s">
        <v>1070</v>
      </c>
      <c r="G2343" s="415"/>
      <c r="H2343" s="419" t="s">
        <v>1860</v>
      </c>
      <c r="I2343" s="416" t="s">
        <v>100</v>
      </c>
      <c r="J2343" s="419" t="s">
        <v>2931</v>
      </c>
      <c r="K2343" s="416" t="s">
        <v>994</v>
      </c>
      <c r="L2343" s="420"/>
    </row>
    <row r="2344" spans="1:12" ht="18" hidden="1">
      <c r="A2344" s="386"/>
      <c r="E2344" s="421">
        <v>18.100000000000001</v>
      </c>
      <c r="F2344" s="422" t="s">
        <v>2932</v>
      </c>
      <c r="G2344" s="175"/>
      <c r="H2344" s="423" t="s">
        <v>2533</v>
      </c>
      <c r="I2344" s="417"/>
      <c r="J2344" s="417"/>
      <c r="K2344" s="417"/>
      <c r="L2344" s="420"/>
    </row>
    <row r="2345" spans="1:12" ht="18" hidden="1">
      <c r="A2345" s="386"/>
      <c r="E2345" s="418"/>
      <c r="F2345" s="420"/>
      <c r="G2345" s="418"/>
      <c r="H2345" s="424" t="s">
        <v>2933</v>
      </c>
      <c r="I2345" s="420"/>
      <c r="J2345" s="418"/>
      <c r="K2345" s="420"/>
      <c r="L2345" s="420"/>
    </row>
    <row r="2346" spans="1:12" ht="21" hidden="1">
      <c r="A2346" s="386"/>
      <c r="E2346" s="418"/>
      <c r="F2346" s="420"/>
      <c r="G2346" s="418"/>
      <c r="H2346" s="424" t="s">
        <v>2534</v>
      </c>
      <c r="I2346" s="420"/>
      <c r="J2346" s="418"/>
      <c r="K2346" s="420"/>
      <c r="L2346" s="420"/>
    </row>
    <row r="2347" spans="1:12" ht="21" hidden="1">
      <c r="A2347" s="386"/>
      <c r="E2347" s="418"/>
      <c r="F2347" s="420"/>
      <c r="G2347" s="418"/>
      <c r="H2347" s="424" t="s">
        <v>2535</v>
      </c>
      <c r="I2347" s="420"/>
      <c r="J2347" s="418"/>
      <c r="K2347" s="420"/>
      <c r="L2347" s="420"/>
    </row>
    <row r="2348" spans="1:12" ht="18" hidden="1">
      <c r="A2348" s="386"/>
      <c r="E2348" s="418"/>
      <c r="F2348" s="420"/>
      <c r="G2348" s="418"/>
      <c r="H2348" s="424" t="s">
        <v>2934</v>
      </c>
      <c r="I2348" s="420"/>
      <c r="J2348" s="418"/>
      <c r="K2348" s="420"/>
      <c r="L2348" s="420"/>
    </row>
    <row r="2349" spans="1:12" ht="39" hidden="1">
      <c r="A2349" s="386"/>
      <c r="E2349" s="418"/>
      <c r="F2349" s="420"/>
      <c r="G2349" s="418"/>
      <c r="H2349" s="424" t="s">
        <v>2536</v>
      </c>
      <c r="I2349" s="420"/>
      <c r="J2349" s="418"/>
      <c r="K2349" s="420"/>
      <c r="L2349" s="420"/>
    </row>
    <row r="2350" spans="1:12" ht="72" hidden="1">
      <c r="A2350" s="386"/>
      <c r="E2350" s="418"/>
      <c r="F2350" s="420"/>
      <c r="G2350" s="418"/>
      <c r="H2350" s="424" t="s">
        <v>2935</v>
      </c>
      <c r="I2350" s="420"/>
      <c r="J2350" s="418"/>
      <c r="K2350" s="420"/>
      <c r="L2350" s="420"/>
    </row>
    <row r="2351" spans="1:12" ht="36" hidden="1">
      <c r="A2351" s="386"/>
      <c r="E2351" s="418"/>
      <c r="F2351" s="420"/>
      <c r="G2351" s="418"/>
      <c r="H2351" s="424" t="s">
        <v>2936</v>
      </c>
      <c r="I2351" s="420"/>
      <c r="J2351" s="418"/>
      <c r="K2351" s="420"/>
      <c r="L2351" s="420"/>
    </row>
    <row r="2352" spans="1:12" ht="39" hidden="1">
      <c r="A2352" s="386"/>
      <c r="E2352" s="418"/>
      <c r="F2352" s="420"/>
      <c r="G2352" s="418"/>
      <c r="H2352" s="424" t="s">
        <v>2537</v>
      </c>
      <c r="I2352" s="420"/>
      <c r="J2352" s="418"/>
      <c r="K2352" s="420"/>
      <c r="L2352" s="420"/>
    </row>
    <row r="2353" spans="1:12" ht="18" hidden="1">
      <c r="A2353" s="386"/>
      <c r="E2353" s="418"/>
      <c r="F2353" s="420"/>
      <c r="G2353" s="418"/>
      <c r="H2353" s="418"/>
      <c r="I2353" s="420"/>
      <c r="J2353" s="418"/>
      <c r="K2353" s="420"/>
      <c r="L2353" s="420"/>
    </row>
    <row r="2354" spans="1:12" ht="21" hidden="1">
      <c r="A2354" s="386"/>
      <c r="E2354" s="418"/>
      <c r="F2354" s="425">
        <v>62</v>
      </c>
      <c r="G2354" s="426" t="s">
        <v>2538</v>
      </c>
      <c r="H2354" s="427" t="s">
        <v>3383</v>
      </c>
      <c r="I2354" s="425">
        <f>K2378</f>
        <v>217.41</v>
      </c>
      <c r="J2354" s="426" t="s">
        <v>2538</v>
      </c>
      <c r="K2354" s="420">
        <f>I2354*F2354</f>
        <v>13479.42</v>
      </c>
      <c r="L2354" s="420"/>
    </row>
    <row r="2355" spans="1:12" ht="21" hidden="1">
      <c r="A2355" s="386"/>
      <c r="E2355" s="418"/>
      <c r="F2355" s="425">
        <v>121.64</v>
      </c>
      <c r="G2355" s="426" t="s">
        <v>2538</v>
      </c>
      <c r="H2355" s="427" t="s">
        <v>3384</v>
      </c>
      <c r="I2355" s="425">
        <f>I2383</f>
        <v>168.13</v>
      </c>
      <c r="J2355" s="426" t="s">
        <v>2539</v>
      </c>
      <c r="K2355" s="420">
        <f>I2355*F2355</f>
        <v>20451.330000000002</v>
      </c>
      <c r="L2355" s="428"/>
    </row>
    <row r="2356" spans="1:12" ht="21" hidden="1">
      <c r="A2356" s="386"/>
      <c r="E2356" s="418"/>
      <c r="F2356" s="420"/>
      <c r="G2356" s="418"/>
      <c r="H2356" s="427" t="s">
        <v>2861</v>
      </c>
      <c r="I2356" s="420"/>
      <c r="J2356" s="418"/>
      <c r="K2356" s="420">
        <f>SUM(K2354:K2355)</f>
        <v>33930.75</v>
      </c>
      <c r="L2356" s="429"/>
    </row>
    <row r="2357" spans="1:12" ht="21" hidden="1">
      <c r="A2357" s="386"/>
      <c r="E2357" s="418"/>
      <c r="F2357" s="420"/>
      <c r="G2357" s="418"/>
      <c r="H2357" s="427" t="s">
        <v>2862</v>
      </c>
      <c r="I2357" s="420"/>
      <c r="J2357" s="418"/>
      <c r="K2357" s="428">
        <f>K2356/F2354</f>
        <v>547.27</v>
      </c>
      <c r="L2357" s="420"/>
    </row>
    <row r="2358" spans="1:12" ht="18" hidden="1">
      <c r="A2358" s="386"/>
      <c r="E2358" s="418"/>
      <c r="F2358" s="420"/>
      <c r="G2358" s="418"/>
      <c r="H2358" s="426"/>
      <c r="I2358" s="420"/>
      <c r="J2358" s="418"/>
      <c r="K2358" s="429"/>
      <c r="L2358" s="420"/>
    </row>
    <row r="2359" spans="1:12" ht="36" hidden="1">
      <c r="A2359" s="386"/>
      <c r="E2359" s="430">
        <v>18.100000000000001</v>
      </c>
      <c r="F2359" s="422" t="s">
        <v>3385</v>
      </c>
      <c r="G2359" s="418"/>
      <c r="H2359" s="431" t="s">
        <v>2878</v>
      </c>
      <c r="I2359" s="420"/>
      <c r="J2359" s="418"/>
      <c r="K2359" s="420"/>
      <c r="L2359" s="420"/>
    </row>
    <row r="2360" spans="1:12" ht="18" hidden="1">
      <c r="A2360" s="386"/>
      <c r="E2360" s="418"/>
      <c r="F2360" s="420"/>
      <c r="G2360" s="418"/>
      <c r="H2360" s="418"/>
      <c r="I2360" s="420"/>
      <c r="J2360" s="418"/>
      <c r="K2360" s="420"/>
      <c r="L2360" s="420"/>
    </row>
    <row r="2361" spans="1:12" ht="18" hidden="1">
      <c r="A2361" s="386"/>
      <c r="E2361" s="418"/>
      <c r="F2361" s="425">
        <v>13.46</v>
      </c>
      <c r="G2361" s="426" t="s">
        <v>1730</v>
      </c>
      <c r="H2361" s="424" t="s">
        <v>2879</v>
      </c>
      <c r="I2361" s="425">
        <f>I706</f>
        <v>30</v>
      </c>
      <c r="J2361" s="426" t="s">
        <v>1730</v>
      </c>
      <c r="K2361" s="420">
        <f>I2361*F2361</f>
        <v>403.8</v>
      </c>
      <c r="L2361" s="420"/>
    </row>
    <row r="2362" spans="1:12" ht="18" hidden="1">
      <c r="A2362" s="386"/>
      <c r="E2362" s="418"/>
      <c r="F2362" s="425">
        <v>4</v>
      </c>
      <c r="G2362" s="426" t="s">
        <v>1730</v>
      </c>
      <c r="H2362" s="424" t="s">
        <v>2880</v>
      </c>
      <c r="I2362" s="425">
        <f>I708</f>
        <v>30</v>
      </c>
      <c r="J2362" s="426" t="s">
        <v>1730</v>
      </c>
      <c r="K2362" s="420">
        <f>I2362*F2362</f>
        <v>120</v>
      </c>
      <c r="L2362" s="432"/>
    </row>
    <row r="2363" spans="1:12" ht="36" hidden="1">
      <c r="A2363" s="386"/>
      <c r="E2363" s="418"/>
      <c r="F2363" s="425">
        <v>1</v>
      </c>
      <c r="G2363" s="426" t="s">
        <v>2881</v>
      </c>
      <c r="H2363" s="424" t="s">
        <v>3641</v>
      </c>
      <c r="I2363" s="425">
        <v>40</v>
      </c>
      <c r="J2363" s="426" t="s">
        <v>448</v>
      </c>
      <c r="K2363" s="420">
        <f>I2363*F2363</f>
        <v>40</v>
      </c>
      <c r="L2363" s="420"/>
    </row>
    <row r="2364" spans="1:12" ht="18" hidden="1">
      <c r="A2364" s="386"/>
      <c r="E2364" s="418"/>
      <c r="F2364" s="420"/>
      <c r="G2364" s="418"/>
      <c r="H2364" s="433" t="s">
        <v>3642</v>
      </c>
      <c r="I2364" s="420"/>
      <c r="J2364" s="418"/>
      <c r="K2364" s="432">
        <f>SUM(K2361:K2363)</f>
        <v>563.79999999999995</v>
      </c>
      <c r="L2364" s="420"/>
    </row>
    <row r="2365" spans="1:12" ht="18" hidden="1">
      <c r="A2365" s="386"/>
      <c r="E2365" s="418"/>
      <c r="F2365" s="420"/>
      <c r="G2365" s="418"/>
      <c r="H2365" s="433" t="s">
        <v>3643</v>
      </c>
      <c r="I2365" s="429">
        <f>K2364/40</f>
        <v>14.1</v>
      </c>
      <c r="J2365" s="418"/>
      <c r="K2365" s="420"/>
      <c r="L2365" s="420"/>
    </row>
    <row r="2366" spans="1:12" ht="18" hidden="1">
      <c r="A2366" s="386"/>
      <c r="E2366" s="418"/>
      <c r="F2366" s="420"/>
      <c r="G2366" s="418"/>
      <c r="H2366" s="418"/>
      <c r="I2366" s="420"/>
      <c r="J2366" s="418"/>
      <c r="K2366" s="420"/>
      <c r="L2366" s="420"/>
    </row>
    <row r="2367" spans="1:12" ht="18" hidden="1">
      <c r="A2367" s="386"/>
      <c r="E2367" s="418"/>
      <c r="F2367" s="425">
        <v>19</v>
      </c>
      <c r="G2367" s="426" t="s">
        <v>1454</v>
      </c>
      <c r="H2367" s="418" t="s">
        <v>3644</v>
      </c>
      <c r="I2367" s="425">
        <f>I2365</f>
        <v>14.1</v>
      </c>
      <c r="J2367" s="426" t="s">
        <v>1843</v>
      </c>
      <c r="K2367" s="420">
        <f>I2367*F2367</f>
        <v>267.89999999999998</v>
      </c>
      <c r="L2367" s="420"/>
    </row>
    <row r="2368" spans="1:12" ht="18" hidden="1">
      <c r="A2368" s="386"/>
      <c r="E2368" s="418"/>
      <c r="F2368" s="425">
        <v>0.12</v>
      </c>
      <c r="G2368" s="426" t="s">
        <v>369</v>
      </c>
      <c r="H2368" s="418" t="s">
        <v>3645</v>
      </c>
      <c r="I2368" s="425">
        <f>C268/5</f>
        <v>1879</v>
      </c>
      <c r="J2368" s="426" t="s">
        <v>369</v>
      </c>
      <c r="K2368" s="420">
        <f>I2368*F2368</f>
        <v>225.48</v>
      </c>
      <c r="L2368" s="420"/>
    </row>
    <row r="2369" spans="1:12" ht="18" hidden="1">
      <c r="A2369" s="386"/>
      <c r="E2369" s="418"/>
      <c r="F2369" s="425">
        <v>98.5</v>
      </c>
      <c r="G2369" s="426" t="s">
        <v>3646</v>
      </c>
      <c r="H2369" s="418" t="s">
        <v>2729</v>
      </c>
      <c r="I2369" s="425">
        <f>C269/5</f>
        <v>3</v>
      </c>
      <c r="J2369" s="426" t="s">
        <v>3646</v>
      </c>
      <c r="K2369" s="420">
        <f>I2369*F2369</f>
        <v>295.5</v>
      </c>
      <c r="L2369" s="434"/>
    </row>
    <row r="2370" spans="1:12" ht="18" hidden="1">
      <c r="A2370" s="386"/>
      <c r="E2370" s="418"/>
      <c r="F2370" s="1199" t="s">
        <v>448</v>
      </c>
      <c r="G2370" s="1199"/>
      <c r="H2370" s="418" t="s">
        <v>2730</v>
      </c>
      <c r="I2370" s="425">
        <v>11</v>
      </c>
      <c r="J2370" s="426" t="s">
        <v>448</v>
      </c>
      <c r="K2370" s="420">
        <f>I2370</f>
        <v>11</v>
      </c>
      <c r="L2370" s="434"/>
    </row>
    <row r="2371" spans="1:12" ht="21" hidden="1">
      <c r="A2371" s="386"/>
      <c r="E2371" s="418"/>
      <c r="F2371" s="425">
        <v>3.8</v>
      </c>
      <c r="G2371" s="426" t="s">
        <v>1454</v>
      </c>
      <c r="H2371" s="418" t="s">
        <v>2863</v>
      </c>
      <c r="I2371" s="425">
        <f>C16</f>
        <v>150</v>
      </c>
      <c r="J2371" s="426" t="s">
        <v>1454</v>
      </c>
      <c r="K2371" s="434">
        <f>I2371*F2371</f>
        <v>570</v>
      </c>
      <c r="L2371" s="434"/>
    </row>
    <row r="2372" spans="1:12" ht="21" hidden="1">
      <c r="A2372" s="386"/>
      <c r="E2372" s="418"/>
      <c r="F2372" s="425">
        <v>5.4</v>
      </c>
      <c r="G2372" s="426" t="s">
        <v>1454</v>
      </c>
      <c r="H2372" s="418" t="s">
        <v>2864</v>
      </c>
      <c r="I2372" s="425">
        <f>C12</f>
        <v>95</v>
      </c>
      <c r="J2372" s="426" t="s">
        <v>1454</v>
      </c>
      <c r="K2372" s="434">
        <f>I2372*F2372</f>
        <v>513</v>
      </c>
      <c r="L2372" s="420"/>
    </row>
    <row r="2373" spans="1:12" ht="21" hidden="1">
      <c r="A2373" s="386"/>
      <c r="E2373" s="418"/>
      <c r="F2373" s="425">
        <v>1</v>
      </c>
      <c r="G2373" s="426" t="s">
        <v>1454</v>
      </c>
      <c r="H2373" s="418" t="s">
        <v>2865</v>
      </c>
      <c r="I2373" s="425">
        <f>D17</f>
        <v>120</v>
      </c>
      <c r="J2373" s="426" t="s">
        <v>1454</v>
      </c>
      <c r="K2373" s="434">
        <f>I2373*F2373</f>
        <v>120</v>
      </c>
      <c r="L2373" s="435"/>
    </row>
    <row r="2374" spans="1:12" ht="18" hidden="1">
      <c r="A2374" s="386"/>
      <c r="E2374" s="418"/>
      <c r="F2374" s="1199" t="s">
        <v>448</v>
      </c>
      <c r="G2374" s="1199"/>
      <c r="H2374" s="418" t="s">
        <v>2731</v>
      </c>
      <c r="I2374" s="1199" t="s">
        <v>448</v>
      </c>
      <c r="J2374" s="1199"/>
      <c r="K2374" s="420">
        <v>10</v>
      </c>
      <c r="L2374" s="429"/>
    </row>
    <row r="2375" spans="1:12" ht="18" hidden="1">
      <c r="A2375" s="386"/>
      <c r="E2375" s="418"/>
      <c r="F2375" s="425">
        <v>19</v>
      </c>
      <c r="G2375" s="426" t="s">
        <v>1843</v>
      </c>
      <c r="H2375" s="418" t="s">
        <v>2732</v>
      </c>
      <c r="I2375" s="425">
        <v>2</v>
      </c>
      <c r="J2375" s="426" t="s">
        <v>448</v>
      </c>
      <c r="K2375" s="435">
        <f>I2375*F2375</f>
        <v>38</v>
      </c>
      <c r="L2375" s="420"/>
    </row>
    <row r="2376" spans="1:12" ht="18" hidden="1">
      <c r="A2376" s="386"/>
      <c r="E2376" s="418"/>
      <c r="F2376" s="420"/>
      <c r="G2376" s="418"/>
      <c r="H2376" s="418"/>
      <c r="I2376" s="420"/>
      <c r="J2376" s="418"/>
      <c r="K2376" s="429">
        <f>SUM(K2367:K2375)</f>
        <v>2050.88</v>
      </c>
      <c r="L2376" s="429"/>
    </row>
    <row r="2377" spans="1:12" ht="21" hidden="1">
      <c r="A2377" s="386"/>
      <c r="E2377" s="418"/>
      <c r="F2377" s="420"/>
      <c r="G2377" s="418"/>
      <c r="H2377" s="433" t="s">
        <v>2866</v>
      </c>
      <c r="I2377" s="429">
        <f>K2376/10</f>
        <v>205.09</v>
      </c>
      <c r="J2377" s="418"/>
      <c r="K2377" s="420"/>
      <c r="L2377" s="420"/>
    </row>
    <row r="2378" spans="1:12" ht="36" hidden="1">
      <c r="A2378" s="386"/>
      <c r="E2378" s="418"/>
      <c r="F2378" s="420"/>
      <c r="G2378" s="418"/>
      <c r="H2378" s="419" t="s">
        <v>2733</v>
      </c>
      <c r="I2378" s="429">
        <f>I2377</f>
        <v>205.09</v>
      </c>
      <c r="J2378" s="436">
        <f>I2393</f>
        <v>12.32</v>
      </c>
      <c r="K2378" s="429">
        <f>I2378+J2378</f>
        <v>217.41</v>
      </c>
      <c r="L2378" s="420"/>
    </row>
    <row r="2379" spans="1:12" ht="54" hidden="1">
      <c r="A2379" s="386"/>
      <c r="E2379" s="430">
        <v>18.100000000000001</v>
      </c>
      <c r="F2379" s="422" t="s">
        <v>2734</v>
      </c>
      <c r="G2379" s="418"/>
      <c r="H2379" s="437" t="s">
        <v>3566</v>
      </c>
      <c r="I2379" s="420"/>
      <c r="J2379" s="418"/>
      <c r="K2379" s="420"/>
      <c r="L2379" s="420"/>
    </row>
    <row r="2380" spans="1:12" ht="18" hidden="1">
      <c r="A2380" s="386"/>
      <c r="E2380" s="418"/>
      <c r="F2380" s="420"/>
      <c r="G2380" s="418"/>
      <c r="H2380" s="418" t="s">
        <v>3567</v>
      </c>
      <c r="I2380" s="425">
        <f>K2376</f>
        <v>2050.88</v>
      </c>
      <c r="J2380" s="418"/>
      <c r="K2380" s="420"/>
      <c r="L2380" s="420"/>
    </row>
    <row r="2381" spans="1:12" ht="18" hidden="1">
      <c r="A2381" s="386"/>
      <c r="E2381" s="418"/>
      <c r="F2381" s="420"/>
      <c r="G2381" s="418"/>
      <c r="H2381" s="418" t="s">
        <v>2729</v>
      </c>
      <c r="I2381" s="425">
        <f>K2391</f>
        <v>369.6</v>
      </c>
      <c r="J2381" s="430" t="s">
        <v>3568</v>
      </c>
      <c r="K2381" s="420"/>
      <c r="L2381" s="420"/>
    </row>
    <row r="2382" spans="1:12" ht="18" hidden="1">
      <c r="A2382" s="386"/>
      <c r="E2382" s="418"/>
      <c r="F2382" s="420"/>
      <c r="G2382" s="418"/>
      <c r="H2382" s="418"/>
      <c r="I2382" s="422">
        <f>I2380-I2381</f>
        <v>1681.28</v>
      </c>
      <c r="J2382" s="418"/>
      <c r="K2382" s="420"/>
      <c r="L2382" s="420"/>
    </row>
    <row r="2383" spans="1:12" ht="21" hidden="1">
      <c r="A2383" s="386"/>
      <c r="E2383" s="418"/>
      <c r="F2383" s="420"/>
      <c r="G2383" s="418"/>
      <c r="H2383" s="433" t="s">
        <v>2866</v>
      </c>
      <c r="I2383" s="422">
        <f>I2382/10</f>
        <v>168.13</v>
      </c>
      <c r="J2383" s="418"/>
      <c r="K2383" s="420"/>
      <c r="L2383" s="420"/>
    </row>
    <row r="2384" spans="1:12" ht="18" hidden="1">
      <c r="A2384" s="386"/>
      <c r="E2384" s="418"/>
      <c r="F2384" s="420"/>
      <c r="G2384" s="418"/>
      <c r="H2384" s="418"/>
      <c r="I2384" s="420"/>
      <c r="J2384" s="418"/>
      <c r="K2384" s="420"/>
      <c r="L2384" s="420"/>
    </row>
    <row r="2385" spans="1:12" ht="18" hidden="1">
      <c r="A2385" s="386"/>
      <c r="E2385" s="418"/>
      <c r="F2385" s="420"/>
      <c r="G2385" s="418"/>
      <c r="H2385" s="430" t="s">
        <v>3569</v>
      </c>
      <c r="I2385" s="420"/>
      <c r="J2385" s="418"/>
      <c r="K2385" s="420"/>
      <c r="L2385" s="425"/>
    </row>
    <row r="2386" spans="1:12" ht="36" hidden="1">
      <c r="A2386" s="386"/>
      <c r="E2386" s="418"/>
      <c r="F2386" s="420"/>
      <c r="G2386" s="418"/>
      <c r="H2386" s="437" t="s">
        <v>2462</v>
      </c>
      <c r="I2386" s="420"/>
      <c r="J2386" s="418"/>
      <c r="K2386" s="420"/>
      <c r="L2386" s="425"/>
    </row>
    <row r="2387" spans="1:12" ht="36" hidden="1">
      <c r="A2387" s="386"/>
      <c r="E2387" s="418"/>
      <c r="F2387" s="425">
        <v>98.5</v>
      </c>
      <c r="G2387" s="426" t="s">
        <v>3646</v>
      </c>
      <c r="H2387" s="438" t="s">
        <v>2463</v>
      </c>
      <c r="I2387" s="425">
        <f>I2369</f>
        <v>3</v>
      </c>
      <c r="J2387" s="426" t="s">
        <v>3646</v>
      </c>
      <c r="K2387" s="425">
        <f>I2387*F2387</f>
        <v>295.5</v>
      </c>
      <c r="L2387" s="425"/>
    </row>
    <row r="2388" spans="1:12" ht="21" hidden="1">
      <c r="A2388" s="386"/>
      <c r="E2388" s="418"/>
      <c r="F2388" s="425">
        <v>0.3</v>
      </c>
      <c r="G2388" s="426" t="s">
        <v>1843</v>
      </c>
      <c r="H2388" s="438" t="s">
        <v>2867</v>
      </c>
      <c r="I2388" s="425">
        <f>I2371</f>
        <v>150</v>
      </c>
      <c r="J2388" s="426" t="s">
        <v>1843</v>
      </c>
      <c r="K2388" s="425">
        <f>I2388*F2388</f>
        <v>45</v>
      </c>
      <c r="L2388" s="425"/>
    </row>
    <row r="2389" spans="1:12" ht="21" hidden="1">
      <c r="A2389" s="386"/>
      <c r="E2389" s="418"/>
      <c r="F2389" s="425">
        <v>0.3</v>
      </c>
      <c r="G2389" s="426" t="s">
        <v>1843</v>
      </c>
      <c r="H2389" s="438" t="s">
        <v>2868</v>
      </c>
      <c r="I2389" s="425">
        <f>I2372</f>
        <v>95</v>
      </c>
      <c r="J2389" s="426" t="s">
        <v>1843</v>
      </c>
      <c r="K2389" s="425">
        <f>I2389*F2389</f>
        <v>28.5</v>
      </c>
      <c r="L2389" s="422"/>
    </row>
    <row r="2390" spans="1:12" ht="18" hidden="1">
      <c r="A2390" s="386"/>
      <c r="E2390" s="418"/>
      <c r="F2390" s="420"/>
      <c r="G2390" s="418"/>
      <c r="H2390" s="439" t="s">
        <v>2464</v>
      </c>
      <c r="I2390" s="1197" t="s">
        <v>448</v>
      </c>
      <c r="J2390" s="1197"/>
      <c r="K2390" s="425">
        <v>0.6</v>
      </c>
      <c r="L2390" s="420"/>
    </row>
    <row r="2391" spans="1:12" ht="21" hidden="1">
      <c r="A2391" s="386"/>
      <c r="E2391" s="418"/>
      <c r="F2391" s="420"/>
      <c r="G2391" s="418"/>
      <c r="H2391" s="439" t="s">
        <v>2869</v>
      </c>
      <c r="I2391" s="420"/>
      <c r="J2391" s="418"/>
      <c r="K2391" s="422">
        <f>SUM(K2387:K2390)</f>
        <v>369.6</v>
      </c>
      <c r="L2391" s="420"/>
    </row>
    <row r="2392" spans="1:12" ht="21" hidden="1">
      <c r="A2392" s="386"/>
      <c r="E2392" s="418"/>
      <c r="F2392" s="420"/>
      <c r="G2392" s="418"/>
      <c r="H2392" s="439" t="s">
        <v>2870</v>
      </c>
      <c r="I2392" s="429">
        <f>K2391/10</f>
        <v>36.96</v>
      </c>
      <c r="J2392" s="418"/>
      <c r="K2392" s="420"/>
      <c r="L2392" s="420"/>
    </row>
    <row r="2393" spans="1:12" ht="18" hidden="1">
      <c r="A2393" s="386"/>
      <c r="E2393" s="418"/>
      <c r="F2393" s="420"/>
      <c r="G2393" s="418"/>
      <c r="H2393" s="439" t="s">
        <v>2465</v>
      </c>
      <c r="I2393" s="429">
        <f>I2392/3</f>
        <v>12.32</v>
      </c>
      <c r="J2393" s="418"/>
      <c r="K2393" s="420"/>
      <c r="L2393" s="420"/>
    </row>
    <row r="2394" spans="1:12" ht="18" hidden="1">
      <c r="A2394" s="386"/>
      <c r="E2394" s="418"/>
      <c r="F2394" s="420"/>
      <c r="G2394" s="418"/>
      <c r="H2394" s="438"/>
      <c r="I2394" s="420"/>
      <c r="J2394" s="418"/>
      <c r="K2394" s="420"/>
      <c r="L2394" s="420"/>
    </row>
    <row r="2395" spans="1:12" ht="54" hidden="1">
      <c r="A2395" s="386"/>
      <c r="E2395" s="430">
        <v>18.100000000000001</v>
      </c>
      <c r="F2395" s="422" t="s">
        <v>2366</v>
      </c>
      <c r="G2395" s="418"/>
      <c r="H2395" s="440" t="s">
        <v>3182</v>
      </c>
      <c r="I2395" s="422">
        <f>I2377*1.2</f>
        <v>246.11</v>
      </c>
      <c r="J2395" s="418"/>
      <c r="K2395" s="420"/>
    </row>
    <row r="2396" spans="1:12" ht="36" hidden="1">
      <c r="A2396" s="386"/>
      <c r="E2396" s="421">
        <v>18.100000000000001</v>
      </c>
      <c r="F2396" s="422" t="s">
        <v>3183</v>
      </c>
      <c r="G2396" s="418"/>
      <c r="H2396" s="441" t="s">
        <v>3184</v>
      </c>
      <c r="I2396" s="422">
        <f>I2377*1.1</f>
        <v>225.6</v>
      </c>
      <c r="J2396" s="418"/>
      <c r="K2396" s="420"/>
    </row>
    <row r="2397" spans="1:12" hidden="1">
      <c r="A2397" s="386"/>
      <c r="E2397" s="175"/>
      <c r="F2397" s="175"/>
      <c r="G2397" s="176"/>
      <c r="H2397" s="175"/>
      <c r="I2397" s="175"/>
      <c r="J2397" s="177"/>
      <c r="K2397" s="175"/>
    </row>
    <row r="2398" spans="1:12" hidden="1">
      <c r="A2398" s="386"/>
      <c r="E2398" s="175"/>
      <c r="F2398" s="175"/>
      <c r="G2398" s="176"/>
      <c r="H2398" s="175"/>
      <c r="I2398" s="175"/>
      <c r="J2398" s="177"/>
      <c r="K2398" s="175"/>
    </row>
    <row r="2399" spans="1:12" ht="23.25" hidden="1">
      <c r="A2399" s="386"/>
      <c r="E2399" s="175"/>
      <c r="F2399"/>
      <c r="G2399" s="3"/>
      <c r="H2399" s="442" t="s">
        <v>2491</v>
      </c>
      <c r="I2399"/>
      <c r="J2399" s="4"/>
      <c r="K2399" s="8"/>
    </row>
    <row r="2400" spans="1:12" hidden="1">
      <c r="A2400" s="386"/>
      <c r="E2400" s="175"/>
      <c r="F2400" s="443">
        <v>18.100000000000001</v>
      </c>
      <c r="G2400" s="7" t="s">
        <v>2338</v>
      </c>
      <c r="H2400" s="1" t="s">
        <v>10</v>
      </c>
      <c r="I2400"/>
      <c r="J2400" s="4"/>
      <c r="K2400"/>
    </row>
    <row r="2401" spans="1:11" hidden="1">
      <c r="A2401" s="386"/>
      <c r="E2401" s="175"/>
      <c r="F2401"/>
      <c r="G2401" s="3"/>
      <c r="H2401" s="1" t="s">
        <v>657</v>
      </c>
      <c r="I2401"/>
      <c r="J2401" s="4"/>
      <c r="K2401"/>
    </row>
    <row r="2402" spans="1:11" hidden="1">
      <c r="A2402" s="386"/>
      <c r="E2402" s="175"/>
      <c r="F2402"/>
      <c r="G2402" s="3"/>
      <c r="H2402" s="1" t="s">
        <v>659</v>
      </c>
      <c r="I2402"/>
      <c r="J2402" s="4"/>
      <c r="K2402"/>
    </row>
    <row r="2403" spans="1:11" hidden="1">
      <c r="A2403" s="386"/>
      <c r="E2403" s="175"/>
      <c r="F2403"/>
      <c r="G2403" s="3"/>
      <c r="H2403" s="1" t="s">
        <v>516</v>
      </c>
      <c r="I2403"/>
      <c r="J2403" s="4"/>
      <c r="K2403"/>
    </row>
    <row r="2404" spans="1:11" hidden="1">
      <c r="A2404" s="386"/>
      <c r="E2404" s="175"/>
      <c r="F2404"/>
      <c r="G2404" s="3"/>
      <c r="H2404" s="1" t="s">
        <v>518</v>
      </c>
      <c r="I2404"/>
      <c r="J2404" s="4"/>
      <c r="K2404"/>
    </row>
    <row r="2405" spans="1:11" hidden="1">
      <c r="A2405" s="386"/>
      <c r="E2405" s="175"/>
      <c r="F2405"/>
      <c r="G2405" s="3"/>
      <c r="H2405" s="1" t="s">
        <v>1</v>
      </c>
      <c r="I2405"/>
      <c r="J2405" s="4"/>
      <c r="K2405"/>
    </row>
    <row r="2406" spans="1:11" hidden="1">
      <c r="A2406" s="386"/>
      <c r="E2406" s="175"/>
      <c r="F2406"/>
      <c r="G2406" s="3"/>
      <c r="H2406" s="1" t="s">
        <v>1285</v>
      </c>
      <c r="I2406"/>
      <c r="J2406" s="4"/>
      <c r="K2406"/>
    </row>
    <row r="2407" spans="1:11" hidden="1">
      <c r="A2407" s="386"/>
      <c r="E2407" s="175"/>
      <c r="F2407"/>
      <c r="G2407" s="3"/>
      <c r="H2407" s="5" t="s">
        <v>1667</v>
      </c>
      <c r="I2407" s="5" t="s">
        <v>1667</v>
      </c>
      <c r="J2407" s="2" t="s">
        <v>1667</v>
      </c>
      <c r="K2407"/>
    </row>
    <row r="2408" spans="1:11" hidden="1">
      <c r="A2408" s="386"/>
      <c r="E2408" s="175"/>
      <c r="F2408" s="8">
        <v>13.46</v>
      </c>
      <c r="G2408" s="7" t="s">
        <v>267</v>
      </c>
      <c r="H2408" s="1" t="s">
        <v>268</v>
      </c>
      <c r="I2408" s="8">
        <f>I2361</f>
        <v>30</v>
      </c>
      <c r="J2408" s="2" t="s">
        <v>267</v>
      </c>
      <c r="K2408" s="8">
        <f>(F2408*I2408)</f>
        <v>403.8</v>
      </c>
    </row>
    <row r="2409" spans="1:11" hidden="1">
      <c r="A2409" s="386"/>
      <c r="E2409" s="175"/>
      <c r="F2409"/>
      <c r="G2409" s="3"/>
      <c r="H2409" s="1" t="s">
        <v>999</v>
      </c>
      <c r="I2409"/>
      <c r="J2409" s="4"/>
      <c r="K2409"/>
    </row>
    <row r="2410" spans="1:11" hidden="1">
      <c r="A2410" s="386"/>
      <c r="E2410" s="175"/>
      <c r="F2410" s="8">
        <v>4</v>
      </c>
      <c r="G2410" s="7" t="s">
        <v>267</v>
      </c>
      <c r="H2410" s="1" t="s">
        <v>1001</v>
      </c>
      <c r="I2410" s="8">
        <f>I2362</f>
        <v>30</v>
      </c>
      <c r="J2410" s="2" t="s">
        <v>267</v>
      </c>
      <c r="K2410" s="8">
        <f>(F2410*I2410)</f>
        <v>120</v>
      </c>
    </row>
    <row r="2411" spans="1:11" hidden="1">
      <c r="A2411" s="386"/>
      <c r="E2411" s="175"/>
      <c r="F2411"/>
      <c r="G2411" s="3"/>
      <c r="H2411" s="1" t="s">
        <v>1058</v>
      </c>
      <c r="I2411"/>
      <c r="J2411" s="4"/>
      <c r="K2411"/>
    </row>
    <row r="2412" spans="1:11" hidden="1">
      <c r="A2412" s="386"/>
      <c r="E2412" s="175"/>
      <c r="F2412" s="8"/>
      <c r="G2412" s="7" t="s">
        <v>448</v>
      </c>
      <c r="H2412" s="1" t="s">
        <v>1742</v>
      </c>
      <c r="I2412"/>
      <c r="J2412" s="2" t="s">
        <v>448</v>
      </c>
      <c r="K2412" s="8">
        <v>40</v>
      </c>
    </row>
    <row r="2413" spans="1:11" hidden="1">
      <c r="A2413" s="386"/>
      <c r="E2413" s="175"/>
      <c r="F2413"/>
      <c r="G2413" s="3"/>
      <c r="H2413" s="1" t="s">
        <v>1744</v>
      </c>
      <c r="I2413"/>
      <c r="J2413" s="4"/>
      <c r="K2413" s="5" t="s">
        <v>1667</v>
      </c>
    </row>
    <row r="2414" spans="1:11" hidden="1">
      <c r="A2414" s="386"/>
      <c r="E2414" s="175"/>
      <c r="F2414"/>
      <c r="G2414" s="3"/>
      <c r="H2414" s="2" t="s">
        <v>24</v>
      </c>
      <c r="I2414"/>
      <c r="J2414" s="4"/>
      <c r="K2414" s="8">
        <f>SUM(K2408:K2412)</f>
        <v>563.79999999999995</v>
      </c>
    </row>
    <row r="2415" spans="1:11" ht="17.25" hidden="1">
      <c r="A2415" s="386"/>
      <c r="E2415" s="401"/>
      <c r="F2415"/>
      <c r="G2415" s="3"/>
      <c r="H2415"/>
      <c r="I2415"/>
      <c r="J2415" s="4"/>
      <c r="K2415" s="5" t="s">
        <v>1667</v>
      </c>
    </row>
    <row r="2416" spans="1:11" ht="17.25" hidden="1">
      <c r="A2416" s="386"/>
      <c r="E2416" s="401"/>
      <c r="F2416"/>
      <c r="G2416" s="3"/>
      <c r="H2416" s="2" t="s">
        <v>28</v>
      </c>
      <c r="I2416"/>
      <c r="J2416" s="4"/>
      <c r="K2416" s="8">
        <f>K2414/40</f>
        <v>14.1</v>
      </c>
    </row>
    <row r="2417" spans="1:11" ht="17.25" hidden="1">
      <c r="A2417" s="386"/>
      <c r="E2417" s="401"/>
      <c r="F2417"/>
      <c r="G2417" s="3"/>
      <c r="H2417"/>
      <c r="I2417"/>
      <c r="J2417" s="4"/>
      <c r="K2417" s="5" t="s">
        <v>1667</v>
      </c>
    </row>
    <row r="2418" spans="1:11" ht="17.25" hidden="1">
      <c r="A2418" s="386"/>
      <c r="E2418" s="401"/>
      <c r="F2418"/>
      <c r="G2418" s="3"/>
      <c r="H2418" s="1" t="s">
        <v>915</v>
      </c>
      <c r="I2418"/>
      <c r="J2418" s="4"/>
      <c r="K2418"/>
    </row>
    <row r="2419" spans="1:11" ht="17.25" hidden="1">
      <c r="A2419" s="386"/>
      <c r="E2419" s="401"/>
      <c r="F2419"/>
      <c r="G2419" s="3"/>
      <c r="H2419" s="1" t="s">
        <v>318</v>
      </c>
      <c r="I2419"/>
      <c r="J2419" s="4"/>
      <c r="K2419"/>
    </row>
    <row r="2420" spans="1:11" ht="17.25" hidden="1">
      <c r="A2420" s="386"/>
      <c r="E2420" s="401"/>
      <c r="F2420"/>
      <c r="G2420" s="3"/>
      <c r="H2420" s="1" t="s">
        <v>320</v>
      </c>
      <c r="I2420"/>
      <c r="J2420" s="4"/>
      <c r="K2420"/>
    </row>
    <row r="2421" spans="1:11" ht="17.25" hidden="1">
      <c r="A2421" s="386"/>
      <c r="E2421" s="401"/>
      <c r="F2421"/>
      <c r="G2421" s="3"/>
      <c r="H2421"/>
      <c r="I2421"/>
      <c r="J2421" s="4"/>
      <c r="K2421"/>
    </row>
    <row r="2422" spans="1:11" ht="17.25" hidden="1">
      <c r="A2422" s="386"/>
      <c r="E2422" s="401"/>
      <c r="F2422" s="8">
        <v>19</v>
      </c>
      <c r="G2422" s="7" t="s">
        <v>1492</v>
      </c>
      <c r="H2422" s="1" t="s">
        <v>73</v>
      </c>
      <c r="I2422" s="8">
        <f>K2416</f>
        <v>14.1</v>
      </c>
      <c r="J2422" s="2" t="s">
        <v>258</v>
      </c>
      <c r="K2422" s="8">
        <f>(F2422*I2422)</f>
        <v>267.89999999999998</v>
      </c>
    </row>
    <row r="2423" spans="1:11" ht="17.25" hidden="1">
      <c r="A2423" s="386"/>
      <c r="E2423" s="401"/>
      <c r="F2423"/>
      <c r="G2423" s="3"/>
      <c r="H2423" s="1" t="s">
        <v>1746</v>
      </c>
      <c r="I2423"/>
      <c r="J2423" s="4"/>
      <c r="K2423" s="8"/>
    </row>
    <row r="2424" spans="1:11" ht="17.25" hidden="1">
      <c r="A2424" s="386"/>
      <c r="E2424" s="401"/>
      <c r="F2424" s="8">
        <v>0.12</v>
      </c>
      <c r="G2424" s="7" t="s">
        <v>2226</v>
      </c>
      <c r="H2424" s="1" t="s">
        <v>3102</v>
      </c>
      <c r="I2424" s="8">
        <f>9395/5</f>
        <v>1879</v>
      </c>
      <c r="J2424" s="2" t="s">
        <v>258</v>
      </c>
      <c r="K2424" s="8">
        <f t="shared" ref="K2424:K2431" si="78">(F2424*I2424)</f>
        <v>225.48</v>
      </c>
    </row>
    <row r="2425" spans="1:11" ht="17.25" hidden="1">
      <c r="A2425" s="386"/>
      <c r="E2425" s="401"/>
      <c r="F2425" s="8">
        <v>98.5</v>
      </c>
      <c r="G2425" s="7" t="s">
        <v>840</v>
      </c>
      <c r="H2425" s="1" t="s">
        <v>841</v>
      </c>
      <c r="I2425" s="8">
        <f>I2369</f>
        <v>3</v>
      </c>
      <c r="J2425" s="2" t="s">
        <v>258</v>
      </c>
      <c r="K2425" s="8">
        <f t="shared" si="78"/>
        <v>295.5</v>
      </c>
    </row>
    <row r="2426" spans="1:11" ht="17.25" hidden="1">
      <c r="A2426" s="386"/>
      <c r="E2426" s="401"/>
      <c r="F2426" s="8">
        <v>1</v>
      </c>
      <c r="G2426" s="7" t="s">
        <v>448</v>
      </c>
      <c r="H2426" s="1" t="s">
        <v>1451</v>
      </c>
      <c r="I2426" s="8">
        <v>11</v>
      </c>
      <c r="J2426" s="2" t="s">
        <v>448</v>
      </c>
      <c r="K2426" s="8">
        <f t="shared" si="78"/>
        <v>11</v>
      </c>
    </row>
    <row r="2427" spans="1:11" ht="17.25" hidden="1">
      <c r="A2427" s="386"/>
      <c r="E2427" s="401"/>
      <c r="F2427" s="8">
        <v>3.8</v>
      </c>
      <c r="G2427" s="7" t="s">
        <v>1454</v>
      </c>
      <c r="H2427" s="1" t="s">
        <v>1455</v>
      </c>
      <c r="I2427" s="8">
        <f>C16</f>
        <v>150</v>
      </c>
      <c r="J2427" s="2" t="s">
        <v>1458</v>
      </c>
      <c r="K2427" s="8">
        <f t="shared" si="78"/>
        <v>570</v>
      </c>
    </row>
    <row r="2428" spans="1:11" ht="17.25" hidden="1">
      <c r="A2428" s="386"/>
      <c r="E2428" s="401"/>
      <c r="F2428" s="8">
        <v>5.4</v>
      </c>
      <c r="G2428" s="7" t="s">
        <v>1454</v>
      </c>
      <c r="H2428" s="1" t="s">
        <v>838</v>
      </c>
      <c r="I2428" s="8">
        <f>C12</f>
        <v>95</v>
      </c>
      <c r="J2428" s="2" t="s">
        <v>1458</v>
      </c>
      <c r="K2428" s="8">
        <f t="shared" si="78"/>
        <v>513</v>
      </c>
    </row>
    <row r="2429" spans="1:11" ht="17.25" hidden="1">
      <c r="A2429" s="386"/>
      <c r="E2429" s="401"/>
      <c r="F2429" s="8">
        <v>1</v>
      </c>
      <c r="G2429" s="7" t="s">
        <v>1454</v>
      </c>
      <c r="H2429" s="1" t="s">
        <v>2374</v>
      </c>
      <c r="I2429" s="8">
        <f>D17</f>
        <v>120</v>
      </c>
      <c r="J2429" s="2" t="s">
        <v>1458</v>
      </c>
      <c r="K2429" s="8">
        <f t="shared" si="78"/>
        <v>120</v>
      </c>
    </row>
    <row r="2430" spans="1:11" ht="17.25" hidden="1">
      <c r="A2430" s="386"/>
      <c r="E2430" s="401"/>
      <c r="F2430" s="8">
        <v>1</v>
      </c>
      <c r="G2430" s="7" t="s">
        <v>448</v>
      </c>
      <c r="H2430" s="1" t="s">
        <v>787</v>
      </c>
      <c r="I2430" s="8">
        <v>10</v>
      </c>
      <c r="J2430" s="2" t="s">
        <v>448</v>
      </c>
      <c r="K2430" s="8">
        <f t="shared" si="78"/>
        <v>10</v>
      </c>
    </row>
    <row r="2431" spans="1:11" ht="17.25" hidden="1">
      <c r="A2431" s="386"/>
      <c r="E2431" s="401"/>
      <c r="F2431" s="8">
        <v>19</v>
      </c>
      <c r="G2431" s="7" t="s">
        <v>1492</v>
      </c>
      <c r="H2431" s="1" t="s">
        <v>789</v>
      </c>
      <c r="I2431" s="8">
        <v>2</v>
      </c>
      <c r="J2431" s="2" t="s">
        <v>1492</v>
      </c>
      <c r="K2431" s="8">
        <f t="shared" si="78"/>
        <v>38</v>
      </c>
    </row>
    <row r="2432" spans="1:11" ht="17.25" hidden="1">
      <c r="A2432" s="386"/>
      <c r="E2432" s="401"/>
      <c r="F2432"/>
      <c r="G2432" s="3"/>
      <c r="H2432" s="1" t="s">
        <v>502</v>
      </c>
      <c r="I2432"/>
      <c r="J2432" s="4"/>
      <c r="K2432" s="5" t="s">
        <v>1667</v>
      </c>
    </row>
    <row r="2433" spans="1:11" ht="17.25" hidden="1">
      <c r="A2433" s="386"/>
      <c r="E2433" s="401"/>
      <c r="F2433"/>
      <c r="G2433" s="3"/>
      <c r="H2433" s="2" t="s">
        <v>440</v>
      </c>
      <c r="I2433"/>
      <c r="J2433" s="4"/>
      <c r="K2433" s="8">
        <f>SUM(K2422:K2431)</f>
        <v>2050.88</v>
      </c>
    </row>
    <row r="2434" spans="1:11" ht="17.25" hidden="1">
      <c r="A2434" s="386"/>
      <c r="E2434" s="401"/>
      <c r="F2434"/>
      <c r="G2434" s="3"/>
      <c r="H2434"/>
      <c r="I2434"/>
      <c r="J2434" s="4"/>
      <c r="K2434" s="5" t="s">
        <v>1667</v>
      </c>
    </row>
    <row r="2435" spans="1:11" ht="17.25" hidden="1">
      <c r="A2435" s="386"/>
      <c r="E2435" s="401"/>
      <c r="F2435"/>
      <c r="G2435" s="3"/>
      <c r="H2435" s="2" t="s">
        <v>555</v>
      </c>
      <c r="I2435"/>
      <c r="J2435" s="4"/>
      <c r="K2435" s="8">
        <f>(K2433/10)</f>
        <v>205.09</v>
      </c>
    </row>
    <row r="2436" spans="1:11" ht="17.25" hidden="1">
      <c r="A2436" s="386"/>
      <c r="E2436" s="401"/>
      <c r="F2436" s="1" t="s">
        <v>995</v>
      </c>
      <c r="G2436" s="3"/>
      <c r="H2436"/>
      <c r="I2436"/>
      <c r="J2436" s="4"/>
      <c r="K2436"/>
    </row>
    <row r="2437" spans="1:11" ht="17.25" hidden="1">
      <c r="A2437" s="386"/>
      <c r="E2437" s="401"/>
      <c r="F2437"/>
      <c r="G2437" s="3"/>
      <c r="H2437"/>
      <c r="I2437"/>
      <c r="J2437" s="4"/>
      <c r="K2437" s="5" t="s">
        <v>2130</v>
      </c>
    </row>
    <row r="2438" spans="1:11" ht="30" hidden="1">
      <c r="A2438" s="386"/>
      <c r="E2438" s="401"/>
      <c r="F2438" s="444" t="s">
        <v>2734</v>
      </c>
      <c r="G2438" s="34"/>
      <c r="H2438" s="445" t="s">
        <v>3651</v>
      </c>
      <c r="I2438"/>
      <c r="J2438" s="4"/>
      <c r="K2438"/>
    </row>
    <row r="2439" spans="1:11" ht="17.25" hidden="1">
      <c r="A2439" s="386"/>
      <c r="E2439" s="401"/>
      <c r="F2439" s="34"/>
      <c r="G2439" s="3"/>
      <c r="H2439"/>
      <c r="I2439"/>
      <c r="J2439" s="4"/>
      <c r="K2439" s="61"/>
    </row>
    <row r="2440" spans="1:11" ht="17.25" hidden="1">
      <c r="A2440" s="386"/>
      <c r="E2440" s="401"/>
      <c r="F2440">
        <v>98.5</v>
      </c>
      <c r="G2440" s="3" t="s">
        <v>840</v>
      </c>
      <c r="H2440" s="1" t="s">
        <v>841</v>
      </c>
      <c r="I2440" s="8">
        <f>I2425</f>
        <v>3</v>
      </c>
      <c r="J2440" s="2" t="s">
        <v>258</v>
      </c>
      <c r="K2440">
        <f>(F2440*I2440)</f>
        <v>295.5</v>
      </c>
    </row>
    <row r="2441" spans="1:11" ht="17.25" hidden="1">
      <c r="A2441" s="386"/>
      <c r="E2441" s="401"/>
      <c r="F2441">
        <v>0.3</v>
      </c>
      <c r="G2441" s="3" t="s">
        <v>1454</v>
      </c>
      <c r="H2441" s="1" t="s">
        <v>1455</v>
      </c>
      <c r="I2441" s="8">
        <f>I2427</f>
        <v>150</v>
      </c>
      <c r="J2441" s="2" t="s">
        <v>1458</v>
      </c>
      <c r="K2441">
        <f>(F2441*I2441)</f>
        <v>45</v>
      </c>
    </row>
    <row r="2442" spans="1:11" ht="17.25" hidden="1">
      <c r="A2442" s="386"/>
      <c r="E2442" s="401"/>
      <c r="F2442">
        <v>0.3</v>
      </c>
      <c r="G2442" s="3" t="s">
        <v>1454</v>
      </c>
      <c r="H2442" s="1" t="s">
        <v>838</v>
      </c>
      <c r="I2442" s="8">
        <f>I2428</f>
        <v>95</v>
      </c>
      <c r="J2442" s="2" t="s">
        <v>1458</v>
      </c>
      <c r="K2442">
        <f>(F2442*I2442)</f>
        <v>28.5</v>
      </c>
    </row>
    <row r="2443" spans="1:11" ht="17.25" hidden="1">
      <c r="A2443" s="386"/>
      <c r="E2443" s="401"/>
      <c r="F2443"/>
      <c r="G2443" s="3"/>
      <c r="H2443" s="1" t="s">
        <v>2359</v>
      </c>
      <c r="I2443"/>
      <c r="J2443" s="4" t="s">
        <v>72</v>
      </c>
      <c r="K2443" s="61">
        <v>0.6</v>
      </c>
    </row>
    <row r="2444" spans="1:11" ht="17.25" hidden="1">
      <c r="A2444" s="386"/>
      <c r="E2444" s="401"/>
      <c r="F2444"/>
      <c r="G2444" s="3"/>
      <c r="H2444" s="2" t="s">
        <v>440</v>
      </c>
      <c r="I2444"/>
      <c r="J2444" s="4"/>
      <c r="K2444">
        <f>SUM(K2440:K2443)</f>
        <v>369.6</v>
      </c>
    </row>
    <row r="2445" spans="1:11" ht="17.25" hidden="1">
      <c r="A2445" s="386"/>
      <c r="E2445" s="401"/>
      <c r="F2445"/>
      <c r="G2445" s="3"/>
      <c r="H2445" s="1"/>
      <c r="I2445"/>
      <c r="J2445" s="4"/>
      <c r="K2445" s="61" t="s">
        <v>427</v>
      </c>
    </row>
    <row r="2446" spans="1:11" ht="17.25" hidden="1">
      <c r="A2446" s="386"/>
      <c r="E2446" s="401"/>
      <c r="F2446"/>
      <c r="G2446" s="3"/>
      <c r="H2446" s="2" t="s">
        <v>555</v>
      </c>
      <c r="I2446"/>
      <c r="J2446" s="4"/>
      <c r="K2446">
        <f>K2444/10</f>
        <v>36.96</v>
      </c>
    </row>
    <row r="2447" spans="1:11" ht="17.25" hidden="1">
      <c r="A2447" s="386"/>
      <c r="E2447" s="401"/>
      <c r="F2447"/>
      <c r="G2447" s="3"/>
      <c r="H2447" s="2"/>
      <c r="I2447"/>
      <c r="J2447" s="4"/>
      <c r="K2447"/>
    </row>
    <row r="2448" spans="1:11" ht="32.25" hidden="1">
      <c r="A2448" s="386"/>
      <c r="E2448" s="401"/>
      <c r="F2448"/>
      <c r="G2448" s="3"/>
      <c r="H2448" s="24" t="s">
        <v>3652</v>
      </c>
      <c r="I2448"/>
      <c r="J2448" s="4" t="s">
        <v>3653</v>
      </c>
      <c r="K2448">
        <f>K2435-K2446</f>
        <v>168.13</v>
      </c>
    </row>
    <row r="2449" spans="1:11" ht="17.25" hidden="1">
      <c r="A2449" s="386"/>
      <c r="E2449" s="401"/>
      <c r="F2449"/>
      <c r="G2449" s="3"/>
      <c r="H2449" s="1"/>
      <c r="I2449"/>
      <c r="J2449" s="4"/>
      <c r="K2449" s="61" t="s">
        <v>38</v>
      </c>
    </row>
    <row r="2450" spans="1:11" ht="17.25" hidden="1">
      <c r="A2450" s="386"/>
      <c r="E2450" s="401"/>
      <c r="F2450"/>
      <c r="G2450" s="3"/>
      <c r="H2450"/>
      <c r="I2450"/>
      <c r="J2450" s="4"/>
      <c r="K2450"/>
    </row>
    <row r="2451" spans="1:11" ht="45" hidden="1">
      <c r="A2451" s="386"/>
      <c r="E2451" s="401"/>
      <c r="F2451" s="444" t="s">
        <v>3385</v>
      </c>
      <c r="G2451" s="3"/>
      <c r="H2451" s="445" t="s">
        <v>3185</v>
      </c>
      <c r="I2451"/>
      <c r="J2451" s="4" t="s">
        <v>3653</v>
      </c>
      <c r="K2451">
        <f>K2435</f>
        <v>205.09</v>
      </c>
    </row>
    <row r="2452" spans="1:11" ht="17.25" hidden="1">
      <c r="A2452" s="386"/>
      <c r="E2452" s="401"/>
      <c r="F2452"/>
      <c r="H2452" s="244"/>
      <c r="I2452"/>
      <c r="J2452" s="4"/>
      <c r="K2452" s="61" t="s">
        <v>38</v>
      </c>
    </row>
    <row r="2453" spans="1:11" ht="30" hidden="1">
      <c r="A2453" s="386"/>
      <c r="E2453" s="401"/>
      <c r="F2453" s="444" t="s">
        <v>2366</v>
      </c>
      <c r="H2453" s="445" t="s">
        <v>3182</v>
      </c>
      <c r="I2453"/>
      <c r="J2453" s="4" t="s">
        <v>3653</v>
      </c>
      <c r="K2453" s="61">
        <f>K2451*1.2</f>
        <v>246.11</v>
      </c>
    </row>
    <row r="2454" spans="1:11" ht="17.25" hidden="1">
      <c r="A2454" s="386"/>
      <c r="E2454" s="401"/>
      <c r="F2454"/>
      <c r="I2454"/>
      <c r="J2454" s="4"/>
      <c r="K2454" s="61" t="s">
        <v>1283</v>
      </c>
    </row>
    <row r="2455" spans="1:11" ht="30" hidden="1">
      <c r="A2455" s="386"/>
      <c r="E2455" s="401"/>
      <c r="F2455" s="444" t="s">
        <v>3183</v>
      </c>
      <c r="H2455" s="445" t="s">
        <v>3184</v>
      </c>
      <c r="I2455"/>
      <c r="J2455" s="4" t="s">
        <v>3653</v>
      </c>
      <c r="K2455">
        <f>K2451*1.1</f>
        <v>225.6</v>
      </c>
    </row>
    <row r="2456" spans="1:11" ht="17.25" hidden="1">
      <c r="A2456" s="386"/>
      <c r="E2456" s="401"/>
      <c r="F2456"/>
      <c r="G2456" s="3"/>
      <c r="H2456"/>
      <c r="I2456"/>
      <c r="J2456" s="4"/>
      <c r="K2456" s="61" t="s">
        <v>1283</v>
      </c>
    </row>
    <row r="2457" spans="1:11" ht="17.25" hidden="1">
      <c r="A2457" s="386"/>
      <c r="E2457" s="401"/>
      <c r="F2457"/>
      <c r="G2457" s="3"/>
      <c r="H2457"/>
      <c r="I2457"/>
      <c r="J2457" s="4"/>
      <c r="K2457"/>
    </row>
    <row r="2458" spans="1:11" ht="17.25" hidden="1">
      <c r="A2458" s="386"/>
      <c r="E2458" s="401"/>
      <c r="F2458">
        <v>50.6</v>
      </c>
      <c r="G2458" s="7" t="s">
        <v>685</v>
      </c>
      <c r="H2458" s="1" t="s">
        <v>1194</v>
      </c>
      <c r="I2458"/>
      <c r="J2458" s="4"/>
      <c r="K2458"/>
    </row>
    <row r="2459" spans="1:11" ht="32.25" hidden="1">
      <c r="A2459" s="386"/>
      <c r="E2459" s="401"/>
      <c r="F2459"/>
      <c r="G2459" s="3"/>
      <c r="H2459" s="24" t="s">
        <v>2871</v>
      </c>
      <c r="I2459"/>
      <c r="J2459" s="4"/>
      <c r="K2459"/>
    </row>
    <row r="2460" spans="1:11" ht="17.25" hidden="1">
      <c r="A2460" s="386"/>
      <c r="E2460" s="401"/>
      <c r="F2460"/>
      <c r="G2460" s="3"/>
      <c r="H2460" s="5" t="s">
        <v>1667</v>
      </c>
      <c r="I2460" s="5" t="s">
        <v>1667</v>
      </c>
      <c r="J2460" s="4"/>
      <c r="K2460"/>
    </row>
    <row r="2461" spans="1:11" ht="18.75" hidden="1">
      <c r="A2461" s="386"/>
      <c r="E2461" s="401"/>
      <c r="F2461"/>
      <c r="G2461" s="3"/>
      <c r="H2461" s="5" t="s">
        <v>2872</v>
      </c>
      <c r="I2461" s="5"/>
      <c r="J2461" s="4"/>
      <c r="K2461"/>
    </row>
    <row r="2462" spans="1:11" ht="18.75" hidden="1">
      <c r="A2462" s="386"/>
      <c r="E2462" s="401"/>
      <c r="F2462"/>
      <c r="G2462" s="3"/>
      <c r="H2462" s="5" t="s">
        <v>3228</v>
      </c>
      <c r="I2462" s="5"/>
      <c r="J2462" s="4"/>
      <c r="K2462"/>
    </row>
    <row r="2463" spans="1:11" ht="17.25" hidden="1">
      <c r="A2463" s="386"/>
      <c r="E2463" s="401"/>
      <c r="F2463"/>
      <c r="G2463" s="3"/>
      <c r="H2463" s="5"/>
      <c r="I2463" s="5"/>
      <c r="J2463" s="4"/>
      <c r="K2463"/>
    </row>
    <row r="2464" spans="1:11" ht="17.25" hidden="1">
      <c r="A2464" s="386"/>
      <c r="E2464" s="401"/>
      <c r="F2464"/>
      <c r="G2464" s="3"/>
      <c r="H2464"/>
      <c r="I2464"/>
      <c r="J2464" s="4"/>
      <c r="K2464"/>
    </row>
    <row r="2465" spans="1:11" ht="17.25" hidden="1">
      <c r="A2465" s="386"/>
      <c r="E2465" s="401"/>
      <c r="F2465" s="14">
        <v>1.96</v>
      </c>
      <c r="G2465" s="7" t="s">
        <v>2226</v>
      </c>
      <c r="H2465" s="1" t="s">
        <v>441</v>
      </c>
      <c r="I2465" s="8" t="e">
        <f>K1644</f>
        <v>#REF!</v>
      </c>
      <c r="J2465" s="2" t="s">
        <v>2226</v>
      </c>
      <c r="K2465" s="8" t="e">
        <f t="shared" ref="K2465:K2470" si="79">(F2465*I2465)</f>
        <v>#REF!</v>
      </c>
    </row>
    <row r="2466" spans="1:11" ht="17.25" hidden="1">
      <c r="A2466" s="386"/>
      <c r="E2466" s="401"/>
      <c r="F2466" s="8">
        <v>2</v>
      </c>
      <c r="G2466" s="7" t="s">
        <v>563</v>
      </c>
      <c r="H2466" s="1" t="s">
        <v>359</v>
      </c>
      <c r="I2466" s="8">
        <f>C10</f>
        <v>150</v>
      </c>
      <c r="J2466" s="2" t="s">
        <v>1458</v>
      </c>
      <c r="K2466" s="8">
        <f t="shared" si="79"/>
        <v>300</v>
      </c>
    </row>
    <row r="2467" spans="1:11" ht="17.25" hidden="1">
      <c r="A2467" s="386"/>
      <c r="E2467" s="401"/>
      <c r="F2467" s="8">
        <v>2</v>
      </c>
      <c r="G2467" s="7" t="s">
        <v>563</v>
      </c>
      <c r="H2467" s="1" t="s">
        <v>360</v>
      </c>
      <c r="I2467" s="8">
        <f>C13</f>
        <v>85</v>
      </c>
      <c r="J2467" s="2" t="s">
        <v>1458</v>
      </c>
      <c r="K2467" s="8">
        <f t="shared" si="79"/>
        <v>170</v>
      </c>
    </row>
    <row r="2468" spans="1:11" ht="17.25" hidden="1">
      <c r="A2468" s="386"/>
      <c r="E2468" s="401"/>
      <c r="F2468" s="8">
        <v>0.28000000000000003</v>
      </c>
      <c r="G2468" s="7" t="s">
        <v>2371</v>
      </c>
      <c r="H2468" s="1" t="s">
        <v>3186</v>
      </c>
      <c r="I2468" s="8">
        <f>K2448</f>
        <v>168.13</v>
      </c>
      <c r="J2468" s="2" t="s">
        <v>2371</v>
      </c>
      <c r="K2468" s="8">
        <f t="shared" si="79"/>
        <v>47.08</v>
      </c>
    </row>
    <row r="2469" spans="1:11" ht="17.25" hidden="1">
      <c r="A2469" s="386"/>
      <c r="E2469" s="401"/>
      <c r="F2469" s="8">
        <v>500</v>
      </c>
      <c r="G2469" s="7" t="s">
        <v>1492</v>
      </c>
      <c r="H2469" s="1" t="s">
        <v>3187</v>
      </c>
      <c r="I2469">
        <v>2</v>
      </c>
      <c r="J2469" s="4" t="s">
        <v>1458</v>
      </c>
      <c r="K2469" s="8">
        <f t="shared" si="79"/>
        <v>1000</v>
      </c>
    </row>
    <row r="2470" spans="1:11" ht="17.25" hidden="1">
      <c r="A2470" s="386"/>
      <c r="E2470" s="401"/>
      <c r="F2470" s="8">
        <v>8.5</v>
      </c>
      <c r="G2470" s="7" t="s">
        <v>3414</v>
      </c>
      <c r="H2470" s="1" t="s">
        <v>3415</v>
      </c>
      <c r="I2470">
        <v>25</v>
      </c>
      <c r="J2470" s="4" t="s">
        <v>2221</v>
      </c>
      <c r="K2470" s="8">
        <f t="shared" si="79"/>
        <v>212.5</v>
      </c>
    </row>
    <row r="2471" spans="1:11" ht="17.25" hidden="1">
      <c r="A2471" s="386"/>
      <c r="E2471" s="401"/>
      <c r="F2471"/>
      <c r="G2471" s="3"/>
      <c r="H2471"/>
      <c r="I2471"/>
      <c r="J2471" s="4"/>
      <c r="K2471" s="5" t="s">
        <v>1667</v>
      </c>
    </row>
    <row r="2472" spans="1:11" ht="17.25" hidden="1">
      <c r="A2472" s="386"/>
      <c r="E2472" s="401"/>
      <c r="F2472"/>
      <c r="G2472" s="3"/>
      <c r="H2472" s="2" t="s">
        <v>3416</v>
      </c>
      <c r="I2472"/>
      <c r="J2472" s="4"/>
      <c r="K2472" s="8" t="e">
        <f>SUM(K2465:K2471)</f>
        <v>#REF!</v>
      </c>
    </row>
    <row r="2473" spans="1:11" ht="17.25" hidden="1">
      <c r="A2473" s="386"/>
      <c r="E2473" s="401"/>
      <c r="F2473"/>
      <c r="G2473" s="3"/>
      <c r="H2473"/>
      <c r="I2473"/>
      <c r="J2473" s="4"/>
      <c r="K2473" s="74" t="s">
        <v>3417</v>
      </c>
    </row>
    <row r="2474" spans="1:11" ht="17.25" hidden="1">
      <c r="A2474" s="386"/>
      <c r="E2474" s="401"/>
      <c r="F2474"/>
      <c r="G2474" s="3"/>
      <c r="H2474" s="2" t="s">
        <v>3418</v>
      </c>
      <c r="I2474"/>
      <c r="J2474" s="4"/>
      <c r="K2474" t="e">
        <f>K2472/39.2</f>
        <v>#REF!</v>
      </c>
    </row>
    <row r="2475" spans="1:11" ht="17.25" hidden="1">
      <c r="A2475" s="386"/>
      <c r="E2475" s="401"/>
      <c r="F2475"/>
      <c r="G2475" s="3"/>
      <c r="H2475"/>
      <c r="I2475"/>
      <c r="J2475" s="4"/>
      <c r="K2475" s="61" t="s">
        <v>1283</v>
      </c>
    </row>
    <row r="2476" spans="1:11" ht="17.25" hidden="1">
      <c r="A2476" s="386"/>
      <c r="E2476" s="401"/>
      <c r="F2476"/>
      <c r="G2476" s="3"/>
      <c r="H2476" s="446" t="s">
        <v>3409</v>
      </c>
      <c r="I2476"/>
      <c r="J2476" s="4"/>
      <c r="K2476"/>
    </row>
    <row r="2477" spans="1:11" ht="17.25" hidden="1">
      <c r="A2477" s="386"/>
      <c r="E2477" s="401"/>
      <c r="F2477"/>
      <c r="G2477" s="3"/>
      <c r="H2477" t="s">
        <v>3410</v>
      </c>
      <c r="I2477" t="s">
        <v>3442</v>
      </c>
      <c r="J2477" s="4"/>
      <c r="K2477"/>
    </row>
    <row r="2478" spans="1:11" ht="17.25" hidden="1">
      <c r="A2478" s="386"/>
      <c r="E2478" s="401"/>
      <c r="F2478"/>
      <c r="G2478" s="3"/>
      <c r="H2478"/>
      <c r="I2478" s="61" t="s">
        <v>3443</v>
      </c>
      <c r="J2478" s="4" t="s">
        <v>3444</v>
      </c>
      <c r="K2478"/>
    </row>
    <row r="2479" spans="1:11" ht="17.25" hidden="1">
      <c r="A2479" s="386"/>
      <c r="E2479" s="401"/>
      <c r="F2479"/>
      <c r="G2479" s="3"/>
      <c r="H2479" t="s">
        <v>3445</v>
      </c>
      <c r="I2479" t="s">
        <v>3446</v>
      </c>
      <c r="J2479" s="4"/>
      <c r="K2479"/>
    </row>
    <row r="2480" spans="1:11" ht="17.25" hidden="1">
      <c r="A2480" s="386"/>
      <c r="E2480" s="401"/>
      <c r="F2480"/>
      <c r="G2480" s="3"/>
      <c r="H2480"/>
      <c r="I2480"/>
      <c r="J2480" s="4"/>
      <c r="K2480"/>
    </row>
    <row r="2481" spans="1:11" ht="17.25" hidden="1">
      <c r="A2481" s="386"/>
      <c r="E2481" s="401"/>
      <c r="F2481"/>
      <c r="G2481" s="3"/>
      <c r="H2481" t="s">
        <v>3447</v>
      </c>
      <c r="I2481"/>
      <c r="J2481" s="4"/>
      <c r="K2481"/>
    </row>
    <row r="2482" spans="1:11" ht="17.25" hidden="1">
      <c r="A2482" s="386"/>
      <c r="E2482" s="401"/>
      <c r="F2482"/>
      <c r="G2482" s="3"/>
      <c r="H2482" t="s">
        <v>3448</v>
      </c>
      <c r="I2482" t="s">
        <v>3449</v>
      </c>
      <c r="J2482" s="4"/>
      <c r="K2482"/>
    </row>
    <row r="2483" spans="1:11" ht="17.25" hidden="1">
      <c r="A2483" s="386"/>
      <c r="E2483" s="401"/>
      <c r="F2483"/>
      <c r="G2483" s="3"/>
      <c r="H2483" t="s">
        <v>3450</v>
      </c>
      <c r="I2483" t="s">
        <v>3451</v>
      </c>
      <c r="J2483" s="4"/>
      <c r="K2483"/>
    </row>
    <row r="2484" spans="1:11" ht="17.25" hidden="1">
      <c r="A2484" s="386"/>
      <c r="E2484" s="401"/>
      <c r="F2484"/>
      <c r="G2484" s="3"/>
      <c r="H2484" t="s">
        <v>3497</v>
      </c>
      <c r="I2484"/>
      <c r="J2484" s="4"/>
      <c r="K2484"/>
    </row>
    <row r="2485" spans="1:11" ht="17.25" hidden="1">
      <c r="A2485" s="386"/>
      <c r="E2485" s="401"/>
      <c r="F2485"/>
      <c r="G2485" s="3"/>
      <c r="H2485"/>
      <c r="I2485"/>
      <c r="J2485" s="4"/>
      <c r="K2485"/>
    </row>
    <row r="2486" spans="1:11" ht="17.25" hidden="1">
      <c r="A2486" s="386"/>
      <c r="E2486" s="401"/>
      <c r="F2486"/>
      <c r="G2486" s="3"/>
      <c r="H2486"/>
      <c r="I2486"/>
      <c r="J2486" s="4"/>
      <c r="K2486"/>
    </row>
    <row r="2487" spans="1:11" ht="17.25" hidden="1">
      <c r="A2487" s="386"/>
      <c r="E2487" s="401"/>
      <c r="F2487"/>
      <c r="G2487" s="3"/>
      <c r="H2487"/>
      <c r="I2487"/>
      <c r="J2487" s="4"/>
      <c r="K2487"/>
    </row>
    <row r="2488" spans="1:11" ht="48" hidden="1">
      <c r="A2488" s="386"/>
      <c r="E2488" s="401"/>
      <c r="F2488" s="447">
        <v>83</v>
      </c>
      <c r="G2488" s="3"/>
      <c r="H2488" s="29" t="s">
        <v>3498</v>
      </c>
      <c r="I2488"/>
      <c r="J2488" s="4"/>
      <c r="K2488"/>
    </row>
    <row r="2489" spans="1:11" ht="17.25" hidden="1">
      <c r="A2489" s="386"/>
      <c r="E2489" s="401"/>
      <c r="F2489"/>
      <c r="G2489" s="3"/>
      <c r="H2489" s="61" t="s">
        <v>3532</v>
      </c>
      <c r="I2489"/>
      <c r="J2489" s="4"/>
      <c r="K2489"/>
    </row>
    <row r="2490" spans="1:11" ht="63" hidden="1">
      <c r="A2490" s="386"/>
      <c r="E2490" s="401"/>
      <c r="F2490" s="304">
        <v>3.25</v>
      </c>
      <c r="G2490" s="448" t="s">
        <v>3533</v>
      </c>
      <c r="H2490" s="448" t="s">
        <v>3534</v>
      </c>
      <c r="I2490" s="448">
        <v>27</v>
      </c>
      <c r="J2490" s="448" t="s">
        <v>1730</v>
      </c>
      <c r="K2490" s="448">
        <f>I2490*F2490</f>
        <v>87.75</v>
      </c>
    </row>
    <row r="2491" spans="1:11" ht="17.25" hidden="1">
      <c r="A2491" s="386"/>
      <c r="E2491" s="401"/>
      <c r="F2491"/>
      <c r="G2491" s="3"/>
      <c r="H2491" t="s">
        <v>1238</v>
      </c>
      <c r="I2491"/>
      <c r="J2491" s="4"/>
      <c r="K2491">
        <v>0.25</v>
      </c>
    </row>
    <row r="2492" spans="1:11" ht="17.25" hidden="1">
      <c r="A2492" s="386"/>
      <c r="E2492" s="401"/>
      <c r="F2492"/>
      <c r="G2492" s="3"/>
      <c r="H2492"/>
      <c r="I2492"/>
      <c r="J2492" s="4"/>
      <c r="K2492" s="449" t="s">
        <v>1667</v>
      </c>
    </row>
    <row r="2493" spans="1:11" ht="17.25" hidden="1">
      <c r="A2493" s="386"/>
      <c r="E2493" s="401"/>
      <c r="F2493"/>
      <c r="G2493" s="3"/>
      <c r="H2493" t="s">
        <v>3535</v>
      </c>
      <c r="I2493"/>
      <c r="J2493" s="4"/>
      <c r="K2493">
        <f>SUM(K2490:K2492)</f>
        <v>88</v>
      </c>
    </row>
    <row r="2494" spans="1:11" ht="17.25" hidden="1">
      <c r="A2494" s="386"/>
      <c r="E2494" s="401"/>
      <c r="F2494"/>
      <c r="G2494" s="3"/>
      <c r="H2494"/>
      <c r="I2494"/>
      <c r="J2494" s="4"/>
      <c r="K2494" s="449" t="s">
        <v>2130</v>
      </c>
    </row>
    <row r="2495" spans="1:11" ht="19.5" hidden="1">
      <c r="A2495" s="386"/>
      <c r="E2495" s="401"/>
      <c r="F2495" s="450">
        <v>79.099999999999994</v>
      </c>
      <c r="G2495" s="3"/>
      <c r="H2495" t="s">
        <v>3536</v>
      </c>
      <c r="I2495"/>
      <c r="J2495" s="4"/>
      <c r="K2495"/>
    </row>
    <row r="2496" spans="1:11" ht="17.25" hidden="1">
      <c r="A2496" s="386"/>
      <c r="E2496" s="401"/>
      <c r="F2496"/>
      <c r="G2496" s="3"/>
      <c r="H2496" s="61" t="s">
        <v>3537</v>
      </c>
      <c r="I2496"/>
      <c r="J2496" s="4"/>
      <c r="K2496"/>
    </row>
    <row r="2497" spans="1:11" ht="17.25" hidden="1">
      <c r="A2497" s="386"/>
      <c r="E2497" s="401"/>
      <c r="F2497">
        <v>1</v>
      </c>
      <c r="G2497" s="3" t="s">
        <v>1454</v>
      </c>
      <c r="H2497" t="s">
        <v>3538</v>
      </c>
      <c r="I2497">
        <v>75</v>
      </c>
      <c r="J2497" s="4" t="s">
        <v>1458</v>
      </c>
      <c r="K2497">
        <f>I2497*F2497</f>
        <v>75</v>
      </c>
    </row>
    <row r="2498" spans="1:11" ht="17.25" hidden="1">
      <c r="A2498" s="386"/>
      <c r="E2498" s="401"/>
      <c r="F2498">
        <v>1</v>
      </c>
      <c r="G2498" s="3" t="s">
        <v>1454</v>
      </c>
      <c r="H2498" t="s">
        <v>3539</v>
      </c>
      <c r="I2498">
        <v>17.75</v>
      </c>
      <c r="J2498" s="4" t="s">
        <v>1458</v>
      </c>
      <c r="K2498">
        <f>I2498*F2498</f>
        <v>17.75</v>
      </c>
    </row>
    <row r="2499" spans="1:11" ht="17.25" hidden="1">
      <c r="A2499" s="386"/>
      <c r="E2499" s="401"/>
      <c r="F2499">
        <v>1</v>
      </c>
      <c r="G2499" s="3" t="s">
        <v>1454</v>
      </c>
      <c r="H2499" t="s">
        <v>144</v>
      </c>
      <c r="I2499">
        <f>K2510</f>
        <v>65.13</v>
      </c>
      <c r="J2499" s="4" t="s">
        <v>1458</v>
      </c>
      <c r="K2499">
        <f>I2499*F2499</f>
        <v>65.13</v>
      </c>
    </row>
    <row r="2500" spans="1:11" ht="17.25" hidden="1">
      <c r="A2500" s="386"/>
      <c r="E2500" s="401"/>
      <c r="F2500"/>
      <c r="G2500" s="3"/>
      <c r="H2500" t="s">
        <v>2426</v>
      </c>
      <c r="I2500"/>
      <c r="J2500" s="4" t="s">
        <v>448</v>
      </c>
      <c r="K2500">
        <v>3.12</v>
      </c>
    </row>
    <row r="2501" spans="1:11" ht="17.25" hidden="1">
      <c r="A2501" s="386"/>
      <c r="E2501" s="401"/>
      <c r="F2501"/>
      <c r="G2501" s="3"/>
      <c r="H2501"/>
      <c r="I2501"/>
      <c r="J2501" s="4"/>
      <c r="K2501" s="61" t="s">
        <v>2427</v>
      </c>
    </row>
    <row r="2502" spans="1:11" ht="17.25" hidden="1">
      <c r="A2502" s="386"/>
      <c r="E2502" s="401"/>
      <c r="F2502"/>
      <c r="G2502" s="3"/>
      <c r="H2502"/>
      <c r="I2502"/>
      <c r="J2502" s="4"/>
      <c r="K2502">
        <f>SUM(K2497:K2501)</f>
        <v>161</v>
      </c>
    </row>
    <row r="2503" spans="1:11" ht="17.25" hidden="1">
      <c r="A2503" s="386"/>
      <c r="E2503" s="401"/>
      <c r="F2503"/>
      <c r="G2503" s="3"/>
      <c r="H2503"/>
      <c r="I2503"/>
      <c r="J2503" s="4"/>
      <c r="K2503" s="61" t="s">
        <v>152</v>
      </c>
    </row>
    <row r="2504" spans="1:11" ht="17.25" hidden="1">
      <c r="A2504" s="386"/>
      <c r="E2504" s="401"/>
      <c r="F2504" t="s">
        <v>144</v>
      </c>
      <c r="G2504" s="3"/>
      <c r="H2504"/>
      <c r="I2504"/>
      <c r="J2504" s="4"/>
      <c r="K2504"/>
    </row>
    <row r="2505" spans="1:11" ht="17.25" hidden="1">
      <c r="A2505" s="386"/>
      <c r="E2505" s="401"/>
      <c r="F2505">
        <v>1</v>
      </c>
      <c r="G2505" s="3" t="s">
        <v>1454</v>
      </c>
      <c r="H2505" t="s">
        <v>2428</v>
      </c>
      <c r="I2505">
        <v>131</v>
      </c>
      <c r="J2505" s="4" t="s">
        <v>1458</v>
      </c>
      <c r="K2505">
        <f>I2505*F2505</f>
        <v>131</v>
      </c>
    </row>
    <row r="2506" spans="1:11" ht="17.25" hidden="1">
      <c r="A2506" s="386"/>
      <c r="E2506" s="401"/>
      <c r="F2506">
        <v>1</v>
      </c>
      <c r="G2506" s="3" t="s">
        <v>1454</v>
      </c>
      <c r="H2506" t="s">
        <v>2429</v>
      </c>
      <c r="I2506">
        <v>117</v>
      </c>
      <c r="J2506" s="4" t="s">
        <v>1458</v>
      </c>
      <c r="K2506">
        <f>I2506*F2506</f>
        <v>117</v>
      </c>
    </row>
    <row r="2507" spans="1:11" ht="17.25" hidden="1">
      <c r="A2507" s="386"/>
      <c r="E2507" s="401"/>
      <c r="F2507">
        <v>3</v>
      </c>
      <c r="G2507" s="3" t="s">
        <v>1492</v>
      </c>
      <c r="H2507" t="s">
        <v>2430</v>
      </c>
      <c r="I2507">
        <v>91</v>
      </c>
      <c r="J2507" s="4" t="s">
        <v>1458</v>
      </c>
      <c r="K2507">
        <f>I2507*F2507</f>
        <v>273</v>
      </c>
    </row>
    <row r="2508" spans="1:11" ht="17.25" hidden="1">
      <c r="A2508" s="386"/>
      <c r="E2508" s="401"/>
      <c r="F2508"/>
      <c r="G2508" s="3"/>
      <c r="H2508"/>
      <c r="I2508"/>
      <c r="J2508" s="4"/>
      <c r="K2508" s="61" t="s">
        <v>427</v>
      </c>
    </row>
    <row r="2509" spans="1:11" ht="17.25" hidden="1">
      <c r="A2509" s="386"/>
      <c r="E2509" s="401"/>
      <c r="F2509"/>
      <c r="G2509" s="3"/>
      <c r="H2509" t="s">
        <v>2431</v>
      </c>
      <c r="I2509"/>
      <c r="J2509" s="4"/>
      <c r="K2509">
        <f>SUM(K2505:K2508)</f>
        <v>521</v>
      </c>
    </row>
    <row r="2510" spans="1:11" ht="17.25" hidden="1">
      <c r="A2510" s="386"/>
      <c r="E2510" s="401"/>
      <c r="F2510"/>
      <c r="G2510" s="3"/>
      <c r="H2510" t="s">
        <v>2432</v>
      </c>
      <c r="I2510"/>
      <c r="J2510" s="4"/>
      <c r="K2510">
        <f>K2509/8</f>
        <v>65.13</v>
      </c>
    </row>
    <row r="2511" spans="1:11" ht="17.25" hidden="1">
      <c r="A2511" s="386"/>
      <c r="E2511" s="401"/>
      <c r="F2511"/>
      <c r="G2511" s="3"/>
      <c r="H2511"/>
      <c r="I2511"/>
      <c r="J2511" s="4"/>
      <c r="K2511"/>
    </row>
    <row r="2512" spans="1:11" ht="17.25" hidden="1">
      <c r="A2512" s="386"/>
      <c r="E2512" s="401"/>
      <c r="F2512"/>
      <c r="G2512" s="3"/>
      <c r="H2512"/>
      <c r="I2512"/>
      <c r="J2512" s="4"/>
      <c r="K2512" s="61"/>
    </row>
    <row r="2513" spans="1:11" ht="17.25" hidden="1">
      <c r="A2513" s="386"/>
      <c r="E2513" s="401"/>
      <c r="F2513" s="2" t="s">
        <v>3504</v>
      </c>
      <c r="G2513" s="7" t="s">
        <v>2338</v>
      </c>
      <c r="H2513" s="1" t="s">
        <v>2253</v>
      </c>
      <c r="I2513"/>
      <c r="J2513" s="4"/>
      <c r="K2513"/>
    </row>
    <row r="2514" spans="1:11" ht="17.25" hidden="1">
      <c r="A2514" s="386"/>
      <c r="E2514" s="401"/>
      <c r="F2514"/>
      <c r="G2514" s="3"/>
      <c r="H2514" s="1" t="s">
        <v>2255</v>
      </c>
      <c r="I2514"/>
      <c r="J2514" s="4"/>
      <c r="K2514"/>
    </row>
    <row r="2515" spans="1:11" ht="17.25" hidden="1">
      <c r="A2515" s="386"/>
      <c r="E2515" s="401"/>
      <c r="F2515"/>
      <c r="G2515" s="3"/>
      <c r="H2515" s="1" t="s">
        <v>2256</v>
      </c>
      <c r="I2515"/>
      <c r="J2515" s="4"/>
      <c r="K2515"/>
    </row>
    <row r="2516" spans="1:11" ht="17.25" hidden="1">
      <c r="A2516" s="386"/>
      <c r="E2516" s="401"/>
      <c r="F2516"/>
      <c r="G2516" s="3"/>
      <c r="H2516" s="1" t="s">
        <v>2257</v>
      </c>
      <c r="I2516"/>
      <c r="J2516" s="4"/>
      <c r="K2516"/>
    </row>
    <row r="2517" spans="1:11" ht="17.25" hidden="1">
      <c r="A2517" s="386"/>
      <c r="E2517" s="401"/>
      <c r="F2517"/>
      <c r="G2517" s="3"/>
      <c r="H2517" s="1" t="s">
        <v>2258</v>
      </c>
      <c r="I2517"/>
      <c r="J2517" s="4"/>
      <c r="K2517"/>
    </row>
    <row r="2518" spans="1:11" ht="17.25" hidden="1">
      <c r="A2518" s="386"/>
      <c r="E2518" s="401"/>
      <c r="F2518"/>
      <c r="G2518" s="3"/>
      <c r="H2518" s="1" t="s">
        <v>2259</v>
      </c>
      <c r="I2518"/>
      <c r="J2518" s="4"/>
      <c r="K2518"/>
    </row>
    <row r="2519" spans="1:11" ht="17.25" hidden="1">
      <c r="A2519" s="386"/>
      <c r="E2519" s="401"/>
      <c r="F2519"/>
      <c r="G2519" s="3"/>
      <c r="H2519" s="5" t="s">
        <v>1667</v>
      </c>
      <c r="I2519"/>
      <c r="J2519" s="4"/>
      <c r="K2519"/>
    </row>
    <row r="2520" spans="1:11" ht="17.25" hidden="1">
      <c r="A2520" s="386"/>
      <c r="E2520" s="401"/>
      <c r="F2520" s="2"/>
      <c r="G2520" s="7"/>
      <c r="H2520" s="1" t="s">
        <v>1892</v>
      </c>
      <c r="I2520"/>
      <c r="J2520" s="4"/>
      <c r="K2520" s="1" t="s">
        <v>995</v>
      </c>
    </row>
    <row r="2521" spans="1:11" ht="17.25" hidden="1">
      <c r="A2521" s="386"/>
      <c r="E2521" s="401"/>
      <c r="F2521"/>
      <c r="G2521" s="3"/>
      <c r="H2521" s="5" t="s">
        <v>1667</v>
      </c>
      <c r="I2521"/>
      <c r="J2521" s="4"/>
      <c r="K2521"/>
    </row>
    <row r="2522" spans="1:11" ht="17.25" hidden="1">
      <c r="A2522" s="386"/>
      <c r="E2522" s="401"/>
      <c r="F2522" s="20">
        <v>1.153E-2</v>
      </c>
      <c r="G2522" s="7" t="s">
        <v>884</v>
      </c>
      <c r="H2522" s="1" t="s">
        <v>702</v>
      </c>
      <c r="I2522" s="8">
        <f t="shared" ref="I2522:I2531" si="80">I1011</f>
        <v>65420</v>
      </c>
      <c r="J2522" s="2" t="s">
        <v>884</v>
      </c>
      <c r="K2522" s="8">
        <f t="shared" ref="K2522:K2531" si="81">(F2522*I2522)</f>
        <v>754.29</v>
      </c>
    </row>
    <row r="2523" spans="1:11" ht="17.25" hidden="1">
      <c r="A2523" s="386"/>
      <c r="E2523" s="401"/>
      <c r="F2523" s="20">
        <v>1.52E-2</v>
      </c>
      <c r="G2523" s="7" t="s">
        <v>884</v>
      </c>
      <c r="H2523" s="1" t="s">
        <v>703</v>
      </c>
      <c r="I2523" s="8">
        <f t="shared" si="80"/>
        <v>57165</v>
      </c>
      <c r="J2523" s="2" t="s">
        <v>884</v>
      </c>
      <c r="K2523" s="8">
        <f t="shared" si="81"/>
        <v>868.91</v>
      </c>
    </row>
    <row r="2524" spans="1:11" hidden="1">
      <c r="A2524" s="386"/>
      <c r="F2524" s="20">
        <v>1.2787999999999999</v>
      </c>
      <c r="G2524" s="7" t="s">
        <v>611</v>
      </c>
      <c r="H2524" s="1" t="s">
        <v>2163</v>
      </c>
      <c r="I2524" s="8">
        <f t="shared" si="80"/>
        <v>381.37</v>
      </c>
      <c r="J2524" s="2" t="s">
        <v>611</v>
      </c>
      <c r="K2524" s="8">
        <f t="shared" si="81"/>
        <v>487.7</v>
      </c>
    </row>
    <row r="2525" spans="1:11" hidden="1">
      <c r="A2525" s="386"/>
      <c r="F2525" s="20">
        <v>1.845</v>
      </c>
      <c r="G2525" s="7" t="s">
        <v>611</v>
      </c>
      <c r="H2525" s="1" t="s">
        <v>2164</v>
      </c>
      <c r="I2525" s="8">
        <f t="shared" si="80"/>
        <v>287</v>
      </c>
      <c r="J2525" s="2" t="s">
        <v>611</v>
      </c>
      <c r="K2525" s="8">
        <f t="shared" si="81"/>
        <v>529.52</v>
      </c>
    </row>
    <row r="2526" spans="1:11" hidden="1">
      <c r="A2526" s="386"/>
      <c r="F2526" s="8">
        <v>2</v>
      </c>
      <c r="G2526" s="7" t="s">
        <v>883</v>
      </c>
      <c r="H2526" s="1" t="s">
        <v>2165</v>
      </c>
      <c r="I2526" s="8">
        <f t="shared" si="80"/>
        <v>30</v>
      </c>
      <c r="J2526" s="2" t="s">
        <v>883</v>
      </c>
      <c r="K2526" s="8">
        <f t="shared" si="81"/>
        <v>60</v>
      </c>
    </row>
    <row r="2527" spans="1:11" hidden="1">
      <c r="A2527" s="386"/>
      <c r="F2527" s="8">
        <v>3</v>
      </c>
      <c r="G2527" s="7" t="s">
        <v>883</v>
      </c>
      <c r="H2527" s="1" t="s">
        <v>1579</v>
      </c>
      <c r="I2527" s="8">
        <f t="shared" si="80"/>
        <v>45</v>
      </c>
      <c r="J2527" s="2" t="s">
        <v>883</v>
      </c>
      <c r="K2527" s="8">
        <f t="shared" si="81"/>
        <v>135</v>
      </c>
    </row>
    <row r="2528" spans="1:11" hidden="1">
      <c r="A2528" s="386"/>
      <c r="F2528" s="8">
        <v>1</v>
      </c>
      <c r="G2528" s="7" t="s">
        <v>883</v>
      </c>
      <c r="H2528" s="1" t="s">
        <v>2055</v>
      </c>
      <c r="I2528" s="8">
        <f t="shared" si="80"/>
        <v>95</v>
      </c>
      <c r="J2528" s="2" t="s">
        <v>883</v>
      </c>
      <c r="K2528" s="8">
        <f t="shared" si="81"/>
        <v>95</v>
      </c>
    </row>
    <row r="2529" spans="1:11" hidden="1">
      <c r="A2529" s="386"/>
      <c r="F2529" s="8">
        <v>1</v>
      </c>
      <c r="G2529" s="7" t="s">
        <v>883</v>
      </c>
      <c r="H2529" s="1" t="s">
        <v>2056</v>
      </c>
      <c r="I2529" s="8">
        <f t="shared" si="80"/>
        <v>8</v>
      </c>
      <c r="J2529" s="2" t="s">
        <v>883</v>
      </c>
      <c r="K2529" s="8">
        <f t="shared" si="81"/>
        <v>8</v>
      </c>
    </row>
    <row r="2530" spans="1:11" hidden="1">
      <c r="A2530" s="386"/>
      <c r="F2530" s="8">
        <v>1</v>
      </c>
      <c r="G2530" s="7" t="s">
        <v>883</v>
      </c>
      <c r="H2530" s="1" t="s">
        <v>2057</v>
      </c>
      <c r="I2530" s="8">
        <f t="shared" si="80"/>
        <v>30</v>
      </c>
      <c r="J2530" s="2" t="s">
        <v>883</v>
      </c>
      <c r="K2530" s="8">
        <f t="shared" si="81"/>
        <v>30</v>
      </c>
    </row>
    <row r="2531" spans="1:11" hidden="1">
      <c r="A2531" s="386"/>
      <c r="F2531" s="8">
        <v>1</v>
      </c>
      <c r="G2531" s="7" t="s">
        <v>883</v>
      </c>
      <c r="H2531" s="1" t="s">
        <v>2058</v>
      </c>
      <c r="I2531" s="8">
        <f t="shared" si="80"/>
        <v>25</v>
      </c>
      <c r="J2531" s="2" t="s">
        <v>883</v>
      </c>
      <c r="K2531" s="8">
        <f t="shared" si="81"/>
        <v>25</v>
      </c>
    </row>
    <row r="2532" spans="1:11" hidden="1">
      <c r="A2532" s="386"/>
      <c r="F2532"/>
      <c r="G2532" s="3"/>
      <c r="H2532"/>
      <c r="I2532"/>
      <c r="J2532" s="4"/>
      <c r="K2532" s="5" t="s">
        <v>1667</v>
      </c>
    </row>
    <row r="2533" spans="1:11" hidden="1">
      <c r="A2533" s="386"/>
      <c r="F2533"/>
      <c r="G2533" s="3"/>
      <c r="H2533" s="2" t="s">
        <v>457</v>
      </c>
      <c r="I2533"/>
      <c r="J2533" s="4"/>
      <c r="K2533" s="8">
        <f>SUM(K2522:K2532)</f>
        <v>2993.42</v>
      </c>
    </row>
    <row r="2534" spans="1:11" hidden="1">
      <c r="A2534" s="386"/>
      <c r="F2534"/>
      <c r="G2534" s="7" t="s">
        <v>995</v>
      </c>
      <c r="H2534"/>
      <c r="I2534"/>
      <c r="J2534" s="4"/>
      <c r="K2534" s="5" t="s">
        <v>1667</v>
      </c>
    </row>
    <row r="2535" spans="1:11" hidden="1">
      <c r="A2535" s="386"/>
      <c r="F2535"/>
      <c r="G2535" s="3"/>
      <c r="H2535" s="2" t="s">
        <v>555</v>
      </c>
      <c r="I2535"/>
      <c r="J2535" s="4"/>
      <c r="K2535" s="8">
        <f>K2533/F2525</f>
        <v>1622.45</v>
      </c>
    </row>
    <row r="2536" spans="1:11" hidden="1">
      <c r="A2536" s="386"/>
      <c r="F2536"/>
      <c r="G2536" s="3"/>
      <c r="H2536"/>
      <c r="I2536"/>
      <c r="J2536" s="4"/>
      <c r="K2536" s="5" t="s">
        <v>2130</v>
      </c>
    </row>
    <row r="2537" spans="1:11" hidden="1">
      <c r="A2537" s="386"/>
      <c r="F2537" s="26">
        <v>98.1</v>
      </c>
      <c r="G2537" s="7" t="s">
        <v>2338</v>
      </c>
      <c r="H2537" s="1" t="s">
        <v>3505</v>
      </c>
      <c r="I2537"/>
      <c r="J2537" s="4"/>
      <c r="K2537"/>
    </row>
    <row r="2538" spans="1:11" hidden="1">
      <c r="A2538" s="386"/>
      <c r="F2538"/>
      <c r="G2538" s="3"/>
      <c r="H2538" s="1" t="s">
        <v>254</v>
      </c>
      <c r="I2538"/>
      <c r="J2538" s="4"/>
      <c r="K2538"/>
    </row>
    <row r="2539" spans="1:11" hidden="1">
      <c r="A2539" s="386"/>
      <c r="F2539"/>
      <c r="G2539" s="3"/>
      <c r="H2539" s="35" t="s">
        <v>2397</v>
      </c>
      <c r="I2539"/>
      <c r="J2539" s="4"/>
      <c r="K2539"/>
    </row>
    <row r="2540" spans="1:11" hidden="1">
      <c r="A2540" s="386"/>
      <c r="F2540"/>
      <c r="G2540" s="3"/>
      <c r="H2540" s="5" t="s">
        <v>1667</v>
      </c>
      <c r="I2540"/>
      <c r="J2540" s="4"/>
      <c r="K2540"/>
    </row>
    <row r="2541" spans="1:11" hidden="1">
      <c r="A2541" s="386"/>
      <c r="F2541"/>
      <c r="G2541" s="3"/>
      <c r="H2541" s="1" t="s">
        <v>2398</v>
      </c>
      <c r="I2541"/>
      <c r="J2541" s="451"/>
      <c r="K2541"/>
    </row>
    <row r="2542" spans="1:11" hidden="1">
      <c r="A2542" s="386"/>
      <c r="F2542"/>
      <c r="G2542" s="3"/>
      <c r="H2542" s="1" t="s">
        <v>2399</v>
      </c>
      <c r="I2542"/>
      <c r="J2542" s="4"/>
      <c r="K2542"/>
    </row>
    <row r="2543" spans="1:11" hidden="1">
      <c r="A2543" s="386"/>
      <c r="F2543"/>
      <c r="G2543" s="3"/>
      <c r="H2543"/>
      <c r="I2543"/>
      <c r="J2543" s="2" t="s">
        <v>1667</v>
      </c>
      <c r="K2543"/>
    </row>
    <row r="2544" spans="1:11" hidden="1">
      <c r="A2544" s="386"/>
      <c r="F2544"/>
      <c r="G2544" s="3"/>
      <c r="H2544" s="1" t="s">
        <v>2400</v>
      </c>
      <c r="I2544"/>
      <c r="J2544" s="4"/>
      <c r="K2544"/>
    </row>
    <row r="2545" spans="1:11" hidden="1">
      <c r="A2545" s="386"/>
      <c r="F2545"/>
      <c r="G2545" s="3"/>
      <c r="H2545" s="1" t="s">
        <v>2799</v>
      </c>
      <c r="I2545"/>
      <c r="J2545" s="4"/>
      <c r="K2545" s="16">
        <v>3.5400000000000001E-2</v>
      </c>
    </row>
    <row r="2546" spans="1:11" hidden="1">
      <c r="A2546" s="386"/>
      <c r="F2546"/>
      <c r="G2546" s="3"/>
      <c r="H2546"/>
      <c r="I2546"/>
      <c r="J2546" s="2" t="s">
        <v>995</v>
      </c>
      <c r="K2546" s="5" t="s">
        <v>1667</v>
      </c>
    </row>
    <row r="2547" spans="1:11" hidden="1">
      <c r="A2547" s="386"/>
      <c r="F2547"/>
      <c r="G2547" s="3"/>
      <c r="H2547" s="1" t="s">
        <v>2800</v>
      </c>
      <c r="I2547"/>
      <c r="J2547" s="389" t="s">
        <v>995</v>
      </c>
      <c r="K2547" s="16">
        <v>2.5899999999999999E-2</v>
      </c>
    </row>
    <row r="2548" spans="1:11" hidden="1">
      <c r="A2548" s="386"/>
      <c r="F2548"/>
      <c r="G2548" s="3"/>
      <c r="H2548" s="1" t="s">
        <v>2801</v>
      </c>
      <c r="I2548"/>
      <c r="J2548" s="2" t="s">
        <v>995</v>
      </c>
      <c r="K2548" s="16">
        <v>6.4999999999999997E-3</v>
      </c>
    </row>
    <row r="2549" spans="1:11" hidden="1">
      <c r="A2549" s="386"/>
      <c r="F2549"/>
      <c r="G2549" s="3"/>
      <c r="H2549"/>
      <c r="I2549"/>
      <c r="J2549" s="4"/>
      <c r="K2549" s="5" t="s">
        <v>1667</v>
      </c>
    </row>
    <row r="2550" spans="1:11" hidden="1">
      <c r="A2550" s="386"/>
      <c r="F2550"/>
      <c r="G2550" s="3"/>
      <c r="H2550"/>
      <c r="I2550"/>
      <c r="J2550" s="4"/>
      <c r="K2550" s="16">
        <v>3.2300000000000002E-2</v>
      </c>
    </row>
    <row r="2551" spans="1:11" hidden="1">
      <c r="A2551" s="386"/>
      <c r="F2551"/>
      <c r="G2551" s="3"/>
      <c r="H2551"/>
      <c r="I2551"/>
      <c r="J2551" s="4"/>
      <c r="K2551" s="5" t="s">
        <v>1667</v>
      </c>
    </row>
    <row r="2552" spans="1:11" hidden="1">
      <c r="A2552" s="386"/>
      <c r="F2552"/>
      <c r="G2552" s="3"/>
      <c r="H2552"/>
      <c r="I2552"/>
      <c r="J2552" s="4"/>
      <c r="K2552"/>
    </row>
    <row r="2553" spans="1:11" hidden="1">
      <c r="A2553" s="386"/>
      <c r="F2553"/>
      <c r="G2553" s="3"/>
      <c r="H2553"/>
      <c r="I2553"/>
      <c r="J2553" s="4"/>
      <c r="K2553"/>
    </row>
    <row r="2554" spans="1:11" hidden="1">
      <c r="A2554" s="386"/>
      <c r="F2554" s="16">
        <v>2.2800000000000001E-2</v>
      </c>
      <c r="G2554" s="7" t="s">
        <v>884</v>
      </c>
      <c r="H2554" s="1" t="s">
        <v>313</v>
      </c>
      <c r="I2554" s="8">
        <f>I910</f>
        <v>65420</v>
      </c>
      <c r="J2554" s="2" t="s">
        <v>884</v>
      </c>
      <c r="K2554" s="8">
        <f>(F2554*I2554)</f>
        <v>1491.58</v>
      </c>
    </row>
    <row r="2555" spans="1:11" hidden="1">
      <c r="A2555" s="386"/>
      <c r="F2555" s="16">
        <v>3.5400000000000001E-2</v>
      </c>
      <c r="G2555" s="7" t="s">
        <v>884</v>
      </c>
      <c r="H2555" s="1" t="s">
        <v>314</v>
      </c>
      <c r="I2555" s="8">
        <f>I911</f>
        <v>57165</v>
      </c>
      <c r="J2555" s="2" t="s">
        <v>884</v>
      </c>
      <c r="K2555" s="8">
        <f t="shared" ref="K2555:K2564" si="82">(F2555*I2555)</f>
        <v>2023.64</v>
      </c>
    </row>
    <row r="2556" spans="1:11" hidden="1">
      <c r="A2556" s="386"/>
      <c r="F2556" s="16">
        <v>3.2300000000000002E-2</v>
      </c>
      <c r="G2556" s="7" t="s">
        <v>884</v>
      </c>
      <c r="H2556" s="1" t="s">
        <v>315</v>
      </c>
      <c r="I2556" s="8">
        <f>I912</f>
        <v>63870</v>
      </c>
      <c r="J2556" s="2" t="s">
        <v>884</v>
      </c>
      <c r="K2556" s="8">
        <f t="shared" si="82"/>
        <v>2063</v>
      </c>
    </row>
    <row r="2557" spans="1:11" hidden="1">
      <c r="A2557" s="386"/>
      <c r="F2557" s="17"/>
      <c r="G2557" s="3"/>
      <c r="H2557" s="1" t="s">
        <v>963</v>
      </c>
      <c r="I2557" s="8"/>
      <c r="J2557" s="4"/>
      <c r="K2557" s="8">
        <f t="shared" si="82"/>
        <v>0</v>
      </c>
    </row>
    <row r="2558" spans="1:11" hidden="1">
      <c r="A2558" s="386"/>
      <c r="F2558" s="17">
        <v>2.835</v>
      </c>
      <c r="G2558" s="7" t="s">
        <v>611</v>
      </c>
      <c r="H2558" s="1" t="s">
        <v>446</v>
      </c>
      <c r="I2558" s="8">
        <f t="shared" ref="I2558:I2564" si="83">I914</f>
        <v>342</v>
      </c>
      <c r="J2558" s="2" t="s">
        <v>611</v>
      </c>
      <c r="K2558" s="8">
        <f t="shared" si="82"/>
        <v>969.57</v>
      </c>
    </row>
    <row r="2559" spans="1:11" hidden="1">
      <c r="A2559" s="386"/>
      <c r="F2559" s="8">
        <v>2</v>
      </c>
      <c r="G2559" s="7" t="s">
        <v>781</v>
      </c>
      <c r="H2559" s="1" t="s">
        <v>1526</v>
      </c>
      <c r="I2559" s="8">
        <f t="shared" si="83"/>
        <v>30</v>
      </c>
      <c r="J2559" s="2" t="s">
        <v>883</v>
      </c>
      <c r="K2559" s="8">
        <f t="shared" si="82"/>
        <v>60</v>
      </c>
    </row>
    <row r="2560" spans="1:11" hidden="1">
      <c r="A2560" s="386"/>
      <c r="F2560" s="8">
        <v>6</v>
      </c>
      <c r="G2560" s="7" t="s">
        <v>883</v>
      </c>
      <c r="H2560" s="1" t="s">
        <v>1527</v>
      </c>
      <c r="I2560" s="8">
        <f t="shared" si="83"/>
        <v>45</v>
      </c>
      <c r="J2560" s="2" t="s">
        <v>883</v>
      </c>
      <c r="K2560" s="8">
        <f t="shared" si="82"/>
        <v>270</v>
      </c>
    </row>
    <row r="2561" spans="1:11" hidden="1">
      <c r="A2561" s="386"/>
      <c r="F2561" s="8">
        <v>4</v>
      </c>
      <c r="G2561" s="7" t="s">
        <v>883</v>
      </c>
      <c r="H2561" s="1" t="s">
        <v>1528</v>
      </c>
      <c r="I2561" s="8">
        <f t="shared" si="83"/>
        <v>30</v>
      </c>
      <c r="J2561" s="2" t="s">
        <v>883</v>
      </c>
      <c r="K2561" s="8">
        <f t="shared" si="82"/>
        <v>120</v>
      </c>
    </row>
    <row r="2562" spans="1:11" hidden="1">
      <c r="A2562" s="386"/>
      <c r="F2562" s="8">
        <v>1</v>
      </c>
      <c r="G2562" s="7" t="s">
        <v>883</v>
      </c>
      <c r="H2562" s="1" t="s">
        <v>1529</v>
      </c>
      <c r="I2562" s="8">
        <f t="shared" si="83"/>
        <v>95</v>
      </c>
      <c r="J2562" s="2" t="s">
        <v>883</v>
      </c>
      <c r="K2562" s="8">
        <f t="shared" si="82"/>
        <v>95</v>
      </c>
    </row>
    <row r="2563" spans="1:11" hidden="1">
      <c r="A2563" s="386"/>
      <c r="F2563" s="8">
        <v>2</v>
      </c>
      <c r="G2563" s="7" t="s">
        <v>883</v>
      </c>
      <c r="H2563" s="1" t="s">
        <v>1530</v>
      </c>
      <c r="I2563" s="8">
        <f t="shared" si="83"/>
        <v>8</v>
      </c>
      <c r="J2563" s="2" t="s">
        <v>883</v>
      </c>
      <c r="K2563" s="8">
        <f t="shared" si="82"/>
        <v>16</v>
      </c>
    </row>
    <row r="2564" spans="1:11" hidden="1">
      <c r="A2564" s="386"/>
      <c r="F2564" s="8">
        <v>2</v>
      </c>
      <c r="G2564" s="7" t="s">
        <v>883</v>
      </c>
      <c r="H2564" s="1" t="s">
        <v>2058</v>
      </c>
      <c r="I2564" s="8">
        <f t="shared" si="83"/>
        <v>25</v>
      </c>
      <c r="J2564" s="2" t="s">
        <v>883</v>
      </c>
      <c r="K2564" s="8">
        <f t="shared" si="82"/>
        <v>50</v>
      </c>
    </row>
    <row r="2565" spans="1:11" hidden="1">
      <c r="A2565" s="386"/>
      <c r="F2565"/>
      <c r="G2565" s="3"/>
      <c r="H2565"/>
      <c r="I2565"/>
      <c r="J2565" s="4"/>
      <c r="K2565" s="5" t="s">
        <v>1667</v>
      </c>
    </row>
    <row r="2566" spans="1:11" hidden="1">
      <c r="A2566" s="386"/>
      <c r="F2566"/>
      <c r="G2566" s="3"/>
      <c r="H2566" s="1" t="s">
        <v>3506</v>
      </c>
      <c r="I2566"/>
      <c r="J2566" s="4"/>
      <c r="K2566" s="8">
        <f>SUM(K2554:K2564)</f>
        <v>7158.79</v>
      </c>
    </row>
    <row r="2567" spans="1:11" hidden="1">
      <c r="A2567" s="386"/>
      <c r="F2567"/>
      <c r="G2567" s="3"/>
      <c r="H2567"/>
      <c r="I2567"/>
      <c r="J2567" s="4"/>
      <c r="K2567" s="5" t="s">
        <v>1667</v>
      </c>
    </row>
    <row r="2568" spans="1:11" hidden="1">
      <c r="A2568" s="386"/>
      <c r="F2568"/>
      <c r="G2568" s="3"/>
      <c r="H2568" s="1" t="s">
        <v>555</v>
      </c>
      <c r="I2568"/>
      <c r="J2568" s="4"/>
      <c r="K2568" s="8">
        <f>K2566/F2558</f>
        <v>2525.15</v>
      </c>
    </row>
    <row r="2569" spans="1:11" hidden="1">
      <c r="A2569" s="386"/>
      <c r="F2569"/>
      <c r="G2569" s="3"/>
      <c r="H2569" s="1"/>
      <c r="I2569"/>
      <c r="J2569" s="4"/>
      <c r="K2569" s="5" t="s">
        <v>2130</v>
      </c>
    </row>
    <row r="2570" spans="1:11" hidden="1">
      <c r="A2570" s="386"/>
      <c r="F2570"/>
      <c r="G2570" s="3"/>
      <c r="H2570" s="35" t="s">
        <v>716</v>
      </c>
      <c r="I2570"/>
      <c r="J2570" s="4"/>
      <c r="K2570"/>
    </row>
    <row r="2571" spans="1:11" hidden="1">
      <c r="A2571" s="386"/>
      <c r="F2571"/>
      <c r="G2571" s="3"/>
      <c r="H2571" s="5" t="s">
        <v>1667</v>
      </c>
      <c r="I2571"/>
      <c r="J2571" s="4"/>
      <c r="K2571"/>
    </row>
    <row r="2572" spans="1:11" hidden="1">
      <c r="A2572" s="386"/>
      <c r="F2572"/>
      <c r="G2572" s="3"/>
      <c r="H2572" s="1" t="s">
        <v>421</v>
      </c>
      <c r="I2572"/>
      <c r="J2572" s="451"/>
      <c r="K2572"/>
    </row>
    <row r="2573" spans="1:11" hidden="1">
      <c r="A2573" s="386"/>
      <c r="F2573"/>
      <c r="G2573" s="3"/>
      <c r="H2573" s="1" t="s">
        <v>2399</v>
      </c>
      <c r="I2573"/>
      <c r="J2573" s="4"/>
      <c r="K2573"/>
    </row>
    <row r="2574" spans="1:11" hidden="1">
      <c r="A2574" s="386"/>
      <c r="F2574"/>
      <c r="G2574" s="3"/>
      <c r="H2574"/>
      <c r="I2574"/>
      <c r="J2574" s="2" t="s">
        <v>1667</v>
      </c>
      <c r="K2574"/>
    </row>
    <row r="2575" spans="1:11" hidden="1">
      <c r="A2575" s="386"/>
      <c r="F2575"/>
      <c r="G2575" s="3"/>
      <c r="H2575" s="1" t="s">
        <v>3507</v>
      </c>
      <c r="I2575"/>
      <c r="J2575" s="4"/>
      <c r="K2575"/>
    </row>
    <row r="2576" spans="1:11" hidden="1">
      <c r="A2576" s="386"/>
      <c r="F2576"/>
      <c r="G2576" s="3"/>
      <c r="H2576" s="1" t="s">
        <v>3508</v>
      </c>
      <c r="I2576"/>
      <c r="J2576" s="4"/>
      <c r="K2576" s="16">
        <v>2.5000000000000001E-2</v>
      </c>
    </row>
    <row r="2577" spans="1:11" hidden="1">
      <c r="A2577" s="386"/>
      <c r="F2577"/>
      <c r="G2577" s="3"/>
      <c r="H2577"/>
      <c r="I2577"/>
      <c r="J2577" s="2" t="s">
        <v>995</v>
      </c>
      <c r="K2577" s="5" t="s">
        <v>1667</v>
      </c>
    </row>
    <row r="2578" spans="1:11" hidden="1">
      <c r="A2578" s="386"/>
      <c r="F2578"/>
      <c r="G2578" s="3"/>
      <c r="H2578" s="1" t="s">
        <v>3509</v>
      </c>
      <c r="I2578"/>
      <c r="J2578" s="389" t="s">
        <v>995</v>
      </c>
      <c r="K2578" s="16">
        <v>1.7850000000000001E-2</v>
      </c>
    </row>
    <row r="2579" spans="1:11" hidden="1">
      <c r="A2579" s="386"/>
      <c r="F2579"/>
      <c r="G2579" s="3"/>
      <c r="H2579" s="1" t="s">
        <v>3229</v>
      </c>
      <c r="I2579"/>
      <c r="J2579" s="2" t="s">
        <v>995</v>
      </c>
      <c r="K2579" s="16">
        <v>1.4500000000000001E-2</v>
      </c>
    </row>
    <row r="2580" spans="1:11" hidden="1">
      <c r="A2580" s="386"/>
      <c r="F2580"/>
      <c r="G2580" s="3"/>
      <c r="H2580"/>
      <c r="I2580"/>
      <c r="J2580" s="4"/>
      <c r="K2580" s="5" t="s">
        <v>1667</v>
      </c>
    </row>
    <row r="2581" spans="1:11" hidden="1">
      <c r="A2581" s="386"/>
      <c r="F2581"/>
      <c r="G2581" s="3"/>
      <c r="H2581"/>
      <c r="I2581"/>
      <c r="J2581" s="4"/>
      <c r="K2581" s="16">
        <v>2.23E-2</v>
      </c>
    </row>
    <row r="2582" spans="1:11" hidden="1">
      <c r="A2582" s="386"/>
      <c r="F2582"/>
      <c r="G2582" s="3"/>
      <c r="H2582"/>
      <c r="I2582"/>
      <c r="J2582" s="4"/>
      <c r="K2582" s="5" t="s">
        <v>1667</v>
      </c>
    </row>
    <row r="2583" spans="1:11" hidden="1">
      <c r="A2583" s="386"/>
      <c r="F2583"/>
      <c r="G2583" s="3"/>
      <c r="H2583"/>
      <c r="I2583"/>
      <c r="J2583" s="4"/>
      <c r="K2583"/>
    </row>
    <row r="2584" spans="1:11" hidden="1">
      <c r="A2584" s="386"/>
      <c r="F2584"/>
      <c r="G2584" s="3"/>
      <c r="H2584"/>
      <c r="I2584"/>
      <c r="J2584" s="4"/>
      <c r="K2584"/>
    </row>
    <row r="2585" spans="1:11" hidden="1">
      <c r="A2585" s="386"/>
      <c r="F2585" s="16">
        <v>2.2800000000000001E-2</v>
      </c>
      <c r="G2585" s="7" t="s">
        <v>884</v>
      </c>
      <c r="H2585" s="1" t="s">
        <v>313</v>
      </c>
      <c r="I2585" s="8">
        <f>I2554</f>
        <v>65420</v>
      </c>
      <c r="J2585" s="2" t="s">
        <v>884</v>
      </c>
      <c r="K2585" s="8">
        <f>(F2585*I2585)</f>
        <v>1491.58</v>
      </c>
    </row>
    <row r="2586" spans="1:11" hidden="1">
      <c r="A2586" s="386"/>
      <c r="F2586" s="16">
        <v>2.5000000000000001E-2</v>
      </c>
      <c r="G2586" s="7" t="s">
        <v>884</v>
      </c>
      <c r="H2586" s="1" t="s">
        <v>314</v>
      </c>
      <c r="I2586" s="8">
        <f t="shared" ref="I2586:I2595" si="84">I2555</f>
        <v>57165</v>
      </c>
      <c r="J2586" s="2" t="s">
        <v>884</v>
      </c>
      <c r="K2586" s="8">
        <f>(F2586*I2586)</f>
        <v>1429.13</v>
      </c>
    </row>
    <row r="2587" spans="1:11" hidden="1">
      <c r="A2587" s="386"/>
      <c r="F2587" s="16">
        <v>2.23E-2</v>
      </c>
      <c r="G2587" s="7" t="s">
        <v>884</v>
      </c>
      <c r="H2587" s="1" t="s">
        <v>315</v>
      </c>
      <c r="I2587" s="8">
        <f t="shared" si="84"/>
        <v>63870</v>
      </c>
      <c r="J2587" s="2" t="s">
        <v>884</v>
      </c>
      <c r="K2587" s="8">
        <f>(F2587*I2587)</f>
        <v>1424.3</v>
      </c>
    </row>
    <row r="2588" spans="1:11" hidden="1">
      <c r="A2588" s="386"/>
      <c r="F2588" s="17"/>
      <c r="G2588" s="3"/>
      <c r="H2588" s="1" t="s">
        <v>963</v>
      </c>
      <c r="I2588" s="8"/>
      <c r="J2588" s="4"/>
      <c r="K2588" s="1" t="s">
        <v>995</v>
      </c>
    </row>
    <row r="2589" spans="1:11" hidden="1">
      <c r="A2589" s="386"/>
      <c r="F2589" s="17">
        <v>2.2275</v>
      </c>
      <c r="G2589" s="7" t="s">
        <v>611</v>
      </c>
      <c r="H2589" s="1" t="s">
        <v>446</v>
      </c>
      <c r="I2589" s="8">
        <f t="shared" si="84"/>
        <v>342</v>
      </c>
      <c r="J2589" s="2" t="s">
        <v>611</v>
      </c>
      <c r="K2589" s="8">
        <f t="shared" ref="K2589:K2595" si="85">(F2589*I2589)</f>
        <v>761.81</v>
      </c>
    </row>
    <row r="2590" spans="1:11" hidden="1">
      <c r="A2590" s="386"/>
      <c r="F2590" s="8">
        <v>2</v>
      </c>
      <c r="G2590" s="7" t="s">
        <v>781</v>
      </c>
      <c r="H2590" s="1" t="s">
        <v>1526</v>
      </c>
      <c r="I2590" s="8">
        <f t="shared" si="84"/>
        <v>30</v>
      </c>
      <c r="J2590" s="2" t="s">
        <v>883</v>
      </c>
      <c r="K2590" s="8">
        <f t="shared" si="85"/>
        <v>60</v>
      </c>
    </row>
    <row r="2591" spans="1:11" hidden="1">
      <c r="A2591" s="386"/>
      <c r="F2591" s="8">
        <v>6</v>
      </c>
      <c r="G2591" s="7" t="s">
        <v>883</v>
      </c>
      <c r="H2591" s="1" t="s">
        <v>1527</v>
      </c>
      <c r="I2591" s="8">
        <f t="shared" si="84"/>
        <v>45</v>
      </c>
      <c r="J2591" s="2" t="s">
        <v>883</v>
      </c>
      <c r="K2591" s="8">
        <f t="shared" si="85"/>
        <v>270</v>
      </c>
    </row>
    <row r="2592" spans="1:11" hidden="1">
      <c r="A2592" s="386"/>
      <c r="F2592" s="8">
        <v>4</v>
      </c>
      <c r="G2592" s="7" t="s">
        <v>883</v>
      </c>
      <c r="H2592" s="1" t="s">
        <v>1528</v>
      </c>
      <c r="I2592" s="8">
        <f t="shared" si="84"/>
        <v>30</v>
      </c>
      <c r="J2592" s="2" t="s">
        <v>883</v>
      </c>
      <c r="K2592" s="8">
        <f t="shared" si="85"/>
        <v>120</v>
      </c>
    </row>
    <row r="2593" spans="1:11" hidden="1">
      <c r="A2593" s="386"/>
      <c r="F2593" s="8">
        <v>1</v>
      </c>
      <c r="G2593" s="7" t="s">
        <v>883</v>
      </c>
      <c r="H2593" s="1" t="s">
        <v>1529</v>
      </c>
      <c r="I2593" s="8">
        <f t="shared" si="84"/>
        <v>95</v>
      </c>
      <c r="J2593" s="2" t="s">
        <v>883</v>
      </c>
      <c r="K2593" s="8">
        <f t="shared" si="85"/>
        <v>95</v>
      </c>
    </row>
    <row r="2594" spans="1:11" hidden="1">
      <c r="A2594" s="386"/>
      <c r="F2594" s="8">
        <v>2</v>
      </c>
      <c r="G2594" s="7" t="s">
        <v>883</v>
      </c>
      <c r="H2594" s="1" t="s">
        <v>1530</v>
      </c>
      <c r="I2594" s="8">
        <f t="shared" si="84"/>
        <v>8</v>
      </c>
      <c r="J2594" s="2" t="s">
        <v>883</v>
      </c>
      <c r="K2594" s="8">
        <f t="shared" si="85"/>
        <v>16</v>
      </c>
    </row>
    <row r="2595" spans="1:11" hidden="1">
      <c r="A2595" s="386"/>
      <c r="F2595" s="8">
        <v>2</v>
      </c>
      <c r="G2595" s="7" t="s">
        <v>883</v>
      </c>
      <c r="H2595" s="1" t="s">
        <v>2058</v>
      </c>
      <c r="I2595" s="8">
        <f t="shared" si="84"/>
        <v>25</v>
      </c>
      <c r="J2595" s="2" t="s">
        <v>883</v>
      </c>
      <c r="K2595" s="8">
        <f t="shared" si="85"/>
        <v>50</v>
      </c>
    </row>
    <row r="2596" spans="1:11" hidden="1">
      <c r="A2596" s="386"/>
      <c r="F2596"/>
      <c r="G2596" s="3"/>
      <c r="H2596"/>
      <c r="I2596"/>
      <c r="J2596" s="4"/>
      <c r="K2596" s="5" t="s">
        <v>1667</v>
      </c>
    </row>
    <row r="2597" spans="1:11" hidden="1">
      <c r="A2597" s="386"/>
      <c r="F2597"/>
      <c r="G2597" s="3"/>
      <c r="H2597" s="1" t="s">
        <v>771</v>
      </c>
      <c r="I2597"/>
      <c r="J2597" s="4"/>
      <c r="K2597" s="8">
        <f>SUM(K2585:K2595)</f>
        <v>5717.82</v>
      </c>
    </row>
    <row r="2598" spans="1:11" hidden="1">
      <c r="A2598" s="386"/>
      <c r="F2598"/>
      <c r="G2598" s="3"/>
      <c r="H2598"/>
      <c r="I2598"/>
      <c r="J2598" s="4"/>
      <c r="K2598" s="5" t="s">
        <v>1667</v>
      </c>
    </row>
    <row r="2599" spans="1:11" hidden="1">
      <c r="A2599" s="386"/>
      <c r="F2599"/>
      <c r="G2599" s="3"/>
      <c r="H2599" s="1" t="s">
        <v>555</v>
      </c>
      <c r="I2599"/>
      <c r="J2599" s="4"/>
      <c r="K2599" s="8">
        <f>K2597/F2589</f>
        <v>2566.92</v>
      </c>
    </row>
    <row r="2600" spans="1:11" hidden="1">
      <c r="A2600" s="386"/>
      <c r="F2600"/>
      <c r="G2600" s="3"/>
      <c r="H2600" s="1"/>
      <c r="I2600"/>
      <c r="J2600" s="4"/>
      <c r="K2600" s="5" t="s">
        <v>2130</v>
      </c>
    </row>
    <row r="2601" spans="1:11" hidden="1">
      <c r="A2601" s="386"/>
      <c r="F2601"/>
      <c r="G2601" s="3"/>
      <c r="H2601"/>
      <c r="I2601"/>
      <c r="J2601" s="4"/>
      <c r="K2601"/>
    </row>
    <row r="2602" spans="1:11" hidden="1">
      <c r="A2602" s="386"/>
      <c r="F2602">
        <v>55.2</v>
      </c>
      <c r="G2602" s="3"/>
      <c r="H2602" s="4" t="s">
        <v>3230</v>
      </c>
      <c r="I2602"/>
      <c r="J2602" s="4"/>
      <c r="K2602"/>
    </row>
    <row r="2603" spans="1:11" hidden="1">
      <c r="A2603" s="386"/>
      <c r="F2603"/>
      <c r="G2603" s="3"/>
      <c r="H2603" s="452" t="s">
        <v>1667</v>
      </c>
      <c r="I2603"/>
      <c r="J2603" s="4"/>
      <c r="K2603"/>
    </row>
    <row r="2604" spans="1:11" hidden="1">
      <c r="A2604" s="386"/>
      <c r="F2604">
        <v>1</v>
      </c>
      <c r="G2604" s="3" t="s">
        <v>1454</v>
      </c>
      <c r="H2604" t="s">
        <v>3231</v>
      </c>
      <c r="I2604">
        <v>650</v>
      </c>
      <c r="J2604" s="4" t="s">
        <v>1454</v>
      </c>
      <c r="K2604">
        <f>F2604*I2604</f>
        <v>650</v>
      </c>
    </row>
    <row r="2605" spans="1:11" hidden="1">
      <c r="A2605" s="386"/>
      <c r="F2605">
        <v>0.5</v>
      </c>
      <c r="G2605" s="3" t="s">
        <v>1454</v>
      </c>
      <c r="H2605" t="s">
        <v>2134</v>
      </c>
      <c r="I2605">
        <f>C15</f>
        <v>130</v>
      </c>
      <c r="J2605" s="4" t="s">
        <v>1454</v>
      </c>
      <c r="K2605">
        <f>F2605*I2605</f>
        <v>65</v>
      </c>
    </row>
    <row r="2606" spans="1:11" hidden="1">
      <c r="A2606" s="386"/>
      <c r="F2606">
        <v>0.5</v>
      </c>
      <c r="G2606" s="3" t="s">
        <v>1454</v>
      </c>
      <c r="H2606" t="s">
        <v>3232</v>
      </c>
      <c r="I2606">
        <f>C10</f>
        <v>150</v>
      </c>
      <c r="J2606" s="4" t="s">
        <v>1454</v>
      </c>
      <c r="K2606">
        <f>F2606*I2606</f>
        <v>75</v>
      </c>
    </row>
    <row r="2607" spans="1:11" hidden="1">
      <c r="A2607" s="386"/>
      <c r="F2607">
        <v>0.5</v>
      </c>
      <c r="G2607" s="3" t="s">
        <v>1454</v>
      </c>
      <c r="H2607" t="s">
        <v>2923</v>
      </c>
      <c r="I2607">
        <f>C12</f>
        <v>95</v>
      </c>
      <c r="J2607" s="4" t="s">
        <v>1454</v>
      </c>
      <c r="K2607">
        <f>F2607*I2607</f>
        <v>47.5</v>
      </c>
    </row>
    <row r="2608" spans="1:11" hidden="1">
      <c r="A2608" s="386"/>
      <c r="F2608"/>
      <c r="G2608" s="3"/>
      <c r="H2608"/>
      <c r="I2608"/>
      <c r="J2608" s="4"/>
      <c r="K2608" s="449" t="s">
        <v>1667</v>
      </c>
    </row>
    <row r="2609" spans="1:11" hidden="1">
      <c r="A2609" s="386"/>
      <c r="F2609"/>
      <c r="G2609" s="3"/>
      <c r="H2609"/>
      <c r="I2609"/>
      <c r="J2609" s="4"/>
      <c r="K2609">
        <f>SUM(K2604:K2608)</f>
        <v>837.5</v>
      </c>
    </row>
    <row r="2610" spans="1:11" hidden="1">
      <c r="A2610" s="386"/>
      <c r="F2610"/>
      <c r="G2610" s="3"/>
      <c r="H2610"/>
      <c r="I2610"/>
      <c r="J2610" s="4"/>
      <c r="K2610" s="449" t="s">
        <v>2130</v>
      </c>
    </row>
    <row r="2611" spans="1:11" hidden="1">
      <c r="A2611" s="386"/>
      <c r="F2611">
        <v>44.2</v>
      </c>
      <c r="G2611" s="3" t="s">
        <v>2338</v>
      </c>
      <c r="H2611" t="s">
        <v>3233</v>
      </c>
      <c r="I2611"/>
      <c r="J2611" s="4"/>
      <c r="K2611"/>
    </row>
    <row r="2612" spans="1:11" hidden="1">
      <c r="A2612" s="386"/>
      <c r="F2612"/>
      <c r="G2612" s="3"/>
      <c r="H2612" s="61" t="s">
        <v>3537</v>
      </c>
      <c r="I2612"/>
      <c r="J2612" s="4"/>
      <c r="K2612"/>
    </row>
    <row r="2613" spans="1:11" hidden="1">
      <c r="A2613" s="386"/>
      <c r="F2613">
        <v>0.47</v>
      </c>
      <c r="G2613" s="3" t="s">
        <v>1402</v>
      </c>
      <c r="H2613" t="s">
        <v>362</v>
      </c>
      <c r="I2613">
        <f>K88</f>
        <v>52.93</v>
      </c>
      <c r="J2613" s="4" t="s">
        <v>2226</v>
      </c>
      <c r="K2613">
        <f>I2613*F2613</f>
        <v>24.88</v>
      </c>
    </row>
    <row r="2614" spans="1:11" hidden="1">
      <c r="A2614" s="386"/>
      <c r="F2614">
        <v>4.9000000000000004</v>
      </c>
      <c r="G2614" s="3" t="s">
        <v>840</v>
      </c>
      <c r="H2614" t="s">
        <v>3234</v>
      </c>
      <c r="I2614">
        <f>K2629</f>
        <v>50.58</v>
      </c>
      <c r="J2614" s="4" t="s">
        <v>840</v>
      </c>
      <c r="K2614">
        <f>I2614*F2614</f>
        <v>247.84</v>
      </c>
    </row>
    <row r="2615" spans="1:11" hidden="1">
      <c r="A2615" s="386"/>
      <c r="F2615">
        <v>0.59</v>
      </c>
      <c r="G2615" s="3" t="s">
        <v>1402</v>
      </c>
      <c r="H2615" t="s">
        <v>1214</v>
      </c>
      <c r="I2615" t="e">
        <f>AC15</f>
        <v>#REF!</v>
      </c>
      <c r="J2615" s="4" t="s">
        <v>2226</v>
      </c>
      <c r="K2615" t="e">
        <f>I2615*F2615</f>
        <v>#REF!</v>
      </c>
    </row>
    <row r="2616" spans="1:11" hidden="1">
      <c r="A2616" s="386"/>
      <c r="F2616">
        <v>0.79</v>
      </c>
      <c r="G2616" s="3" t="s">
        <v>2371</v>
      </c>
      <c r="H2616" t="s">
        <v>1215</v>
      </c>
      <c r="I2616" t="e">
        <f>K630</f>
        <v>#REF!</v>
      </c>
      <c r="J2616" s="4" t="s">
        <v>2371</v>
      </c>
      <c r="K2616" t="e">
        <f>I2616*F2616</f>
        <v>#REF!</v>
      </c>
    </row>
    <row r="2617" spans="1:11" hidden="1">
      <c r="A2617" s="386"/>
      <c r="F2617">
        <v>0.24</v>
      </c>
      <c r="G2617" s="3" t="s">
        <v>1402</v>
      </c>
      <c r="H2617" t="s">
        <v>928</v>
      </c>
      <c r="I2617" t="e">
        <f>AC17</f>
        <v>#REF!</v>
      </c>
      <c r="J2617" s="4" t="s">
        <v>2226</v>
      </c>
      <c r="K2617" t="e">
        <f>I2617*F2617</f>
        <v>#REF!</v>
      </c>
    </row>
    <row r="2618" spans="1:11" hidden="1">
      <c r="A2618" s="386"/>
      <c r="F2618"/>
      <c r="G2618" s="3"/>
      <c r="H2618" t="s">
        <v>2359</v>
      </c>
      <c r="I2618"/>
      <c r="J2618" s="4"/>
      <c r="K2618"/>
    </row>
    <row r="2619" spans="1:11" hidden="1">
      <c r="A2619" s="386"/>
      <c r="F2619"/>
      <c r="G2619" s="3"/>
      <c r="H2619"/>
      <c r="I2619"/>
      <c r="J2619" s="4"/>
      <c r="K2619" s="61" t="s">
        <v>3235</v>
      </c>
    </row>
    <row r="2620" spans="1:11" hidden="1">
      <c r="A2620" s="386"/>
      <c r="F2620"/>
      <c r="G2620" s="3"/>
      <c r="H2620"/>
      <c r="I2620"/>
      <c r="J2620" s="4"/>
      <c r="K2620" t="e">
        <f>SUM(K2613:K2619)</f>
        <v>#REF!</v>
      </c>
    </row>
    <row r="2621" spans="1:11" hidden="1">
      <c r="A2621" s="386"/>
      <c r="F2621"/>
      <c r="G2621" s="3"/>
      <c r="H2621"/>
      <c r="I2621"/>
      <c r="J2621" s="4"/>
      <c r="K2621" s="61" t="s">
        <v>38</v>
      </c>
    </row>
    <row r="2622" spans="1:11" hidden="1">
      <c r="A2622" s="386"/>
      <c r="F2622"/>
      <c r="G2622" s="3"/>
      <c r="H2622" s="259" t="s">
        <v>3236</v>
      </c>
      <c r="I2622"/>
      <c r="J2622" s="4"/>
      <c r="K2622"/>
    </row>
    <row r="2623" spans="1:11" hidden="1">
      <c r="A2623" s="386"/>
      <c r="F2623"/>
      <c r="G2623" s="3"/>
      <c r="H2623"/>
      <c r="I2623"/>
      <c r="J2623" s="4"/>
      <c r="K2623"/>
    </row>
    <row r="2624" spans="1:11" hidden="1">
      <c r="A2624" s="386"/>
      <c r="F2624">
        <v>0.25</v>
      </c>
      <c r="G2624" s="3" t="s">
        <v>1454</v>
      </c>
      <c r="H2624" t="s">
        <v>465</v>
      </c>
      <c r="I2624">
        <f>C11</f>
        <v>135</v>
      </c>
      <c r="J2624" s="4" t="s">
        <v>1458</v>
      </c>
      <c r="K2624">
        <f>I2624*F2624</f>
        <v>33.75</v>
      </c>
    </row>
    <row r="2625" spans="1:11" hidden="1">
      <c r="A2625" s="386"/>
      <c r="F2625">
        <v>1</v>
      </c>
      <c r="G2625" s="3" t="s">
        <v>1454</v>
      </c>
      <c r="H2625" t="s">
        <v>353</v>
      </c>
      <c r="I2625">
        <f>C12</f>
        <v>95</v>
      </c>
      <c r="J2625" s="4" t="s">
        <v>1458</v>
      </c>
      <c r="K2625">
        <f>I2625*F2625</f>
        <v>95</v>
      </c>
    </row>
    <row r="2626" spans="1:11" hidden="1">
      <c r="A2626" s="386"/>
      <c r="F2626">
        <v>1</v>
      </c>
      <c r="G2626" s="3"/>
      <c r="H2626" t="s">
        <v>3237</v>
      </c>
      <c r="I2626">
        <v>23</v>
      </c>
      <c r="J2626" s="4" t="s">
        <v>448</v>
      </c>
      <c r="K2626">
        <f>I2626*F2626</f>
        <v>23</v>
      </c>
    </row>
    <row r="2627" spans="1:11" hidden="1">
      <c r="A2627" s="386"/>
      <c r="F2627"/>
      <c r="G2627" s="3"/>
      <c r="H2627"/>
      <c r="I2627"/>
      <c r="J2627" s="4"/>
      <c r="K2627" s="61" t="s">
        <v>3235</v>
      </c>
    </row>
    <row r="2628" spans="1:11" hidden="1">
      <c r="A2628" s="386"/>
      <c r="F2628"/>
      <c r="G2628" s="3"/>
      <c r="H2628" t="s">
        <v>3238</v>
      </c>
      <c r="I2628"/>
      <c r="J2628" s="4"/>
      <c r="K2628">
        <f>SUM(K2624:K2627)</f>
        <v>151.75</v>
      </c>
    </row>
    <row r="2629" spans="1:11" hidden="1">
      <c r="A2629" s="386"/>
      <c r="F2629"/>
      <c r="G2629" s="3"/>
      <c r="H2629" t="s">
        <v>3239</v>
      </c>
      <c r="I2629"/>
      <c r="J2629" s="4"/>
      <c r="K2629">
        <f>K2628/3</f>
        <v>50.58</v>
      </c>
    </row>
    <row r="2630" spans="1:11" hidden="1">
      <c r="A2630" s="386"/>
      <c r="F2630"/>
      <c r="G2630" s="3"/>
      <c r="H2630"/>
      <c r="I2630"/>
      <c r="J2630" s="4"/>
      <c r="K2630" s="449" t="s">
        <v>1667</v>
      </c>
    </row>
    <row r="2631" spans="1:11" ht="40.5" hidden="1" customHeight="1">
      <c r="A2631" s="386"/>
      <c r="F2631">
        <v>84</v>
      </c>
      <c r="G2631" s="3"/>
      <c r="H2631" s="448" t="s">
        <v>3240</v>
      </c>
      <c r="I2631"/>
      <c r="J2631" s="4"/>
      <c r="K2631"/>
    </row>
    <row r="2632" spans="1:11" hidden="1">
      <c r="A2632" s="386"/>
      <c r="F2632"/>
      <c r="G2632" s="3"/>
      <c r="H2632" s="449" t="s">
        <v>1667</v>
      </c>
      <c r="I2632"/>
      <c r="J2632" s="4"/>
      <c r="K2632"/>
    </row>
    <row r="2633" spans="1:11" ht="31.5" hidden="1">
      <c r="A2633" s="386"/>
      <c r="F2633" s="448">
        <v>180</v>
      </c>
      <c r="G2633" s="448" t="s">
        <v>840</v>
      </c>
      <c r="H2633" s="448" t="s">
        <v>3241</v>
      </c>
      <c r="I2633" s="448">
        <v>15.6</v>
      </c>
      <c r="J2633" s="448" t="s">
        <v>840</v>
      </c>
      <c r="K2633" s="448">
        <f>I2633*F2633</f>
        <v>2808</v>
      </c>
    </row>
    <row r="2634" spans="1:11" hidden="1">
      <c r="A2634" s="386"/>
      <c r="F2634" s="448">
        <v>4</v>
      </c>
      <c r="G2634" s="448" t="s">
        <v>1730</v>
      </c>
      <c r="H2634" s="448" t="s">
        <v>3517</v>
      </c>
      <c r="I2634" s="448">
        <v>37</v>
      </c>
      <c r="J2634" s="448" t="s">
        <v>1730</v>
      </c>
      <c r="K2634" s="448">
        <f t="shared" ref="K2634:K2640" si="86">I2634*F2634</f>
        <v>148</v>
      </c>
    </row>
    <row r="2635" spans="1:11" hidden="1">
      <c r="A2635" s="386"/>
      <c r="F2635" s="448">
        <v>180</v>
      </c>
      <c r="G2635" s="448" t="s">
        <v>1492</v>
      </c>
      <c r="H2635" s="448" t="s">
        <v>3518</v>
      </c>
      <c r="I2635" s="448">
        <v>0.25</v>
      </c>
      <c r="J2635" s="448" t="s">
        <v>1458</v>
      </c>
      <c r="K2635" s="448">
        <f t="shared" si="86"/>
        <v>45</v>
      </c>
    </row>
    <row r="2636" spans="1:11" hidden="1">
      <c r="A2636" s="386"/>
      <c r="F2636" s="448">
        <v>1</v>
      </c>
      <c r="G2636" s="448" t="s">
        <v>1730</v>
      </c>
      <c r="H2636" s="448" t="s">
        <v>3519</v>
      </c>
      <c r="I2636" s="448">
        <v>37</v>
      </c>
      <c r="J2636" s="448" t="s">
        <v>1730</v>
      </c>
      <c r="K2636" s="448">
        <f t="shared" si="86"/>
        <v>37</v>
      </c>
    </row>
    <row r="2637" spans="1:11" hidden="1">
      <c r="A2637" s="386"/>
      <c r="F2637" s="448">
        <v>1</v>
      </c>
      <c r="G2637" s="448" t="s">
        <v>1492</v>
      </c>
      <c r="H2637" s="448" t="s">
        <v>3520</v>
      </c>
      <c r="I2637" s="448">
        <v>148</v>
      </c>
      <c r="J2637" s="448" t="s">
        <v>1458</v>
      </c>
      <c r="K2637" s="448">
        <f t="shared" si="86"/>
        <v>148</v>
      </c>
    </row>
    <row r="2638" spans="1:11" hidden="1">
      <c r="A2638" s="386"/>
      <c r="F2638" s="448">
        <v>2</v>
      </c>
      <c r="G2638" s="448" t="s">
        <v>1492</v>
      </c>
      <c r="H2638" s="448" t="s">
        <v>3521</v>
      </c>
      <c r="I2638" s="448">
        <v>131</v>
      </c>
      <c r="J2638" s="448" t="s">
        <v>1458</v>
      </c>
      <c r="K2638" s="448">
        <f t="shared" si="86"/>
        <v>262</v>
      </c>
    </row>
    <row r="2639" spans="1:11" hidden="1">
      <c r="A2639" s="386"/>
      <c r="F2639" s="448">
        <v>2</v>
      </c>
      <c r="G2639" s="448" t="s">
        <v>1492</v>
      </c>
      <c r="H2639" s="448" t="s">
        <v>3522</v>
      </c>
      <c r="I2639" s="448">
        <v>117</v>
      </c>
      <c r="J2639" s="448" t="s">
        <v>1458</v>
      </c>
      <c r="K2639" s="448">
        <f t="shared" si="86"/>
        <v>234</v>
      </c>
    </row>
    <row r="2640" spans="1:11" hidden="1">
      <c r="A2640" s="386"/>
      <c r="F2640" s="448">
        <v>3</v>
      </c>
      <c r="G2640" s="448" t="s">
        <v>1492</v>
      </c>
      <c r="H2640" s="448" t="s">
        <v>2430</v>
      </c>
      <c r="I2640" s="448">
        <v>91</v>
      </c>
      <c r="J2640" s="448" t="s">
        <v>1458</v>
      </c>
      <c r="K2640" s="448">
        <f t="shared" si="86"/>
        <v>273</v>
      </c>
    </row>
    <row r="2641" spans="1:11" ht="31.5" hidden="1">
      <c r="A2641" s="386"/>
      <c r="F2641" s="448"/>
      <c r="G2641" s="448"/>
      <c r="H2641" s="448" t="s">
        <v>3523</v>
      </c>
      <c r="I2641" s="448"/>
      <c r="J2641" s="448"/>
      <c r="K2641" s="448">
        <v>5</v>
      </c>
    </row>
    <row r="2642" spans="1:11" hidden="1">
      <c r="A2642" s="386"/>
      <c r="F2642" s="448"/>
      <c r="G2642" s="448"/>
      <c r="H2642" s="448"/>
      <c r="I2642" s="448"/>
      <c r="J2642" s="448"/>
      <c r="K2642" s="453" t="s">
        <v>1667</v>
      </c>
    </row>
    <row r="2643" spans="1:11" hidden="1">
      <c r="A2643" s="386"/>
      <c r="F2643" s="448"/>
      <c r="G2643" s="448"/>
      <c r="H2643" s="448" t="s">
        <v>3524</v>
      </c>
      <c r="I2643" s="448"/>
      <c r="J2643" s="448"/>
      <c r="K2643" s="448">
        <f>SUM(K2633:K2642)</f>
        <v>3960</v>
      </c>
    </row>
    <row r="2644" spans="1:11" hidden="1">
      <c r="A2644" s="386"/>
      <c r="F2644" s="448"/>
      <c r="G2644" s="448"/>
      <c r="H2644" s="448"/>
      <c r="I2644" s="448"/>
      <c r="J2644" s="448"/>
      <c r="K2644" s="453" t="s">
        <v>1667</v>
      </c>
    </row>
    <row r="2645" spans="1:11" hidden="1">
      <c r="A2645" s="386"/>
      <c r="F2645" s="448"/>
      <c r="G2645" s="448"/>
      <c r="H2645" s="448" t="s">
        <v>3525</v>
      </c>
      <c r="I2645" s="448"/>
      <c r="J2645" s="448"/>
      <c r="K2645" s="448">
        <f>K2643/90</f>
        <v>44</v>
      </c>
    </row>
    <row r="2646" spans="1:11" hidden="1">
      <c r="A2646" s="386"/>
      <c r="F2646" s="448"/>
      <c r="G2646" s="448"/>
      <c r="H2646" s="448"/>
      <c r="I2646" s="448"/>
      <c r="J2646" s="448"/>
      <c r="K2646" s="453" t="s">
        <v>2130</v>
      </c>
    </row>
    <row r="2647" spans="1:11" hidden="1">
      <c r="A2647" s="386"/>
      <c r="F2647" s="26"/>
      <c r="G2647" s="3"/>
      <c r="H2647" s="1" t="s">
        <v>2072</v>
      </c>
      <c r="I2647"/>
      <c r="J2647" s="4"/>
      <c r="K2647"/>
    </row>
    <row r="2648" spans="1:11" hidden="1">
      <c r="A2648" s="386"/>
      <c r="F2648"/>
      <c r="G2648" s="3"/>
      <c r="H2648" s="5" t="s">
        <v>1667</v>
      </c>
      <c r="I2648" s="5" t="s">
        <v>1667</v>
      </c>
      <c r="J2648" s="2" t="s">
        <v>1667</v>
      </c>
      <c r="K2648"/>
    </row>
    <row r="2649" spans="1:11" hidden="1">
      <c r="A2649" s="386"/>
      <c r="F2649"/>
      <c r="G2649" s="3"/>
      <c r="H2649"/>
      <c r="I2649"/>
      <c r="J2649" s="4"/>
      <c r="K2649"/>
    </row>
    <row r="2650" spans="1:11" hidden="1">
      <c r="A2650" s="386"/>
      <c r="F2650" s="30">
        <v>22.5</v>
      </c>
      <c r="G2650" s="3"/>
      <c r="H2650" s="1" t="s">
        <v>2073</v>
      </c>
      <c r="I2650"/>
      <c r="J2650" s="4"/>
      <c r="K2650"/>
    </row>
    <row r="2651" spans="1:11" hidden="1">
      <c r="A2651" s="386"/>
      <c r="F2651"/>
      <c r="G2651" s="3"/>
      <c r="H2651" s="1"/>
      <c r="I2651"/>
      <c r="J2651" s="4"/>
      <c r="K2651"/>
    </row>
    <row r="2652" spans="1:11" hidden="1">
      <c r="A2652" s="386"/>
      <c r="F2652"/>
      <c r="G2652" s="3"/>
      <c r="H2652" s="1" t="s">
        <v>2074</v>
      </c>
      <c r="I2652"/>
      <c r="J2652" s="4"/>
      <c r="K2652"/>
    </row>
    <row r="2653" spans="1:11" hidden="1">
      <c r="A2653" s="386"/>
      <c r="F2653"/>
      <c r="G2653" s="3"/>
      <c r="H2653" s="1" t="s">
        <v>454</v>
      </c>
      <c r="I2653"/>
      <c r="J2653" s="4"/>
      <c r="K2653"/>
    </row>
    <row r="2654" spans="1:11" hidden="1">
      <c r="A2654" s="386"/>
      <c r="F2654"/>
      <c r="G2654" s="3"/>
      <c r="H2654" s="1" t="s">
        <v>455</v>
      </c>
      <c r="I2654"/>
      <c r="J2654" s="4"/>
      <c r="K2654"/>
    </row>
    <row r="2655" spans="1:11" hidden="1">
      <c r="A2655" s="386"/>
      <c r="F2655"/>
      <c r="G2655" s="3"/>
      <c r="H2655" s="1" t="s">
        <v>456</v>
      </c>
      <c r="I2655"/>
      <c r="J2655" s="4"/>
      <c r="K2655"/>
    </row>
    <row r="2656" spans="1:11" hidden="1">
      <c r="A2656" s="386"/>
      <c r="F2656"/>
      <c r="G2656" s="3"/>
      <c r="H2656" s="1" t="s">
        <v>896</v>
      </c>
      <c r="I2656"/>
      <c r="J2656" s="2" t="s">
        <v>995</v>
      </c>
      <c r="K2656" s="16">
        <v>3.7699999999999997E-2</v>
      </c>
    </row>
    <row r="2657" spans="1:11" hidden="1">
      <c r="A2657" s="386"/>
      <c r="F2657"/>
      <c r="G2657" s="3"/>
      <c r="H2657" s="1" t="s">
        <v>705</v>
      </c>
      <c r="I2657"/>
      <c r="J2657" s="389" t="s">
        <v>995</v>
      </c>
      <c r="K2657" s="19" t="s">
        <v>995</v>
      </c>
    </row>
    <row r="2658" spans="1:11" hidden="1">
      <c r="A2658" s="386"/>
      <c r="F2658"/>
      <c r="G2658" s="3"/>
      <c r="H2658" s="1" t="s">
        <v>1907</v>
      </c>
      <c r="I2658"/>
      <c r="J2658" s="4"/>
      <c r="K2658" s="19" t="s">
        <v>995</v>
      </c>
    </row>
    <row r="2659" spans="1:11" hidden="1">
      <c r="A2659" s="386"/>
      <c r="F2659"/>
      <c r="G2659" s="3"/>
      <c r="H2659" s="1"/>
      <c r="I2659"/>
      <c r="J2659" s="4"/>
      <c r="K2659" s="19"/>
    </row>
    <row r="2660" spans="1:11" hidden="1">
      <c r="A2660" s="386"/>
      <c r="F2660"/>
      <c r="G2660" s="3"/>
      <c r="H2660" s="1"/>
      <c r="I2660"/>
      <c r="J2660" s="4"/>
      <c r="K2660" s="19"/>
    </row>
    <row r="2661" spans="1:11" hidden="1">
      <c r="A2661" s="386"/>
      <c r="F2661"/>
      <c r="G2661" s="3"/>
      <c r="H2661"/>
      <c r="I2661"/>
      <c r="J2661" s="4"/>
      <c r="K2661"/>
    </row>
    <row r="2662" spans="1:11" hidden="1">
      <c r="A2662" s="386"/>
      <c r="F2662" s="20">
        <v>1.18E-2</v>
      </c>
      <c r="G2662" s="7" t="s">
        <v>884</v>
      </c>
      <c r="H2662" s="1" t="s">
        <v>702</v>
      </c>
      <c r="I2662" s="8">
        <f t="shared" ref="I2662:I2671" si="87">I2260</f>
        <v>65420</v>
      </c>
      <c r="J2662" s="2" t="s">
        <v>884</v>
      </c>
      <c r="K2662" s="8">
        <f t="shared" ref="K2662:K2671" si="88">(F2662*I2662)</f>
        <v>771.96</v>
      </c>
    </row>
    <row r="2663" spans="1:11" hidden="1">
      <c r="A2663" s="386"/>
      <c r="F2663" s="20">
        <v>3.7699999999999997E-2</v>
      </c>
      <c r="G2663" s="7" t="s">
        <v>884</v>
      </c>
      <c r="H2663" s="1" t="s">
        <v>703</v>
      </c>
      <c r="I2663" s="8">
        <f t="shared" si="87"/>
        <v>57165</v>
      </c>
      <c r="J2663" s="2" t="s">
        <v>884</v>
      </c>
      <c r="K2663" s="8">
        <f t="shared" si="88"/>
        <v>2155.12</v>
      </c>
    </row>
    <row r="2664" spans="1:11" hidden="1">
      <c r="A2664" s="386"/>
      <c r="F2664" s="20">
        <v>1.8550000000000001E-2</v>
      </c>
      <c r="G2664" s="7" t="s">
        <v>884</v>
      </c>
      <c r="H2664" s="1" t="s">
        <v>902</v>
      </c>
      <c r="I2664" s="8">
        <f t="shared" si="87"/>
        <v>3035</v>
      </c>
      <c r="J2664" s="2" t="s">
        <v>884</v>
      </c>
      <c r="K2664" s="8">
        <f t="shared" si="88"/>
        <v>56.3</v>
      </c>
    </row>
    <row r="2665" spans="1:11" hidden="1">
      <c r="A2665" s="386"/>
      <c r="F2665" s="20">
        <v>1.36</v>
      </c>
      <c r="G2665" s="7" t="s">
        <v>611</v>
      </c>
      <c r="H2665" s="1" t="s">
        <v>903</v>
      </c>
      <c r="I2665" s="8">
        <f t="shared" si="87"/>
        <v>385.89</v>
      </c>
      <c r="J2665" s="2" t="s">
        <v>611</v>
      </c>
      <c r="K2665" s="8">
        <f t="shared" si="88"/>
        <v>524.80999999999995</v>
      </c>
    </row>
    <row r="2666" spans="1:11" hidden="1">
      <c r="A2666" s="386"/>
      <c r="F2666" s="20">
        <v>2.0499999999999998</v>
      </c>
      <c r="G2666" s="7" t="s">
        <v>611</v>
      </c>
      <c r="H2666" s="1" t="s">
        <v>1568</v>
      </c>
      <c r="I2666" s="8">
        <f t="shared" si="87"/>
        <v>287</v>
      </c>
      <c r="J2666" s="2" t="s">
        <v>611</v>
      </c>
      <c r="K2666" s="8">
        <f t="shared" si="88"/>
        <v>588.35</v>
      </c>
    </row>
    <row r="2667" spans="1:11" hidden="1">
      <c r="A2667" s="386"/>
      <c r="F2667" s="8">
        <v>2</v>
      </c>
      <c r="G2667" s="7" t="s">
        <v>883</v>
      </c>
      <c r="H2667" s="1" t="s">
        <v>1449</v>
      </c>
      <c r="I2667" s="8">
        <f t="shared" si="87"/>
        <v>25</v>
      </c>
      <c r="J2667" s="2" t="s">
        <v>883</v>
      </c>
      <c r="K2667" s="8">
        <f t="shared" si="88"/>
        <v>50</v>
      </c>
    </row>
    <row r="2668" spans="1:11" hidden="1">
      <c r="A2668" s="386"/>
      <c r="F2668" s="8">
        <v>6</v>
      </c>
      <c r="G2668" s="7" t="s">
        <v>883</v>
      </c>
      <c r="H2668" s="1" t="s">
        <v>1404</v>
      </c>
      <c r="I2668" s="8">
        <f t="shared" si="87"/>
        <v>25</v>
      </c>
      <c r="J2668" s="2" t="s">
        <v>883</v>
      </c>
      <c r="K2668" s="8">
        <f t="shared" si="88"/>
        <v>150</v>
      </c>
    </row>
    <row r="2669" spans="1:11" hidden="1">
      <c r="A2669" s="386"/>
      <c r="F2669" s="8">
        <v>2</v>
      </c>
      <c r="G2669" s="7" t="s">
        <v>883</v>
      </c>
      <c r="H2669" s="1" t="s">
        <v>1450</v>
      </c>
      <c r="I2669" s="8">
        <f t="shared" si="87"/>
        <v>35</v>
      </c>
      <c r="J2669" s="2" t="s">
        <v>883</v>
      </c>
      <c r="K2669" s="8">
        <f t="shared" si="88"/>
        <v>70</v>
      </c>
    </row>
    <row r="2670" spans="1:11" hidden="1">
      <c r="A2670" s="386"/>
      <c r="F2670" s="8">
        <v>1</v>
      </c>
      <c r="G2670" s="7" t="s">
        <v>883</v>
      </c>
      <c r="H2670" s="1" t="s">
        <v>1477</v>
      </c>
      <c r="I2670" s="8">
        <f t="shared" si="87"/>
        <v>60</v>
      </c>
      <c r="J2670" s="2" t="s">
        <v>883</v>
      </c>
      <c r="K2670" s="8">
        <f t="shared" si="88"/>
        <v>60</v>
      </c>
    </row>
    <row r="2671" spans="1:11" hidden="1">
      <c r="A2671" s="386"/>
      <c r="F2671" s="8">
        <v>2.52</v>
      </c>
      <c r="G2671" s="7" t="s">
        <v>611</v>
      </c>
      <c r="H2671" s="1" t="s">
        <v>1792</v>
      </c>
      <c r="I2671" s="8">
        <f t="shared" si="87"/>
        <v>51.25</v>
      </c>
      <c r="J2671" s="2" t="s">
        <v>611</v>
      </c>
      <c r="K2671" s="8">
        <f t="shared" si="88"/>
        <v>129.15</v>
      </c>
    </row>
    <row r="2672" spans="1:11" hidden="1">
      <c r="A2672" s="386"/>
      <c r="F2672"/>
      <c r="G2672" s="3"/>
      <c r="H2672" s="1" t="s">
        <v>1474</v>
      </c>
      <c r="I2672" s="2" t="s">
        <v>448</v>
      </c>
      <c r="J2672" s="4"/>
      <c r="K2672" s="8">
        <v>0.28000000000000003</v>
      </c>
    </row>
    <row r="2673" spans="1:11" hidden="1">
      <c r="A2673" s="386"/>
      <c r="F2673"/>
      <c r="G2673" s="3"/>
      <c r="H2673"/>
      <c r="I2673"/>
      <c r="J2673" s="4"/>
      <c r="K2673" s="5" t="s">
        <v>1667</v>
      </c>
    </row>
    <row r="2674" spans="1:11" hidden="1">
      <c r="A2674" s="386"/>
      <c r="F2674"/>
      <c r="G2674" s="3"/>
      <c r="H2674" s="2" t="s">
        <v>1475</v>
      </c>
      <c r="I2674"/>
      <c r="J2674" s="4"/>
      <c r="K2674" s="8">
        <f>SUM(K2662:K2672)</f>
        <v>4555.97</v>
      </c>
    </row>
    <row r="2675" spans="1:11" hidden="1">
      <c r="A2675" s="386"/>
      <c r="F2675"/>
      <c r="G2675" s="7" t="s">
        <v>995</v>
      </c>
      <c r="H2675"/>
      <c r="I2675"/>
      <c r="J2675" s="4"/>
      <c r="K2675" s="5" t="s">
        <v>1667</v>
      </c>
    </row>
    <row r="2676" spans="1:11" hidden="1">
      <c r="A2676" s="386"/>
      <c r="F2676"/>
      <c r="G2676" s="3"/>
      <c r="H2676" s="2" t="s">
        <v>555</v>
      </c>
      <c r="I2676"/>
      <c r="J2676" s="4"/>
      <c r="K2676" s="8">
        <f>K2674/F2671</f>
        <v>1807.92</v>
      </c>
    </row>
    <row r="2677" spans="1:11" hidden="1">
      <c r="A2677" s="386"/>
      <c r="F2677"/>
      <c r="G2677" s="3"/>
      <c r="H2677"/>
      <c r="I2677"/>
      <c r="J2677" s="4"/>
      <c r="K2677" s="5" t="s">
        <v>2130</v>
      </c>
    </row>
    <row r="2678" spans="1:11" hidden="1">
      <c r="A2678" s="386"/>
      <c r="F2678" s="448">
        <v>44.4</v>
      </c>
      <c r="G2678" s="448"/>
      <c r="H2678" s="448" t="s">
        <v>3526</v>
      </c>
      <c r="I2678" s="448"/>
      <c r="J2678" s="448"/>
      <c r="K2678" s="448"/>
    </row>
    <row r="2679" spans="1:11" hidden="1">
      <c r="A2679" s="386"/>
      <c r="F2679" s="448"/>
      <c r="G2679" s="448"/>
      <c r="H2679" s="449" t="s">
        <v>1667</v>
      </c>
      <c r="I2679" s="448"/>
      <c r="J2679" s="448"/>
      <c r="K2679" s="448"/>
    </row>
    <row r="2680" spans="1:11" hidden="1">
      <c r="A2680" s="386"/>
      <c r="F2680" s="448">
        <v>4.9000000000000004</v>
      </c>
      <c r="G2680" s="448" t="s">
        <v>840</v>
      </c>
      <c r="H2680" s="448" t="s">
        <v>3527</v>
      </c>
      <c r="I2680" s="448">
        <v>49.01</v>
      </c>
      <c r="J2680" s="448" t="s">
        <v>840</v>
      </c>
      <c r="K2680" s="448">
        <f>F2680*I2680</f>
        <v>240.15</v>
      </c>
    </row>
    <row r="2681" spans="1:11" hidden="1">
      <c r="A2681" s="386"/>
      <c r="F2681" s="448">
        <v>0.12</v>
      </c>
      <c r="G2681" s="448" t="s">
        <v>884</v>
      </c>
      <c r="H2681" s="448" t="s">
        <v>3528</v>
      </c>
      <c r="I2681" s="448" t="e">
        <f>AC15</f>
        <v>#REF!</v>
      </c>
      <c r="J2681" s="448" t="s">
        <v>884</v>
      </c>
      <c r="K2681" s="448" t="e">
        <f>F2681*I2681</f>
        <v>#REF!</v>
      </c>
    </row>
    <row r="2682" spans="1:11" hidden="1">
      <c r="A2682" s="386"/>
      <c r="F2682" s="454">
        <v>0.18</v>
      </c>
      <c r="G2682" s="448" t="s">
        <v>884</v>
      </c>
      <c r="H2682" s="448" t="s">
        <v>3529</v>
      </c>
      <c r="I2682" s="448" t="e">
        <f>AC14</f>
        <v>#REF!</v>
      </c>
      <c r="J2682" s="448" t="s">
        <v>884</v>
      </c>
      <c r="K2682" s="448" t="e">
        <f>F2682*I2682</f>
        <v>#REF!</v>
      </c>
    </row>
    <row r="2683" spans="1:11" hidden="1">
      <c r="A2683" s="386"/>
      <c r="F2683" s="448">
        <v>0.05</v>
      </c>
      <c r="G2683" s="448" t="s">
        <v>884</v>
      </c>
      <c r="H2683" s="448" t="s">
        <v>3530</v>
      </c>
      <c r="I2683" s="448" t="e">
        <f>AC16</f>
        <v>#REF!</v>
      </c>
      <c r="J2683" s="448" t="s">
        <v>884</v>
      </c>
      <c r="K2683" s="448" t="e">
        <f>F2683*I2683</f>
        <v>#REF!</v>
      </c>
    </row>
    <row r="2684" spans="1:11" hidden="1">
      <c r="A2684" s="386"/>
      <c r="F2684" s="448"/>
      <c r="G2684" s="448"/>
      <c r="H2684" s="448"/>
      <c r="I2684" s="448"/>
      <c r="J2684" s="448"/>
      <c r="K2684" s="453" t="s">
        <v>1667</v>
      </c>
    </row>
    <row r="2685" spans="1:11" hidden="1">
      <c r="A2685" s="386"/>
      <c r="F2685" s="448"/>
      <c r="G2685" s="448"/>
      <c r="H2685" s="448" t="s">
        <v>3265</v>
      </c>
      <c r="I2685" s="448"/>
      <c r="J2685" s="448"/>
      <c r="K2685" s="448" t="e">
        <f>SUM(K2680:K2684)</f>
        <v>#REF!</v>
      </c>
    </row>
    <row r="2686" spans="1:11" hidden="1">
      <c r="A2686" s="386"/>
      <c r="F2686" s="448"/>
      <c r="G2686" s="448"/>
      <c r="H2686" s="448"/>
      <c r="I2686" s="448"/>
      <c r="J2686" s="448"/>
      <c r="K2686" s="453" t="s">
        <v>1667</v>
      </c>
    </row>
    <row r="2687" spans="1:11" hidden="1">
      <c r="A2687" s="386"/>
      <c r="F2687" s="448"/>
      <c r="G2687" s="448"/>
      <c r="H2687" s="448" t="s">
        <v>3266</v>
      </c>
      <c r="I2687" s="448"/>
      <c r="J2687" s="448"/>
      <c r="K2687" s="448" t="e">
        <f>K2685/F2680</f>
        <v>#REF!</v>
      </c>
    </row>
    <row r="2688" spans="1:11" hidden="1">
      <c r="A2688" s="386"/>
      <c r="F2688" s="448"/>
      <c r="G2688" s="448"/>
      <c r="H2688" s="448"/>
      <c r="I2688" s="448"/>
      <c r="J2688" s="448"/>
      <c r="K2688" s="453" t="s">
        <v>2130</v>
      </c>
    </row>
    <row r="2689" spans="1:11" ht="78.75" hidden="1">
      <c r="A2689" s="386"/>
      <c r="F2689" s="448">
        <v>44.5</v>
      </c>
      <c r="G2689" s="448"/>
      <c r="H2689" s="448" t="s">
        <v>3540</v>
      </c>
      <c r="I2689" s="448"/>
      <c r="J2689" s="448"/>
      <c r="K2689" s="448"/>
    </row>
    <row r="2690" spans="1:11" hidden="1">
      <c r="A2690" s="386"/>
      <c r="F2690" s="448"/>
      <c r="G2690" s="448"/>
      <c r="H2690" s="449" t="s">
        <v>1667</v>
      </c>
      <c r="I2690" s="448"/>
      <c r="J2690" s="448"/>
      <c r="K2690" s="448"/>
    </row>
    <row r="2691" spans="1:11" hidden="1">
      <c r="A2691" s="386"/>
      <c r="F2691" s="448">
        <v>0.38</v>
      </c>
      <c r="G2691" s="448" t="s">
        <v>2226</v>
      </c>
      <c r="H2691" s="448" t="s">
        <v>362</v>
      </c>
      <c r="I2691" s="448">
        <f>I2613</f>
        <v>52.93</v>
      </c>
      <c r="J2691" s="448" t="s">
        <v>884</v>
      </c>
      <c r="K2691" s="448">
        <f>I2691*F2691</f>
        <v>20.11</v>
      </c>
    </row>
    <row r="2692" spans="1:11" hidden="1">
      <c r="A2692" s="386"/>
      <c r="F2692" s="448">
        <v>0.38</v>
      </c>
      <c r="G2692" s="448" t="s">
        <v>2226</v>
      </c>
      <c r="H2692" s="448" t="s">
        <v>3541</v>
      </c>
      <c r="I2692" s="448" t="e">
        <f>AC15</f>
        <v>#REF!</v>
      </c>
      <c r="J2692" s="448" t="s">
        <v>884</v>
      </c>
      <c r="K2692" s="448" t="e">
        <f>I2692*F2692</f>
        <v>#REF!</v>
      </c>
    </row>
    <row r="2693" spans="1:11" hidden="1">
      <c r="A2693" s="386"/>
      <c r="F2693" s="448">
        <v>0.12</v>
      </c>
      <c r="G2693" s="3" t="s">
        <v>2226</v>
      </c>
      <c r="H2693" s="448" t="s">
        <v>3542</v>
      </c>
      <c r="I2693" t="e">
        <f>K614</f>
        <v>#REF!</v>
      </c>
      <c r="J2693" s="448" t="s">
        <v>884</v>
      </c>
      <c r="K2693" s="448" t="e">
        <f>I2693*F2693</f>
        <v>#REF!</v>
      </c>
    </row>
    <row r="2694" spans="1:11" hidden="1">
      <c r="A2694" s="386"/>
      <c r="F2694" s="448">
        <v>9.6</v>
      </c>
      <c r="G2694" s="448" t="s">
        <v>1730</v>
      </c>
      <c r="H2694" s="448" t="s">
        <v>3543</v>
      </c>
      <c r="I2694">
        <f>AC32</f>
        <v>28000</v>
      </c>
      <c r="J2694" s="448" t="s">
        <v>528</v>
      </c>
      <c r="K2694" s="448">
        <f>I2694*F2694/1000</f>
        <v>268.8</v>
      </c>
    </row>
    <row r="2695" spans="1:11" hidden="1">
      <c r="A2695" s="386"/>
      <c r="F2695"/>
      <c r="G2695" s="3"/>
      <c r="H2695"/>
      <c r="I2695"/>
      <c r="J2695" s="4"/>
      <c r="K2695" s="449" t="s">
        <v>1667</v>
      </c>
    </row>
    <row r="2696" spans="1:11" hidden="1">
      <c r="A2696" s="386"/>
      <c r="F2696"/>
      <c r="G2696" s="3"/>
      <c r="H2696" s="448" t="s">
        <v>3544</v>
      </c>
      <c r="I2696"/>
      <c r="J2696" s="4"/>
      <c r="K2696" t="e">
        <f>SUM(K2691:K2695)</f>
        <v>#REF!</v>
      </c>
    </row>
    <row r="2697" spans="1:11" hidden="1">
      <c r="A2697" s="386"/>
      <c r="F2697"/>
      <c r="G2697" s="3"/>
      <c r="H2697"/>
      <c r="I2697"/>
      <c r="J2697" s="4"/>
      <c r="K2697" s="449" t="s">
        <v>2130</v>
      </c>
    </row>
    <row r="2698" spans="1:11" ht="78.75" hidden="1">
      <c r="A2698" s="386"/>
      <c r="F2698" s="455">
        <v>71.3</v>
      </c>
      <c r="G2698" s="456"/>
      <c r="H2698" s="457" t="s">
        <v>3545</v>
      </c>
      <c r="I2698" s="288"/>
      <c r="J2698" s="458"/>
      <c r="K2698" s="288"/>
    </row>
    <row r="2699" spans="1:11" hidden="1">
      <c r="A2699" s="386"/>
      <c r="F2699" s="288"/>
      <c r="G2699" s="456"/>
      <c r="H2699" s="459" t="s">
        <v>2485</v>
      </c>
      <c r="I2699" s="288"/>
      <c r="J2699" s="458"/>
      <c r="K2699" s="288"/>
    </row>
    <row r="2700" spans="1:11" hidden="1">
      <c r="A2700" s="386"/>
      <c r="F2700" s="288">
        <v>1</v>
      </c>
      <c r="G2700" s="456" t="s">
        <v>1454</v>
      </c>
      <c r="H2700" s="288" t="s">
        <v>3242</v>
      </c>
      <c r="I2700" s="288"/>
      <c r="J2700" s="458">
        <v>1880</v>
      </c>
      <c r="K2700" s="288">
        <f>J2700*F2700</f>
        <v>1880</v>
      </c>
    </row>
    <row r="2701" spans="1:11" hidden="1">
      <c r="A2701" s="386"/>
      <c r="F2701" s="288">
        <v>1</v>
      </c>
      <c r="G2701" s="456" t="s">
        <v>1454</v>
      </c>
      <c r="H2701" s="288" t="s">
        <v>3243</v>
      </c>
      <c r="I2701" s="288"/>
      <c r="J2701" s="458">
        <v>480</v>
      </c>
      <c r="K2701" s="288">
        <f>J2701*F2701</f>
        <v>480</v>
      </c>
    </row>
    <row r="2702" spans="1:11" hidden="1">
      <c r="A2702" s="386"/>
      <c r="F2702" s="288"/>
      <c r="G2702" s="456"/>
      <c r="H2702" s="288" t="s">
        <v>3244</v>
      </c>
      <c r="I2702" s="288"/>
      <c r="J2702" s="458"/>
      <c r="K2702" s="288">
        <v>35.67</v>
      </c>
    </row>
    <row r="2703" spans="1:11" hidden="1">
      <c r="A2703" s="386"/>
      <c r="F2703" s="288"/>
      <c r="G2703" s="456"/>
      <c r="H2703" s="288" t="s">
        <v>1900</v>
      </c>
      <c r="I2703" s="288"/>
      <c r="J2703" s="458"/>
      <c r="K2703" s="288">
        <f>K2711</f>
        <v>104.33</v>
      </c>
    </row>
    <row r="2704" spans="1:11" hidden="1">
      <c r="A2704" s="386"/>
      <c r="F2704" s="288"/>
      <c r="G2704" s="456"/>
      <c r="H2704" s="288"/>
      <c r="I2704" s="288"/>
      <c r="J2704" s="458"/>
      <c r="K2704" s="460" t="s">
        <v>3235</v>
      </c>
    </row>
    <row r="2705" spans="1:11" hidden="1">
      <c r="A2705" s="386"/>
      <c r="F2705" s="288"/>
      <c r="G2705" s="456"/>
      <c r="H2705" s="288"/>
      <c r="I2705" s="288"/>
      <c r="J2705" s="458"/>
      <c r="K2705" s="288">
        <f>SUM(K2700:K2704)</f>
        <v>2500</v>
      </c>
    </row>
    <row r="2706" spans="1:11" hidden="1">
      <c r="A2706" s="386"/>
      <c r="F2706" s="288"/>
      <c r="G2706" s="456"/>
      <c r="H2706" s="288" t="s">
        <v>931</v>
      </c>
      <c r="I2706" s="288"/>
      <c r="J2706" s="458"/>
      <c r="K2706" s="460" t="s">
        <v>38</v>
      </c>
    </row>
    <row r="2707" spans="1:11" hidden="1">
      <c r="A2707" s="386"/>
      <c r="F2707" s="288">
        <v>1</v>
      </c>
      <c r="G2707" s="456" t="s">
        <v>1454</v>
      </c>
      <c r="H2707" s="288" t="s">
        <v>3245</v>
      </c>
      <c r="I2707" s="288">
        <v>131</v>
      </c>
      <c r="J2707" s="458" t="s">
        <v>1458</v>
      </c>
      <c r="K2707" s="288">
        <f>I2707*F2707</f>
        <v>131</v>
      </c>
    </row>
    <row r="2708" spans="1:11" hidden="1">
      <c r="A2708" s="386"/>
      <c r="F2708" s="288">
        <v>2</v>
      </c>
      <c r="G2708" s="456" t="s">
        <v>1492</v>
      </c>
      <c r="H2708" s="288" t="s">
        <v>3246</v>
      </c>
      <c r="I2708" s="288">
        <v>91</v>
      </c>
      <c r="J2708" s="458" t="s">
        <v>1458</v>
      </c>
      <c r="K2708" s="288">
        <f>I2708*F2708</f>
        <v>182</v>
      </c>
    </row>
    <row r="2709" spans="1:11" hidden="1">
      <c r="A2709" s="386"/>
      <c r="F2709" s="288"/>
      <c r="G2709" s="456"/>
      <c r="H2709" s="288"/>
      <c r="I2709" s="288"/>
      <c r="J2709" s="458"/>
      <c r="K2709" s="460" t="s">
        <v>3247</v>
      </c>
    </row>
    <row r="2710" spans="1:11" hidden="1">
      <c r="A2710" s="386"/>
      <c r="F2710" s="288"/>
      <c r="G2710" s="456"/>
      <c r="H2710" s="456" t="s">
        <v>3248</v>
      </c>
      <c r="I2710" s="288"/>
      <c r="J2710" s="458"/>
      <c r="K2710" s="288">
        <f>SUM(K2707:K2709)</f>
        <v>313</v>
      </c>
    </row>
    <row r="2711" spans="1:11" hidden="1">
      <c r="A2711" s="386"/>
      <c r="F2711" s="288"/>
      <c r="G2711" s="456"/>
      <c r="H2711" s="456" t="s">
        <v>3249</v>
      </c>
      <c r="I2711" s="288"/>
      <c r="J2711" s="458"/>
      <c r="K2711" s="288">
        <f>K2710/3</f>
        <v>104.33</v>
      </c>
    </row>
    <row r="2712" spans="1:11" hidden="1">
      <c r="A2712" s="386"/>
      <c r="F2712"/>
      <c r="G2712" s="3"/>
      <c r="H2712"/>
      <c r="I2712"/>
      <c r="J2712" s="4"/>
      <c r="K2712"/>
    </row>
    <row r="2713" spans="1:11" ht="15.75" hidden="1" customHeight="1">
      <c r="A2713" s="386"/>
      <c r="F2713" s="461">
        <v>79.400000000000006</v>
      </c>
      <c r="G2713" s="59"/>
      <c r="H2713" s="1196" t="s">
        <v>2846</v>
      </c>
      <c r="I2713" s="1196"/>
      <c r="J2713" s="463"/>
      <c r="K2713" s="60"/>
    </row>
    <row r="2714" spans="1:11" hidden="1">
      <c r="A2714" s="386"/>
      <c r="F2714" s="464"/>
      <c r="G2714" s="59"/>
      <c r="H2714" s="462"/>
      <c r="I2714" s="462"/>
      <c r="J2714" s="463"/>
      <c r="K2714" s="60"/>
    </row>
    <row r="2715" spans="1:11" hidden="1">
      <c r="A2715" s="386"/>
      <c r="F2715" s="60">
        <v>3</v>
      </c>
      <c r="G2715" s="59" t="s">
        <v>1492</v>
      </c>
      <c r="H2715" s="60" t="s">
        <v>2847</v>
      </c>
      <c r="I2715" s="130">
        <v>190</v>
      </c>
      <c r="J2715" s="463" t="s">
        <v>1458</v>
      </c>
      <c r="K2715" s="60">
        <f>I2715*F2715</f>
        <v>570</v>
      </c>
    </row>
    <row r="2716" spans="1:11" hidden="1">
      <c r="A2716" s="386"/>
      <c r="F2716" s="60">
        <v>1</v>
      </c>
      <c r="G2716" s="59" t="s">
        <v>1454</v>
      </c>
      <c r="H2716" s="60" t="s">
        <v>2848</v>
      </c>
      <c r="I2716" s="60">
        <v>223.63</v>
      </c>
      <c r="J2716" s="463" t="s">
        <v>1458</v>
      </c>
      <c r="K2716" s="60">
        <f>I2716*F2716</f>
        <v>223.63</v>
      </c>
    </row>
    <row r="2717" spans="1:11" hidden="1">
      <c r="A2717" s="386"/>
      <c r="F2717" s="60"/>
      <c r="G2717" s="59"/>
      <c r="H2717" s="60" t="s">
        <v>931</v>
      </c>
      <c r="I2717" s="60"/>
      <c r="J2717" s="463"/>
      <c r="K2717" s="60">
        <f>K2728</f>
        <v>76.5</v>
      </c>
    </row>
    <row r="2718" spans="1:11" hidden="1">
      <c r="A2718" s="386"/>
      <c r="F2718" s="60"/>
      <c r="G2718" s="59"/>
      <c r="H2718" s="60" t="s">
        <v>2849</v>
      </c>
      <c r="I2718" s="60"/>
      <c r="J2718" s="463"/>
      <c r="K2718" s="60">
        <v>4.87</v>
      </c>
    </row>
    <row r="2719" spans="1:11" hidden="1">
      <c r="A2719" s="386"/>
      <c r="F2719" s="60"/>
      <c r="G2719" s="59"/>
      <c r="H2719" s="60"/>
      <c r="I2719" s="60"/>
      <c r="J2719" s="463"/>
      <c r="K2719" s="62" t="s">
        <v>427</v>
      </c>
    </row>
    <row r="2720" spans="1:11" hidden="1">
      <c r="A2720" s="386"/>
      <c r="F2720" s="60"/>
      <c r="G2720" s="59"/>
      <c r="H2720" s="60"/>
      <c r="I2720" s="60"/>
      <c r="J2720" s="463"/>
      <c r="K2720" s="60">
        <f>SUM(K2715:K2719)</f>
        <v>875</v>
      </c>
    </row>
    <row r="2721" spans="1:11" hidden="1">
      <c r="A2721" s="386"/>
      <c r="F2721" s="60"/>
      <c r="G2721" s="59"/>
      <c r="H2721" s="60"/>
      <c r="I2721" s="60"/>
      <c r="J2721" s="463"/>
      <c r="K2721" s="62" t="s">
        <v>152</v>
      </c>
    </row>
    <row r="2722" spans="1:11" hidden="1">
      <c r="A2722" s="386"/>
      <c r="F2722" s="60"/>
      <c r="G2722" s="59"/>
      <c r="H2722" s="60" t="s">
        <v>931</v>
      </c>
      <c r="I2722" s="60"/>
      <c r="J2722" s="463"/>
      <c r="K2722" s="60"/>
    </row>
    <row r="2723" spans="1:11" hidden="1">
      <c r="A2723" s="386"/>
      <c r="F2723" s="60">
        <v>1</v>
      </c>
      <c r="G2723" s="59" t="s">
        <v>1454</v>
      </c>
      <c r="H2723" s="60" t="s">
        <v>2850</v>
      </c>
      <c r="I2723" s="60">
        <v>131</v>
      </c>
      <c r="J2723" s="463" t="s">
        <v>1458</v>
      </c>
      <c r="K2723" s="60">
        <f>I2723*F2723</f>
        <v>131</v>
      </c>
    </row>
    <row r="2724" spans="1:11" hidden="1">
      <c r="A2724" s="386"/>
      <c r="F2724" s="60">
        <v>1</v>
      </c>
      <c r="G2724" s="59" t="s">
        <v>1454</v>
      </c>
      <c r="H2724" s="60" t="s">
        <v>2851</v>
      </c>
      <c r="I2724" s="60">
        <v>117</v>
      </c>
      <c r="J2724" s="463" t="s">
        <v>1458</v>
      </c>
      <c r="K2724" s="60">
        <f>I2724*F2724</f>
        <v>117</v>
      </c>
    </row>
    <row r="2725" spans="1:11" hidden="1">
      <c r="A2725" s="386"/>
      <c r="F2725" s="60">
        <v>4</v>
      </c>
      <c r="G2725" s="59" t="s">
        <v>1492</v>
      </c>
      <c r="H2725" s="60" t="s">
        <v>3246</v>
      </c>
      <c r="I2725" s="60">
        <v>91</v>
      </c>
      <c r="J2725" s="463" t="s">
        <v>1458</v>
      </c>
      <c r="K2725" s="60">
        <f>I2725*F2725</f>
        <v>364</v>
      </c>
    </row>
    <row r="2726" spans="1:11" hidden="1">
      <c r="A2726" s="386"/>
      <c r="F2726" s="60"/>
      <c r="G2726" s="59"/>
      <c r="H2726" s="60"/>
      <c r="I2726" s="60"/>
      <c r="J2726" s="463"/>
      <c r="K2726" s="62" t="s">
        <v>3500</v>
      </c>
    </row>
    <row r="2727" spans="1:11" hidden="1">
      <c r="A2727" s="386"/>
      <c r="F2727" s="60"/>
      <c r="G2727" s="59"/>
      <c r="H2727" s="60" t="s">
        <v>3501</v>
      </c>
      <c r="I2727" s="60"/>
      <c r="J2727" s="463"/>
      <c r="K2727" s="60">
        <f>SUM(K2723:K2726)</f>
        <v>612</v>
      </c>
    </row>
    <row r="2728" spans="1:11" hidden="1">
      <c r="A2728" s="386"/>
      <c r="F2728" s="60"/>
      <c r="G2728" s="59"/>
      <c r="H2728" s="60" t="s">
        <v>3502</v>
      </c>
      <c r="I2728" s="60"/>
      <c r="J2728" s="463"/>
      <c r="K2728" s="60">
        <f>K2727/8</f>
        <v>76.5</v>
      </c>
    </row>
    <row r="2729" spans="1:11" hidden="1">
      <c r="A2729" s="386"/>
      <c r="F2729"/>
      <c r="G2729" s="3"/>
      <c r="H2729"/>
      <c r="I2729"/>
      <c r="J2729" s="4"/>
      <c r="K2729"/>
    </row>
    <row r="2730" spans="1:11" ht="31.5" hidden="1">
      <c r="A2730" s="386"/>
      <c r="F2730" s="465">
        <v>170</v>
      </c>
      <c r="G2730" s="3"/>
      <c r="H2730" s="29" t="s">
        <v>3503</v>
      </c>
      <c r="I2730"/>
      <c r="J2730" s="4"/>
      <c r="K2730"/>
    </row>
    <row r="2731" spans="1:11" hidden="1">
      <c r="A2731" s="386"/>
      <c r="F2731"/>
      <c r="G2731" s="3"/>
      <c r="H2731" s="449" t="s">
        <v>1667</v>
      </c>
      <c r="I2731"/>
      <c r="J2731" s="4"/>
      <c r="K2731"/>
    </row>
    <row r="2732" spans="1:11" hidden="1">
      <c r="A2732" s="386"/>
      <c r="F2732">
        <v>1</v>
      </c>
      <c r="G2732" s="3" t="s">
        <v>1454</v>
      </c>
      <c r="H2732" t="s">
        <v>2566</v>
      </c>
      <c r="I2732">
        <v>2400</v>
      </c>
      <c r="J2732" s="4" t="s">
        <v>1458</v>
      </c>
      <c r="K2732">
        <f>I2732*F2732</f>
        <v>2400</v>
      </c>
    </row>
    <row r="2733" spans="1:11" hidden="1">
      <c r="A2733" s="386"/>
      <c r="F2733">
        <v>1</v>
      </c>
      <c r="G2733" s="3" t="s">
        <v>1454</v>
      </c>
      <c r="H2733" t="s">
        <v>3175</v>
      </c>
      <c r="I2733">
        <v>485</v>
      </c>
      <c r="J2733" s="4" t="s">
        <v>1458</v>
      </c>
      <c r="K2733">
        <f>I2733*F2733</f>
        <v>485</v>
      </c>
    </row>
    <row r="2734" spans="1:11" hidden="1">
      <c r="A2734" s="386"/>
      <c r="F2734">
        <v>4</v>
      </c>
      <c r="G2734" s="3" t="s">
        <v>1492</v>
      </c>
      <c r="H2734" t="s">
        <v>3176</v>
      </c>
      <c r="I2734">
        <v>525</v>
      </c>
      <c r="J2734" s="4" t="s">
        <v>1458</v>
      </c>
      <c r="K2734">
        <f>I2734*F2734</f>
        <v>2100</v>
      </c>
    </row>
    <row r="2735" spans="1:11" hidden="1">
      <c r="A2735" s="386"/>
      <c r="F2735">
        <v>4.5</v>
      </c>
      <c r="G2735" s="3" t="s">
        <v>1730</v>
      </c>
      <c r="H2735" t="s">
        <v>3177</v>
      </c>
      <c r="I2735">
        <v>27</v>
      </c>
      <c r="J2735" s="4" t="s">
        <v>1730</v>
      </c>
      <c r="K2735">
        <f>I2735*F2735</f>
        <v>121.5</v>
      </c>
    </row>
    <row r="2736" spans="1:11" hidden="1">
      <c r="A2736" s="386"/>
      <c r="F2736"/>
      <c r="G2736" s="3"/>
      <c r="H2736" t="s">
        <v>3178</v>
      </c>
      <c r="I2736"/>
      <c r="J2736" s="4"/>
      <c r="K2736">
        <f>SUM(K2732:K2735)*1%-0.57</f>
        <v>50.5</v>
      </c>
    </row>
    <row r="2737" spans="1:11" hidden="1">
      <c r="A2737" s="386"/>
      <c r="F2737"/>
      <c r="G2737" s="3"/>
      <c r="H2737" t="s">
        <v>144</v>
      </c>
      <c r="I2737"/>
      <c r="J2737" s="4"/>
      <c r="K2737">
        <v>298</v>
      </c>
    </row>
    <row r="2738" spans="1:11" hidden="1">
      <c r="A2738" s="386"/>
      <c r="F2738"/>
      <c r="G2738" s="3"/>
      <c r="H2738"/>
      <c r="I2738"/>
      <c r="J2738" s="4"/>
      <c r="K2738" s="449" t="s">
        <v>1667</v>
      </c>
    </row>
    <row r="2739" spans="1:11" hidden="1">
      <c r="A2739" s="386"/>
      <c r="F2739"/>
      <c r="G2739" s="3"/>
      <c r="H2739"/>
      <c r="I2739"/>
      <c r="J2739" s="4"/>
      <c r="K2739">
        <f>SUM(K2732:K2738)</f>
        <v>5455</v>
      </c>
    </row>
    <row r="2740" spans="1:11" hidden="1">
      <c r="A2740" s="386"/>
      <c r="F2740"/>
      <c r="G2740" s="3"/>
      <c r="H2740"/>
      <c r="I2740"/>
      <c r="J2740" s="4"/>
      <c r="K2740" s="449" t="s">
        <v>2130</v>
      </c>
    </row>
    <row r="2741" spans="1:11" hidden="1">
      <c r="A2741" s="386"/>
      <c r="F2741" s="465">
        <v>180</v>
      </c>
      <c r="G2741" s="3"/>
      <c r="H2741" t="s">
        <v>3179</v>
      </c>
      <c r="I2741"/>
      <c r="J2741" s="4"/>
      <c r="K2741"/>
    </row>
    <row r="2742" spans="1:11" hidden="1">
      <c r="A2742" s="386"/>
      <c r="F2742"/>
      <c r="G2742" s="3"/>
      <c r="H2742" s="449" t="s">
        <v>1667</v>
      </c>
      <c r="I2742"/>
      <c r="J2742" s="4"/>
      <c r="K2742"/>
    </row>
    <row r="2743" spans="1:11" hidden="1">
      <c r="A2743" s="386"/>
      <c r="F2743">
        <v>0.8</v>
      </c>
      <c r="G2743" s="3" t="s">
        <v>1730</v>
      </c>
      <c r="H2743" t="s">
        <v>3180</v>
      </c>
      <c r="I2743">
        <v>230</v>
      </c>
      <c r="J2743" s="4" t="s">
        <v>1730</v>
      </c>
      <c r="K2743">
        <f>I2743*F2743</f>
        <v>184</v>
      </c>
    </row>
    <row r="2744" spans="1:11" hidden="1">
      <c r="A2744" s="386"/>
      <c r="F2744">
        <v>3</v>
      </c>
      <c r="G2744" s="3" t="s">
        <v>1492</v>
      </c>
      <c r="H2744" t="s">
        <v>3181</v>
      </c>
      <c r="I2744">
        <v>20</v>
      </c>
      <c r="J2744" s="4" t="s">
        <v>1458</v>
      </c>
      <c r="K2744">
        <f>I2744*F2744</f>
        <v>60</v>
      </c>
    </row>
    <row r="2745" spans="1:11" hidden="1">
      <c r="A2745" s="386"/>
      <c r="F2745"/>
      <c r="G2745" s="3"/>
      <c r="H2745" t="s">
        <v>3178</v>
      </c>
      <c r="I2745"/>
      <c r="J2745" s="4"/>
      <c r="K2745">
        <f>SUM(K2743:K2744)*1%+1.16</f>
        <v>3.6</v>
      </c>
    </row>
    <row r="2746" spans="1:11" hidden="1">
      <c r="A2746" s="386"/>
      <c r="F2746"/>
      <c r="G2746" s="3"/>
      <c r="H2746" t="s">
        <v>144</v>
      </c>
      <c r="I2746"/>
      <c r="J2746" s="4"/>
      <c r="K2746">
        <v>32.4</v>
      </c>
    </row>
    <row r="2747" spans="1:11" hidden="1">
      <c r="A2747" s="386"/>
      <c r="F2747"/>
      <c r="G2747" s="3"/>
      <c r="H2747"/>
      <c r="I2747"/>
      <c r="J2747" s="4"/>
      <c r="K2747" s="449" t="s">
        <v>1667</v>
      </c>
    </row>
    <row r="2748" spans="1:11" hidden="1">
      <c r="A2748" s="386"/>
      <c r="F2748"/>
      <c r="G2748" s="3"/>
      <c r="H2748"/>
      <c r="I2748"/>
      <c r="J2748" s="4"/>
      <c r="K2748">
        <f>SUM(K2743:K2747)</f>
        <v>280</v>
      </c>
    </row>
    <row r="2749" spans="1:11" hidden="1">
      <c r="A2749" s="386"/>
      <c r="F2749"/>
      <c r="G2749" s="3"/>
      <c r="H2749"/>
      <c r="I2749"/>
      <c r="J2749" s="4"/>
      <c r="K2749" s="449" t="s">
        <v>2130</v>
      </c>
    </row>
    <row r="2750" spans="1:11" ht="31.5" hidden="1">
      <c r="A2750" s="386"/>
      <c r="F2750" s="465">
        <v>184</v>
      </c>
      <c r="G2750" s="3"/>
      <c r="H2750" s="29" t="s">
        <v>3404</v>
      </c>
      <c r="I2750"/>
      <c r="J2750" s="4"/>
      <c r="K2750"/>
    </row>
    <row r="2751" spans="1:11" hidden="1">
      <c r="A2751" s="386"/>
      <c r="F2751"/>
      <c r="G2751" s="3"/>
      <c r="H2751" s="449" t="s">
        <v>1667</v>
      </c>
      <c r="I2751"/>
      <c r="J2751" s="4"/>
      <c r="K2751"/>
    </row>
    <row r="2752" spans="1:11" hidden="1">
      <c r="A2752" s="386"/>
      <c r="F2752">
        <v>1</v>
      </c>
      <c r="G2752" s="3" t="s">
        <v>1454</v>
      </c>
      <c r="H2752" t="s">
        <v>3405</v>
      </c>
      <c r="I2752">
        <v>1860</v>
      </c>
      <c r="J2752" s="4" t="s">
        <v>1458</v>
      </c>
      <c r="K2752">
        <f>I2752*F2752</f>
        <v>1860</v>
      </c>
    </row>
    <row r="2753" spans="1:11" hidden="1">
      <c r="A2753" s="386"/>
      <c r="F2753">
        <v>2</v>
      </c>
      <c r="G2753" s="3" t="s">
        <v>1454</v>
      </c>
      <c r="H2753" t="s">
        <v>3406</v>
      </c>
      <c r="I2753">
        <v>46</v>
      </c>
      <c r="J2753" s="4" t="s">
        <v>1458</v>
      </c>
      <c r="K2753">
        <f t="shared" ref="K2753:K2760" si="89">I2753*F2753</f>
        <v>92</v>
      </c>
    </row>
    <row r="2754" spans="1:11" hidden="1">
      <c r="A2754" s="386"/>
      <c r="F2754">
        <v>1.5</v>
      </c>
      <c r="G2754" s="3" t="s">
        <v>840</v>
      </c>
      <c r="H2754" t="s">
        <v>3407</v>
      </c>
      <c r="I2754">
        <v>31</v>
      </c>
      <c r="J2754" s="4" t="s">
        <v>840</v>
      </c>
      <c r="K2754">
        <f t="shared" si="89"/>
        <v>46.5</v>
      </c>
    </row>
    <row r="2755" spans="1:11" hidden="1">
      <c r="A2755" s="386"/>
      <c r="F2755">
        <v>2</v>
      </c>
      <c r="G2755" s="3" t="s">
        <v>1454</v>
      </c>
      <c r="H2755" t="s">
        <v>2946</v>
      </c>
      <c r="I2755">
        <v>6</v>
      </c>
      <c r="J2755" s="4" t="s">
        <v>1458</v>
      </c>
      <c r="K2755">
        <f t="shared" si="89"/>
        <v>12</v>
      </c>
    </row>
    <row r="2756" spans="1:11" hidden="1">
      <c r="A2756" s="386"/>
      <c r="F2756">
        <v>2</v>
      </c>
      <c r="G2756" s="3" t="s">
        <v>1454</v>
      </c>
      <c r="H2756" t="s">
        <v>2947</v>
      </c>
      <c r="I2756">
        <v>12</v>
      </c>
      <c r="J2756" s="4" t="s">
        <v>1458</v>
      </c>
      <c r="K2756">
        <f t="shared" si="89"/>
        <v>24</v>
      </c>
    </row>
    <row r="2757" spans="1:11" hidden="1">
      <c r="A2757" s="386"/>
      <c r="F2757">
        <v>2</v>
      </c>
      <c r="G2757" s="3" t="s">
        <v>840</v>
      </c>
      <c r="H2757" t="s">
        <v>2948</v>
      </c>
      <c r="I2757">
        <v>7.8</v>
      </c>
      <c r="J2757" s="4" t="s">
        <v>840</v>
      </c>
      <c r="K2757">
        <f t="shared" si="89"/>
        <v>15.6</v>
      </c>
    </row>
    <row r="2758" spans="1:11" hidden="1">
      <c r="A2758" s="386"/>
      <c r="F2758">
        <v>0.1</v>
      </c>
      <c r="G2758" s="3" t="s">
        <v>1454</v>
      </c>
      <c r="H2758" t="s">
        <v>2850</v>
      </c>
      <c r="I2758">
        <f>I2867</f>
        <v>317</v>
      </c>
      <c r="J2758" s="4" t="s">
        <v>1458</v>
      </c>
      <c r="K2758">
        <f t="shared" si="89"/>
        <v>31.7</v>
      </c>
    </row>
    <row r="2759" spans="1:11" hidden="1">
      <c r="A2759" s="386"/>
      <c r="F2759">
        <v>0.2</v>
      </c>
      <c r="G2759" s="3" t="s">
        <v>1454</v>
      </c>
      <c r="H2759" t="s">
        <v>2851</v>
      </c>
      <c r="I2759">
        <f>I2868</f>
        <v>300</v>
      </c>
      <c r="J2759" s="4" t="s">
        <v>1458</v>
      </c>
      <c r="K2759">
        <f t="shared" si="89"/>
        <v>60</v>
      </c>
    </row>
    <row r="2760" spans="1:11" hidden="1">
      <c r="A2760" s="386"/>
      <c r="F2760">
        <v>0.3</v>
      </c>
      <c r="G2760" s="3" t="s">
        <v>1454</v>
      </c>
      <c r="H2760" t="s">
        <v>2430</v>
      </c>
      <c r="I2760">
        <f>I2869</f>
        <v>226</v>
      </c>
      <c r="J2760" s="4" t="s">
        <v>1458</v>
      </c>
      <c r="K2760">
        <f t="shared" si="89"/>
        <v>67.8</v>
      </c>
    </row>
    <row r="2761" spans="1:11" hidden="1">
      <c r="A2761" s="386"/>
      <c r="F2761"/>
      <c r="G2761" s="3"/>
      <c r="H2761" t="s">
        <v>3178</v>
      </c>
      <c r="I2761"/>
      <c r="J2761" s="4"/>
      <c r="K2761">
        <f>SUM(K2752:K2760)*1%-0.63</f>
        <v>21.47</v>
      </c>
    </row>
    <row r="2762" spans="1:11" hidden="1">
      <c r="A2762" s="386"/>
      <c r="F2762"/>
      <c r="G2762" s="3"/>
      <c r="H2762"/>
      <c r="I2762"/>
      <c r="J2762" s="4"/>
      <c r="K2762"/>
    </row>
    <row r="2763" spans="1:11" hidden="1">
      <c r="A2763" s="386"/>
      <c r="F2763"/>
      <c r="G2763" s="3"/>
      <c r="H2763"/>
      <c r="I2763"/>
      <c r="J2763" s="4"/>
      <c r="K2763" s="449" t="s">
        <v>1667</v>
      </c>
    </row>
    <row r="2764" spans="1:11" hidden="1">
      <c r="A2764" s="386"/>
      <c r="F2764"/>
      <c r="G2764" s="3"/>
      <c r="H2764"/>
      <c r="I2764"/>
      <c r="J2764" s="4"/>
      <c r="K2764">
        <f>SUM(K2752:K2763)</f>
        <v>2231.0700000000002</v>
      </c>
    </row>
    <row r="2765" spans="1:11" hidden="1">
      <c r="A2765" s="386"/>
      <c r="F2765"/>
      <c r="G2765" s="3"/>
      <c r="H2765"/>
      <c r="I2765"/>
      <c r="J2765" s="4"/>
      <c r="K2765" s="449" t="s">
        <v>2130</v>
      </c>
    </row>
    <row r="2766" spans="1:11" hidden="1">
      <c r="A2766" s="386"/>
      <c r="F2766" s="30">
        <v>53.4</v>
      </c>
      <c r="G2766" s="3"/>
      <c r="H2766" s="1" t="s">
        <v>3064</v>
      </c>
      <c r="I2766"/>
      <c r="J2766" s="4" t="s">
        <v>1458</v>
      </c>
      <c r="K2766">
        <v>957</v>
      </c>
    </row>
    <row r="2767" spans="1:11" hidden="1">
      <c r="A2767" s="386"/>
      <c r="F2767"/>
      <c r="G2767" s="3"/>
      <c r="H2767"/>
      <c r="I2767"/>
      <c r="J2767" s="4"/>
      <c r="K2767"/>
    </row>
    <row r="2768" spans="1:11" ht="31.5" hidden="1">
      <c r="A2768" s="386"/>
      <c r="F2768" s="466">
        <v>383</v>
      </c>
      <c r="G2768" s="3"/>
      <c r="H2768" s="29" t="s">
        <v>3649</v>
      </c>
      <c r="I2768"/>
      <c r="J2768" s="4" t="s">
        <v>1458</v>
      </c>
      <c r="K2768">
        <v>600</v>
      </c>
    </row>
    <row r="2769" spans="1:11" hidden="1">
      <c r="A2769" s="386"/>
      <c r="F2769"/>
      <c r="G2769" s="3"/>
      <c r="H2769"/>
      <c r="I2769"/>
      <c r="J2769" s="4"/>
      <c r="K2769"/>
    </row>
    <row r="2770" spans="1:11" hidden="1">
      <c r="A2770" s="386"/>
      <c r="F2770"/>
      <c r="G2770" s="3"/>
      <c r="H2770"/>
      <c r="I2770"/>
      <c r="J2770" s="4"/>
      <c r="K2770"/>
    </row>
    <row r="2771" spans="1:11" hidden="1">
      <c r="A2771" s="386"/>
      <c r="F2771" s="467">
        <v>344.2</v>
      </c>
      <c r="G2771" s="3"/>
      <c r="H2771" s="29" t="s">
        <v>2515</v>
      </c>
      <c r="I2771"/>
      <c r="J2771" s="4" t="s">
        <v>1458</v>
      </c>
      <c r="K2771">
        <v>300</v>
      </c>
    </row>
    <row r="2772" spans="1:11" hidden="1">
      <c r="A2772" s="386"/>
      <c r="F2772" s="466"/>
      <c r="G2772" s="3"/>
      <c r="H2772"/>
      <c r="I2772"/>
      <c r="J2772" s="4"/>
      <c r="K2772"/>
    </row>
    <row r="2773" spans="1:11" hidden="1">
      <c r="A2773" s="386"/>
      <c r="F2773" s="466"/>
      <c r="G2773" s="3"/>
      <c r="H2773"/>
      <c r="I2773"/>
      <c r="J2773" s="4"/>
      <c r="K2773"/>
    </row>
    <row r="2774" spans="1:11" hidden="1">
      <c r="A2774" s="386"/>
      <c r="F2774" s="466"/>
      <c r="G2774" s="3"/>
      <c r="H2774"/>
      <c r="I2774"/>
      <c r="J2774" s="4"/>
      <c r="K2774"/>
    </row>
    <row r="2775" spans="1:11" hidden="1">
      <c r="A2775" s="386"/>
      <c r="F2775" s="467">
        <v>344.1</v>
      </c>
      <c r="G2775" s="3"/>
      <c r="H2775" s="29" t="s">
        <v>2516</v>
      </c>
      <c r="I2775"/>
      <c r="J2775" s="4" t="s">
        <v>1458</v>
      </c>
      <c r="K2775">
        <v>260</v>
      </c>
    </row>
    <row r="2776" spans="1:11" hidden="1">
      <c r="A2776" s="386"/>
      <c r="F2776" s="304"/>
      <c r="G2776" s="3"/>
      <c r="H2776"/>
      <c r="I2776"/>
      <c r="J2776" s="4"/>
      <c r="K2776"/>
    </row>
    <row r="2777" spans="1:11" hidden="1">
      <c r="A2777" s="386"/>
      <c r="F2777" s="304"/>
      <c r="G2777" s="3"/>
      <c r="H2777"/>
      <c r="I2777"/>
      <c r="J2777" s="4"/>
      <c r="K2777"/>
    </row>
    <row r="2778" spans="1:11" hidden="1">
      <c r="A2778" s="386"/>
      <c r="F2778">
        <v>384</v>
      </c>
      <c r="G2778" s="3"/>
      <c r="H2778"/>
      <c r="I2778"/>
      <c r="J2778" s="4"/>
      <c r="K2778"/>
    </row>
    <row r="2779" spans="1:11" hidden="1">
      <c r="A2779" s="386"/>
      <c r="F2779"/>
      <c r="G2779" s="3"/>
      <c r="H2779" s="29" t="s">
        <v>2517</v>
      </c>
      <c r="I2779"/>
      <c r="J2779" s="4" t="s">
        <v>1458</v>
      </c>
      <c r="K2779">
        <v>650</v>
      </c>
    </row>
    <row r="2780" spans="1:11" hidden="1">
      <c r="A2780" s="386"/>
      <c r="F2780"/>
      <c r="G2780" s="3"/>
      <c r="H2780"/>
      <c r="I2780"/>
      <c r="J2780" s="4"/>
      <c r="K2780"/>
    </row>
    <row r="2781" spans="1:11" ht="19.5" hidden="1">
      <c r="A2781" s="386"/>
      <c r="F2781" s="468">
        <v>385</v>
      </c>
      <c r="G2781" s="3"/>
      <c r="H2781" t="s">
        <v>2949</v>
      </c>
      <c r="I2781"/>
      <c r="J2781" s="4"/>
      <c r="K2781"/>
    </row>
    <row r="2782" spans="1:11" hidden="1">
      <c r="A2782" s="386"/>
      <c r="F2782"/>
      <c r="G2782" s="3"/>
      <c r="H2782" s="61" t="s">
        <v>2950</v>
      </c>
      <c r="I2782"/>
      <c r="J2782" s="4"/>
      <c r="K2782"/>
    </row>
    <row r="2783" spans="1:11" hidden="1">
      <c r="A2783" s="386"/>
      <c r="F2783">
        <v>4</v>
      </c>
      <c r="G2783" s="3" t="s">
        <v>840</v>
      </c>
      <c r="H2783" t="s">
        <v>3399</v>
      </c>
      <c r="I2783">
        <v>110</v>
      </c>
      <c r="J2783" s="3" t="s">
        <v>840</v>
      </c>
      <c r="K2783">
        <f>I2783*F2783</f>
        <v>440</v>
      </c>
    </row>
    <row r="2784" spans="1:11" hidden="1">
      <c r="A2784" s="386"/>
      <c r="F2784">
        <v>2.52</v>
      </c>
      <c r="G2784" s="3" t="s">
        <v>1730</v>
      </c>
      <c r="H2784" t="s">
        <v>3400</v>
      </c>
      <c r="I2784">
        <v>30</v>
      </c>
      <c r="J2784" s="3" t="s">
        <v>1730</v>
      </c>
      <c r="K2784">
        <f t="shared" ref="K2784:K2790" si="90">I2784*F2784</f>
        <v>75.599999999999994</v>
      </c>
    </row>
    <row r="2785" spans="1:11" hidden="1">
      <c r="A2785" s="386"/>
      <c r="F2785">
        <v>1.1299999999999999</v>
      </c>
      <c r="G2785" s="3" t="s">
        <v>1730</v>
      </c>
      <c r="H2785" t="s">
        <v>3269</v>
      </c>
      <c r="I2785">
        <v>30</v>
      </c>
      <c r="J2785" s="3" t="s">
        <v>1730</v>
      </c>
      <c r="K2785">
        <f t="shared" si="90"/>
        <v>33.9</v>
      </c>
    </row>
    <row r="2786" spans="1:11" hidden="1">
      <c r="A2786" s="386"/>
      <c r="F2786">
        <v>0.35</v>
      </c>
      <c r="G2786" s="3" t="s">
        <v>1730</v>
      </c>
      <c r="H2786" t="s">
        <v>3270</v>
      </c>
      <c r="I2786">
        <v>30</v>
      </c>
      <c r="J2786" s="3" t="s">
        <v>1730</v>
      </c>
      <c r="K2786">
        <f t="shared" si="90"/>
        <v>10.5</v>
      </c>
    </row>
    <row r="2787" spans="1:11" hidden="1">
      <c r="A2787" s="386"/>
      <c r="F2787">
        <v>4</v>
      </c>
      <c r="G2787" s="3" t="s">
        <v>1730</v>
      </c>
      <c r="H2787" t="s">
        <v>3271</v>
      </c>
      <c r="I2787">
        <v>12.25</v>
      </c>
      <c r="J2787" s="3" t="s">
        <v>1730</v>
      </c>
      <c r="K2787">
        <f t="shared" si="90"/>
        <v>49</v>
      </c>
    </row>
    <row r="2788" spans="1:11" hidden="1">
      <c r="A2788" s="386"/>
      <c r="F2788">
        <v>6</v>
      </c>
      <c r="G2788" s="3" t="s">
        <v>1492</v>
      </c>
      <c r="H2788" t="s">
        <v>3272</v>
      </c>
      <c r="I2788">
        <v>1</v>
      </c>
      <c r="J2788" s="3" t="s">
        <v>1492</v>
      </c>
      <c r="K2788">
        <f t="shared" si="90"/>
        <v>6</v>
      </c>
    </row>
    <row r="2789" spans="1:11" hidden="1">
      <c r="A2789" s="386"/>
      <c r="F2789">
        <v>0.5</v>
      </c>
      <c r="G2789" s="3" t="s">
        <v>1492</v>
      </c>
      <c r="H2789" t="s">
        <v>353</v>
      </c>
      <c r="I2789">
        <f>C12</f>
        <v>95</v>
      </c>
      <c r="J2789" s="3" t="s">
        <v>1458</v>
      </c>
      <c r="K2789">
        <f t="shared" si="90"/>
        <v>47.5</v>
      </c>
    </row>
    <row r="2790" spans="1:11" hidden="1">
      <c r="A2790" s="386"/>
      <c r="F2790">
        <v>0.5</v>
      </c>
      <c r="G2790" s="3" t="s">
        <v>1492</v>
      </c>
      <c r="H2790" t="s">
        <v>1282</v>
      </c>
      <c r="I2790">
        <f>C13</f>
        <v>85</v>
      </c>
      <c r="J2790" s="3" t="s">
        <v>1458</v>
      </c>
      <c r="K2790">
        <f t="shared" si="90"/>
        <v>42.5</v>
      </c>
    </row>
    <row r="2791" spans="1:11" hidden="1">
      <c r="A2791" s="386"/>
      <c r="F2791"/>
      <c r="G2791" s="3"/>
      <c r="H2791"/>
      <c r="I2791"/>
      <c r="J2791" s="3"/>
      <c r="K2791" s="61" t="s">
        <v>3500</v>
      </c>
    </row>
    <row r="2792" spans="1:11" hidden="1">
      <c r="A2792" s="386"/>
      <c r="F2792"/>
      <c r="G2792" s="3"/>
      <c r="H2792" t="s">
        <v>3273</v>
      </c>
      <c r="I2792"/>
      <c r="J2792" s="4"/>
      <c r="K2792">
        <f>SUM(K2783:K2791)</f>
        <v>705</v>
      </c>
    </row>
    <row r="2793" spans="1:11" hidden="1">
      <c r="A2793" s="386"/>
      <c r="F2793"/>
      <c r="G2793" s="3"/>
      <c r="H2793"/>
      <c r="I2793"/>
      <c r="J2793" s="4"/>
      <c r="K2793" s="61" t="s">
        <v>3235</v>
      </c>
    </row>
    <row r="2794" spans="1:11" hidden="1">
      <c r="A2794" s="386"/>
      <c r="F2794"/>
      <c r="G2794" s="3"/>
      <c r="H2794" t="s">
        <v>2929</v>
      </c>
      <c r="I2794"/>
      <c r="J2794" s="4"/>
      <c r="K2794">
        <f>K2792/2</f>
        <v>352.5</v>
      </c>
    </row>
    <row r="2795" spans="1:11" hidden="1">
      <c r="A2795" s="386"/>
      <c r="F2795"/>
      <c r="G2795" s="3"/>
      <c r="H2795"/>
      <c r="I2795"/>
      <c r="J2795" s="4"/>
      <c r="K2795" s="61" t="s">
        <v>38</v>
      </c>
    </row>
    <row r="2796" spans="1:11" ht="19.5" hidden="1">
      <c r="A2796" s="386"/>
      <c r="F2796" s="450">
        <v>112.1</v>
      </c>
      <c r="G2796" s="3"/>
      <c r="H2796" s="469" t="s">
        <v>2580</v>
      </c>
      <c r="I2796"/>
      <c r="J2796" s="4"/>
      <c r="K2796"/>
    </row>
    <row r="2797" spans="1:11" hidden="1">
      <c r="A2797" s="386"/>
      <c r="F2797"/>
      <c r="G2797" s="3"/>
      <c r="H2797" s="61" t="s">
        <v>2581</v>
      </c>
      <c r="I2797"/>
      <c r="J2797" s="4"/>
      <c r="K2797"/>
    </row>
    <row r="2798" spans="1:11" hidden="1">
      <c r="A2798" s="386"/>
      <c r="F2798">
        <v>1</v>
      </c>
      <c r="G2798" s="3" t="s">
        <v>1454</v>
      </c>
      <c r="H2798" s="29" t="s">
        <v>2580</v>
      </c>
      <c r="I2798" s="213">
        <v>1059</v>
      </c>
      <c r="J2798" s="4" t="s">
        <v>1458</v>
      </c>
      <c r="K2798">
        <f>I2798*F2798</f>
        <v>1059</v>
      </c>
    </row>
    <row r="2799" spans="1:11" ht="31.5" hidden="1">
      <c r="A2799" s="386"/>
      <c r="F2799">
        <v>1</v>
      </c>
      <c r="G2799" s="3" t="s">
        <v>1454</v>
      </c>
      <c r="H2799" s="29" t="s">
        <v>2582</v>
      </c>
      <c r="I2799">
        <v>95</v>
      </c>
      <c r="J2799" s="4" t="s">
        <v>1458</v>
      </c>
      <c r="K2799">
        <f>I2799*F2799</f>
        <v>95</v>
      </c>
    </row>
    <row r="2800" spans="1:11" ht="31.5" hidden="1">
      <c r="A2800" s="386"/>
      <c r="F2800" t="s">
        <v>448</v>
      </c>
      <c r="G2800" s="3"/>
      <c r="H2800" s="29" t="s">
        <v>2621</v>
      </c>
      <c r="I2800"/>
      <c r="J2800" s="4" t="s">
        <v>448</v>
      </c>
      <c r="K2800">
        <v>16.64</v>
      </c>
    </row>
    <row r="2801" spans="1:11" hidden="1">
      <c r="A2801" s="386"/>
      <c r="F2801"/>
      <c r="G2801" s="3"/>
      <c r="H2801" t="s">
        <v>2622</v>
      </c>
      <c r="I2801"/>
      <c r="J2801" s="4"/>
      <c r="K2801">
        <v>10.11</v>
      </c>
    </row>
    <row r="2802" spans="1:11" hidden="1">
      <c r="A2802" s="386"/>
      <c r="F2802"/>
      <c r="G2802" s="3"/>
      <c r="H2802" t="s">
        <v>1563</v>
      </c>
      <c r="I2802"/>
      <c r="J2802" s="4" t="s">
        <v>1458</v>
      </c>
      <c r="K2802">
        <f>K2811</f>
        <v>78.25</v>
      </c>
    </row>
    <row r="2803" spans="1:11" hidden="1">
      <c r="A2803" s="386"/>
      <c r="F2803"/>
      <c r="G2803" s="3"/>
      <c r="H2803"/>
      <c r="I2803"/>
      <c r="J2803" s="4"/>
      <c r="K2803" s="61" t="s">
        <v>2427</v>
      </c>
    </row>
    <row r="2804" spans="1:11" hidden="1">
      <c r="A2804" s="386"/>
      <c r="F2804"/>
      <c r="G2804" s="3"/>
      <c r="H2804"/>
      <c r="I2804"/>
      <c r="J2804" s="4"/>
      <c r="K2804">
        <f>SUM(K2798:K2803)</f>
        <v>1259</v>
      </c>
    </row>
    <row r="2805" spans="1:11" hidden="1">
      <c r="A2805" s="386"/>
      <c r="F2805"/>
      <c r="G2805" s="3"/>
      <c r="H2805"/>
      <c r="I2805"/>
      <c r="J2805" s="4"/>
      <c r="K2805" s="61" t="s">
        <v>894</v>
      </c>
    </row>
    <row r="2806" spans="1:11" hidden="1">
      <c r="A2806" s="386"/>
      <c r="F2806" t="s">
        <v>144</v>
      </c>
      <c r="G2806" s="3"/>
      <c r="H2806"/>
      <c r="I2806"/>
      <c r="J2806" s="4"/>
      <c r="K2806"/>
    </row>
    <row r="2807" spans="1:11" hidden="1">
      <c r="A2807" s="386"/>
      <c r="F2807">
        <v>1</v>
      </c>
      <c r="G2807" s="3" t="s">
        <v>1454</v>
      </c>
      <c r="H2807" t="s">
        <v>2623</v>
      </c>
      <c r="I2807">
        <v>131</v>
      </c>
      <c r="J2807" s="4" t="s">
        <v>1458</v>
      </c>
      <c r="K2807">
        <f>I2807*F2807</f>
        <v>131</v>
      </c>
    </row>
    <row r="2808" spans="1:11" hidden="1">
      <c r="A2808" s="386"/>
      <c r="F2808">
        <v>2</v>
      </c>
      <c r="G2808" s="3" t="s">
        <v>1492</v>
      </c>
      <c r="H2808" t="s">
        <v>2430</v>
      </c>
      <c r="I2808">
        <v>91</v>
      </c>
      <c r="J2808" s="4" t="s">
        <v>1458</v>
      </c>
      <c r="K2808">
        <f>I2808*F2808</f>
        <v>182</v>
      </c>
    </row>
    <row r="2809" spans="1:11" hidden="1">
      <c r="A2809" s="386"/>
      <c r="F2809"/>
      <c r="G2809" s="3"/>
      <c r="H2809"/>
      <c r="I2809"/>
      <c r="J2809" s="4"/>
      <c r="K2809" s="61" t="s">
        <v>2427</v>
      </c>
    </row>
    <row r="2810" spans="1:11" hidden="1">
      <c r="A2810" s="386"/>
      <c r="F2810"/>
      <c r="G2810" s="3"/>
      <c r="H2810" t="s">
        <v>2624</v>
      </c>
      <c r="I2810"/>
      <c r="J2810" s="4"/>
      <c r="K2810">
        <f>SUM(K2807:K2809)</f>
        <v>313</v>
      </c>
    </row>
    <row r="2811" spans="1:11" hidden="1">
      <c r="A2811" s="386"/>
      <c r="F2811"/>
      <c r="G2811" s="3"/>
      <c r="H2811" t="s">
        <v>2625</v>
      </c>
      <c r="I2811"/>
      <c r="J2811" s="4"/>
      <c r="K2811">
        <f>K2810/4</f>
        <v>78.25</v>
      </c>
    </row>
    <row r="2812" spans="1:11" hidden="1">
      <c r="A2812" s="386"/>
      <c r="F2812"/>
      <c r="G2812" s="3"/>
      <c r="H2812" s="6"/>
      <c r="I2812"/>
      <c r="J2812" s="4"/>
      <c r="K2812" s="8"/>
    </row>
    <row r="2813" spans="1:11" hidden="1">
      <c r="A2813" s="386"/>
      <c r="F2813">
        <v>70.5</v>
      </c>
      <c r="G2813" s="3"/>
      <c r="H2813" t="s">
        <v>2626</v>
      </c>
      <c r="I2813"/>
      <c r="J2813" s="4"/>
      <c r="K2813"/>
    </row>
    <row r="2814" spans="1:11" hidden="1">
      <c r="A2814" s="386"/>
      <c r="F2814"/>
      <c r="G2814" s="3"/>
      <c r="H2814" s="449" t="s">
        <v>1667</v>
      </c>
      <c r="I2814"/>
      <c r="J2814" s="4"/>
      <c r="K2814"/>
    </row>
    <row r="2815" spans="1:11" ht="63" hidden="1">
      <c r="A2815" s="386"/>
      <c r="F2815" s="448">
        <v>1</v>
      </c>
      <c r="G2815" s="448" t="s">
        <v>1454</v>
      </c>
      <c r="H2815" s="448" t="s">
        <v>3032</v>
      </c>
      <c r="I2815">
        <v>322</v>
      </c>
      <c r="J2815" s="4" t="s">
        <v>1458</v>
      </c>
      <c r="K2815">
        <f>F2815*I2815</f>
        <v>322</v>
      </c>
    </row>
    <row r="2816" spans="1:11" hidden="1">
      <c r="A2816" s="386"/>
      <c r="F2816" s="448">
        <v>1</v>
      </c>
      <c r="G2816" s="448" t="s">
        <v>1454</v>
      </c>
      <c r="H2816" t="s">
        <v>3033</v>
      </c>
      <c r="I2816" s="213">
        <v>37</v>
      </c>
      <c r="J2816" s="4" t="s">
        <v>1458</v>
      </c>
      <c r="K2816">
        <f>F2816*I2816</f>
        <v>37</v>
      </c>
    </row>
    <row r="2817" spans="1:11" hidden="1">
      <c r="A2817" s="386"/>
      <c r="F2817" s="448">
        <v>2</v>
      </c>
      <c r="G2817" s="448" t="s">
        <v>1454</v>
      </c>
      <c r="H2817" t="s">
        <v>3034</v>
      </c>
      <c r="I2817">
        <v>600</v>
      </c>
      <c r="J2817" s="4" t="s">
        <v>3035</v>
      </c>
      <c r="K2817">
        <f>(F2817*I2817)/100</f>
        <v>12</v>
      </c>
    </row>
    <row r="2818" spans="1:11" hidden="1">
      <c r="A2818" s="386"/>
      <c r="F2818" s="448">
        <v>2</v>
      </c>
      <c r="G2818" s="448" t="s">
        <v>1454</v>
      </c>
      <c r="H2818" t="s">
        <v>3036</v>
      </c>
      <c r="I2818">
        <v>914.1</v>
      </c>
      <c r="J2818" s="4" t="s">
        <v>3037</v>
      </c>
      <c r="K2818">
        <f>(F2818*I2818)/100</f>
        <v>18.28</v>
      </c>
    </row>
    <row r="2819" spans="1:11" hidden="1">
      <c r="A2819" s="386"/>
      <c r="F2819" s="448"/>
      <c r="G2819" s="448"/>
      <c r="H2819" t="s">
        <v>3038</v>
      </c>
      <c r="I2819">
        <f>K2830</f>
        <v>49.25</v>
      </c>
      <c r="J2819" s="4" t="s">
        <v>448</v>
      </c>
      <c r="K2819">
        <f>I2819</f>
        <v>49.25</v>
      </c>
    </row>
    <row r="2820" spans="1:11" hidden="1">
      <c r="A2820" s="386"/>
      <c r="F2820"/>
      <c r="G2820" s="3"/>
      <c r="H2820" t="s">
        <v>3039</v>
      </c>
      <c r="I2820"/>
      <c r="J2820" s="4" t="s">
        <v>448</v>
      </c>
      <c r="K2820">
        <v>1.84</v>
      </c>
    </row>
    <row r="2821" spans="1:11" hidden="1">
      <c r="A2821" s="386"/>
      <c r="F2821"/>
      <c r="G2821" s="3"/>
      <c r="H2821"/>
      <c r="I2821"/>
      <c r="J2821" s="4"/>
      <c r="K2821" s="449" t="s">
        <v>1667</v>
      </c>
    </row>
    <row r="2822" spans="1:11" hidden="1">
      <c r="A2822" s="386"/>
      <c r="F2822"/>
      <c r="G2822" s="3"/>
      <c r="H2822" t="s">
        <v>2332</v>
      </c>
      <c r="I2822"/>
      <c r="J2822" s="4"/>
      <c r="K2822">
        <f>SUM(K2815:K2821)</f>
        <v>440.37</v>
      </c>
    </row>
    <row r="2823" spans="1:11" hidden="1">
      <c r="A2823" s="386"/>
      <c r="F2823"/>
      <c r="G2823" s="3"/>
      <c r="H2823"/>
      <c r="I2823"/>
      <c r="J2823" s="4"/>
      <c r="K2823" s="449" t="s">
        <v>2130</v>
      </c>
    </row>
    <row r="2824" spans="1:11" hidden="1">
      <c r="A2824" s="386"/>
      <c r="F2824"/>
      <c r="G2824" s="3"/>
      <c r="H2824" t="s">
        <v>3040</v>
      </c>
      <c r="I2824"/>
      <c r="J2824" s="4"/>
      <c r="K2824"/>
    </row>
    <row r="2825" spans="1:11" hidden="1">
      <c r="A2825" s="386"/>
      <c r="F2825">
        <v>1</v>
      </c>
      <c r="G2825" s="3" t="s">
        <v>1454</v>
      </c>
      <c r="H2825" t="s">
        <v>3521</v>
      </c>
      <c r="I2825">
        <v>160</v>
      </c>
      <c r="J2825" s="4" t="s">
        <v>1458</v>
      </c>
      <c r="K2825">
        <f>F2825*I2825</f>
        <v>160</v>
      </c>
    </row>
    <row r="2826" spans="1:11" hidden="1">
      <c r="A2826" s="386"/>
      <c r="F2826">
        <v>2</v>
      </c>
      <c r="G2826" s="3" t="s">
        <v>1454</v>
      </c>
      <c r="H2826" t="s">
        <v>3522</v>
      </c>
      <c r="I2826">
        <v>149</v>
      </c>
      <c r="J2826" s="4" t="s">
        <v>1458</v>
      </c>
      <c r="K2826">
        <f>F2826*I2826</f>
        <v>298</v>
      </c>
    </row>
    <row r="2827" spans="1:11" hidden="1">
      <c r="A2827" s="386"/>
      <c r="F2827">
        <v>3</v>
      </c>
      <c r="G2827" s="3" t="s">
        <v>1454</v>
      </c>
      <c r="H2827" t="s">
        <v>2430</v>
      </c>
      <c r="I2827">
        <v>110</v>
      </c>
      <c r="J2827" s="4" t="s">
        <v>1458</v>
      </c>
      <c r="K2827">
        <f>F2827*I2827</f>
        <v>330</v>
      </c>
    </row>
    <row r="2828" spans="1:11" hidden="1">
      <c r="A2828" s="386"/>
      <c r="F2828"/>
      <c r="G2828" s="3"/>
      <c r="H2828"/>
      <c r="I2828"/>
      <c r="J2828" s="4"/>
      <c r="K2828" s="449" t="s">
        <v>1667</v>
      </c>
    </row>
    <row r="2829" spans="1:11" hidden="1">
      <c r="A2829" s="386"/>
      <c r="F2829"/>
      <c r="G2829" s="3"/>
      <c r="H2829" t="s">
        <v>3041</v>
      </c>
      <c r="I2829"/>
      <c r="J2829" s="4"/>
      <c r="K2829">
        <f>SUM(K2825:K2828)</f>
        <v>788</v>
      </c>
    </row>
    <row r="2830" spans="1:11" hidden="1">
      <c r="A2830" s="386"/>
      <c r="F2830"/>
      <c r="G2830" s="3"/>
      <c r="H2830" t="s">
        <v>3042</v>
      </c>
      <c r="I2830"/>
      <c r="J2830" s="4"/>
      <c r="K2830">
        <f>K2829/16</f>
        <v>49.25</v>
      </c>
    </row>
    <row r="2831" spans="1:11" hidden="1">
      <c r="A2831" s="386"/>
      <c r="F2831"/>
      <c r="G2831" s="3"/>
      <c r="H2831"/>
      <c r="I2831"/>
      <c r="J2831" s="4"/>
      <c r="K2831" s="449" t="s">
        <v>1667</v>
      </c>
    </row>
    <row r="2832" spans="1:11" hidden="1">
      <c r="A2832" s="386"/>
    </row>
    <row r="2833" spans="1:18">
      <c r="A2833" s="386"/>
    </row>
    <row r="2834" spans="1:18">
      <c r="A2834" s="386"/>
      <c r="H2834" s="470" t="s">
        <v>3043</v>
      </c>
    </row>
    <row r="2835" spans="1:18">
      <c r="A2835" s="386"/>
    </row>
    <row r="2836" spans="1:18">
      <c r="A2836" s="386"/>
      <c r="H2836" s="470" t="s">
        <v>3044</v>
      </c>
    </row>
    <row r="2837" spans="1:18" ht="22.5" customHeight="1">
      <c r="A2837" s="386"/>
      <c r="H2837" s="254" t="s">
        <v>3045</v>
      </c>
      <c r="O2837" s="471" t="s">
        <v>3046</v>
      </c>
    </row>
    <row r="2838" spans="1:18">
      <c r="A2838" s="386"/>
      <c r="H2838" s="254" t="s">
        <v>3047</v>
      </c>
    </row>
    <row r="2839" spans="1:18">
      <c r="A2839" s="386"/>
    </row>
    <row r="2840" spans="1:18">
      <c r="A2840" s="386"/>
      <c r="H2840" s="254" t="s">
        <v>3048</v>
      </c>
    </row>
    <row r="2841" spans="1:18">
      <c r="A2841" s="386"/>
    </row>
    <row r="2842" spans="1:18" ht="170.25" customHeight="1">
      <c r="A2842" s="386"/>
      <c r="H2842" s="472" t="s">
        <v>2490</v>
      </c>
      <c r="M2842" s="473"/>
      <c r="N2842" s="473"/>
      <c r="O2842" s="472" t="s">
        <v>2987</v>
      </c>
      <c r="P2842" s="473"/>
      <c r="Q2842" s="473"/>
      <c r="R2842" s="473"/>
    </row>
    <row r="2843" spans="1:18" ht="31.5">
      <c r="A2843" s="386"/>
      <c r="F2843" s="473">
        <v>90</v>
      </c>
      <c r="G2843" s="473" t="s">
        <v>840</v>
      </c>
      <c r="H2843" s="394" t="s">
        <v>2662</v>
      </c>
      <c r="I2843" s="474">
        <v>14.05</v>
      </c>
      <c r="J2843" s="473" t="s">
        <v>2663</v>
      </c>
      <c r="K2843" s="473">
        <f>F2843*I2843</f>
        <v>1264.5</v>
      </c>
      <c r="M2843" s="473"/>
      <c r="N2843" s="473"/>
      <c r="O2843" s="471"/>
      <c r="P2843" s="473"/>
      <c r="Q2843" s="473"/>
      <c r="R2843" s="473"/>
    </row>
    <row r="2844" spans="1:18" ht="31.5">
      <c r="A2844" s="386"/>
      <c r="E2844" s="473"/>
      <c r="F2844" s="473">
        <v>45</v>
      </c>
      <c r="G2844" s="473" t="s">
        <v>840</v>
      </c>
      <c r="H2844" s="472" t="s">
        <v>2466</v>
      </c>
      <c r="I2844" s="474">
        <v>20.399999999999999</v>
      </c>
      <c r="J2844" s="473" t="s">
        <v>2467</v>
      </c>
      <c r="K2844" s="473">
        <f t="shared" ref="K2844:K2856" si="91">F2844*I2844</f>
        <v>918</v>
      </c>
      <c r="L2844" s="473"/>
      <c r="M2844" s="473"/>
      <c r="N2844" s="473"/>
      <c r="P2844" s="473" t="s">
        <v>995</v>
      </c>
      <c r="Q2844" s="473"/>
      <c r="R2844" s="473"/>
    </row>
    <row r="2845" spans="1:18">
      <c r="A2845" s="386"/>
      <c r="E2845" s="473"/>
      <c r="F2845" s="473">
        <v>20</v>
      </c>
      <c r="G2845" s="473" t="s">
        <v>1454</v>
      </c>
      <c r="H2845" s="473" t="s">
        <v>2468</v>
      </c>
      <c r="I2845" s="474">
        <v>3.3</v>
      </c>
      <c r="J2845" s="473" t="s">
        <v>1454</v>
      </c>
      <c r="K2845" s="473">
        <f t="shared" si="91"/>
        <v>66</v>
      </c>
      <c r="L2845" s="473"/>
      <c r="M2845" s="473"/>
      <c r="N2845" s="473"/>
      <c r="O2845" s="473"/>
      <c r="P2845" s="473"/>
      <c r="Q2845" s="473"/>
      <c r="R2845" s="473"/>
    </row>
    <row r="2846" spans="1:18" ht="16.5" customHeight="1">
      <c r="A2846" s="386"/>
      <c r="E2846" s="473"/>
      <c r="F2846" s="473">
        <v>10</v>
      </c>
      <c r="G2846" s="473" t="s">
        <v>1454</v>
      </c>
      <c r="H2846" s="473" t="s">
        <v>3571</v>
      </c>
      <c r="I2846" s="475">
        <f>16.4/12</f>
        <v>1.37</v>
      </c>
      <c r="J2846" s="473" t="s">
        <v>1454</v>
      </c>
      <c r="K2846" s="473">
        <f t="shared" si="91"/>
        <v>13.7</v>
      </c>
      <c r="L2846" s="473"/>
      <c r="M2846" s="473">
        <v>90</v>
      </c>
      <c r="N2846" s="473" t="s">
        <v>840</v>
      </c>
      <c r="O2846" s="394" t="s">
        <v>2662</v>
      </c>
      <c r="P2846" s="473">
        <f>I2856</f>
        <v>14.05</v>
      </c>
      <c r="Q2846" s="473" t="s">
        <v>840</v>
      </c>
      <c r="R2846" s="473">
        <f>M2846*P2846</f>
        <v>1264.5</v>
      </c>
    </row>
    <row r="2847" spans="1:18" ht="18.75" customHeight="1">
      <c r="A2847" s="386"/>
      <c r="E2847" s="473"/>
      <c r="F2847" s="473">
        <v>1</v>
      </c>
      <c r="G2847" s="473" t="s">
        <v>1454</v>
      </c>
      <c r="H2847" s="473" t="s">
        <v>3572</v>
      </c>
      <c r="I2847" s="475">
        <v>67</v>
      </c>
      <c r="J2847" s="473" t="s">
        <v>1454</v>
      </c>
      <c r="K2847" s="473">
        <f t="shared" si="91"/>
        <v>67</v>
      </c>
      <c r="L2847" s="473"/>
      <c r="M2847" s="473">
        <v>45</v>
      </c>
      <c r="N2847" s="473" t="s">
        <v>840</v>
      </c>
      <c r="O2847" s="472" t="s">
        <v>2466</v>
      </c>
      <c r="P2847" s="473">
        <f>I2844</f>
        <v>20.399999999999999</v>
      </c>
      <c r="Q2847" s="473" t="s">
        <v>2467</v>
      </c>
      <c r="R2847" s="473">
        <f t="shared" ref="R2847:R2859" si="92">M2847*P2847</f>
        <v>918</v>
      </c>
    </row>
    <row r="2848" spans="1:18">
      <c r="A2848" s="386"/>
      <c r="E2848" s="473"/>
      <c r="F2848" s="473"/>
      <c r="G2848" s="473"/>
      <c r="H2848" s="473"/>
      <c r="I2848" s="473"/>
      <c r="J2848" s="473"/>
      <c r="K2848" s="473"/>
      <c r="L2848" s="473"/>
      <c r="M2848" s="473">
        <v>75</v>
      </c>
      <c r="N2848" s="473" t="s">
        <v>1454</v>
      </c>
      <c r="O2848" s="473" t="s">
        <v>3573</v>
      </c>
      <c r="P2848" s="473">
        <v>2.5</v>
      </c>
      <c r="Q2848" s="473" t="s">
        <v>3574</v>
      </c>
      <c r="R2848" s="473">
        <f>M2848*P2848/12</f>
        <v>15.63</v>
      </c>
    </row>
    <row r="2849" spans="1:18">
      <c r="A2849" s="386"/>
      <c r="E2849" s="473"/>
      <c r="F2849" s="476">
        <v>1.4999999999999999E-2</v>
      </c>
      <c r="G2849" s="473" t="s">
        <v>2371</v>
      </c>
      <c r="H2849" s="473" t="s">
        <v>3440</v>
      </c>
      <c r="I2849" s="474">
        <v>672</v>
      </c>
      <c r="J2849" s="473" t="s">
        <v>2371</v>
      </c>
      <c r="K2849" s="473">
        <f t="shared" si="91"/>
        <v>10.08</v>
      </c>
      <c r="L2849" s="473"/>
      <c r="M2849" s="473">
        <v>12</v>
      </c>
      <c r="N2849" s="473" t="s">
        <v>1454</v>
      </c>
      <c r="O2849" s="473" t="s">
        <v>2468</v>
      </c>
      <c r="P2849" s="473">
        <f>I2845</f>
        <v>3.3</v>
      </c>
      <c r="Q2849" s="473" t="s">
        <v>1454</v>
      </c>
      <c r="R2849" s="473">
        <f t="shared" si="92"/>
        <v>39.6</v>
      </c>
    </row>
    <row r="2850" spans="1:18">
      <c r="A2850" s="386"/>
      <c r="E2850" s="473"/>
      <c r="F2850" s="473">
        <v>10</v>
      </c>
      <c r="G2850" s="473" t="s">
        <v>1454</v>
      </c>
      <c r="H2850" s="473" t="s">
        <v>3441</v>
      </c>
      <c r="I2850" s="474">
        <f>ROUND(203/12,2)</f>
        <v>16.920000000000002</v>
      </c>
      <c r="J2850" s="473" t="s">
        <v>1454</v>
      </c>
      <c r="K2850" s="473">
        <f t="shared" si="91"/>
        <v>169.2</v>
      </c>
      <c r="L2850" s="473"/>
      <c r="M2850" s="473">
        <v>6</v>
      </c>
      <c r="N2850" s="473" t="s">
        <v>1454</v>
      </c>
      <c r="O2850" s="473" t="s">
        <v>3571</v>
      </c>
      <c r="P2850" s="473">
        <f>I2846</f>
        <v>1.37</v>
      </c>
      <c r="Q2850" s="473" t="s">
        <v>1454</v>
      </c>
      <c r="R2850" s="473">
        <f t="shared" si="92"/>
        <v>8.2200000000000006</v>
      </c>
    </row>
    <row r="2851" spans="1:18">
      <c r="A2851" s="386"/>
      <c r="E2851" s="473"/>
      <c r="F2851" s="473">
        <v>10</v>
      </c>
      <c r="G2851" s="473" t="s">
        <v>1454</v>
      </c>
      <c r="H2851" s="473" t="s">
        <v>2755</v>
      </c>
      <c r="I2851" s="474">
        <v>16.5</v>
      </c>
      <c r="J2851" s="473" t="s">
        <v>1454</v>
      </c>
      <c r="K2851" s="473">
        <f t="shared" si="91"/>
        <v>165</v>
      </c>
      <c r="L2851" s="473"/>
      <c r="M2851" s="473">
        <v>150</v>
      </c>
      <c r="N2851" s="473" t="s">
        <v>1492</v>
      </c>
      <c r="O2851" s="473" t="s">
        <v>2756</v>
      </c>
      <c r="P2851" s="473">
        <v>300</v>
      </c>
      <c r="Q2851" s="473">
        <v>1000</v>
      </c>
      <c r="R2851" s="473">
        <f>(M2851*P2851)/1000</f>
        <v>45</v>
      </c>
    </row>
    <row r="2852" spans="1:18">
      <c r="A2852" s="386"/>
      <c r="E2852" s="473"/>
      <c r="F2852" s="473">
        <v>10</v>
      </c>
      <c r="G2852" s="473" t="s">
        <v>1454</v>
      </c>
      <c r="H2852" s="473" t="s">
        <v>2757</v>
      </c>
      <c r="I2852" s="474">
        <f>44/12</f>
        <v>3.67</v>
      </c>
      <c r="J2852" s="473" t="s">
        <v>1454</v>
      </c>
      <c r="K2852" s="473">
        <f t="shared" si="91"/>
        <v>36.700000000000003</v>
      </c>
      <c r="L2852" s="473"/>
      <c r="M2852" s="476">
        <v>7</v>
      </c>
      <c r="N2852" s="473" t="s">
        <v>1492</v>
      </c>
      <c r="O2852" s="473" t="s">
        <v>2758</v>
      </c>
      <c r="P2852" s="473">
        <f>I2852</f>
        <v>3.67</v>
      </c>
      <c r="Q2852" s="473" t="s">
        <v>1454</v>
      </c>
      <c r="R2852" s="473">
        <f t="shared" si="92"/>
        <v>25.69</v>
      </c>
    </row>
    <row r="2853" spans="1:18">
      <c r="A2853" s="386"/>
      <c r="E2853" s="473"/>
      <c r="F2853" s="473">
        <v>1.25</v>
      </c>
      <c r="G2853" s="473" t="s">
        <v>2759</v>
      </c>
      <c r="H2853" s="473" t="s">
        <v>391</v>
      </c>
      <c r="I2853" s="474">
        <v>275</v>
      </c>
      <c r="J2853" s="473" t="s">
        <v>2759</v>
      </c>
      <c r="K2853" s="473">
        <f t="shared" si="91"/>
        <v>343.75</v>
      </c>
      <c r="L2853" s="473"/>
      <c r="M2853" s="473">
        <v>6</v>
      </c>
      <c r="N2853" s="473" t="s">
        <v>1454</v>
      </c>
      <c r="O2853" s="473" t="s">
        <v>2755</v>
      </c>
      <c r="P2853" s="473">
        <f>I2851</f>
        <v>16.5</v>
      </c>
      <c r="Q2853" s="473" t="s">
        <v>1458</v>
      </c>
      <c r="R2853" s="473">
        <f t="shared" si="92"/>
        <v>99</v>
      </c>
    </row>
    <row r="2854" spans="1:18">
      <c r="A2854" s="386"/>
      <c r="E2854" s="473"/>
      <c r="F2854" s="473">
        <v>10</v>
      </c>
      <c r="G2854" s="473" t="s">
        <v>1454</v>
      </c>
      <c r="H2854" s="473" t="s">
        <v>2760</v>
      </c>
      <c r="I2854" s="475">
        <f>I2847</f>
        <v>67</v>
      </c>
      <c r="J2854" s="473" t="s">
        <v>1454</v>
      </c>
      <c r="K2854" s="473">
        <f t="shared" si="91"/>
        <v>670</v>
      </c>
      <c r="L2854" s="473"/>
      <c r="M2854" s="473">
        <v>6</v>
      </c>
      <c r="N2854" s="473" t="s">
        <v>1454</v>
      </c>
      <c r="O2854" s="473" t="s">
        <v>2761</v>
      </c>
      <c r="P2854" s="473">
        <v>167</v>
      </c>
      <c r="Q2854" s="473" t="s">
        <v>3574</v>
      </c>
      <c r="R2854" s="473">
        <f>(M2854*P2854)/12</f>
        <v>83.5</v>
      </c>
    </row>
    <row r="2855" spans="1:18">
      <c r="A2855" s="386"/>
      <c r="E2855" s="473"/>
      <c r="F2855" s="473">
        <v>0.15</v>
      </c>
      <c r="G2855" s="473" t="s">
        <v>2371</v>
      </c>
      <c r="H2855" s="473" t="s">
        <v>2762</v>
      </c>
      <c r="I2855" s="474">
        <f>I2849</f>
        <v>672</v>
      </c>
      <c r="J2855" s="473" t="s">
        <v>2371</v>
      </c>
      <c r="K2855" s="473">
        <f t="shared" si="91"/>
        <v>100.8</v>
      </c>
      <c r="L2855" s="473"/>
      <c r="M2855" s="473">
        <v>1</v>
      </c>
      <c r="N2855" s="473" t="s">
        <v>2763</v>
      </c>
      <c r="O2855" s="473" t="s">
        <v>2764</v>
      </c>
      <c r="P2855" s="473">
        <v>64</v>
      </c>
      <c r="Q2855" s="473" t="s">
        <v>2763</v>
      </c>
      <c r="R2855" s="473">
        <f>(M2855*P2855)</f>
        <v>64</v>
      </c>
    </row>
    <row r="2856" spans="1:18" ht="31.5">
      <c r="A2856" s="386"/>
      <c r="E2856" s="473"/>
      <c r="F2856" s="473">
        <v>45</v>
      </c>
      <c r="G2856" s="473"/>
      <c r="H2856" s="394" t="s">
        <v>2765</v>
      </c>
      <c r="I2856" s="474">
        <f>I2843</f>
        <v>14.05</v>
      </c>
      <c r="J2856" s="473" t="s">
        <v>3484</v>
      </c>
      <c r="K2856" s="473">
        <f t="shared" si="91"/>
        <v>632.25</v>
      </c>
      <c r="L2856" s="473"/>
      <c r="M2856" s="473">
        <v>6</v>
      </c>
      <c r="N2856" s="473" t="s">
        <v>1492</v>
      </c>
      <c r="O2856" s="472" t="s">
        <v>3485</v>
      </c>
      <c r="P2856" s="473">
        <v>168.95</v>
      </c>
      <c r="Q2856" s="473" t="s">
        <v>2759</v>
      </c>
      <c r="R2856" s="473">
        <f t="shared" si="92"/>
        <v>1013.7</v>
      </c>
    </row>
    <row r="2857" spans="1:18">
      <c r="A2857" s="386"/>
      <c r="E2857" s="473"/>
      <c r="F2857" s="473" t="s">
        <v>667</v>
      </c>
      <c r="G2857" s="473"/>
      <c r="H2857" s="473" t="s">
        <v>931</v>
      </c>
      <c r="I2857" s="473"/>
      <c r="J2857" s="473" t="s">
        <v>667</v>
      </c>
      <c r="K2857" s="473">
        <f>K2873</f>
        <v>4340</v>
      </c>
      <c r="L2857" s="473"/>
      <c r="M2857" s="477">
        <v>0.16666666666666666</v>
      </c>
      <c r="N2857" s="473" t="s">
        <v>3486</v>
      </c>
      <c r="O2857" s="473" t="s">
        <v>391</v>
      </c>
      <c r="P2857" s="473">
        <v>190</v>
      </c>
      <c r="Q2857" s="473" t="s">
        <v>3486</v>
      </c>
      <c r="R2857" s="473">
        <f t="shared" si="92"/>
        <v>31.67</v>
      </c>
    </row>
    <row r="2858" spans="1:18" ht="47.25">
      <c r="A2858" s="386"/>
      <c r="E2858" s="473"/>
      <c r="F2858" s="473" t="s">
        <v>667</v>
      </c>
      <c r="G2858" s="473"/>
      <c r="H2858" s="473" t="s">
        <v>2359</v>
      </c>
      <c r="I2858" s="473"/>
      <c r="J2858" s="473" t="s">
        <v>667</v>
      </c>
      <c r="K2858" s="473">
        <v>23.02</v>
      </c>
      <c r="L2858" s="473">
        <f>L2860-K2859</f>
        <v>-1930</v>
      </c>
      <c r="M2858" s="473">
        <v>45</v>
      </c>
      <c r="N2858" s="473" t="s">
        <v>3646</v>
      </c>
      <c r="O2858" s="394" t="s">
        <v>2765</v>
      </c>
      <c r="P2858" s="473">
        <f>P2846</f>
        <v>14.05</v>
      </c>
      <c r="Q2858" s="473" t="s">
        <v>2371</v>
      </c>
      <c r="R2858" s="473">
        <f t="shared" si="92"/>
        <v>632.25</v>
      </c>
    </row>
    <row r="2859" spans="1:18">
      <c r="A2859" s="386"/>
      <c r="E2859" s="473"/>
      <c r="F2859" s="473"/>
      <c r="G2859" s="473"/>
      <c r="H2859" s="478" t="s">
        <v>3487</v>
      </c>
      <c r="I2859" s="473"/>
      <c r="J2859" s="473"/>
      <c r="K2859" s="479">
        <f>SUM(K2843:K2858)</f>
        <v>8820</v>
      </c>
      <c r="L2859" s="473"/>
      <c r="M2859" s="473">
        <v>6</v>
      </c>
      <c r="N2859" s="473" t="s">
        <v>3488</v>
      </c>
      <c r="O2859" s="473" t="s">
        <v>931</v>
      </c>
      <c r="P2859" s="473">
        <f>R2877</f>
        <v>464</v>
      </c>
      <c r="Q2859" s="473" t="s">
        <v>3488</v>
      </c>
      <c r="R2859" s="473">
        <f t="shared" si="92"/>
        <v>2784</v>
      </c>
    </row>
    <row r="2860" spans="1:18">
      <c r="A2860" s="386"/>
      <c r="E2860" s="473"/>
      <c r="F2860" s="473"/>
      <c r="G2860" s="473"/>
      <c r="H2860" s="480" t="s">
        <v>3489</v>
      </c>
      <c r="I2860" s="473"/>
      <c r="J2860" s="473"/>
      <c r="K2860" s="481">
        <f>K2859/10</f>
        <v>882</v>
      </c>
      <c r="L2860" s="473">
        <f>689*10</f>
        <v>6890</v>
      </c>
      <c r="M2860" s="473"/>
      <c r="N2860" s="473" t="s">
        <v>72</v>
      </c>
      <c r="O2860" s="473" t="s">
        <v>3490</v>
      </c>
      <c r="P2860" s="473"/>
      <c r="Q2860" s="473"/>
      <c r="R2860" s="473">
        <v>7.35</v>
      </c>
    </row>
    <row r="2861" spans="1:18">
      <c r="A2861" s="386"/>
      <c r="E2861" s="473"/>
      <c r="F2861" s="473"/>
      <c r="G2861" s="473"/>
      <c r="H2861" s="473"/>
      <c r="I2861" s="473"/>
      <c r="J2861" s="473"/>
      <c r="K2861" s="473"/>
      <c r="L2861" s="473"/>
      <c r="M2861" s="473"/>
      <c r="N2861" s="473"/>
      <c r="P2861" s="473"/>
      <c r="Q2861" s="473"/>
      <c r="R2861" s="473"/>
    </row>
    <row r="2862" spans="1:18">
      <c r="A2862" s="386"/>
      <c r="E2862" s="473"/>
      <c r="F2862" s="473"/>
      <c r="G2862" s="473"/>
      <c r="H2862" s="481" t="s">
        <v>3491</v>
      </c>
      <c r="I2862" s="473"/>
      <c r="J2862" s="473"/>
      <c r="K2862" s="473"/>
      <c r="L2862" s="473">
        <f>7660-K2859</f>
        <v>-1160</v>
      </c>
      <c r="M2862" s="473"/>
      <c r="N2862" s="473"/>
      <c r="O2862" s="478" t="s">
        <v>3492</v>
      </c>
      <c r="P2862" s="473"/>
      <c r="Q2862" s="473"/>
      <c r="R2862" s="479">
        <f>SUM(R2846:R2861)</f>
        <v>7032.11</v>
      </c>
    </row>
    <row r="2863" spans="1:18">
      <c r="A2863" s="386"/>
      <c r="E2863" s="473"/>
      <c r="F2863" s="473"/>
      <c r="G2863" s="473"/>
      <c r="H2863" s="473"/>
      <c r="I2863" s="473"/>
      <c r="J2863" s="473"/>
      <c r="K2863" s="473"/>
      <c r="L2863" s="473"/>
      <c r="M2863" s="473"/>
      <c r="N2863" s="473"/>
      <c r="O2863" s="480" t="s">
        <v>3489</v>
      </c>
      <c r="P2863" s="473"/>
      <c r="Q2863" s="473"/>
      <c r="R2863" s="481">
        <f>R2862/6</f>
        <v>1172.02</v>
      </c>
    </row>
    <row r="2864" spans="1:18">
      <c r="A2864" s="386"/>
      <c r="E2864" s="473"/>
      <c r="F2864" s="473"/>
      <c r="G2864" s="473"/>
      <c r="H2864" s="481" t="s">
        <v>3569</v>
      </c>
      <c r="I2864" s="473"/>
      <c r="J2864" s="473"/>
      <c r="K2864" s="473"/>
      <c r="L2864" s="473"/>
      <c r="M2864" s="473"/>
      <c r="N2864" s="473"/>
      <c r="O2864" s="473"/>
      <c r="P2864" s="473"/>
      <c r="Q2864" s="473"/>
      <c r="R2864" s="473"/>
    </row>
    <row r="2865" spans="1:18">
      <c r="A2865" s="386"/>
      <c r="E2865" s="473"/>
      <c r="F2865" s="473"/>
      <c r="G2865" s="473"/>
      <c r="H2865" s="473"/>
      <c r="I2865" s="473"/>
      <c r="J2865" s="473"/>
      <c r="K2865" s="473"/>
      <c r="L2865" s="473"/>
      <c r="M2865" s="473"/>
    </row>
    <row r="2866" spans="1:18">
      <c r="A2866" s="386"/>
      <c r="E2866" s="473"/>
      <c r="F2866" s="473">
        <v>1</v>
      </c>
      <c r="G2866" s="473" t="s">
        <v>1454</v>
      </c>
      <c r="H2866" s="473" t="s">
        <v>3493</v>
      </c>
      <c r="I2866" s="623">
        <v>346</v>
      </c>
      <c r="J2866" s="473" t="s">
        <v>1454</v>
      </c>
      <c r="K2866" s="473">
        <f>F2866*I2866</f>
        <v>346</v>
      </c>
      <c r="L2866" s="473"/>
      <c r="M2866" s="473"/>
      <c r="N2866" s="481" t="s">
        <v>3491</v>
      </c>
      <c r="O2866" s="473"/>
      <c r="P2866" s="473"/>
      <c r="Q2866" s="473"/>
    </row>
    <row r="2867" spans="1:18">
      <c r="A2867" s="386"/>
      <c r="E2867" s="473"/>
      <c r="F2867" s="473">
        <v>2</v>
      </c>
      <c r="G2867" s="473" t="s">
        <v>1454</v>
      </c>
      <c r="H2867" s="473" t="s">
        <v>3494</v>
      </c>
      <c r="I2867" s="623">
        <v>317</v>
      </c>
      <c r="J2867" s="473" t="s">
        <v>1454</v>
      </c>
      <c r="K2867" s="473">
        <f t="shared" ref="K2867:K2872" si="93">F2867*I2867</f>
        <v>634</v>
      </c>
      <c r="L2867" s="473"/>
      <c r="M2867" s="473"/>
      <c r="N2867" s="473"/>
      <c r="O2867" s="473"/>
      <c r="P2867" s="473"/>
      <c r="Q2867" s="473"/>
    </row>
    <row r="2868" spans="1:18">
      <c r="A2868" s="386"/>
      <c r="E2868" s="473"/>
      <c r="F2868" s="473">
        <v>3</v>
      </c>
      <c r="G2868" s="473" t="s">
        <v>1454</v>
      </c>
      <c r="H2868" s="473" t="s">
        <v>3495</v>
      </c>
      <c r="I2868" s="623">
        <v>300</v>
      </c>
      <c r="J2868" s="473" t="s">
        <v>1454</v>
      </c>
      <c r="K2868" s="473">
        <f t="shared" si="93"/>
        <v>900</v>
      </c>
      <c r="L2868" s="473"/>
      <c r="M2868" s="473"/>
      <c r="N2868" s="481" t="s">
        <v>3569</v>
      </c>
      <c r="O2868" s="473"/>
      <c r="P2868" s="473"/>
      <c r="Q2868" s="473"/>
    </row>
    <row r="2869" spans="1:18">
      <c r="A2869" s="386"/>
      <c r="E2869" s="473"/>
      <c r="F2869" s="473">
        <v>4</v>
      </c>
      <c r="G2869" s="473" t="s">
        <v>1454</v>
      </c>
      <c r="H2869" s="473" t="s">
        <v>2430</v>
      </c>
      <c r="I2869" s="623">
        <v>226</v>
      </c>
      <c r="J2869" s="473" t="s">
        <v>1454</v>
      </c>
      <c r="K2869" s="473">
        <f t="shared" si="93"/>
        <v>904</v>
      </c>
      <c r="L2869" s="473"/>
      <c r="M2869" s="473"/>
      <c r="N2869" s="473"/>
      <c r="O2869" s="473"/>
      <c r="P2869" s="473"/>
      <c r="Q2869" s="473"/>
    </row>
    <row r="2870" spans="1:18">
      <c r="A2870" s="386"/>
      <c r="E2870" s="473"/>
      <c r="F2870" s="473"/>
      <c r="G2870" s="473"/>
      <c r="H2870" s="481" t="s">
        <v>3259</v>
      </c>
      <c r="I2870" s="473"/>
      <c r="J2870" s="473"/>
      <c r="K2870" s="473"/>
      <c r="M2870" s="473">
        <v>1</v>
      </c>
      <c r="N2870" s="473" t="s">
        <v>1454</v>
      </c>
      <c r="O2870" s="473" t="s">
        <v>3493</v>
      </c>
      <c r="P2870" s="473">
        <f>I2866</f>
        <v>346</v>
      </c>
      <c r="Q2870" s="473" t="s">
        <v>1454</v>
      </c>
      <c r="R2870" s="473">
        <f>M2870*P2870</f>
        <v>346</v>
      </c>
    </row>
    <row r="2871" spans="1:18" ht="18">
      <c r="A2871" s="386"/>
      <c r="E2871" s="473"/>
      <c r="F2871" s="473">
        <v>2</v>
      </c>
      <c r="G2871" s="473" t="s">
        <v>1454</v>
      </c>
      <c r="H2871" s="473" t="s">
        <v>2988</v>
      </c>
      <c r="I2871" s="623">
        <v>326</v>
      </c>
      <c r="J2871" s="473" t="s">
        <v>1454</v>
      </c>
      <c r="K2871" s="473">
        <f t="shared" si="93"/>
        <v>652</v>
      </c>
      <c r="M2871" s="473">
        <v>2</v>
      </c>
      <c r="N2871" s="473" t="s">
        <v>1454</v>
      </c>
      <c r="O2871" s="473" t="s">
        <v>3494</v>
      </c>
      <c r="P2871" s="473">
        <f>I2867</f>
        <v>317</v>
      </c>
      <c r="Q2871" s="473" t="s">
        <v>1454</v>
      </c>
      <c r="R2871" s="473">
        <f>M2871*P2871</f>
        <v>634</v>
      </c>
    </row>
    <row r="2872" spans="1:18">
      <c r="A2872" s="386"/>
      <c r="E2872" s="473"/>
      <c r="F2872" s="473">
        <v>4</v>
      </c>
      <c r="G2872" s="473" t="s">
        <v>1454</v>
      </c>
      <c r="H2872" s="473" t="s">
        <v>3246</v>
      </c>
      <c r="I2872" s="473">
        <f>I2869</f>
        <v>226</v>
      </c>
      <c r="J2872" s="473" t="s">
        <v>1454</v>
      </c>
      <c r="K2872" s="473">
        <f t="shared" si="93"/>
        <v>904</v>
      </c>
      <c r="M2872" s="473">
        <v>3</v>
      </c>
      <c r="N2872" s="473" t="s">
        <v>1454</v>
      </c>
      <c r="O2872" s="473" t="s">
        <v>3495</v>
      </c>
      <c r="P2872" s="473">
        <f>I2868</f>
        <v>300</v>
      </c>
      <c r="Q2872" s="473" t="s">
        <v>1454</v>
      </c>
      <c r="R2872" s="473">
        <f>M2872*P2872</f>
        <v>900</v>
      </c>
    </row>
    <row r="2873" spans="1:18">
      <c r="A2873" s="386"/>
      <c r="E2873" s="473"/>
      <c r="F2873" s="473"/>
      <c r="G2873" s="473"/>
      <c r="H2873" s="473"/>
      <c r="I2873" s="473"/>
      <c r="J2873" s="473"/>
      <c r="K2873" s="488">
        <f>SUM(K2866:K2872)</f>
        <v>4340</v>
      </c>
      <c r="M2873" s="473">
        <v>4</v>
      </c>
      <c r="N2873" s="473" t="s">
        <v>1454</v>
      </c>
      <c r="O2873" s="473" t="s">
        <v>2430</v>
      </c>
      <c r="P2873" s="473">
        <f>I2869</f>
        <v>226</v>
      </c>
      <c r="Q2873" s="473" t="s">
        <v>1454</v>
      </c>
      <c r="R2873" s="473">
        <f>M2873*P2873</f>
        <v>904</v>
      </c>
    </row>
    <row r="2874" spans="1:18">
      <c r="A2874" s="386"/>
      <c r="E2874" s="473"/>
      <c r="F2874" s="473"/>
      <c r="G2874" s="473"/>
      <c r="H2874" s="473"/>
      <c r="I2874" s="473"/>
      <c r="J2874" s="473"/>
      <c r="K2874" s="479"/>
      <c r="M2874" s="473"/>
      <c r="N2874" s="473"/>
      <c r="O2874" s="473"/>
      <c r="P2874" s="473"/>
      <c r="Q2874" s="473"/>
      <c r="R2874" s="473"/>
    </row>
    <row r="2875" spans="1:18" ht="19.5" customHeight="1">
      <c r="A2875" s="386"/>
      <c r="E2875" s="473"/>
      <c r="F2875" s="473"/>
      <c r="G2875" s="473"/>
      <c r="H2875" s="254" t="s">
        <v>3260</v>
      </c>
      <c r="I2875" s="473"/>
      <c r="J2875" s="473"/>
      <c r="K2875" s="473"/>
      <c r="L2875" s="473"/>
      <c r="M2875" s="473"/>
      <c r="O2875" s="483" t="s">
        <v>2989</v>
      </c>
      <c r="R2875" s="484">
        <f>SUM(R2870:R2873)</f>
        <v>2784</v>
      </c>
    </row>
    <row r="2876" spans="1:18">
      <c r="A2876" s="386"/>
      <c r="E2876" s="473"/>
      <c r="F2876" s="473"/>
      <c r="G2876" s="473"/>
      <c r="H2876" s="254" t="s">
        <v>3580</v>
      </c>
      <c r="I2876" s="473"/>
      <c r="J2876" s="473"/>
      <c r="K2876" s="473"/>
      <c r="L2876" s="473"/>
      <c r="M2876" s="473"/>
    </row>
    <row r="2877" spans="1:18">
      <c r="A2877" s="386"/>
      <c r="E2877" s="473"/>
      <c r="F2877" s="473"/>
      <c r="G2877" s="473"/>
      <c r="H2877" s="473"/>
      <c r="I2877" s="473"/>
      <c r="J2877" s="473"/>
      <c r="K2877" s="473"/>
      <c r="L2877" s="473"/>
      <c r="M2877" s="473"/>
      <c r="Q2877" s="485" t="s">
        <v>3581</v>
      </c>
      <c r="R2877" s="255">
        <f>R2875/6</f>
        <v>464</v>
      </c>
    </row>
    <row r="2878" spans="1:18" ht="195" customHeight="1">
      <c r="A2878" s="386"/>
      <c r="E2878" s="473"/>
      <c r="F2878" s="473"/>
      <c r="G2878" s="473"/>
      <c r="H2878" s="472" t="s">
        <v>2602</v>
      </c>
      <c r="I2878" s="473"/>
      <c r="J2878" s="473"/>
      <c r="K2878" s="473"/>
      <c r="L2878" s="473"/>
      <c r="M2878" s="473"/>
      <c r="O2878" s="472" t="s">
        <v>2563</v>
      </c>
    </row>
    <row r="2879" spans="1:18" ht="31.5">
      <c r="A2879" s="386"/>
      <c r="E2879" s="473"/>
      <c r="F2879" s="473"/>
      <c r="G2879" s="473"/>
      <c r="H2879" s="473" t="s">
        <v>2564</v>
      </c>
      <c r="I2879" s="473"/>
      <c r="J2879" s="473"/>
      <c r="K2879" s="473">
        <f>K2859-K2858</f>
        <v>8796.98</v>
      </c>
      <c r="L2879" s="473"/>
      <c r="M2879" s="473">
        <v>90</v>
      </c>
      <c r="N2879" s="473" t="s">
        <v>840</v>
      </c>
      <c r="O2879" s="394" t="s">
        <v>2662</v>
      </c>
      <c r="P2879" s="473">
        <f>P2846</f>
        <v>14.05</v>
      </c>
      <c r="Q2879" s="473" t="s">
        <v>840</v>
      </c>
      <c r="R2879" s="473">
        <f>M2879*P2879</f>
        <v>1264.5</v>
      </c>
    </row>
    <row r="2880" spans="1:18" ht="31.5">
      <c r="A2880" s="386"/>
      <c r="E2880" s="473"/>
      <c r="F2880" s="473"/>
      <c r="G2880" s="473"/>
      <c r="H2880" s="473" t="s">
        <v>2565</v>
      </c>
      <c r="I2880" s="473"/>
      <c r="J2880" s="473"/>
      <c r="K2880" s="473">
        <f>K2851</f>
        <v>165</v>
      </c>
      <c r="L2880" s="473"/>
      <c r="M2880" s="473">
        <v>45</v>
      </c>
      <c r="N2880" s="473" t="s">
        <v>840</v>
      </c>
      <c r="O2880" s="472" t="s">
        <v>2466</v>
      </c>
      <c r="P2880" s="473">
        <f t="shared" ref="P2880:P2887" si="94">P2847</f>
        <v>20.399999999999999</v>
      </c>
      <c r="Q2880" s="473" t="s">
        <v>2467</v>
      </c>
      <c r="R2880" s="473">
        <f>M2880*P2880</f>
        <v>918</v>
      </c>
    </row>
    <row r="2881" spans="1:18">
      <c r="A2881" s="386"/>
      <c r="E2881" s="473"/>
      <c r="F2881" s="473"/>
      <c r="G2881" s="473"/>
      <c r="H2881" s="473" t="s">
        <v>3732</v>
      </c>
      <c r="I2881" s="473"/>
      <c r="J2881" s="473"/>
      <c r="K2881" s="473">
        <v>198</v>
      </c>
      <c r="L2881" s="473"/>
      <c r="M2881" s="473">
        <v>75</v>
      </c>
      <c r="N2881" s="473" t="s">
        <v>1454</v>
      </c>
      <c r="O2881" s="473" t="s">
        <v>3573</v>
      </c>
      <c r="P2881" s="473">
        <f t="shared" si="94"/>
        <v>2.5</v>
      </c>
      <c r="Q2881" s="473" t="s">
        <v>3574</v>
      </c>
      <c r="R2881" s="473">
        <f>M2881*P2881/12</f>
        <v>15.63</v>
      </c>
    </row>
    <row r="2882" spans="1:18">
      <c r="A2882" s="386"/>
      <c r="E2882" s="473"/>
      <c r="F2882" s="473"/>
      <c r="G2882" s="473"/>
      <c r="H2882" s="473" t="s">
        <v>2359</v>
      </c>
      <c r="I2882" s="473"/>
      <c r="J2882" s="473"/>
      <c r="K2882" s="473">
        <v>20.02</v>
      </c>
      <c r="L2882" s="473"/>
      <c r="M2882" s="473">
        <v>12</v>
      </c>
      <c r="N2882" s="473" t="s">
        <v>1454</v>
      </c>
      <c r="O2882" s="473" t="s">
        <v>2468</v>
      </c>
      <c r="P2882" s="473">
        <f t="shared" si="94"/>
        <v>3.3</v>
      </c>
      <c r="Q2882" s="473" t="s">
        <v>1454</v>
      </c>
      <c r="R2882" s="473">
        <f>M2882*P2882</f>
        <v>39.6</v>
      </c>
    </row>
    <row r="2883" spans="1:18">
      <c r="A2883" s="386"/>
      <c r="E2883" s="473"/>
      <c r="F2883" s="473"/>
      <c r="G2883" s="473"/>
      <c r="H2883" s="478" t="s">
        <v>2540</v>
      </c>
      <c r="I2883" s="473"/>
      <c r="J2883" s="473"/>
      <c r="K2883" s="479">
        <f>K2879-K2880+K2881+K2882</f>
        <v>8850</v>
      </c>
      <c r="L2883" s="473"/>
      <c r="M2883" s="473">
        <v>6</v>
      </c>
      <c r="N2883" s="473" t="s">
        <v>1454</v>
      </c>
      <c r="O2883" s="473" t="s">
        <v>3571</v>
      </c>
      <c r="P2883" s="473">
        <f t="shared" si="94"/>
        <v>1.37</v>
      </c>
      <c r="Q2883" s="473" t="s">
        <v>1454</v>
      </c>
      <c r="R2883" s="473">
        <f>M2883*P2883</f>
        <v>8.2200000000000006</v>
      </c>
    </row>
    <row r="2884" spans="1:18">
      <c r="A2884" s="386"/>
      <c r="E2884" s="473"/>
      <c r="F2884" s="473"/>
      <c r="G2884" s="473"/>
      <c r="H2884" s="480" t="s">
        <v>2541</v>
      </c>
      <c r="I2884" s="473"/>
      <c r="J2884" s="473"/>
      <c r="K2884" s="481">
        <f>K2883/10</f>
        <v>885</v>
      </c>
      <c r="L2884" s="473"/>
      <c r="M2884" s="473">
        <v>150</v>
      </c>
      <c r="N2884" s="473" t="s">
        <v>1492</v>
      </c>
      <c r="O2884" s="473" t="s">
        <v>2756</v>
      </c>
      <c r="P2884" s="473">
        <f t="shared" si="94"/>
        <v>300</v>
      </c>
      <c r="Q2884" s="473">
        <v>1000</v>
      </c>
      <c r="R2884" s="473">
        <f>(M2884*P2884)/1000</f>
        <v>45</v>
      </c>
    </row>
    <row r="2885" spans="1:18">
      <c r="A2885" s="386"/>
      <c r="E2885" s="473"/>
      <c r="F2885" s="473"/>
      <c r="G2885" s="473"/>
      <c r="H2885" s="473"/>
      <c r="I2885" s="473"/>
      <c r="J2885" s="473"/>
      <c r="K2885" s="473"/>
      <c r="L2885" s="473"/>
      <c r="M2885" s="476">
        <v>7</v>
      </c>
      <c r="N2885" s="473" t="s">
        <v>1492</v>
      </c>
      <c r="O2885" s="473" t="s">
        <v>2758</v>
      </c>
      <c r="P2885" s="473">
        <f t="shared" si="94"/>
        <v>3.67</v>
      </c>
      <c r="Q2885" s="473" t="s">
        <v>1454</v>
      </c>
      <c r="R2885" s="473">
        <f>M2885*P2885</f>
        <v>25.69</v>
      </c>
    </row>
    <row r="2886" spans="1:18">
      <c r="A2886" s="386"/>
      <c r="E2886" s="473"/>
      <c r="F2886" s="473"/>
      <c r="G2886" s="473"/>
      <c r="H2886" s="481" t="s">
        <v>3172</v>
      </c>
      <c r="I2886" s="473"/>
      <c r="J2886" s="473"/>
      <c r="K2886" s="473"/>
      <c r="L2886" s="473"/>
      <c r="M2886" s="473">
        <v>6</v>
      </c>
      <c r="N2886" s="473" t="s">
        <v>1454</v>
      </c>
      <c r="O2886" s="473" t="s">
        <v>2755</v>
      </c>
      <c r="P2886" s="473">
        <f t="shared" si="94"/>
        <v>16.5</v>
      </c>
      <c r="Q2886" s="473" t="s">
        <v>1458</v>
      </c>
      <c r="R2886" s="473">
        <f>M2886*P2886</f>
        <v>99</v>
      </c>
    </row>
    <row r="2887" spans="1:18" ht="47.25">
      <c r="A2887" s="386"/>
      <c r="E2887" s="473"/>
      <c r="F2887" s="473"/>
      <c r="G2887" s="473"/>
      <c r="H2887" s="471" t="s">
        <v>3173</v>
      </c>
      <c r="I2887" s="473"/>
      <c r="J2887" s="473"/>
      <c r="K2887" s="473"/>
      <c r="L2887" s="473"/>
      <c r="M2887" s="473">
        <v>6</v>
      </c>
      <c r="N2887" s="473" t="s">
        <v>1454</v>
      </c>
      <c r="O2887" s="473" t="s">
        <v>2761</v>
      </c>
      <c r="P2887" s="473">
        <f t="shared" si="94"/>
        <v>167</v>
      </c>
      <c r="Q2887" s="473" t="s">
        <v>3574</v>
      </c>
      <c r="R2887" s="473">
        <f>(M2887*P2887)/12</f>
        <v>83.5</v>
      </c>
    </row>
    <row r="2888" spans="1:18">
      <c r="A2888" s="386"/>
      <c r="E2888" s="473"/>
      <c r="F2888" s="473"/>
      <c r="G2888" s="473"/>
      <c r="H2888" s="473"/>
      <c r="I2888" s="473"/>
      <c r="J2888" s="473"/>
      <c r="K2888" s="473"/>
      <c r="L2888" s="473"/>
      <c r="M2888" s="473">
        <v>1</v>
      </c>
      <c r="N2888" s="473" t="s">
        <v>2763</v>
      </c>
      <c r="O2888" s="473" t="s">
        <v>2764</v>
      </c>
      <c r="P2888" s="473">
        <v>64</v>
      </c>
      <c r="Q2888" s="473" t="s">
        <v>2763</v>
      </c>
      <c r="R2888" s="473">
        <f>(M2888*P2888)</f>
        <v>64</v>
      </c>
    </row>
    <row r="2889" spans="1:18" ht="189">
      <c r="A2889" s="386"/>
      <c r="E2889" s="473"/>
      <c r="F2889" s="473"/>
      <c r="G2889" s="473"/>
      <c r="H2889" s="472" t="s">
        <v>3664</v>
      </c>
      <c r="I2889" s="473"/>
      <c r="J2889" s="473"/>
      <c r="K2889" s="473"/>
      <c r="L2889" s="473"/>
      <c r="M2889" s="473">
        <v>6</v>
      </c>
      <c r="N2889" s="473" t="s">
        <v>1492</v>
      </c>
      <c r="O2889" s="472" t="s">
        <v>3578</v>
      </c>
      <c r="P2889" s="473">
        <v>42.25</v>
      </c>
      <c r="Q2889" s="473" t="s">
        <v>2759</v>
      </c>
      <c r="R2889" s="473">
        <f>M2889*P2889</f>
        <v>253.5</v>
      </c>
    </row>
    <row r="2890" spans="1:18">
      <c r="A2890" s="386"/>
      <c r="E2890" s="473"/>
      <c r="F2890" s="473"/>
      <c r="G2890" s="473"/>
      <c r="H2890" s="473" t="s">
        <v>3579</v>
      </c>
      <c r="I2890" s="473"/>
      <c r="J2890" s="473"/>
      <c r="K2890" s="473">
        <f>K2879</f>
        <v>8796.98</v>
      </c>
      <c r="L2890" s="473"/>
      <c r="M2890" s="477">
        <v>0.16666666666666666</v>
      </c>
      <c r="N2890" s="473" t="s">
        <v>3486</v>
      </c>
      <c r="O2890" s="473" t="s">
        <v>391</v>
      </c>
      <c r="P2890" s="473">
        <f>P2857</f>
        <v>190</v>
      </c>
      <c r="Q2890" s="473" t="s">
        <v>3486</v>
      </c>
      <c r="R2890" s="473">
        <f>M2890*P2890</f>
        <v>31.67</v>
      </c>
    </row>
    <row r="2891" spans="1:18">
      <c r="A2891" s="386"/>
      <c r="E2891" s="473"/>
      <c r="F2891" s="473"/>
      <c r="G2891" s="473"/>
      <c r="H2891" s="473" t="s">
        <v>3146</v>
      </c>
      <c r="I2891" s="473"/>
      <c r="J2891" s="473"/>
      <c r="K2891" s="473">
        <f>K2880</f>
        <v>165</v>
      </c>
      <c r="L2891" s="473"/>
      <c r="M2891" s="473"/>
      <c r="N2891" s="473"/>
      <c r="O2891" s="394"/>
      <c r="P2891" s="473"/>
      <c r="Q2891" s="473"/>
      <c r="R2891" s="473"/>
    </row>
    <row r="2892" spans="1:18">
      <c r="A2892" s="386"/>
      <c r="E2892" s="473"/>
      <c r="F2892" s="473"/>
      <c r="G2892" s="473"/>
      <c r="H2892" s="473" t="s">
        <v>3147</v>
      </c>
      <c r="I2892" s="473"/>
      <c r="J2892" s="473"/>
      <c r="K2892" s="473">
        <f>K2852</f>
        <v>36.700000000000003</v>
      </c>
      <c r="L2892" s="473"/>
      <c r="M2892" s="473">
        <v>6</v>
      </c>
      <c r="N2892" s="473" t="s">
        <v>3488</v>
      </c>
      <c r="O2892" s="473" t="s">
        <v>931</v>
      </c>
      <c r="P2892" s="473">
        <f>R2877</f>
        <v>464</v>
      </c>
      <c r="Q2892" s="473" t="s">
        <v>3488</v>
      </c>
      <c r="R2892" s="473">
        <f>M2892*P2892</f>
        <v>2784</v>
      </c>
    </row>
    <row r="2893" spans="1:18">
      <c r="A2893" s="386"/>
      <c r="E2893" s="473"/>
      <c r="F2893" s="473"/>
      <c r="G2893" s="473"/>
      <c r="H2893" s="473" t="s">
        <v>3148</v>
      </c>
      <c r="I2893" s="473"/>
      <c r="J2893" s="473"/>
      <c r="K2893" s="473">
        <f>K2850</f>
        <v>169.2</v>
      </c>
      <c r="L2893" s="473"/>
      <c r="M2893" s="473"/>
      <c r="N2893" s="473" t="s">
        <v>72</v>
      </c>
      <c r="O2893" s="473" t="s">
        <v>3490</v>
      </c>
      <c r="P2893" s="473"/>
      <c r="Q2893" s="473"/>
      <c r="R2893" s="473">
        <v>9.0500000000000007</v>
      </c>
    </row>
    <row r="2894" spans="1:18">
      <c r="A2894" s="386"/>
      <c r="E2894" s="473"/>
      <c r="F2894" s="473"/>
      <c r="G2894" s="473"/>
      <c r="H2894" s="473" t="s">
        <v>3727</v>
      </c>
      <c r="I2894" s="473"/>
      <c r="J2894" s="473"/>
      <c r="K2894" s="474">
        <f>10*49.5</f>
        <v>495</v>
      </c>
      <c r="L2894" s="473"/>
      <c r="M2894" s="473"/>
      <c r="N2894" s="473"/>
      <c r="P2894" s="473"/>
      <c r="Q2894" s="473"/>
      <c r="R2894" s="473"/>
    </row>
    <row r="2895" spans="1:18">
      <c r="A2895" s="386"/>
      <c r="E2895" s="473"/>
      <c r="F2895" s="473"/>
      <c r="G2895" s="473"/>
      <c r="H2895" s="473" t="s">
        <v>3150</v>
      </c>
      <c r="I2895" s="473"/>
      <c r="J2895" s="473"/>
      <c r="K2895" s="473">
        <f>10*9</f>
        <v>90</v>
      </c>
      <c r="L2895" s="473"/>
      <c r="M2895" s="473"/>
      <c r="N2895" s="473"/>
      <c r="O2895" s="478" t="s">
        <v>3492</v>
      </c>
      <c r="P2895" s="473"/>
      <c r="Q2895" s="473"/>
      <c r="R2895" s="479">
        <f>SUM(R2879:R2894)</f>
        <v>5641.36</v>
      </c>
    </row>
    <row r="2896" spans="1:18">
      <c r="A2896" s="386"/>
      <c r="E2896" s="473"/>
      <c r="F2896" s="473"/>
      <c r="G2896" s="473"/>
      <c r="H2896" s="473" t="s">
        <v>3728</v>
      </c>
      <c r="I2896" s="473"/>
      <c r="J2896" s="473"/>
      <c r="K2896" s="474">
        <f>19.8*10</f>
        <v>198</v>
      </c>
      <c r="L2896" s="473"/>
      <c r="M2896" s="473"/>
      <c r="N2896" s="473"/>
      <c r="O2896" s="480" t="s">
        <v>3489</v>
      </c>
      <c r="P2896" s="473"/>
      <c r="Q2896" s="473"/>
      <c r="R2896" s="481">
        <f>R2895/6</f>
        <v>940.23</v>
      </c>
    </row>
    <row r="2897" spans="1:13">
      <c r="A2897" s="386"/>
      <c r="E2897" s="473"/>
      <c r="F2897" s="473"/>
      <c r="G2897" s="473"/>
      <c r="H2897" s="473" t="s">
        <v>2359</v>
      </c>
      <c r="I2897" s="473"/>
      <c r="J2897" s="473"/>
      <c r="K2897" s="473">
        <v>10.92</v>
      </c>
      <c r="L2897" s="473"/>
      <c r="M2897" s="473"/>
    </row>
    <row r="2898" spans="1:13">
      <c r="A2898" s="386"/>
      <c r="E2898" s="473"/>
      <c r="F2898" s="473"/>
      <c r="G2898" s="473"/>
      <c r="H2898" s="478" t="s">
        <v>2540</v>
      </c>
      <c r="I2898" s="473"/>
      <c r="J2898" s="473"/>
      <c r="K2898" s="479">
        <f>(K2890-K2891-K2892-K2893)+(K2894+K2895+K2896+K2897)</f>
        <v>9220</v>
      </c>
      <c r="L2898" s="473"/>
      <c r="M2898" s="473"/>
    </row>
    <row r="2899" spans="1:13">
      <c r="A2899" s="386"/>
      <c r="E2899" s="473"/>
      <c r="F2899" s="473"/>
      <c r="G2899" s="473"/>
      <c r="H2899" s="480" t="s">
        <v>3338</v>
      </c>
      <c r="I2899" s="473"/>
      <c r="J2899" s="473"/>
      <c r="K2899" s="481">
        <f>K2898/10</f>
        <v>922</v>
      </c>
      <c r="L2899" s="473"/>
      <c r="M2899" s="473"/>
    </row>
    <row r="2900" spans="1:13">
      <c r="A2900" s="386"/>
      <c r="E2900" s="473"/>
      <c r="F2900" s="473"/>
      <c r="G2900" s="473"/>
      <c r="H2900" s="473"/>
      <c r="I2900" s="473"/>
      <c r="J2900" s="473"/>
      <c r="K2900" s="473"/>
      <c r="L2900" s="473"/>
      <c r="M2900" s="473"/>
    </row>
    <row r="2901" spans="1:13">
      <c r="A2901" s="386"/>
      <c r="E2901" s="473"/>
      <c r="F2901" s="473"/>
      <c r="G2901" s="473"/>
      <c r="H2901" s="481" t="s">
        <v>3339</v>
      </c>
      <c r="I2901" s="473"/>
      <c r="J2901" s="473"/>
      <c r="K2901" s="473"/>
      <c r="L2901" s="473"/>
      <c r="M2901" s="473"/>
    </row>
    <row r="2902" spans="1:13">
      <c r="A2902" s="386"/>
      <c r="E2902" s="473"/>
      <c r="F2902" s="473"/>
      <c r="G2902" s="473"/>
      <c r="H2902" s="481" t="s">
        <v>3340</v>
      </c>
      <c r="I2902" s="473"/>
      <c r="J2902" s="473"/>
      <c r="K2902" s="473"/>
      <c r="L2902" s="473"/>
      <c r="M2902" s="473"/>
    </row>
    <row r="2903" spans="1:13" ht="173.25">
      <c r="A2903" s="386"/>
      <c r="E2903" s="473"/>
      <c r="F2903" s="473"/>
      <c r="G2903" s="473"/>
      <c r="H2903" s="472" t="s">
        <v>2918</v>
      </c>
      <c r="I2903" s="473"/>
      <c r="J2903" s="473"/>
      <c r="K2903" s="473"/>
      <c r="L2903" s="473"/>
      <c r="M2903" s="473"/>
    </row>
    <row r="2904" spans="1:13">
      <c r="A2904" s="386"/>
      <c r="E2904" s="473"/>
      <c r="F2904" s="473"/>
      <c r="G2904" s="473"/>
      <c r="H2904" s="473"/>
      <c r="I2904" s="473"/>
      <c r="J2904" s="473"/>
      <c r="K2904" s="473"/>
      <c r="L2904" s="473"/>
      <c r="M2904" s="473"/>
    </row>
    <row r="2905" spans="1:13" ht="31.5">
      <c r="A2905" s="386"/>
      <c r="E2905" s="473"/>
      <c r="F2905" s="473">
        <v>90</v>
      </c>
      <c r="G2905" s="473" t="s">
        <v>840</v>
      </c>
      <c r="H2905" s="394" t="s">
        <v>2662</v>
      </c>
      <c r="I2905" s="473">
        <f>I2843</f>
        <v>14.05</v>
      </c>
      <c r="J2905" s="473" t="s">
        <v>3484</v>
      </c>
      <c r="K2905" s="473">
        <f>F2905*I2905</f>
        <v>1264.5</v>
      </c>
      <c r="L2905" s="473"/>
      <c r="M2905" s="473"/>
    </row>
    <row r="2906" spans="1:13" ht="31.5">
      <c r="A2906" s="386"/>
      <c r="E2906" s="473"/>
      <c r="F2906" s="473">
        <v>45</v>
      </c>
      <c r="G2906" s="473" t="s">
        <v>840</v>
      </c>
      <c r="H2906" s="472" t="s">
        <v>2466</v>
      </c>
      <c r="I2906" s="473">
        <f>I2844</f>
        <v>20.399999999999999</v>
      </c>
      <c r="J2906" s="473" t="s">
        <v>840</v>
      </c>
      <c r="K2906" s="473">
        <f t="shared" ref="K2906:K2917" si="95">F2906*I2906</f>
        <v>918</v>
      </c>
      <c r="L2906" s="473"/>
      <c r="M2906" s="473"/>
    </row>
    <row r="2907" spans="1:13">
      <c r="A2907" s="386"/>
      <c r="E2907" s="473"/>
      <c r="F2907" s="473">
        <v>20</v>
      </c>
      <c r="G2907" s="473" t="s">
        <v>1454</v>
      </c>
      <c r="H2907" s="473" t="s">
        <v>2468</v>
      </c>
      <c r="I2907" s="473">
        <f>I2845</f>
        <v>3.3</v>
      </c>
      <c r="J2907" s="473" t="s">
        <v>1454</v>
      </c>
      <c r="K2907" s="473">
        <f t="shared" si="95"/>
        <v>66</v>
      </c>
      <c r="L2907" s="473"/>
      <c r="M2907" s="473"/>
    </row>
    <row r="2908" spans="1:13">
      <c r="A2908" s="386"/>
      <c r="E2908" s="473"/>
      <c r="F2908" s="473">
        <v>10</v>
      </c>
      <c r="G2908" s="473" t="s">
        <v>1454</v>
      </c>
      <c r="H2908" s="473" t="s">
        <v>3571</v>
      </c>
      <c r="I2908" s="473">
        <f>I2846</f>
        <v>1.37</v>
      </c>
      <c r="J2908" s="473" t="s">
        <v>1454</v>
      </c>
      <c r="K2908" s="473">
        <f t="shared" si="95"/>
        <v>13.7</v>
      </c>
      <c r="L2908" s="473"/>
      <c r="M2908" s="473"/>
    </row>
    <row r="2909" spans="1:13">
      <c r="A2909" s="386"/>
      <c r="E2909" s="473"/>
      <c r="F2909" s="473">
        <v>10</v>
      </c>
      <c r="G2909" s="473" t="s">
        <v>1454</v>
      </c>
      <c r="H2909" s="473" t="s">
        <v>3662</v>
      </c>
      <c r="I2909" s="473">
        <f>I2852</f>
        <v>3.67</v>
      </c>
      <c r="J2909" s="473" t="s">
        <v>1454</v>
      </c>
      <c r="K2909" s="473">
        <f t="shared" si="95"/>
        <v>36.700000000000003</v>
      </c>
      <c r="L2909" s="473"/>
      <c r="M2909" s="473"/>
    </row>
    <row r="2910" spans="1:13">
      <c r="A2910" s="386"/>
      <c r="E2910" s="473"/>
      <c r="F2910" s="473">
        <v>10</v>
      </c>
      <c r="G2910" s="473" t="s">
        <v>1454</v>
      </c>
      <c r="H2910" s="473" t="s">
        <v>2755</v>
      </c>
      <c r="I2910" s="473">
        <f>I2851</f>
        <v>16.5</v>
      </c>
      <c r="J2910" s="473" t="s">
        <v>1454</v>
      </c>
      <c r="K2910" s="473">
        <f t="shared" si="95"/>
        <v>165</v>
      </c>
      <c r="L2910" s="473"/>
      <c r="M2910" s="473"/>
    </row>
    <row r="2911" spans="1:13">
      <c r="A2911" s="386"/>
      <c r="E2911" s="473"/>
      <c r="F2911" s="473">
        <v>10</v>
      </c>
      <c r="G2911" s="473" t="s">
        <v>1454</v>
      </c>
      <c r="H2911" s="473" t="s">
        <v>3441</v>
      </c>
      <c r="I2911" s="473">
        <f>I2850</f>
        <v>16.920000000000002</v>
      </c>
      <c r="J2911" s="473" t="s">
        <v>1454</v>
      </c>
      <c r="K2911" s="473">
        <f t="shared" si="95"/>
        <v>169.2</v>
      </c>
      <c r="L2911" s="473"/>
      <c r="M2911" s="473"/>
    </row>
    <row r="2912" spans="1:13">
      <c r="A2912" s="386"/>
      <c r="E2912" s="473"/>
      <c r="F2912" s="473">
        <v>10</v>
      </c>
      <c r="G2912" s="473" t="s">
        <v>1454</v>
      </c>
      <c r="H2912" s="473" t="s">
        <v>3663</v>
      </c>
      <c r="I2912" s="474">
        <v>109</v>
      </c>
      <c r="J2912" s="473" t="s">
        <v>1454</v>
      </c>
      <c r="K2912" s="473">
        <f t="shared" si="95"/>
        <v>1090</v>
      </c>
      <c r="L2912" s="473"/>
      <c r="M2912" s="473"/>
    </row>
    <row r="2913" spans="1:13">
      <c r="A2913" s="386"/>
      <c r="E2913" s="473"/>
      <c r="F2913" s="473">
        <v>0.6</v>
      </c>
      <c r="G2913" s="473" t="s">
        <v>2371</v>
      </c>
      <c r="H2913" s="473" t="s">
        <v>2762</v>
      </c>
      <c r="I2913" s="473">
        <f>I2849</f>
        <v>672</v>
      </c>
      <c r="J2913" s="473" t="s">
        <v>2371</v>
      </c>
      <c r="K2913" s="473">
        <f t="shared" si="95"/>
        <v>403.2</v>
      </c>
      <c r="L2913" s="473"/>
      <c r="M2913" s="473"/>
    </row>
    <row r="2914" spans="1:13">
      <c r="A2914" s="386"/>
      <c r="E2914" s="473"/>
      <c r="F2914" s="473">
        <v>1</v>
      </c>
      <c r="G2914" s="473" t="s">
        <v>1454</v>
      </c>
      <c r="H2914" s="473" t="s">
        <v>2967</v>
      </c>
      <c r="I2914" s="473">
        <f>I2854</f>
        <v>67</v>
      </c>
      <c r="J2914" s="473" t="s">
        <v>1454</v>
      </c>
      <c r="K2914" s="473">
        <f t="shared" si="95"/>
        <v>67</v>
      </c>
      <c r="L2914" s="473"/>
      <c r="M2914" s="473"/>
    </row>
    <row r="2915" spans="1:13">
      <c r="A2915" s="386"/>
      <c r="E2915" s="473"/>
      <c r="F2915" s="476">
        <v>1.4999999999999999E-2</v>
      </c>
      <c r="G2915" s="473" t="s">
        <v>2371</v>
      </c>
      <c r="H2915" s="473" t="s">
        <v>2762</v>
      </c>
      <c r="I2915" s="473">
        <f>I2913</f>
        <v>672</v>
      </c>
      <c r="J2915" s="473" t="s">
        <v>2371</v>
      </c>
      <c r="K2915" s="473">
        <f t="shared" si="95"/>
        <v>10.08</v>
      </c>
      <c r="L2915" s="473"/>
      <c r="M2915" s="473"/>
    </row>
    <row r="2916" spans="1:13">
      <c r="A2916" s="386"/>
      <c r="E2916" s="473"/>
      <c r="F2916" s="473">
        <v>1.25</v>
      </c>
      <c r="G2916" s="473" t="s">
        <v>2759</v>
      </c>
      <c r="H2916" s="473" t="s">
        <v>391</v>
      </c>
      <c r="I2916" s="473">
        <f>I2853</f>
        <v>275</v>
      </c>
      <c r="J2916" s="473" t="s">
        <v>2759</v>
      </c>
      <c r="K2916" s="473">
        <f t="shared" si="95"/>
        <v>343.75</v>
      </c>
      <c r="L2916" s="473"/>
      <c r="M2916" s="473"/>
    </row>
    <row r="2917" spans="1:13" ht="31.5">
      <c r="A2917" s="386"/>
      <c r="E2917" s="473"/>
      <c r="F2917" s="473">
        <v>45</v>
      </c>
      <c r="G2917" s="473" t="s">
        <v>840</v>
      </c>
      <c r="H2917" s="394" t="s">
        <v>2765</v>
      </c>
      <c r="I2917" s="473">
        <f>I2843</f>
        <v>14.05</v>
      </c>
      <c r="J2917" s="473" t="s">
        <v>3484</v>
      </c>
      <c r="K2917" s="473">
        <f t="shared" si="95"/>
        <v>632.25</v>
      </c>
      <c r="L2917" s="473"/>
      <c r="M2917" s="473"/>
    </row>
    <row r="2918" spans="1:13">
      <c r="A2918" s="386"/>
      <c r="E2918" s="473"/>
      <c r="F2918" s="473" t="s">
        <v>667</v>
      </c>
      <c r="G2918" s="473"/>
      <c r="H2918" s="473" t="s">
        <v>931</v>
      </c>
      <c r="I2918" s="473"/>
      <c r="J2918" s="473"/>
      <c r="K2918" s="473">
        <f>K2873</f>
        <v>4340</v>
      </c>
      <c r="L2918" s="473"/>
      <c r="M2918" s="473"/>
    </row>
    <row r="2919" spans="1:13">
      <c r="A2919" s="386"/>
      <c r="E2919" s="473"/>
      <c r="F2919" s="473" t="s">
        <v>667</v>
      </c>
      <c r="G2919" s="473"/>
      <c r="H2919" s="473" t="s">
        <v>2359</v>
      </c>
      <c r="I2919" s="473"/>
      <c r="J2919" s="473"/>
      <c r="K2919" s="473">
        <v>10.62</v>
      </c>
      <c r="L2919" s="473">
        <f>754*10</f>
        <v>7540</v>
      </c>
      <c r="M2919" s="473"/>
    </row>
    <row r="2920" spans="1:13">
      <c r="A2920" s="386"/>
      <c r="E2920" s="473"/>
      <c r="F2920" s="473"/>
      <c r="G2920" s="473"/>
      <c r="H2920" s="478" t="s">
        <v>2540</v>
      </c>
      <c r="I2920" s="473"/>
      <c r="J2920" s="473"/>
      <c r="K2920" s="479">
        <f>SUM(K2905:K2919)</f>
        <v>9530</v>
      </c>
      <c r="L2920" s="473">
        <f>834*10-K2920</f>
        <v>-1190</v>
      </c>
      <c r="M2920" s="473"/>
    </row>
    <row r="2921" spans="1:13">
      <c r="A2921" s="386"/>
      <c r="E2921" s="473"/>
      <c r="F2921" s="473"/>
      <c r="G2921" s="473"/>
      <c r="H2921" s="480" t="s">
        <v>3338</v>
      </c>
      <c r="I2921" s="473"/>
      <c r="J2921" s="473"/>
      <c r="K2921" s="481">
        <f>K2920/10</f>
        <v>953</v>
      </c>
      <c r="L2921" s="473"/>
      <c r="M2921" s="473"/>
    </row>
    <row r="2922" spans="1:13">
      <c r="A2922" s="386"/>
      <c r="E2922" s="473"/>
      <c r="F2922" s="473"/>
      <c r="G2922" s="473"/>
      <c r="H2922" s="481" t="s">
        <v>3663</v>
      </c>
      <c r="I2922" s="473"/>
      <c r="J2922" s="473"/>
      <c r="K2922" s="481"/>
      <c r="L2922" s="473"/>
      <c r="M2922" s="473"/>
    </row>
    <row r="2923" spans="1:13">
      <c r="A2923" s="386"/>
      <c r="E2923" s="473"/>
      <c r="F2923" s="473"/>
      <c r="G2923" s="473"/>
      <c r="H2923" s="486" t="s">
        <v>2968</v>
      </c>
      <c r="I2923" s="473">
        <f>90</f>
        <v>90</v>
      </c>
      <c r="J2923" s="473"/>
      <c r="K2923" s="481"/>
      <c r="L2923" s="473"/>
      <c r="M2923" s="473"/>
    </row>
    <row r="2924" spans="1:13">
      <c r="A2924" s="386"/>
      <c r="E2924" s="473"/>
      <c r="F2924" s="473"/>
      <c r="G2924" s="473"/>
      <c r="H2924" s="486" t="s">
        <v>2969</v>
      </c>
      <c r="I2924" s="487">
        <v>8.2500000000000004E-2</v>
      </c>
      <c r="J2924" s="473"/>
      <c r="K2924" s="481"/>
      <c r="L2924" s="473"/>
      <c r="M2924" s="473"/>
    </row>
    <row r="2925" spans="1:13" ht="18">
      <c r="A2925" s="386"/>
      <c r="E2925" s="473"/>
      <c r="F2925" s="473"/>
      <c r="G2925" s="473"/>
      <c r="H2925" s="486" t="s">
        <v>2990</v>
      </c>
      <c r="I2925" s="476">
        <v>0.13500000000000001</v>
      </c>
      <c r="J2925" s="473"/>
      <c r="K2925" s="481">
        <f>I2923*I2925/I2924</f>
        <v>147.27000000000001</v>
      </c>
      <c r="L2925" s="473"/>
      <c r="M2925" s="473"/>
    </row>
    <row r="2926" spans="1:13">
      <c r="A2926" s="386"/>
      <c r="E2926" s="473"/>
      <c r="F2926" s="473"/>
      <c r="G2926" s="473"/>
      <c r="H2926" s="480"/>
      <c r="I2926" s="473"/>
      <c r="J2926" s="473"/>
      <c r="K2926" s="481"/>
      <c r="L2926" s="473"/>
      <c r="M2926" s="473"/>
    </row>
    <row r="2927" spans="1:13">
      <c r="A2927" s="386"/>
      <c r="E2927" s="473"/>
      <c r="F2927" s="473"/>
      <c r="G2927" s="473"/>
      <c r="H2927" s="473"/>
      <c r="I2927" s="473"/>
      <c r="J2927" s="473"/>
      <c r="K2927" s="473"/>
      <c r="L2927" s="473"/>
      <c r="M2927" s="473"/>
    </row>
    <row r="2928" spans="1:13">
      <c r="A2928" s="386"/>
      <c r="E2928" s="473"/>
      <c r="F2928" s="473"/>
      <c r="G2928" s="473"/>
      <c r="H2928" s="481" t="s">
        <v>2970</v>
      </c>
      <c r="I2928" s="473"/>
      <c r="J2928" s="473"/>
      <c r="K2928" s="473"/>
      <c r="L2928" s="473"/>
      <c r="M2928" s="473"/>
    </row>
    <row r="2929" spans="1:13">
      <c r="A2929" s="386"/>
      <c r="E2929" s="473"/>
      <c r="F2929" s="473"/>
      <c r="G2929" s="473"/>
      <c r="H2929" s="481" t="s">
        <v>2971</v>
      </c>
      <c r="I2929" s="473"/>
      <c r="J2929" s="473"/>
      <c r="K2929" s="473"/>
      <c r="L2929" s="473"/>
      <c r="M2929" s="473"/>
    </row>
    <row r="2930" spans="1:13" ht="189">
      <c r="A2930" s="386"/>
      <c r="E2930" s="473"/>
      <c r="F2930" s="473"/>
      <c r="G2930" s="473"/>
      <c r="H2930" s="472" t="s">
        <v>2560</v>
      </c>
      <c r="I2930" s="473"/>
      <c r="J2930" s="473"/>
      <c r="K2930" s="473"/>
      <c r="L2930" s="473"/>
      <c r="M2930" s="473"/>
    </row>
    <row r="2931" spans="1:13" ht="31.5">
      <c r="A2931" s="386"/>
      <c r="E2931" s="473"/>
      <c r="F2931" s="473">
        <v>90</v>
      </c>
      <c r="G2931" s="473" t="s">
        <v>840</v>
      </c>
      <c r="H2931" s="394" t="s">
        <v>2662</v>
      </c>
      <c r="I2931" s="473">
        <f>I2843</f>
        <v>14.05</v>
      </c>
      <c r="J2931" s="473" t="s">
        <v>2663</v>
      </c>
      <c r="K2931" s="473">
        <f>F2931*I2931</f>
        <v>1264.5</v>
      </c>
      <c r="L2931" s="473"/>
      <c r="M2931" s="473"/>
    </row>
    <row r="2932" spans="1:13" ht="31.5">
      <c r="A2932" s="386"/>
      <c r="E2932" s="473"/>
      <c r="F2932" s="473">
        <v>30</v>
      </c>
      <c r="G2932" s="473" t="s">
        <v>840</v>
      </c>
      <c r="H2932" s="472" t="s">
        <v>2466</v>
      </c>
      <c r="I2932" s="473">
        <f>I2906</f>
        <v>20.399999999999999</v>
      </c>
      <c r="J2932" s="473" t="s">
        <v>840</v>
      </c>
      <c r="K2932" s="473">
        <f t="shared" ref="K2932:K2941" si="96">F2932*I2932</f>
        <v>612</v>
      </c>
      <c r="L2932" s="473"/>
      <c r="M2932" s="473"/>
    </row>
    <row r="2933" spans="1:13">
      <c r="A2933" s="386"/>
      <c r="E2933" s="473"/>
      <c r="F2933" s="473">
        <v>10</v>
      </c>
      <c r="G2933" s="473" t="s">
        <v>1454</v>
      </c>
      <c r="H2933" s="473" t="s">
        <v>2468</v>
      </c>
      <c r="I2933" s="473">
        <f>I2907</f>
        <v>3.3</v>
      </c>
      <c r="J2933" s="473" t="s">
        <v>1454</v>
      </c>
      <c r="K2933" s="473">
        <f t="shared" si="96"/>
        <v>33</v>
      </c>
      <c r="L2933" s="473"/>
      <c r="M2933" s="473"/>
    </row>
    <row r="2934" spans="1:13">
      <c r="A2934" s="386"/>
      <c r="E2934" s="473"/>
      <c r="F2934" s="473">
        <v>5</v>
      </c>
      <c r="G2934" s="473" t="s">
        <v>1454</v>
      </c>
      <c r="H2934" s="473" t="s">
        <v>3571</v>
      </c>
      <c r="I2934" s="473">
        <f>I2908</f>
        <v>1.37</v>
      </c>
      <c r="J2934" s="473" t="s">
        <v>1454</v>
      </c>
      <c r="K2934" s="473">
        <f t="shared" si="96"/>
        <v>6.85</v>
      </c>
      <c r="L2934" s="473"/>
      <c r="M2934" s="473"/>
    </row>
    <row r="2935" spans="1:13">
      <c r="A2935" s="386"/>
      <c r="E2935" s="473"/>
      <c r="F2935" s="473">
        <v>10</v>
      </c>
      <c r="G2935" s="473" t="s">
        <v>1454</v>
      </c>
      <c r="H2935" s="473" t="s">
        <v>2561</v>
      </c>
      <c r="I2935" s="623">
        <f>ROUND(253/12,2)</f>
        <v>21.08</v>
      </c>
      <c r="J2935" s="473" t="s">
        <v>1454</v>
      </c>
      <c r="K2935" s="473">
        <f t="shared" si="96"/>
        <v>210.8</v>
      </c>
      <c r="L2935" s="473"/>
      <c r="M2935" s="473">
        <f>253/12</f>
        <v>21.08</v>
      </c>
    </row>
    <row r="2936" spans="1:13">
      <c r="A2936" s="386"/>
      <c r="E2936" s="473"/>
      <c r="F2936" s="473">
        <v>5</v>
      </c>
      <c r="G2936" s="473" t="s">
        <v>1454</v>
      </c>
      <c r="H2936" s="473" t="s">
        <v>2755</v>
      </c>
      <c r="I2936" s="473">
        <f>I2910</f>
        <v>16.5</v>
      </c>
      <c r="J2936" s="473" t="s">
        <v>1454</v>
      </c>
      <c r="K2936" s="473">
        <f t="shared" si="96"/>
        <v>82.5</v>
      </c>
      <c r="L2936" s="473"/>
      <c r="M2936" s="473"/>
    </row>
    <row r="2937" spans="1:13">
      <c r="A2937" s="386"/>
      <c r="E2937" s="473"/>
      <c r="F2937" s="473">
        <v>5</v>
      </c>
      <c r="G2937" s="473" t="s">
        <v>1454</v>
      </c>
      <c r="H2937" s="473" t="s">
        <v>2757</v>
      </c>
      <c r="I2937" s="473">
        <f>I2909</f>
        <v>3.67</v>
      </c>
      <c r="J2937" s="473" t="s">
        <v>1454</v>
      </c>
      <c r="K2937" s="473">
        <f t="shared" si="96"/>
        <v>18.350000000000001</v>
      </c>
      <c r="L2937" s="473"/>
      <c r="M2937" s="473"/>
    </row>
    <row r="2938" spans="1:13">
      <c r="A2938" s="386"/>
      <c r="E2938" s="473"/>
      <c r="F2938" s="473">
        <v>6</v>
      </c>
      <c r="G2938" s="473" t="s">
        <v>1454</v>
      </c>
      <c r="H2938" s="473" t="s">
        <v>2562</v>
      </c>
      <c r="I2938" s="473">
        <f>I2914</f>
        <v>67</v>
      </c>
      <c r="J2938" s="473" t="s">
        <v>1454</v>
      </c>
      <c r="K2938" s="473">
        <f t="shared" si="96"/>
        <v>402</v>
      </c>
      <c r="L2938" s="473"/>
      <c r="M2938" s="473"/>
    </row>
    <row r="2939" spans="1:13">
      <c r="A2939" s="386"/>
      <c r="E2939" s="473"/>
      <c r="F2939" s="473">
        <v>0.09</v>
      </c>
      <c r="G2939" s="473" t="s">
        <v>2371</v>
      </c>
      <c r="H2939" s="473" t="s">
        <v>2675</v>
      </c>
      <c r="I2939" s="473">
        <f>I2913</f>
        <v>672</v>
      </c>
      <c r="J2939" s="473" t="s">
        <v>2371</v>
      </c>
      <c r="K2939" s="473">
        <f t="shared" si="96"/>
        <v>60.48</v>
      </c>
      <c r="L2939" s="473"/>
      <c r="M2939" s="473"/>
    </row>
    <row r="2940" spans="1:13">
      <c r="A2940" s="386"/>
      <c r="E2940" s="473"/>
      <c r="F2940" s="473">
        <v>1.25</v>
      </c>
      <c r="G2940" s="473" t="s">
        <v>2759</v>
      </c>
      <c r="H2940" s="473" t="s">
        <v>391</v>
      </c>
      <c r="I2940" s="473">
        <f>I2916</f>
        <v>275</v>
      </c>
      <c r="J2940" s="473" t="s">
        <v>2759</v>
      </c>
      <c r="K2940" s="473">
        <f t="shared" si="96"/>
        <v>343.75</v>
      </c>
      <c r="L2940" s="473"/>
      <c r="M2940" s="473"/>
    </row>
    <row r="2941" spans="1:13" ht="31.5">
      <c r="A2941" s="386"/>
      <c r="E2941" s="473"/>
      <c r="F2941" s="473">
        <v>30</v>
      </c>
      <c r="G2941" s="473" t="s">
        <v>840</v>
      </c>
      <c r="H2941" s="394" t="s">
        <v>2765</v>
      </c>
      <c r="I2941" s="473">
        <f>I2931</f>
        <v>14.05</v>
      </c>
      <c r="J2941" s="473" t="s">
        <v>3484</v>
      </c>
      <c r="K2941" s="473">
        <f t="shared" si="96"/>
        <v>421.5</v>
      </c>
      <c r="L2941" s="473"/>
      <c r="M2941" s="473"/>
    </row>
    <row r="2942" spans="1:13">
      <c r="A2942" s="386"/>
      <c r="E2942" s="473"/>
      <c r="F2942" s="473"/>
      <c r="G2942" s="473"/>
      <c r="H2942" s="473" t="s">
        <v>931</v>
      </c>
      <c r="I2942" s="473"/>
      <c r="J2942" s="473"/>
      <c r="K2942" s="473">
        <f>K2873</f>
        <v>4340</v>
      </c>
      <c r="L2942" s="473"/>
      <c r="M2942" s="473"/>
    </row>
    <row r="2943" spans="1:13">
      <c r="A2943" s="386"/>
      <c r="E2943" s="473"/>
      <c r="F2943" s="473"/>
      <c r="G2943" s="473"/>
      <c r="H2943" s="473" t="s">
        <v>2359</v>
      </c>
      <c r="I2943" s="473"/>
      <c r="J2943" s="473"/>
      <c r="K2943" s="482">
        <v>14.27</v>
      </c>
      <c r="L2943" s="473">
        <f>0.85*5</f>
        <v>4.25</v>
      </c>
      <c r="M2943" s="473"/>
    </row>
    <row r="2944" spans="1:13">
      <c r="A2944" s="386"/>
      <c r="E2944" s="473"/>
      <c r="F2944" s="473"/>
      <c r="G2944" s="473"/>
      <c r="H2944" s="478" t="s">
        <v>2676</v>
      </c>
      <c r="I2944" s="473"/>
      <c r="J2944" s="473"/>
      <c r="K2944" s="479">
        <f>SUM(K2931:K2943)</f>
        <v>7810</v>
      </c>
      <c r="L2944" s="473"/>
      <c r="M2944" s="473"/>
    </row>
    <row r="2945" spans="1:14">
      <c r="A2945" s="386"/>
      <c r="E2945" s="473"/>
      <c r="F2945" s="473"/>
      <c r="G2945" s="473"/>
      <c r="H2945" s="480" t="s">
        <v>3338</v>
      </c>
      <c r="I2945" s="473"/>
      <c r="J2945" s="473"/>
      <c r="K2945" s="481">
        <f>K2944/5</f>
        <v>1562</v>
      </c>
      <c r="L2945" s="473"/>
      <c r="M2945" s="473"/>
    </row>
    <row r="2946" spans="1:14">
      <c r="A2946" s="386"/>
      <c r="E2946" s="473"/>
      <c r="F2946" s="473"/>
      <c r="G2946" s="473"/>
      <c r="H2946" s="473"/>
      <c r="I2946" s="473"/>
      <c r="J2946" s="473"/>
      <c r="K2946" s="473"/>
      <c r="L2946" s="473"/>
      <c r="M2946" s="473"/>
    </row>
    <row r="2947" spans="1:14">
      <c r="A2947" s="386"/>
      <c r="E2947" s="473"/>
      <c r="F2947" s="473"/>
      <c r="G2947" s="473"/>
      <c r="H2947" s="481" t="s">
        <v>2677</v>
      </c>
      <c r="I2947" s="473"/>
      <c r="J2947" s="473"/>
      <c r="K2947" s="473"/>
      <c r="L2947" s="473"/>
      <c r="M2947" s="473"/>
    </row>
    <row r="2948" spans="1:14">
      <c r="A2948" s="386"/>
      <c r="E2948" s="473"/>
      <c r="F2948" s="473"/>
      <c r="G2948" s="473"/>
      <c r="H2948" s="481" t="s">
        <v>2678</v>
      </c>
      <c r="I2948" s="473"/>
      <c r="J2948" s="473"/>
      <c r="K2948" s="473"/>
      <c r="L2948" s="473"/>
      <c r="M2948" s="473"/>
    </row>
    <row r="2949" spans="1:14">
      <c r="A2949" s="386"/>
      <c r="E2949" s="473"/>
      <c r="F2949" s="473"/>
      <c r="G2949" s="473"/>
      <c r="H2949" s="473"/>
      <c r="I2949" s="473"/>
      <c r="J2949" s="473"/>
      <c r="K2949" s="473"/>
      <c r="L2949" s="473"/>
      <c r="M2949" s="473"/>
    </row>
    <row r="2950" spans="1:14" ht="173.25">
      <c r="A2950" s="386"/>
      <c r="E2950" s="473"/>
      <c r="F2950" s="473"/>
      <c r="G2950" s="473"/>
      <c r="H2950" s="472" t="s">
        <v>2852</v>
      </c>
      <c r="I2950" s="473"/>
      <c r="J2950" s="473"/>
      <c r="K2950" s="473"/>
      <c r="L2950" s="473"/>
      <c r="M2950" s="473"/>
    </row>
    <row r="2951" spans="1:14" ht="31.5">
      <c r="A2951" s="386"/>
      <c r="E2951" s="473"/>
      <c r="F2951" s="473">
        <v>90</v>
      </c>
      <c r="G2951" s="473" t="s">
        <v>840</v>
      </c>
      <c r="H2951" s="394" t="s">
        <v>2662</v>
      </c>
      <c r="I2951" s="473">
        <f>I2931</f>
        <v>14.05</v>
      </c>
      <c r="J2951" s="473" t="s">
        <v>3484</v>
      </c>
      <c r="K2951" s="473">
        <f>F2951*I2951</f>
        <v>1264.5</v>
      </c>
      <c r="L2951" s="473"/>
      <c r="M2951" s="473"/>
    </row>
    <row r="2952" spans="1:14" ht="31.5">
      <c r="E2952" s="473"/>
      <c r="F2952" s="473">
        <v>45</v>
      </c>
      <c r="G2952" s="473" t="s">
        <v>840</v>
      </c>
      <c r="H2952" s="472" t="s">
        <v>2466</v>
      </c>
      <c r="I2952" s="473">
        <f>I2932</f>
        <v>20.399999999999999</v>
      </c>
      <c r="J2952" s="473" t="s">
        <v>840</v>
      </c>
      <c r="K2952" s="473">
        <f t="shared" ref="K2952:K2961" si="97">F2952*I2952</f>
        <v>918</v>
      </c>
      <c r="L2952" s="473"/>
      <c r="M2952" s="473"/>
    </row>
    <row r="2953" spans="1:14">
      <c r="E2953" s="473"/>
      <c r="F2953" s="473">
        <v>20</v>
      </c>
      <c r="G2953" s="473" t="s">
        <v>1454</v>
      </c>
      <c r="H2953" s="473" t="s">
        <v>2468</v>
      </c>
      <c r="I2953" s="473">
        <f>I2933</f>
        <v>3.3</v>
      </c>
      <c r="J2953" s="473" t="s">
        <v>3574</v>
      </c>
      <c r="K2953" s="473">
        <f t="shared" si="97"/>
        <v>66</v>
      </c>
      <c r="L2953" s="473"/>
      <c r="M2953" s="473"/>
    </row>
    <row r="2954" spans="1:14">
      <c r="E2954" s="473"/>
      <c r="F2954" s="473">
        <v>10</v>
      </c>
      <c r="G2954" s="473" t="s">
        <v>1454</v>
      </c>
      <c r="H2954" s="473" t="s">
        <v>3571</v>
      </c>
      <c r="I2954" s="473">
        <f>I2934</f>
        <v>1.37</v>
      </c>
      <c r="J2954" s="473" t="s">
        <v>3574</v>
      </c>
      <c r="K2954" s="473">
        <f t="shared" si="97"/>
        <v>13.7</v>
      </c>
      <c r="L2954" s="473"/>
      <c r="M2954" s="473"/>
    </row>
    <row r="2955" spans="1:14">
      <c r="E2955" s="473"/>
      <c r="F2955" s="473">
        <v>1</v>
      </c>
      <c r="G2955" s="473" t="s">
        <v>1454</v>
      </c>
      <c r="H2955" s="473" t="s">
        <v>2562</v>
      </c>
      <c r="I2955" s="473">
        <f>I2938</f>
        <v>67</v>
      </c>
      <c r="J2955" s="473" t="s">
        <v>1454</v>
      </c>
      <c r="K2955" s="473">
        <f t="shared" si="97"/>
        <v>67</v>
      </c>
      <c r="L2955" s="473"/>
      <c r="M2955" s="473"/>
    </row>
    <row r="2956" spans="1:14">
      <c r="E2956" s="473"/>
      <c r="F2956" s="476">
        <v>1.4999999999999999E-2</v>
      </c>
      <c r="G2956" s="473" t="s">
        <v>2371</v>
      </c>
      <c r="H2956" s="473" t="s">
        <v>2675</v>
      </c>
      <c r="I2956" s="473">
        <f>I2849</f>
        <v>672</v>
      </c>
      <c r="J2956" s="473" t="s">
        <v>2371</v>
      </c>
      <c r="K2956" s="473">
        <f t="shared" si="97"/>
        <v>10.08</v>
      </c>
      <c r="L2956" s="473"/>
      <c r="M2956" s="473"/>
    </row>
    <row r="2957" spans="1:14" ht="39.75" customHeight="1">
      <c r="E2957" s="473"/>
      <c r="F2957" s="473">
        <v>15</v>
      </c>
      <c r="G2957" s="473" t="s">
        <v>1454</v>
      </c>
      <c r="H2957" s="472" t="s">
        <v>3745</v>
      </c>
      <c r="I2957" s="623">
        <f>(203/12)+27.7</f>
        <v>44.62</v>
      </c>
      <c r="J2957" s="473" t="s">
        <v>1454</v>
      </c>
      <c r="K2957" s="473">
        <f t="shared" si="97"/>
        <v>669.3</v>
      </c>
      <c r="L2957" s="473">
        <f>185+230</f>
        <v>415</v>
      </c>
      <c r="M2957" s="473">
        <f>L2957/12</f>
        <v>34.58</v>
      </c>
      <c r="N2957" s="245">
        <f>M2957/12</f>
        <v>2.88</v>
      </c>
    </row>
    <row r="2958" spans="1:14">
      <c r="E2958" s="473"/>
      <c r="F2958" s="473">
        <v>15</v>
      </c>
      <c r="G2958" s="473" t="s">
        <v>1454</v>
      </c>
      <c r="H2958" s="473" t="s">
        <v>2562</v>
      </c>
      <c r="I2958" s="473">
        <f>I2955</f>
        <v>67</v>
      </c>
      <c r="J2958" s="473" t="s">
        <v>1454</v>
      </c>
      <c r="K2958" s="473">
        <f t="shared" si="97"/>
        <v>1005</v>
      </c>
      <c r="L2958" s="473"/>
      <c r="M2958" s="473"/>
    </row>
    <row r="2959" spans="1:14">
      <c r="E2959" s="473"/>
      <c r="F2959" s="476">
        <v>0.22500000000000001</v>
      </c>
      <c r="G2959" s="473" t="s">
        <v>2371</v>
      </c>
      <c r="H2959" s="473" t="s">
        <v>2675</v>
      </c>
      <c r="I2959" s="473">
        <f>I2956</f>
        <v>672</v>
      </c>
      <c r="J2959" s="473" t="s">
        <v>2854</v>
      </c>
      <c r="K2959" s="473">
        <f t="shared" si="97"/>
        <v>151.19999999999999</v>
      </c>
      <c r="L2959" s="473"/>
      <c r="M2959" s="473"/>
    </row>
    <row r="2960" spans="1:14">
      <c r="E2960" s="473"/>
      <c r="F2960" s="473">
        <v>1.25</v>
      </c>
      <c r="G2960" s="473" t="s">
        <v>2759</v>
      </c>
      <c r="H2960" s="473" t="s">
        <v>391</v>
      </c>
      <c r="I2960" s="473">
        <f>I2940</f>
        <v>275</v>
      </c>
      <c r="J2960" s="473" t="s">
        <v>2759</v>
      </c>
      <c r="K2960" s="473">
        <f t="shared" si="97"/>
        <v>343.75</v>
      </c>
      <c r="L2960" s="473"/>
      <c r="M2960" s="473"/>
    </row>
    <row r="2961" spans="5:13" ht="31.5">
      <c r="E2961" s="473"/>
      <c r="F2961" s="473">
        <v>45</v>
      </c>
      <c r="G2961" s="473" t="s">
        <v>2371</v>
      </c>
      <c r="H2961" s="394" t="s">
        <v>2765</v>
      </c>
      <c r="I2961" s="473">
        <f>I2951</f>
        <v>14.05</v>
      </c>
      <c r="J2961" s="473" t="s">
        <v>3484</v>
      </c>
      <c r="K2961" s="473">
        <f t="shared" si="97"/>
        <v>632.25</v>
      </c>
      <c r="L2961" s="473"/>
      <c r="M2961" s="473"/>
    </row>
    <row r="2962" spans="5:13">
      <c r="E2962" s="473"/>
      <c r="F2962" s="473"/>
      <c r="G2962" s="473"/>
      <c r="H2962" s="473" t="s">
        <v>931</v>
      </c>
      <c r="I2962" s="473"/>
      <c r="J2962" s="473"/>
      <c r="K2962" s="473">
        <f>K2918</f>
        <v>4340</v>
      </c>
      <c r="L2962" s="473"/>
      <c r="M2962" s="473"/>
    </row>
    <row r="2963" spans="5:13">
      <c r="E2963" s="473"/>
      <c r="F2963" s="473"/>
      <c r="G2963" s="473"/>
      <c r="H2963" s="473" t="s">
        <v>2359</v>
      </c>
      <c r="I2963" s="473"/>
      <c r="J2963" s="473"/>
      <c r="K2963" s="473">
        <v>14.22</v>
      </c>
      <c r="L2963" s="473"/>
      <c r="M2963" s="473"/>
    </row>
    <row r="2964" spans="5:13">
      <c r="E2964" s="473"/>
      <c r="F2964" s="473"/>
      <c r="G2964" s="473"/>
      <c r="H2964" s="478" t="s">
        <v>2855</v>
      </c>
      <c r="I2964" s="473"/>
      <c r="J2964" s="473"/>
      <c r="K2964" s="479">
        <f>SUM(K2951:K2963)</f>
        <v>9495</v>
      </c>
      <c r="L2964" s="473"/>
      <c r="M2964" s="473"/>
    </row>
    <row r="2965" spans="5:13">
      <c r="E2965" s="473"/>
      <c r="F2965" s="473"/>
      <c r="G2965" s="473"/>
      <c r="H2965" s="480" t="s">
        <v>3338</v>
      </c>
      <c r="I2965" s="473"/>
      <c r="J2965" s="473"/>
      <c r="K2965" s="481">
        <f>K2964/15</f>
        <v>633</v>
      </c>
      <c r="L2965" s="473"/>
      <c r="M2965" s="473"/>
    </row>
    <row r="2966" spans="5:13">
      <c r="E2966" s="473"/>
      <c r="F2966" s="473"/>
      <c r="G2966" s="473"/>
      <c r="H2966" s="473"/>
      <c r="I2966" s="473"/>
      <c r="J2966" s="473"/>
      <c r="K2966" s="473"/>
      <c r="L2966" s="473"/>
      <c r="M2966" s="473"/>
    </row>
    <row r="2967" spans="5:13">
      <c r="E2967" s="473"/>
      <c r="F2967" s="473"/>
      <c r="G2967" s="473"/>
      <c r="H2967" s="481" t="s">
        <v>2856</v>
      </c>
      <c r="I2967" s="473"/>
      <c r="J2967" s="473"/>
      <c r="K2967" s="473"/>
      <c r="L2967" s="473"/>
      <c r="M2967" s="473"/>
    </row>
    <row r="2968" spans="5:13">
      <c r="E2968" s="473"/>
      <c r="F2968" s="473"/>
      <c r="G2968" s="473"/>
      <c r="H2968" s="481" t="s">
        <v>2857</v>
      </c>
      <c r="I2968" s="473"/>
      <c r="J2968" s="473"/>
      <c r="K2968" s="473"/>
      <c r="L2968" s="473"/>
      <c r="M2968" s="473"/>
    </row>
    <row r="2969" spans="5:13">
      <c r="E2969" s="473"/>
      <c r="F2969" s="473"/>
      <c r="G2969" s="473"/>
      <c r="H2969" s="473"/>
      <c r="I2969" s="473"/>
      <c r="J2969" s="473"/>
      <c r="K2969" s="473"/>
      <c r="L2969" s="473"/>
      <c r="M2969" s="473"/>
    </row>
    <row r="2970" spans="5:13" ht="173.25">
      <c r="E2970" s="473"/>
      <c r="F2970" s="473"/>
      <c r="G2970" s="473"/>
      <c r="H2970" s="472" t="s">
        <v>2653</v>
      </c>
      <c r="I2970" s="473"/>
      <c r="J2970" s="473"/>
      <c r="K2970" s="473"/>
      <c r="L2970" s="473"/>
      <c r="M2970" s="473"/>
    </row>
    <row r="2971" spans="5:13">
      <c r="E2971" s="473"/>
      <c r="F2971" s="473"/>
      <c r="G2971" s="473"/>
      <c r="H2971" s="473"/>
      <c r="I2971" s="473"/>
      <c r="J2971" s="473"/>
      <c r="K2971" s="473"/>
      <c r="L2971" s="473"/>
      <c r="M2971" s="473"/>
    </row>
    <row r="2972" spans="5:13" ht="31.5">
      <c r="E2972" s="473"/>
      <c r="F2972" s="473">
        <v>5</v>
      </c>
      <c r="G2972" s="473" t="s">
        <v>840</v>
      </c>
      <c r="H2972" s="394" t="s">
        <v>2662</v>
      </c>
      <c r="I2972" s="473">
        <f>I2951</f>
        <v>14.05</v>
      </c>
      <c r="J2972" s="473" t="s">
        <v>2467</v>
      </c>
      <c r="K2972" s="473">
        <f>F2972*I2972</f>
        <v>70.25</v>
      </c>
      <c r="L2972" s="473"/>
      <c r="M2972" s="473"/>
    </row>
    <row r="2973" spans="5:13" ht="37.5" customHeight="1">
      <c r="E2973" s="473"/>
      <c r="F2973" s="473">
        <v>2.5</v>
      </c>
      <c r="G2973" s="473" t="s">
        <v>840</v>
      </c>
      <c r="H2973" s="472" t="s">
        <v>2466</v>
      </c>
      <c r="I2973" s="473">
        <f>I2952</f>
        <v>20.399999999999999</v>
      </c>
      <c r="J2973" s="473" t="s">
        <v>840</v>
      </c>
      <c r="K2973" s="473">
        <f>F2973*I2973</f>
        <v>51</v>
      </c>
      <c r="L2973" s="473"/>
      <c r="M2973" s="473"/>
    </row>
    <row r="2974" spans="5:13">
      <c r="E2974" s="473"/>
      <c r="F2974" s="473">
        <v>1</v>
      </c>
      <c r="G2974" s="473" t="s">
        <v>1454</v>
      </c>
      <c r="H2974" s="473" t="s">
        <v>2853</v>
      </c>
      <c r="I2974" s="474">
        <f>I2957</f>
        <v>44.62</v>
      </c>
      <c r="J2974" s="473" t="s">
        <v>1454</v>
      </c>
      <c r="K2974" s="473">
        <f>F2974*I2974</f>
        <v>44.62</v>
      </c>
      <c r="L2974" s="473"/>
      <c r="M2974" s="473"/>
    </row>
    <row r="2975" spans="5:13">
      <c r="E2975" s="473"/>
      <c r="F2975" s="473"/>
      <c r="G2975" s="473"/>
      <c r="H2975" s="473" t="s">
        <v>931</v>
      </c>
      <c r="I2975" s="473"/>
      <c r="J2975" s="473"/>
      <c r="K2975" s="473">
        <f>ROUND(K2873*5/90,2)</f>
        <v>241.11</v>
      </c>
      <c r="L2975" s="473"/>
      <c r="M2975" s="473"/>
    </row>
    <row r="2976" spans="5:13">
      <c r="E2976" s="473"/>
      <c r="F2976" s="473"/>
      <c r="G2976" s="473"/>
      <c r="H2976" s="473" t="s">
        <v>2359</v>
      </c>
      <c r="I2976" s="473"/>
      <c r="J2976" s="473"/>
      <c r="K2976" s="473">
        <v>17.02</v>
      </c>
      <c r="L2976" s="473"/>
      <c r="M2976" s="473"/>
    </row>
    <row r="2977" spans="5:13">
      <c r="E2977" s="473"/>
      <c r="F2977" s="473"/>
      <c r="G2977" s="473"/>
      <c r="H2977" s="480" t="s">
        <v>3338</v>
      </c>
      <c r="I2977" s="473"/>
      <c r="J2977" s="473"/>
      <c r="K2977" s="488">
        <f>SUM(K2972:K2976)</f>
        <v>424</v>
      </c>
      <c r="L2977" s="473"/>
      <c r="M2977" s="473"/>
    </row>
    <row r="2978" spans="5:13">
      <c r="E2978" s="473"/>
      <c r="F2978" s="473"/>
      <c r="G2978" s="473"/>
      <c r="H2978" s="473"/>
      <c r="I2978" s="473"/>
      <c r="J2978" s="473"/>
      <c r="K2978" s="473"/>
      <c r="L2978" s="473"/>
      <c r="M2978" s="473"/>
    </row>
    <row r="2979" spans="5:13">
      <c r="E2979" s="473"/>
      <c r="F2979" s="473"/>
      <c r="G2979" s="473"/>
      <c r="H2979" s="481" t="s">
        <v>2654</v>
      </c>
      <c r="I2979" s="473"/>
      <c r="J2979" s="473"/>
      <c r="K2979" s="473"/>
      <c r="L2979" s="473"/>
      <c r="M2979" s="473"/>
    </row>
    <row r="2980" spans="5:13">
      <c r="E2980" s="473"/>
      <c r="F2980" s="473"/>
      <c r="G2980" s="473"/>
      <c r="H2980" s="481" t="s">
        <v>2655</v>
      </c>
      <c r="I2980" s="473"/>
      <c r="J2980" s="473"/>
      <c r="K2980" s="473"/>
      <c r="L2980" s="473"/>
      <c r="M2980" s="473"/>
    </row>
    <row r="2981" spans="5:13">
      <c r="E2981" s="473"/>
      <c r="F2981" s="473"/>
      <c r="G2981" s="473"/>
      <c r="H2981" s="473"/>
      <c r="I2981" s="473"/>
      <c r="J2981" s="473"/>
      <c r="K2981" s="473"/>
      <c r="L2981" s="473"/>
      <c r="M2981" s="473"/>
    </row>
    <row r="2982" spans="5:13" ht="72" customHeight="1">
      <c r="E2982" s="473"/>
      <c r="F2982" s="473"/>
      <c r="G2982" s="473"/>
      <c r="H2982" s="472" t="s">
        <v>2991</v>
      </c>
      <c r="I2982" s="473"/>
      <c r="J2982" s="473"/>
      <c r="K2982" s="473"/>
      <c r="L2982" s="473"/>
      <c r="M2982" s="473"/>
    </row>
    <row r="2983" spans="5:13">
      <c r="E2983" s="473"/>
      <c r="F2983" s="473"/>
      <c r="G2983" s="473"/>
      <c r="H2983" s="473"/>
      <c r="I2983" s="473"/>
      <c r="J2983" s="473"/>
      <c r="K2983" s="473"/>
      <c r="L2983" s="473"/>
      <c r="M2983" s="473"/>
    </row>
    <row r="2984" spans="5:13">
      <c r="E2984" s="473"/>
      <c r="F2984" s="473">
        <v>1</v>
      </c>
      <c r="G2984" s="473" t="s">
        <v>1454</v>
      </c>
      <c r="H2984" s="473" t="s">
        <v>3315</v>
      </c>
      <c r="I2984" s="489">
        <v>62.3</v>
      </c>
      <c r="J2984" s="473" t="s">
        <v>1454</v>
      </c>
      <c r="K2984" s="473">
        <f>F2984*I2984</f>
        <v>62.3</v>
      </c>
      <c r="L2984" s="473"/>
      <c r="M2984" s="473"/>
    </row>
    <row r="2985" spans="5:13">
      <c r="E2985" s="473"/>
      <c r="F2985" s="473">
        <v>1</v>
      </c>
      <c r="G2985" s="473" t="s">
        <v>1454</v>
      </c>
      <c r="H2985" s="473" t="s">
        <v>3316</v>
      </c>
      <c r="I2985" s="473">
        <f>I2955</f>
        <v>67</v>
      </c>
      <c r="J2985" s="473" t="s">
        <v>1454</v>
      </c>
      <c r="K2985" s="473">
        <f>F2985*I2985</f>
        <v>67</v>
      </c>
      <c r="L2985" s="473"/>
      <c r="M2985" s="473"/>
    </row>
    <row r="2986" spans="5:13">
      <c r="E2986" s="473"/>
      <c r="F2986" s="476">
        <v>1.4999999999999999E-2</v>
      </c>
      <c r="G2986" s="473" t="s">
        <v>2371</v>
      </c>
      <c r="H2986" s="473" t="s">
        <v>3317</v>
      </c>
      <c r="I2986" s="473">
        <f>I2956</f>
        <v>672</v>
      </c>
      <c r="J2986" s="473" t="s">
        <v>2371</v>
      </c>
      <c r="K2986" s="473">
        <f>F2986*I2986</f>
        <v>10.08</v>
      </c>
      <c r="L2986" s="473"/>
      <c r="M2986" s="473"/>
    </row>
    <row r="2987" spans="5:13">
      <c r="E2987" s="473"/>
      <c r="F2987" s="473" t="s">
        <v>667</v>
      </c>
      <c r="G2987" s="473"/>
      <c r="H2987" s="473" t="s">
        <v>3318</v>
      </c>
      <c r="I2987" s="473"/>
      <c r="J2987" s="473"/>
      <c r="K2987" s="473">
        <v>10.62</v>
      </c>
      <c r="L2987" s="473"/>
      <c r="M2987" s="473"/>
    </row>
    <row r="2988" spans="5:13">
      <c r="E2988" s="473"/>
      <c r="F2988" s="473"/>
      <c r="G2988" s="473"/>
      <c r="H2988" s="480" t="s">
        <v>1100</v>
      </c>
      <c r="I2988" s="473"/>
      <c r="J2988" s="473"/>
      <c r="K2988" s="488">
        <f>SUM(K2984:K2987)</f>
        <v>150</v>
      </c>
      <c r="L2988" s="473"/>
      <c r="M2988" s="473"/>
    </row>
    <row r="2989" spans="5:13">
      <c r="E2989" s="473"/>
      <c r="F2989" s="473"/>
      <c r="G2989" s="473"/>
      <c r="H2989" s="473"/>
      <c r="I2989" s="473"/>
      <c r="J2989" s="473"/>
      <c r="K2989" s="473"/>
      <c r="L2989" s="473"/>
      <c r="M2989" s="473"/>
    </row>
    <row r="2990" spans="5:13">
      <c r="E2990" s="473"/>
      <c r="F2990" s="473"/>
      <c r="G2990" s="473"/>
      <c r="H2990" s="481" t="s">
        <v>3319</v>
      </c>
      <c r="I2990" s="473"/>
      <c r="J2990" s="473"/>
      <c r="K2990" s="473"/>
      <c r="L2990" s="473"/>
      <c r="M2990" s="473"/>
    </row>
    <row r="2991" spans="5:13" ht="47.25">
      <c r="E2991" s="473"/>
      <c r="F2991" s="473"/>
      <c r="G2991" s="473"/>
      <c r="H2991" s="471" t="s">
        <v>3320</v>
      </c>
      <c r="I2991" s="473"/>
      <c r="J2991" s="473"/>
      <c r="K2991" s="473"/>
      <c r="L2991" s="473"/>
      <c r="M2991" s="473"/>
    </row>
    <row r="2992" spans="5:13">
      <c r="E2992" s="473"/>
      <c r="F2992" s="473"/>
      <c r="G2992" s="473"/>
      <c r="H2992" s="471"/>
      <c r="I2992" s="473"/>
      <c r="J2992" s="473"/>
      <c r="K2992" s="473"/>
      <c r="L2992" s="473"/>
      <c r="M2992" s="473"/>
    </row>
    <row r="2993" spans="5:13" ht="201" customHeight="1">
      <c r="E2993" s="473"/>
      <c r="F2993" s="473"/>
      <c r="G2993" s="473"/>
      <c r="H2993" s="472" t="s">
        <v>2542</v>
      </c>
      <c r="I2993" s="473"/>
      <c r="J2993" s="473"/>
      <c r="K2993" s="473"/>
      <c r="L2993" s="473"/>
      <c r="M2993" s="473"/>
    </row>
    <row r="2994" spans="5:13">
      <c r="E2994" s="473"/>
      <c r="F2994" s="473"/>
      <c r="G2994" s="473"/>
      <c r="H2994" s="473"/>
      <c r="I2994" s="473"/>
      <c r="J2994" s="473"/>
      <c r="K2994" s="473"/>
      <c r="L2994" s="473"/>
      <c r="M2994" s="473"/>
    </row>
    <row r="2995" spans="5:13" ht="31.5">
      <c r="E2995" s="473"/>
      <c r="F2995" s="473">
        <v>90</v>
      </c>
      <c r="G2995" s="473" t="s">
        <v>840</v>
      </c>
      <c r="H2995" s="394" t="s">
        <v>2662</v>
      </c>
      <c r="I2995" s="473">
        <f>I2843</f>
        <v>14.05</v>
      </c>
      <c r="J2995" s="473" t="s">
        <v>840</v>
      </c>
      <c r="K2995" s="473">
        <f>F2995*I2995</f>
        <v>1264.5</v>
      </c>
      <c r="L2995" s="473"/>
      <c r="M2995" s="473"/>
    </row>
    <row r="2996" spans="5:13" ht="31.5">
      <c r="E2996" s="473"/>
      <c r="F2996" s="473">
        <v>45</v>
      </c>
      <c r="G2996" s="473" t="s">
        <v>840</v>
      </c>
      <c r="H2996" s="472" t="s">
        <v>2466</v>
      </c>
      <c r="I2996" s="473">
        <f>I2844</f>
        <v>20.399999999999999</v>
      </c>
      <c r="J2996" s="473" t="s">
        <v>2467</v>
      </c>
      <c r="K2996" s="473">
        <f t="shared" ref="K2996:K3007" si="98">F2996*I2996</f>
        <v>918</v>
      </c>
      <c r="L2996" s="473"/>
      <c r="M2996" s="473"/>
    </row>
    <row r="2997" spans="5:13">
      <c r="E2997" s="473"/>
      <c r="F2997" s="473">
        <v>12</v>
      </c>
      <c r="G2997" s="473" t="s">
        <v>1454</v>
      </c>
      <c r="H2997" s="473" t="s">
        <v>2468</v>
      </c>
      <c r="I2997" s="473">
        <f>I2845</f>
        <v>3.3</v>
      </c>
      <c r="J2997" s="473" t="s">
        <v>1454</v>
      </c>
      <c r="K2997" s="473">
        <f t="shared" si="98"/>
        <v>39.6</v>
      </c>
      <c r="L2997" s="473"/>
      <c r="M2997" s="473"/>
    </row>
    <row r="2998" spans="5:13">
      <c r="E2998" s="473"/>
      <c r="F2998" s="473">
        <v>6</v>
      </c>
      <c r="G2998" s="473" t="s">
        <v>1454</v>
      </c>
      <c r="H2998" s="473" t="s">
        <v>3571</v>
      </c>
      <c r="I2998" s="473">
        <f>I2846</f>
        <v>1.37</v>
      </c>
      <c r="J2998" s="473" t="s">
        <v>1454</v>
      </c>
      <c r="K2998" s="473">
        <f t="shared" si="98"/>
        <v>8.2200000000000006</v>
      </c>
      <c r="L2998" s="473"/>
      <c r="M2998" s="473"/>
    </row>
    <row r="2999" spans="5:13">
      <c r="E2999" s="473"/>
      <c r="F2999" s="473">
        <v>1</v>
      </c>
      <c r="G2999" s="473" t="s">
        <v>1454</v>
      </c>
      <c r="H2999" s="473" t="s">
        <v>3572</v>
      </c>
      <c r="I2999" s="473">
        <f>I2847</f>
        <v>67</v>
      </c>
      <c r="J2999" s="473" t="s">
        <v>1454</v>
      </c>
      <c r="K2999" s="473">
        <f t="shared" si="98"/>
        <v>67</v>
      </c>
      <c r="L2999" s="473"/>
      <c r="M2999" s="473"/>
    </row>
    <row r="3000" spans="5:13">
      <c r="E3000" s="473"/>
      <c r="F3000" s="476">
        <v>1.4999999999999999E-2</v>
      </c>
      <c r="G3000" s="473" t="s">
        <v>2371</v>
      </c>
      <c r="H3000" s="473" t="s">
        <v>3440</v>
      </c>
      <c r="I3000" s="473">
        <f t="shared" ref="I3000:I3007" si="99">I2849</f>
        <v>672</v>
      </c>
      <c r="J3000" s="473" t="s">
        <v>2371</v>
      </c>
      <c r="K3000" s="473">
        <f t="shared" si="98"/>
        <v>10.08</v>
      </c>
      <c r="L3000" s="473"/>
      <c r="M3000" s="473"/>
    </row>
    <row r="3001" spans="5:13">
      <c r="E3001" s="473"/>
      <c r="F3001" s="473">
        <v>6</v>
      </c>
      <c r="G3001" s="473" t="s">
        <v>1454</v>
      </c>
      <c r="H3001" s="473" t="s">
        <v>3441</v>
      </c>
      <c r="I3001" s="473">
        <f t="shared" si="99"/>
        <v>16.920000000000002</v>
      </c>
      <c r="J3001" s="473" t="s">
        <v>3574</v>
      </c>
      <c r="K3001" s="473">
        <f t="shared" si="98"/>
        <v>101.52</v>
      </c>
      <c r="L3001" s="473"/>
      <c r="M3001" s="473"/>
    </row>
    <row r="3002" spans="5:13">
      <c r="E3002" s="473"/>
      <c r="F3002" s="473">
        <v>6</v>
      </c>
      <c r="G3002" s="473" t="s">
        <v>1454</v>
      </c>
      <c r="H3002" s="473" t="s">
        <v>2755</v>
      </c>
      <c r="I3002" s="473">
        <f t="shared" si="99"/>
        <v>16.5</v>
      </c>
      <c r="J3002" s="473" t="s">
        <v>1454</v>
      </c>
      <c r="K3002" s="473">
        <f t="shared" si="98"/>
        <v>99</v>
      </c>
      <c r="L3002" s="473"/>
      <c r="M3002" s="473"/>
    </row>
    <row r="3003" spans="5:13">
      <c r="E3003" s="473"/>
      <c r="F3003" s="473">
        <v>6</v>
      </c>
      <c r="G3003" s="473" t="s">
        <v>1454</v>
      </c>
      <c r="H3003" s="473" t="s">
        <v>2757</v>
      </c>
      <c r="I3003" s="473">
        <f t="shared" si="99"/>
        <v>3.67</v>
      </c>
      <c r="J3003" s="473" t="s">
        <v>1454</v>
      </c>
      <c r="K3003" s="473">
        <f t="shared" si="98"/>
        <v>22.02</v>
      </c>
      <c r="L3003" s="473"/>
      <c r="M3003" s="473"/>
    </row>
    <row r="3004" spans="5:13">
      <c r="E3004" s="473"/>
      <c r="F3004" s="473">
        <v>1.25</v>
      </c>
      <c r="G3004" s="473" t="s">
        <v>2759</v>
      </c>
      <c r="H3004" s="473" t="s">
        <v>391</v>
      </c>
      <c r="I3004" s="473">
        <f t="shared" si="99"/>
        <v>275</v>
      </c>
      <c r="J3004" s="473" t="s">
        <v>2759</v>
      </c>
      <c r="K3004" s="473">
        <f t="shared" si="98"/>
        <v>343.75</v>
      </c>
      <c r="L3004" s="473"/>
      <c r="M3004" s="473"/>
    </row>
    <row r="3005" spans="5:13">
      <c r="E3005" s="473"/>
      <c r="F3005" s="473">
        <v>6</v>
      </c>
      <c r="G3005" s="473" t="s">
        <v>1454</v>
      </c>
      <c r="H3005" s="473" t="s">
        <v>2760</v>
      </c>
      <c r="I3005" s="473">
        <f t="shared" si="99"/>
        <v>67</v>
      </c>
      <c r="J3005" s="473" t="s">
        <v>1454</v>
      </c>
      <c r="K3005" s="473">
        <f t="shared" si="98"/>
        <v>402</v>
      </c>
      <c r="L3005" s="473"/>
      <c r="M3005" s="473"/>
    </row>
    <row r="3006" spans="5:13">
      <c r="E3006" s="473"/>
      <c r="F3006" s="473">
        <v>0.09</v>
      </c>
      <c r="G3006" s="473" t="s">
        <v>2371</v>
      </c>
      <c r="H3006" s="473" t="s">
        <v>2762</v>
      </c>
      <c r="I3006" s="473">
        <f t="shared" si="99"/>
        <v>672</v>
      </c>
      <c r="J3006" s="473" t="s">
        <v>2371</v>
      </c>
      <c r="K3006" s="473">
        <f t="shared" si="98"/>
        <v>60.48</v>
      </c>
      <c r="L3006" s="473"/>
      <c r="M3006" s="473"/>
    </row>
    <row r="3007" spans="5:13" ht="31.5">
      <c r="E3007" s="473"/>
      <c r="F3007" s="473">
        <v>45</v>
      </c>
      <c r="G3007" s="473"/>
      <c r="H3007" s="394" t="s">
        <v>2765</v>
      </c>
      <c r="I3007" s="473">
        <f t="shared" si="99"/>
        <v>14.05</v>
      </c>
      <c r="J3007" s="473" t="s">
        <v>3484</v>
      </c>
      <c r="K3007" s="473">
        <f t="shared" si="98"/>
        <v>632.25</v>
      </c>
      <c r="L3007" s="473"/>
      <c r="M3007" s="473"/>
    </row>
    <row r="3008" spans="5:13">
      <c r="E3008" s="473"/>
      <c r="F3008" s="473"/>
      <c r="G3008" s="473"/>
      <c r="H3008" s="473" t="s">
        <v>931</v>
      </c>
      <c r="I3008" s="473"/>
      <c r="J3008" s="473" t="s">
        <v>667</v>
      </c>
      <c r="K3008" s="473">
        <f>K2857</f>
        <v>4340</v>
      </c>
      <c r="L3008" s="473"/>
      <c r="M3008" s="473"/>
    </row>
    <row r="3009" spans="5:13">
      <c r="E3009" s="473"/>
      <c r="F3009" s="473"/>
      <c r="G3009" s="473"/>
      <c r="H3009" s="473" t="s">
        <v>2359</v>
      </c>
      <c r="I3009" s="473"/>
      <c r="J3009" s="473" t="s">
        <v>667</v>
      </c>
      <c r="K3009" s="473">
        <v>19.579999999999998</v>
      </c>
      <c r="L3009" s="473">
        <f>971*6</f>
        <v>5826</v>
      </c>
      <c r="M3009" s="473"/>
    </row>
    <row r="3010" spans="5:13">
      <c r="E3010" s="473"/>
      <c r="F3010" s="473"/>
      <c r="G3010" s="473"/>
      <c r="H3010" s="478" t="s">
        <v>3492</v>
      </c>
      <c r="I3010" s="473"/>
      <c r="J3010" s="473"/>
      <c r="K3010" s="479">
        <f>SUM(K2995:K3009)</f>
        <v>8328</v>
      </c>
      <c r="L3010" s="473"/>
      <c r="M3010" s="473"/>
    </row>
    <row r="3011" spans="5:13">
      <c r="E3011" s="473"/>
      <c r="F3011" s="473"/>
      <c r="G3011" s="473"/>
      <c r="H3011" s="480" t="s">
        <v>3489</v>
      </c>
      <c r="I3011" s="473"/>
      <c r="J3011" s="473"/>
      <c r="K3011" s="481">
        <f>K3010/6</f>
        <v>1388</v>
      </c>
      <c r="L3011" s="473">
        <f>1075*6</f>
        <v>6450</v>
      </c>
      <c r="M3011" s="473">
        <f>K3010/15</f>
        <v>555.20000000000005</v>
      </c>
    </row>
    <row r="3012" spans="5:13">
      <c r="E3012" s="473"/>
      <c r="F3012" s="473"/>
      <c r="G3012" s="473"/>
      <c r="H3012" s="473"/>
      <c r="I3012" s="473"/>
      <c r="J3012" s="473"/>
      <c r="K3012" s="473"/>
      <c r="L3012" s="473">
        <f>L3011-K3010</f>
        <v>-1878</v>
      </c>
      <c r="M3012" s="473"/>
    </row>
    <row r="3013" spans="5:13">
      <c r="E3013" s="473"/>
      <c r="F3013" s="473"/>
      <c r="G3013" s="473"/>
      <c r="H3013" s="481" t="s">
        <v>2543</v>
      </c>
      <c r="I3013" s="473"/>
      <c r="J3013" s="473"/>
      <c r="K3013" s="473"/>
      <c r="L3013" s="473"/>
      <c r="M3013" s="473"/>
    </row>
    <row r="3014" spans="5:13" ht="47.25">
      <c r="E3014" s="473"/>
      <c r="F3014" s="473"/>
      <c r="G3014" s="473"/>
      <c r="H3014" s="471" t="s">
        <v>2544</v>
      </c>
      <c r="I3014" s="473"/>
      <c r="J3014" s="473"/>
      <c r="K3014" s="473"/>
      <c r="L3014" s="473"/>
      <c r="M3014" s="473"/>
    </row>
    <row r="3015" spans="5:13">
      <c r="E3015" s="473"/>
      <c r="F3015" s="473"/>
      <c r="G3015" s="473"/>
      <c r="H3015" s="473"/>
      <c r="I3015" s="473"/>
      <c r="J3015" s="473"/>
      <c r="K3015" s="473"/>
      <c r="L3015" s="473"/>
      <c r="M3015" s="473"/>
    </row>
    <row r="3016" spans="5:13" ht="199.5" customHeight="1">
      <c r="E3016" s="473"/>
      <c r="F3016" s="473"/>
      <c r="G3016" s="473"/>
      <c r="H3016" s="472" t="s">
        <v>2401</v>
      </c>
      <c r="I3016" s="473"/>
      <c r="J3016" s="473"/>
      <c r="K3016" s="473"/>
      <c r="L3016" s="473"/>
      <c r="M3016" s="473"/>
    </row>
    <row r="3017" spans="5:13">
      <c r="E3017" s="473"/>
      <c r="F3017" s="473"/>
      <c r="G3017" s="473"/>
      <c r="H3017" s="473"/>
      <c r="I3017" s="473"/>
      <c r="J3017" s="473"/>
      <c r="K3017" s="473"/>
      <c r="L3017" s="473"/>
      <c r="M3017" s="473"/>
    </row>
    <row r="3018" spans="5:13">
      <c r="E3018" s="473"/>
      <c r="F3018" s="473"/>
      <c r="G3018" s="473"/>
      <c r="H3018" s="473" t="s">
        <v>2402</v>
      </c>
      <c r="I3018" s="473"/>
      <c r="J3018" s="473"/>
      <c r="K3018" s="473">
        <f>K3010-K3009</f>
        <v>8308.42</v>
      </c>
      <c r="L3018" s="473"/>
      <c r="M3018" s="473"/>
    </row>
    <row r="3019" spans="5:13">
      <c r="E3019" s="473"/>
      <c r="F3019" s="473"/>
      <c r="G3019" s="473"/>
      <c r="H3019" s="473" t="s">
        <v>2998</v>
      </c>
      <c r="I3019" s="473"/>
      <c r="J3019" s="473"/>
      <c r="K3019" s="473">
        <f>K3002</f>
        <v>99</v>
      </c>
      <c r="L3019" s="473"/>
      <c r="M3019" s="473"/>
    </row>
    <row r="3020" spans="5:13">
      <c r="E3020" s="473"/>
      <c r="F3020" s="473"/>
      <c r="G3020" s="473"/>
      <c r="H3020" s="473" t="s">
        <v>3729</v>
      </c>
      <c r="I3020" s="473"/>
      <c r="J3020" s="473"/>
      <c r="K3020" s="623">
        <f>19.8*6</f>
        <v>118.8</v>
      </c>
      <c r="L3020" s="473"/>
      <c r="M3020" s="473"/>
    </row>
    <row r="3021" spans="5:13">
      <c r="E3021" s="473"/>
      <c r="F3021" s="473"/>
      <c r="G3021" s="473"/>
      <c r="H3021" s="473" t="s">
        <v>2359</v>
      </c>
      <c r="I3021" s="473"/>
      <c r="J3021" s="473"/>
      <c r="K3021" s="473">
        <v>11.78</v>
      </c>
      <c r="L3021" s="473">
        <f>L3023-K3022</f>
        <v>-1878</v>
      </c>
      <c r="M3021" s="473"/>
    </row>
    <row r="3022" spans="5:13">
      <c r="E3022" s="473"/>
      <c r="F3022" s="473"/>
      <c r="G3022" s="473"/>
      <c r="H3022" s="478" t="s">
        <v>2999</v>
      </c>
      <c r="I3022" s="473"/>
      <c r="J3022" s="473"/>
      <c r="K3022" s="479">
        <f>(K3018-K3019)+K3020+K3021</f>
        <v>8340</v>
      </c>
      <c r="L3022" s="473"/>
      <c r="M3022" s="473"/>
    </row>
    <row r="3023" spans="5:13">
      <c r="E3023" s="473"/>
      <c r="F3023" s="473"/>
      <c r="G3023" s="473"/>
      <c r="H3023" s="480" t="s">
        <v>3000</v>
      </c>
      <c r="I3023" s="473"/>
      <c r="J3023" s="473"/>
      <c r="K3023" s="481">
        <f>K3022/6</f>
        <v>1390</v>
      </c>
      <c r="L3023" s="473">
        <f>1077*6</f>
        <v>6462</v>
      </c>
      <c r="M3023" s="473"/>
    </row>
    <row r="3024" spans="5:13">
      <c r="E3024" s="473"/>
      <c r="F3024" s="473"/>
      <c r="G3024" s="473"/>
      <c r="H3024" s="473"/>
      <c r="I3024" s="473"/>
      <c r="J3024" s="473"/>
      <c r="K3024" s="473"/>
      <c r="L3024" s="473"/>
      <c r="M3024" s="473"/>
    </row>
    <row r="3025" spans="5:13">
      <c r="E3025" s="473"/>
      <c r="F3025" s="473"/>
      <c r="G3025" s="473"/>
      <c r="H3025" s="481" t="s">
        <v>3001</v>
      </c>
      <c r="I3025" s="473"/>
      <c r="J3025" s="473"/>
      <c r="K3025" s="473"/>
      <c r="L3025" s="473"/>
      <c r="M3025" s="473"/>
    </row>
    <row r="3026" spans="5:13" ht="39" customHeight="1">
      <c r="E3026" s="473"/>
      <c r="F3026" s="473"/>
      <c r="G3026" s="473"/>
      <c r="H3026" s="471" t="s">
        <v>3046</v>
      </c>
      <c r="I3026" s="473"/>
      <c r="J3026" s="473"/>
      <c r="K3026" s="473"/>
      <c r="L3026" s="473"/>
      <c r="M3026" s="473"/>
    </row>
    <row r="3027" spans="5:13" ht="189">
      <c r="E3027" s="473"/>
      <c r="F3027" s="473"/>
      <c r="G3027" s="473"/>
      <c r="H3027" s="472" t="s">
        <v>3077</v>
      </c>
      <c r="I3027" s="473"/>
      <c r="J3027" s="473"/>
      <c r="K3027" s="473"/>
      <c r="L3027" s="473"/>
      <c r="M3027" s="473"/>
    </row>
    <row r="3028" spans="5:13" ht="31.5">
      <c r="E3028" s="473"/>
      <c r="F3028" s="473">
        <v>90</v>
      </c>
      <c r="G3028" s="473" t="s">
        <v>840</v>
      </c>
      <c r="H3028" s="394" t="s">
        <v>2662</v>
      </c>
      <c r="I3028" s="473">
        <f t="shared" ref="I3028:I3040" si="100">I2905</f>
        <v>14.05</v>
      </c>
      <c r="J3028" s="473" t="s">
        <v>2663</v>
      </c>
      <c r="K3028" s="473">
        <f>F3028*I3028</f>
        <v>1264.5</v>
      </c>
      <c r="L3028" s="473"/>
      <c r="M3028" s="473"/>
    </row>
    <row r="3029" spans="5:13" ht="31.5">
      <c r="E3029" s="473"/>
      <c r="F3029" s="473">
        <v>45</v>
      </c>
      <c r="G3029" s="473" t="s">
        <v>840</v>
      </c>
      <c r="H3029" s="472" t="s">
        <v>2466</v>
      </c>
      <c r="I3029" s="473">
        <f t="shared" si="100"/>
        <v>20.399999999999999</v>
      </c>
      <c r="J3029" s="473" t="s">
        <v>840</v>
      </c>
      <c r="K3029" s="473">
        <f t="shared" ref="K3029:K3040" si="101">F3029*I3029</f>
        <v>918</v>
      </c>
      <c r="L3029" s="473"/>
      <c r="M3029" s="473"/>
    </row>
    <row r="3030" spans="5:13">
      <c r="E3030" s="473"/>
      <c r="F3030" s="473">
        <v>12</v>
      </c>
      <c r="G3030" s="473" t="s">
        <v>1454</v>
      </c>
      <c r="H3030" s="473" t="s">
        <v>2468</v>
      </c>
      <c r="I3030" s="473">
        <f t="shared" si="100"/>
        <v>3.3</v>
      </c>
      <c r="J3030" s="473" t="s">
        <v>1454</v>
      </c>
      <c r="K3030" s="473">
        <f t="shared" si="101"/>
        <v>39.6</v>
      </c>
      <c r="L3030" s="473"/>
      <c r="M3030" s="473"/>
    </row>
    <row r="3031" spans="5:13">
      <c r="E3031" s="473"/>
      <c r="F3031" s="473">
        <v>6</v>
      </c>
      <c r="G3031" s="473" t="s">
        <v>1454</v>
      </c>
      <c r="H3031" s="473" t="s">
        <v>3571</v>
      </c>
      <c r="I3031" s="473">
        <f t="shared" si="100"/>
        <v>1.37</v>
      </c>
      <c r="J3031" s="473" t="s">
        <v>1454</v>
      </c>
      <c r="K3031" s="473">
        <f t="shared" si="101"/>
        <v>8.2200000000000006</v>
      </c>
      <c r="L3031" s="473"/>
      <c r="M3031" s="473"/>
    </row>
    <row r="3032" spans="5:13">
      <c r="E3032" s="473"/>
      <c r="F3032" s="473">
        <v>6</v>
      </c>
      <c r="G3032" s="473" t="s">
        <v>1454</v>
      </c>
      <c r="H3032" s="473" t="s">
        <v>3662</v>
      </c>
      <c r="I3032" s="473">
        <f t="shared" si="100"/>
        <v>3.67</v>
      </c>
      <c r="J3032" s="473" t="s">
        <v>1454</v>
      </c>
      <c r="K3032" s="473">
        <f t="shared" si="101"/>
        <v>22.02</v>
      </c>
      <c r="L3032" s="473"/>
      <c r="M3032" s="473"/>
    </row>
    <row r="3033" spans="5:13">
      <c r="E3033" s="473"/>
      <c r="F3033" s="473">
        <v>6</v>
      </c>
      <c r="G3033" s="473" t="s">
        <v>1454</v>
      </c>
      <c r="H3033" s="473" t="s">
        <v>2755</v>
      </c>
      <c r="I3033" s="473">
        <f t="shared" si="100"/>
        <v>16.5</v>
      </c>
      <c r="J3033" s="473" t="s">
        <v>1454</v>
      </c>
      <c r="K3033" s="473">
        <f t="shared" si="101"/>
        <v>99</v>
      </c>
      <c r="L3033" s="473"/>
      <c r="M3033" s="473"/>
    </row>
    <row r="3034" spans="5:13">
      <c r="E3034" s="473"/>
      <c r="F3034" s="473">
        <v>6</v>
      </c>
      <c r="G3034" s="473" t="s">
        <v>1454</v>
      </c>
      <c r="H3034" s="473" t="s">
        <v>3441</v>
      </c>
      <c r="I3034" s="473">
        <f t="shared" si="100"/>
        <v>16.920000000000002</v>
      </c>
      <c r="J3034" s="473" t="s">
        <v>3574</v>
      </c>
      <c r="K3034" s="473">
        <f t="shared" si="101"/>
        <v>101.52</v>
      </c>
      <c r="L3034" s="473"/>
      <c r="M3034" s="473"/>
    </row>
    <row r="3035" spans="5:13">
      <c r="E3035" s="473"/>
      <c r="F3035" s="473">
        <v>6</v>
      </c>
      <c r="G3035" s="473" t="s">
        <v>1454</v>
      </c>
      <c r="H3035" s="473" t="s">
        <v>3663</v>
      </c>
      <c r="I3035" s="473">
        <f t="shared" si="100"/>
        <v>109</v>
      </c>
      <c r="J3035" s="473" t="s">
        <v>1454</v>
      </c>
      <c r="K3035" s="473">
        <f t="shared" si="101"/>
        <v>654</v>
      </c>
      <c r="L3035" s="473"/>
      <c r="M3035" s="473"/>
    </row>
    <row r="3036" spans="5:13">
      <c r="E3036" s="473"/>
      <c r="F3036" s="473">
        <v>0.36</v>
      </c>
      <c r="G3036" s="473" t="s">
        <v>2371</v>
      </c>
      <c r="H3036" s="473" t="s">
        <v>2762</v>
      </c>
      <c r="I3036" s="473">
        <f t="shared" si="100"/>
        <v>672</v>
      </c>
      <c r="J3036" s="473" t="s">
        <v>2371</v>
      </c>
      <c r="K3036" s="473">
        <f t="shared" si="101"/>
        <v>241.92</v>
      </c>
      <c r="L3036" s="473"/>
      <c r="M3036" s="473"/>
    </row>
    <row r="3037" spans="5:13">
      <c r="E3037" s="473"/>
      <c r="F3037" s="473">
        <v>1</v>
      </c>
      <c r="G3037" s="473" t="s">
        <v>1454</v>
      </c>
      <c r="H3037" s="473" t="s">
        <v>2967</v>
      </c>
      <c r="I3037" s="473">
        <f t="shared" si="100"/>
        <v>67</v>
      </c>
      <c r="J3037" s="473" t="s">
        <v>1454</v>
      </c>
      <c r="K3037" s="473">
        <f t="shared" si="101"/>
        <v>67</v>
      </c>
      <c r="L3037" s="473"/>
      <c r="M3037" s="473"/>
    </row>
    <row r="3038" spans="5:13">
      <c r="E3038" s="473"/>
      <c r="F3038" s="476">
        <v>1.4999999999999999E-2</v>
      </c>
      <c r="G3038" s="473" t="s">
        <v>2371</v>
      </c>
      <c r="H3038" s="473" t="s">
        <v>2762</v>
      </c>
      <c r="I3038" s="473">
        <f t="shared" si="100"/>
        <v>672</v>
      </c>
      <c r="J3038" s="473" t="s">
        <v>2371</v>
      </c>
      <c r="K3038" s="473">
        <f t="shared" si="101"/>
        <v>10.08</v>
      </c>
      <c r="L3038" s="473"/>
      <c r="M3038" s="473"/>
    </row>
    <row r="3039" spans="5:13">
      <c r="E3039" s="473"/>
      <c r="F3039" s="473">
        <v>1.25</v>
      </c>
      <c r="G3039" s="473" t="s">
        <v>2759</v>
      </c>
      <c r="H3039" s="473" t="s">
        <v>391</v>
      </c>
      <c r="I3039" s="473">
        <f t="shared" si="100"/>
        <v>275</v>
      </c>
      <c r="J3039" s="473" t="s">
        <v>2759</v>
      </c>
      <c r="K3039" s="473">
        <f t="shared" si="101"/>
        <v>343.75</v>
      </c>
      <c r="L3039" s="473"/>
      <c r="M3039" s="473"/>
    </row>
    <row r="3040" spans="5:13" ht="31.5">
      <c r="E3040" s="473"/>
      <c r="F3040" s="473">
        <v>45</v>
      </c>
      <c r="G3040" s="473" t="s">
        <v>840</v>
      </c>
      <c r="H3040" s="394" t="s">
        <v>2765</v>
      </c>
      <c r="I3040" s="473">
        <f t="shared" si="100"/>
        <v>14.05</v>
      </c>
      <c r="J3040" s="473" t="s">
        <v>2663</v>
      </c>
      <c r="K3040" s="473">
        <f t="shared" si="101"/>
        <v>632.25</v>
      </c>
      <c r="L3040" s="473"/>
      <c r="M3040" s="473"/>
    </row>
    <row r="3041" spans="5:13">
      <c r="E3041" s="473"/>
      <c r="F3041" s="473"/>
      <c r="G3041" s="473"/>
      <c r="H3041" s="473" t="s">
        <v>931</v>
      </c>
      <c r="I3041" s="473"/>
      <c r="J3041" s="473"/>
      <c r="K3041" s="473">
        <f>K2918</f>
        <v>4340</v>
      </c>
      <c r="L3041" s="473">
        <f>1037*6</f>
        <v>6222</v>
      </c>
      <c r="M3041" s="473"/>
    </row>
    <row r="3042" spans="5:13">
      <c r="E3042" s="473"/>
      <c r="F3042" s="473"/>
      <c r="G3042" s="473"/>
      <c r="H3042" s="473" t="s">
        <v>2359</v>
      </c>
      <c r="I3042" s="473"/>
      <c r="J3042" s="473"/>
      <c r="K3042" s="473">
        <v>18.14</v>
      </c>
      <c r="L3042" s="473">
        <f>1140*6</f>
        <v>6840</v>
      </c>
      <c r="M3042" s="473">
        <f>L3042-K3043</f>
        <v>-1920</v>
      </c>
    </row>
    <row r="3043" spans="5:13">
      <c r="E3043" s="473"/>
      <c r="F3043" s="473"/>
      <c r="G3043" s="473"/>
      <c r="H3043" s="478" t="s">
        <v>2999</v>
      </c>
      <c r="I3043" s="473"/>
      <c r="J3043" s="473"/>
      <c r="K3043" s="479">
        <f>SUM(K3028:K3042)</f>
        <v>8760</v>
      </c>
      <c r="L3043" s="473"/>
      <c r="M3043" s="473">
        <f>0.5*6</f>
        <v>3</v>
      </c>
    </row>
    <row r="3044" spans="5:13">
      <c r="E3044" s="473"/>
      <c r="F3044" s="473"/>
      <c r="G3044" s="473"/>
      <c r="H3044" s="480" t="s">
        <v>3338</v>
      </c>
      <c r="I3044" s="473"/>
      <c r="J3044" s="473"/>
      <c r="K3044" s="481">
        <f>K3043/6</f>
        <v>1460</v>
      </c>
      <c r="L3044" s="473">
        <f>894*6</f>
        <v>5364</v>
      </c>
      <c r="M3044" s="473"/>
    </row>
    <row r="3045" spans="5:13">
      <c r="E3045" s="473"/>
      <c r="F3045" s="473"/>
      <c r="G3045" s="473"/>
      <c r="H3045" s="473"/>
      <c r="I3045" s="473"/>
      <c r="J3045" s="473"/>
      <c r="K3045" s="473"/>
      <c r="L3045" s="473"/>
      <c r="M3045" s="473"/>
    </row>
    <row r="3046" spans="5:13">
      <c r="E3046" s="473"/>
      <c r="F3046" s="473"/>
      <c r="G3046" s="473"/>
      <c r="H3046" s="481" t="s">
        <v>3078</v>
      </c>
      <c r="I3046" s="473"/>
      <c r="J3046" s="473"/>
      <c r="K3046" s="473"/>
      <c r="L3046" s="473">
        <f>L3044-K3043</f>
        <v>-3396</v>
      </c>
      <c r="M3046" s="473"/>
    </row>
    <row r="3047" spans="5:13" ht="56.25" customHeight="1">
      <c r="E3047" s="473"/>
      <c r="F3047" s="473"/>
      <c r="G3047" s="473"/>
      <c r="H3047" s="471" t="s">
        <v>2495</v>
      </c>
      <c r="I3047" s="473"/>
      <c r="J3047" s="473"/>
      <c r="K3047" s="473"/>
      <c r="L3047" s="473"/>
      <c r="M3047" s="473"/>
    </row>
    <row r="3048" spans="5:13" ht="202.5" customHeight="1">
      <c r="E3048" s="473"/>
      <c r="F3048" s="473"/>
      <c r="G3048" s="473"/>
      <c r="H3048" s="472" t="s">
        <v>3113</v>
      </c>
      <c r="I3048" s="473"/>
      <c r="J3048" s="473"/>
      <c r="K3048" s="473"/>
      <c r="L3048" s="473"/>
      <c r="M3048" s="473"/>
    </row>
    <row r="3049" spans="5:13" ht="31.5">
      <c r="E3049" s="473"/>
      <c r="F3049" s="473">
        <v>90</v>
      </c>
      <c r="G3049" s="473" t="s">
        <v>840</v>
      </c>
      <c r="H3049" s="394" t="s">
        <v>2662</v>
      </c>
      <c r="I3049" s="473">
        <f t="shared" ref="I3049:I3059" si="102">I2931</f>
        <v>14.05</v>
      </c>
      <c r="J3049" s="473" t="s">
        <v>2663</v>
      </c>
      <c r="K3049" s="473">
        <f>F3049*I3049</f>
        <v>1264.5</v>
      </c>
      <c r="L3049" s="473"/>
      <c r="M3049" s="473"/>
    </row>
    <row r="3050" spans="5:13" ht="31.5">
      <c r="E3050" s="473"/>
      <c r="F3050" s="473">
        <v>30</v>
      </c>
      <c r="G3050" s="473" t="s">
        <v>840</v>
      </c>
      <c r="H3050" s="472" t="s">
        <v>2466</v>
      </c>
      <c r="I3050" s="473">
        <f t="shared" si="102"/>
        <v>20.399999999999999</v>
      </c>
      <c r="J3050" s="473" t="s">
        <v>840</v>
      </c>
      <c r="K3050" s="473">
        <f t="shared" ref="K3050:K3059" si="103">F3050*I3050</f>
        <v>612</v>
      </c>
      <c r="L3050" s="473"/>
      <c r="M3050" s="473"/>
    </row>
    <row r="3051" spans="5:13">
      <c r="E3051" s="473"/>
      <c r="F3051" s="473">
        <v>6</v>
      </c>
      <c r="G3051" s="473" t="s">
        <v>1454</v>
      </c>
      <c r="H3051" s="473" t="s">
        <v>2468</v>
      </c>
      <c r="I3051" s="473">
        <f t="shared" si="102"/>
        <v>3.3</v>
      </c>
      <c r="J3051" s="473" t="s">
        <v>1454</v>
      </c>
      <c r="K3051" s="473">
        <f t="shared" si="103"/>
        <v>19.8</v>
      </c>
      <c r="L3051" s="473"/>
      <c r="M3051" s="473"/>
    </row>
    <row r="3052" spans="5:13">
      <c r="E3052" s="473"/>
      <c r="F3052" s="473">
        <v>3</v>
      </c>
      <c r="G3052" s="473" t="s">
        <v>1454</v>
      </c>
      <c r="H3052" s="473" t="s">
        <v>3571</v>
      </c>
      <c r="I3052" s="473">
        <f t="shared" si="102"/>
        <v>1.37</v>
      </c>
      <c r="J3052" s="473" t="s">
        <v>1454</v>
      </c>
      <c r="K3052" s="473">
        <f t="shared" si="103"/>
        <v>4.1100000000000003</v>
      </c>
      <c r="L3052" s="473"/>
      <c r="M3052" s="473"/>
    </row>
    <row r="3053" spans="5:13">
      <c r="E3053" s="473"/>
      <c r="F3053" s="473">
        <v>6</v>
      </c>
      <c r="G3053" s="473" t="s">
        <v>1454</v>
      </c>
      <c r="H3053" s="473" t="s">
        <v>2561</v>
      </c>
      <c r="I3053" s="473">
        <f t="shared" si="102"/>
        <v>21.08</v>
      </c>
      <c r="J3053" s="473" t="s">
        <v>1454</v>
      </c>
      <c r="K3053" s="473">
        <f t="shared" si="103"/>
        <v>126.48</v>
      </c>
      <c r="L3053" s="473"/>
      <c r="M3053" s="473"/>
    </row>
    <row r="3054" spans="5:13">
      <c r="E3054" s="473"/>
      <c r="F3054" s="473">
        <v>3</v>
      </c>
      <c r="G3054" s="473" t="s">
        <v>1454</v>
      </c>
      <c r="H3054" s="473" t="s">
        <v>2755</v>
      </c>
      <c r="I3054" s="473">
        <f t="shared" si="102"/>
        <v>16.5</v>
      </c>
      <c r="J3054" s="473" t="s">
        <v>1454</v>
      </c>
      <c r="K3054" s="473">
        <f t="shared" si="103"/>
        <v>49.5</v>
      </c>
      <c r="L3054" s="473"/>
      <c r="M3054" s="473"/>
    </row>
    <row r="3055" spans="5:13">
      <c r="E3055" s="473"/>
      <c r="F3055" s="473">
        <v>3</v>
      </c>
      <c r="G3055" s="473" t="s">
        <v>1454</v>
      </c>
      <c r="H3055" s="473" t="s">
        <v>2757</v>
      </c>
      <c r="I3055" s="473">
        <f t="shared" si="102"/>
        <v>3.67</v>
      </c>
      <c r="J3055" s="473" t="s">
        <v>1454</v>
      </c>
      <c r="K3055" s="473">
        <f t="shared" si="103"/>
        <v>11.01</v>
      </c>
      <c r="L3055" s="473"/>
      <c r="M3055" s="473"/>
    </row>
    <row r="3056" spans="5:13">
      <c r="E3056" s="473"/>
      <c r="F3056" s="473">
        <v>3</v>
      </c>
      <c r="G3056" s="473" t="s">
        <v>1454</v>
      </c>
      <c r="H3056" s="473" t="s">
        <v>2562</v>
      </c>
      <c r="I3056" s="473">
        <f t="shared" si="102"/>
        <v>67</v>
      </c>
      <c r="J3056" s="473" t="s">
        <v>1454</v>
      </c>
      <c r="K3056" s="473">
        <f t="shared" si="103"/>
        <v>201</v>
      </c>
      <c r="L3056" s="473"/>
      <c r="M3056" s="473"/>
    </row>
    <row r="3057" spans="5:13">
      <c r="E3057" s="473"/>
      <c r="F3057" s="476">
        <v>5.3999999999999999E-2</v>
      </c>
      <c r="G3057" s="473" t="s">
        <v>2371</v>
      </c>
      <c r="H3057" s="473" t="s">
        <v>2675</v>
      </c>
      <c r="I3057" s="473">
        <f t="shared" si="102"/>
        <v>672</v>
      </c>
      <c r="J3057" s="473" t="s">
        <v>2371</v>
      </c>
      <c r="K3057" s="473">
        <f t="shared" si="103"/>
        <v>36.29</v>
      </c>
      <c r="L3057" s="473"/>
      <c r="M3057" s="473"/>
    </row>
    <row r="3058" spans="5:13">
      <c r="E3058" s="473"/>
      <c r="F3058" s="473">
        <v>1.25</v>
      </c>
      <c r="G3058" s="473" t="s">
        <v>2759</v>
      </c>
      <c r="H3058" s="473" t="s">
        <v>391</v>
      </c>
      <c r="I3058" s="473">
        <f t="shared" si="102"/>
        <v>275</v>
      </c>
      <c r="J3058" s="473" t="s">
        <v>2759</v>
      </c>
      <c r="K3058" s="473">
        <f t="shared" si="103"/>
        <v>343.75</v>
      </c>
      <c r="L3058" s="473"/>
      <c r="M3058" s="473"/>
    </row>
    <row r="3059" spans="5:13" ht="31.5">
      <c r="E3059" s="473"/>
      <c r="F3059" s="473">
        <v>30</v>
      </c>
      <c r="G3059" s="473" t="s">
        <v>840</v>
      </c>
      <c r="H3059" s="394" t="s">
        <v>2765</v>
      </c>
      <c r="I3059" s="473">
        <f t="shared" si="102"/>
        <v>14.05</v>
      </c>
      <c r="J3059" s="473" t="s">
        <v>2663</v>
      </c>
      <c r="K3059" s="473">
        <f t="shared" si="103"/>
        <v>421.5</v>
      </c>
      <c r="L3059" s="473"/>
      <c r="M3059" s="473"/>
    </row>
    <row r="3060" spans="5:13">
      <c r="E3060" s="473"/>
      <c r="F3060" s="473"/>
      <c r="G3060" s="473"/>
      <c r="H3060" s="473" t="s">
        <v>931</v>
      </c>
      <c r="I3060" s="473"/>
      <c r="J3060" s="473"/>
      <c r="K3060" s="473">
        <f>K2942</f>
        <v>4340</v>
      </c>
      <c r="L3060" s="473"/>
      <c r="M3060" s="473"/>
    </row>
    <row r="3061" spans="5:13">
      <c r="E3061" s="473"/>
      <c r="F3061" s="473"/>
      <c r="G3061" s="473"/>
      <c r="H3061" s="473" t="s">
        <v>2359</v>
      </c>
      <c r="I3061" s="473"/>
      <c r="J3061" s="473"/>
      <c r="K3061" s="473">
        <v>10.06</v>
      </c>
      <c r="L3061" s="473">
        <f>1678*3</f>
        <v>5034</v>
      </c>
      <c r="M3061" s="473"/>
    </row>
    <row r="3062" spans="5:13">
      <c r="E3062" s="473"/>
      <c r="F3062" s="473"/>
      <c r="G3062" s="473"/>
      <c r="H3062" s="478" t="s">
        <v>3114</v>
      </c>
      <c r="I3062" s="473"/>
      <c r="J3062" s="473"/>
      <c r="K3062" s="479">
        <f>SUM(K3049:K3061)</f>
        <v>7440</v>
      </c>
      <c r="L3062" s="473">
        <f>L3063-K3062</f>
        <v>-1791</v>
      </c>
      <c r="M3062" s="473"/>
    </row>
    <row r="3063" spans="5:13">
      <c r="E3063" s="473"/>
      <c r="F3063" s="473"/>
      <c r="G3063" s="473"/>
      <c r="H3063" s="480" t="s">
        <v>3338</v>
      </c>
      <c r="I3063" s="473"/>
      <c r="J3063" s="473"/>
      <c r="K3063" s="481">
        <f>K3062/3</f>
        <v>2480</v>
      </c>
      <c r="L3063" s="473">
        <f>1883*3</f>
        <v>5649</v>
      </c>
      <c r="M3063" s="473"/>
    </row>
    <row r="3064" spans="5:13">
      <c r="E3064" s="473"/>
      <c r="F3064" s="473"/>
      <c r="G3064" s="473"/>
      <c r="H3064" s="473"/>
      <c r="I3064" s="473"/>
      <c r="J3064" s="473"/>
      <c r="K3064" s="473"/>
      <c r="L3064" s="473"/>
      <c r="M3064" s="473"/>
    </row>
    <row r="3065" spans="5:13">
      <c r="E3065" s="473"/>
      <c r="F3065" s="473"/>
      <c r="G3065" s="473"/>
      <c r="H3065" s="490" t="s">
        <v>3115</v>
      </c>
      <c r="I3065" s="473"/>
      <c r="J3065" s="473"/>
      <c r="K3065" s="473"/>
      <c r="L3065" s="473"/>
      <c r="M3065" s="473"/>
    </row>
    <row r="3066" spans="5:13">
      <c r="E3066" s="473"/>
      <c r="F3066" s="473"/>
      <c r="G3066" s="473"/>
      <c r="H3066" s="473"/>
      <c r="I3066" s="473"/>
      <c r="J3066" s="473"/>
      <c r="K3066" s="473"/>
      <c r="L3066" s="473"/>
      <c r="M3066" s="473"/>
    </row>
    <row r="3067" spans="5:13">
      <c r="E3067" s="473"/>
      <c r="F3067" s="473"/>
      <c r="G3067" s="473"/>
      <c r="H3067" s="481" t="s">
        <v>3116</v>
      </c>
      <c r="I3067" s="473"/>
      <c r="J3067" s="473"/>
      <c r="K3067" s="473"/>
      <c r="L3067" s="473"/>
      <c r="M3067" s="473"/>
    </row>
    <row r="3068" spans="5:13">
      <c r="E3068" s="473"/>
      <c r="F3068" s="473"/>
      <c r="G3068" s="473"/>
      <c r="H3068" s="481" t="s">
        <v>2496</v>
      </c>
      <c r="I3068" s="473"/>
      <c r="J3068" s="473"/>
      <c r="K3068" s="473"/>
      <c r="L3068" s="473"/>
      <c r="M3068" s="473"/>
    </row>
    <row r="3069" spans="5:13">
      <c r="E3069" s="473"/>
      <c r="F3069" s="473"/>
      <c r="G3069" s="473"/>
      <c r="H3069" s="473"/>
      <c r="I3069" s="473"/>
      <c r="J3069" s="473"/>
      <c r="K3069" s="473"/>
      <c r="L3069" s="473"/>
      <c r="M3069" s="473"/>
    </row>
    <row r="3070" spans="5:13" ht="121.5" customHeight="1">
      <c r="E3070" s="473"/>
      <c r="F3070" s="473"/>
      <c r="G3070" s="473"/>
      <c r="H3070" s="472" t="s">
        <v>2497</v>
      </c>
      <c r="I3070" s="473"/>
      <c r="J3070" s="473"/>
      <c r="K3070" s="473"/>
      <c r="L3070" s="473"/>
      <c r="M3070" s="473"/>
    </row>
    <row r="3071" spans="5:13">
      <c r="E3071" s="473"/>
      <c r="F3071" s="473"/>
      <c r="G3071" s="473"/>
      <c r="H3071" s="473"/>
      <c r="I3071" s="473"/>
      <c r="J3071" s="473"/>
      <c r="K3071" s="473"/>
      <c r="L3071" s="473"/>
      <c r="M3071" s="473"/>
    </row>
    <row r="3072" spans="5:13" ht="31.5">
      <c r="E3072" s="473"/>
      <c r="F3072" s="473">
        <v>180</v>
      </c>
      <c r="G3072" s="473" t="s">
        <v>840</v>
      </c>
      <c r="H3072" s="394" t="s">
        <v>2662</v>
      </c>
      <c r="I3072" s="473">
        <f>I3049</f>
        <v>14.05</v>
      </c>
      <c r="J3072" s="473" t="s">
        <v>840</v>
      </c>
      <c r="K3072" s="473">
        <f>F3072*I3072</f>
        <v>2529</v>
      </c>
      <c r="L3072" s="473"/>
      <c r="M3072" s="473"/>
    </row>
    <row r="3073" spans="5:13" ht="31.5">
      <c r="E3073" s="473"/>
      <c r="F3073" s="473">
        <v>90</v>
      </c>
      <c r="G3073" s="473" t="s">
        <v>840</v>
      </c>
      <c r="H3073" s="472" t="s">
        <v>2466</v>
      </c>
      <c r="I3073" s="473">
        <f>I3050</f>
        <v>20.399999999999999</v>
      </c>
      <c r="J3073" s="473" t="s">
        <v>840</v>
      </c>
      <c r="K3073" s="473">
        <f>F3073*I3073</f>
        <v>1836</v>
      </c>
      <c r="L3073" s="473"/>
      <c r="M3073" s="473"/>
    </row>
    <row r="3074" spans="5:13">
      <c r="E3074" s="473"/>
      <c r="F3074" s="473">
        <v>3</v>
      </c>
      <c r="G3074" s="473" t="s">
        <v>2759</v>
      </c>
      <c r="H3074" s="473" t="s">
        <v>391</v>
      </c>
      <c r="I3074" s="473">
        <f>I3058</f>
        <v>275</v>
      </c>
      <c r="J3074" s="473" t="s">
        <v>2759</v>
      </c>
      <c r="K3074" s="473">
        <f>F3074*I3074</f>
        <v>825</v>
      </c>
      <c r="L3074" s="473"/>
      <c r="M3074" s="473"/>
    </row>
    <row r="3075" spans="5:13" ht="31.5">
      <c r="E3075" s="473"/>
      <c r="F3075" s="473">
        <v>90</v>
      </c>
      <c r="G3075" s="473" t="s">
        <v>840</v>
      </c>
      <c r="H3075" s="394" t="s">
        <v>2765</v>
      </c>
      <c r="I3075" s="473">
        <f>I3072</f>
        <v>14.05</v>
      </c>
      <c r="J3075" s="473" t="s">
        <v>2663</v>
      </c>
      <c r="K3075" s="473">
        <f>F3075*I3075</f>
        <v>1264.5</v>
      </c>
      <c r="L3075" s="473"/>
      <c r="M3075" s="473"/>
    </row>
    <row r="3076" spans="5:13">
      <c r="E3076" s="473"/>
      <c r="F3076" s="473"/>
      <c r="G3076" s="473"/>
      <c r="H3076" s="473" t="s">
        <v>931</v>
      </c>
      <c r="I3076" s="473"/>
      <c r="J3076" s="473"/>
      <c r="K3076" s="473">
        <f>K3060</f>
        <v>4340</v>
      </c>
      <c r="L3076" s="473"/>
      <c r="M3076" s="473"/>
    </row>
    <row r="3077" spans="5:13">
      <c r="E3077" s="473"/>
      <c r="F3077" s="473"/>
      <c r="G3077" s="473"/>
      <c r="H3077" s="473"/>
      <c r="I3077" s="473"/>
      <c r="J3077" s="473"/>
      <c r="K3077" s="473">
        <f>SUM(K3072:K3076)</f>
        <v>10794.5</v>
      </c>
      <c r="L3077" s="473"/>
      <c r="M3077" s="473"/>
    </row>
    <row r="3078" spans="5:13">
      <c r="E3078" s="473"/>
      <c r="F3078" s="473"/>
      <c r="G3078" s="473"/>
      <c r="H3078" s="473" t="s">
        <v>2359</v>
      </c>
      <c r="I3078" s="473"/>
      <c r="J3078" s="473"/>
      <c r="K3078" s="473">
        <v>5.5</v>
      </c>
      <c r="L3078" s="473"/>
      <c r="M3078" s="473"/>
    </row>
    <row r="3079" spans="5:13">
      <c r="E3079" s="473"/>
      <c r="F3079" s="473"/>
      <c r="G3079" s="473"/>
      <c r="H3079" s="478" t="s">
        <v>2498</v>
      </c>
      <c r="I3079" s="473"/>
      <c r="J3079" s="473"/>
      <c r="K3079" s="479">
        <f>SUM(K3077:K3078)</f>
        <v>10800</v>
      </c>
      <c r="L3079" s="473"/>
      <c r="M3079" s="473"/>
    </row>
    <row r="3080" spans="5:13">
      <c r="E3080" s="473"/>
      <c r="F3080" s="473"/>
      <c r="G3080" s="473"/>
      <c r="H3080" s="480" t="s">
        <v>2499</v>
      </c>
      <c r="I3080" s="473"/>
      <c r="J3080" s="473"/>
      <c r="K3080" s="481">
        <f>K3079/90</f>
        <v>120</v>
      </c>
      <c r="L3080" s="473"/>
      <c r="M3080" s="473"/>
    </row>
    <row r="3081" spans="5:13">
      <c r="E3081" s="473"/>
      <c r="F3081" s="473"/>
      <c r="G3081" s="473"/>
      <c r="H3081" s="473"/>
      <c r="I3081" s="473"/>
      <c r="J3081" s="473"/>
      <c r="K3081" s="473"/>
      <c r="L3081" s="473"/>
      <c r="M3081" s="473"/>
    </row>
    <row r="3082" spans="5:13">
      <c r="E3082" s="473"/>
      <c r="F3082" s="473"/>
      <c r="G3082" s="473"/>
      <c r="H3082" s="481" t="s">
        <v>2500</v>
      </c>
      <c r="I3082" s="473"/>
      <c r="J3082" s="473"/>
      <c r="K3082" s="473"/>
      <c r="L3082" s="473"/>
      <c r="M3082" s="473"/>
    </row>
    <row r="3083" spans="5:13">
      <c r="E3083" s="473"/>
      <c r="F3083" s="473"/>
      <c r="G3083" s="473"/>
      <c r="H3083" s="481" t="s">
        <v>2501</v>
      </c>
      <c r="I3083" s="473"/>
      <c r="J3083" s="473"/>
      <c r="K3083" s="473"/>
      <c r="L3083" s="473"/>
      <c r="M3083" s="473"/>
    </row>
    <row r="3084" spans="5:13">
      <c r="E3084" s="473"/>
      <c r="F3084" s="473"/>
      <c r="G3084" s="473"/>
      <c r="H3084" s="473"/>
      <c r="I3084" s="473"/>
      <c r="J3084" s="473"/>
      <c r="K3084" s="473"/>
      <c r="L3084" s="473"/>
      <c r="M3084" s="473"/>
    </row>
    <row r="3085" spans="5:13" ht="121.5" customHeight="1">
      <c r="E3085" s="473"/>
      <c r="F3085" s="473"/>
      <c r="G3085" s="473"/>
      <c r="H3085" s="472" t="s">
        <v>3170</v>
      </c>
      <c r="I3085" s="473"/>
      <c r="J3085" s="473"/>
      <c r="K3085" s="473"/>
      <c r="L3085" s="473"/>
      <c r="M3085" s="473"/>
    </row>
    <row r="3086" spans="5:13">
      <c r="E3086" s="473"/>
      <c r="F3086" s="473"/>
      <c r="G3086" s="473"/>
      <c r="H3086" s="473"/>
      <c r="I3086" s="473"/>
      <c r="J3086" s="473"/>
      <c r="K3086" s="473"/>
      <c r="L3086" s="473"/>
      <c r="M3086" s="473"/>
    </row>
    <row r="3087" spans="5:13">
      <c r="E3087" s="473"/>
      <c r="F3087" s="473"/>
      <c r="G3087" s="473"/>
      <c r="H3087" s="473" t="s">
        <v>3171</v>
      </c>
      <c r="I3087" s="473"/>
      <c r="J3087" s="473"/>
      <c r="K3087" s="473">
        <f>K3077</f>
        <v>10794.5</v>
      </c>
      <c r="L3087" s="473"/>
      <c r="M3087" s="473"/>
    </row>
    <row r="3088" spans="5:13" ht="41.25" customHeight="1">
      <c r="E3088" s="473"/>
      <c r="F3088" s="473">
        <v>180</v>
      </c>
      <c r="G3088" s="473" t="s">
        <v>840</v>
      </c>
      <c r="H3088" s="472" t="s">
        <v>3419</v>
      </c>
      <c r="I3088" s="623">
        <v>21.8</v>
      </c>
      <c r="J3088" s="473" t="s">
        <v>840</v>
      </c>
      <c r="K3088" s="473">
        <f>F3088*I3088</f>
        <v>3924</v>
      </c>
      <c r="L3088" s="473"/>
      <c r="M3088" s="473"/>
    </row>
    <row r="3089" spans="5:18" ht="36.75" customHeight="1">
      <c r="E3089" s="473"/>
      <c r="F3089" s="473">
        <v>180</v>
      </c>
      <c r="G3089" s="473" t="s">
        <v>840</v>
      </c>
      <c r="H3089" s="472" t="s">
        <v>3118</v>
      </c>
      <c r="I3089" s="473">
        <f>I3075</f>
        <v>14.05</v>
      </c>
      <c r="J3089" s="473" t="s">
        <v>2663</v>
      </c>
      <c r="K3089" s="473">
        <f>F3089*I3089</f>
        <v>2529</v>
      </c>
      <c r="L3089" s="473">
        <f>102.3*90</f>
        <v>9207</v>
      </c>
      <c r="M3089" s="473"/>
    </row>
    <row r="3090" spans="5:18" ht="25.5" customHeight="1">
      <c r="E3090" s="473"/>
      <c r="F3090" s="473"/>
      <c r="G3090" s="473"/>
      <c r="H3090" s="473" t="s">
        <v>2359</v>
      </c>
      <c r="I3090" s="473"/>
      <c r="J3090" s="473"/>
      <c r="K3090" s="473">
        <v>14.5</v>
      </c>
      <c r="L3090" s="473">
        <f>109.4*90</f>
        <v>9846</v>
      </c>
      <c r="M3090" s="473"/>
    </row>
    <row r="3091" spans="5:18">
      <c r="E3091" s="473"/>
      <c r="F3091" s="473"/>
      <c r="G3091" s="473"/>
      <c r="H3091" s="478" t="s">
        <v>3119</v>
      </c>
      <c r="I3091" s="473"/>
      <c r="J3091" s="473"/>
      <c r="K3091" s="479">
        <f>K3087+K3088-K3089+K3090</f>
        <v>12204</v>
      </c>
      <c r="L3091" s="473">
        <f>L3090-K3091</f>
        <v>-2358</v>
      </c>
      <c r="M3091" s="473"/>
    </row>
    <row r="3092" spans="5:18">
      <c r="E3092" s="473"/>
      <c r="F3092" s="473"/>
      <c r="G3092" s="473"/>
      <c r="H3092" s="480" t="s">
        <v>2499</v>
      </c>
      <c r="I3092" s="473"/>
      <c r="J3092" s="473"/>
      <c r="K3092" s="481">
        <f>K3091/90</f>
        <v>135.6</v>
      </c>
      <c r="L3092" s="473"/>
      <c r="M3092" s="473"/>
    </row>
    <row r="3093" spans="5:18">
      <c r="E3093" s="473"/>
      <c r="F3093" s="473"/>
      <c r="G3093" s="473"/>
      <c r="H3093" s="473"/>
      <c r="I3093" s="473"/>
      <c r="J3093" s="473"/>
      <c r="K3093" s="473"/>
      <c r="L3093" s="473"/>
      <c r="M3093" s="473"/>
    </row>
    <row r="3094" spans="5:18">
      <c r="E3094" s="473"/>
      <c r="F3094" s="473"/>
      <c r="G3094" s="473"/>
      <c r="H3094" s="481" t="s">
        <v>3120</v>
      </c>
      <c r="I3094" s="473"/>
      <c r="J3094" s="473"/>
      <c r="K3094" s="473"/>
      <c r="L3094" s="473"/>
      <c r="M3094" s="473"/>
    </row>
    <row r="3095" spans="5:18">
      <c r="E3095" s="473"/>
      <c r="F3095" s="473"/>
      <c r="G3095" s="473"/>
      <c r="H3095" s="481" t="s">
        <v>3121</v>
      </c>
      <c r="I3095" s="473"/>
      <c r="J3095" s="473"/>
      <c r="K3095" s="473"/>
      <c r="L3095" s="473"/>
      <c r="M3095" s="473"/>
    </row>
    <row r="3096" spans="5:18">
      <c r="E3096" s="473"/>
      <c r="F3096" s="473"/>
      <c r="G3096" s="473"/>
      <c r="H3096" s="473"/>
      <c r="I3096" s="473"/>
      <c r="J3096" s="473"/>
      <c r="K3096" s="473"/>
      <c r="L3096" s="473"/>
      <c r="M3096" s="473"/>
    </row>
    <row r="3097" spans="5:18" ht="126.75" customHeight="1">
      <c r="E3097" s="473"/>
      <c r="F3097" s="473"/>
      <c r="G3097" s="473"/>
      <c r="H3097" s="472" t="s">
        <v>3363</v>
      </c>
      <c r="I3097" s="473"/>
      <c r="J3097" s="473"/>
      <c r="K3097" s="473"/>
      <c r="L3097" s="473"/>
      <c r="M3097" s="473"/>
      <c r="N3097" s="473"/>
      <c r="O3097" s="472" t="s">
        <v>1423</v>
      </c>
      <c r="P3097" s="473"/>
      <c r="Q3097" s="473"/>
      <c r="R3097" s="473"/>
    </row>
    <row r="3098" spans="5:18" ht="28.5" customHeight="1">
      <c r="E3098" s="473"/>
      <c r="F3098" s="473">
        <v>180</v>
      </c>
      <c r="G3098" s="473" t="s">
        <v>840</v>
      </c>
      <c r="H3098" s="394" t="s">
        <v>3364</v>
      </c>
      <c r="I3098" s="623">
        <v>34.6</v>
      </c>
      <c r="J3098" s="473" t="s">
        <v>2663</v>
      </c>
      <c r="K3098" s="473">
        <f>F3098*I3098</f>
        <v>6228</v>
      </c>
      <c r="L3098" s="473"/>
      <c r="M3098" s="473">
        <v>180</v>
      </c>
      <c r="N3098" s="473" t="s">
        <v>840</v>
      </c>
      <c r="O3098" s="394" t="s">
        <v>1424</v>
      </c>
      <c r="P3098" s="473">
        <v>46.6</v>
      </c>
      <c r="Q3098" s="473" t="s">
        <v>2663</v>
      </c>
      <c r="R3098" s="473">
        <f>M3098*P3098</f>
        <v>8388</v>
      </c>
    </row>
    <row r="3099" spans="5:18" ht="39" customHeight="1">
      <c r="E3099" s="473"/>
      <c r="F3099" s="473">
        <v>90</v>
      </c>
      <c r="G3099" s="473" t="s">
        <v>840</v>
      </c>
      <c r="H3099" s="472" t="s">
        <v>2466</v>
      </c>
      <c r="I3099" s="473">
        <f>I3073</f>
        <v>20.399999999999999</v>
      </c>
      <c r="J3099" s="473" t="s">
        <v>840</v>
      </c>
      <c r="K3099" s="473">
        <f>F3099*I3099</f>
        <v>1836</v>
      </c>
      <c r="L3099" s="473"/>
      <c r="M3099" s="473">
        <v>90</v>
      </c>
      <c r="N3099" s="473" t="s">
        <v>840</v>
      </c>
      <c r="O3099" s="472" t="s">
        <v>2466</v>
      </c>
      <c r="P3099" s="473">
        <f>I3099</f>
        <v>20.399999999999999</v>
      </c>
      <c r="Q3099" s="473" t="s">
        <v>840</v>
      </c>
      <c r="R3099" s="473">
        <f>M3099*P3099</f>
        <v>1836</v>
      </c>
    </row>
    <row r="3100" spans="5:18">
      <c r="E3100" s="473"/>
      <c r="F3100" s="473">
        <v>3</v>
      </c>
      <c r="G3100" s="473" t="s">
        <v>2759</v>
      </c>
      <c r="H3100" s="473" t="s">
        <v>391</v>
      </c>
      <c r="I3100" s="473">
        <f>I3074</f>
        <v>275</v>
      </c>
      <c r="J3100" s="473" t="s">
        <v>2759</v>
      </c>
      <c r="K3100" s="473">
        <f>F3100*I3100</f>
        <v>825</v>
      </c>
      <c r="L3100" s="473"/>
      <c r="M3100" s="473">
        <v>3</v>
      </c>
      <c r="N3100" s="473" t="s">
        <v>2759</v>
      </c>
      <c r="O3100" s="473" t="s">
        <v>391</v>
      </c>
      <c r="P3100" s="473">
        <f>I3100</f>
        <v>275</v>
      </c>
      <c r="Q3100" s="473" t="s">
        <v>2759</v>
      </c>
      <c r="R3100" s="473">
        <f>M3100*P3100</f>
        <v>825</v>
      </c>
    </row>
    <row r="3101" spans="5:18" ht="47.25">
      <c r="E3101" s="473"/>
      <c r="F3101" s="473">
        <v>90</v>
      </c>
      <c r="G3101" s="473" t="s">
        <v>840</v>
      </c>
      <c r="H3101" s="394" t="s">
        <v>3365</v>
      </c>
      <c r="I3101" s="473">
        <f>I3088</f>
        <v>21.8</v>
      </c>
      <c r="J3101" s="473" t="s">
        <v>2663</v>
      </c>
      <c r="K3101" s="473">
        <f>F3101*I3101</f>
        <v>1962</v>
      </c>
      <c r="L3101" s="473"/>
      <c r="M3101" s="473">
        <v>90</v>
      </c>
      <c r="N3101" s="473" t="s">
        <v>840</v>
      </c>
      <c r="O3101" s="394" t="s">
        <v>3365</v>
      </c>
      <c r="P3101" s="473">
        <f>I3101</f>
        <v>21.8</v>
      </c>
      <c r="Q3101" s="473" t="s">
        <v>2663</v>
      </c>
      <c r="R3101" s="473">
        <f>M3101*P3101</f>
        <v>1962</v>
      </c>
    </row>
    <row r="3102" spans="5:18">
      <c r="E3102" s="473"/>
      <c r="F3102" s="473"/>
      <c r="G3102" s="473"/>
      <c r="H3102" s="473" t="s">
        <v>931</v>
      </c>
      <c r="I3102" s="473"/>
      <c r="J3102" s="473"/>
      <c r="K3102" s="473">
        <f>K3076</f>
        <v>4340</v>
      </c>
      <c r="L3102" s="473"/>
      <c r="M3102" s="473"/>
      <c r="N3102" s="473"/>
      <c r="O3102" s="473" t="s">
        <v>931</v>
      </c>
      <c r="P3102" s="473"/>
      <c r="Q3102" s="473"/>
      <c r="R3102" s="473">
        <f>K3102</f>
        <v>4340</v>
      </c>
    </row>
    <row r="3103" spans="5:18">
      <c r="E3103" s="473"/>
      <c r="F3103" s="473"/>
      <c r="G3103" s="473"/>
      <c r="H3103" s="473" t="s">
        <v>2359</v>
      </c>
      <c r="I3103" s="473"/>
      <c r="J3103" s="473"/>
      <c r="K3103" s="473">
        <v>10</v>
      </c>
      <c r="L3103" s="473"/>
      <c r="M3103" s="473"/>
      <c r="N3103" s="473"/>
      <c r="O3103" s="473" t="s">
        <v>2359</v>
      </c>
      <c r="P3103" s="473"/>
      <c r="Q3103" s="473"/>
      <c r="R3103" s="473">
        <v>11</v>
      </c>
    </row>
    <row r="3104" spans="5:18">
      <c r="E3104" s="473"/>
      <c r="F3104" s="473"/>
      <c r="G3104" s="473"/>
      <c r="H3104" s="478" t="s">
        <v>2498</v>
      </c>
      <c r="I3104" s="473"/>
      <c r="J3104" s="473"/>
      <c r="K3104" s="479">
        <f>SUM(K3098:K3103)</f>
        <v>15201</v>
      </c>
      <c r="L3104" s="473"/>
      <c r="M3104" s="473"/>
      <c r="N3104" s="473"/>
      <c r="O3104" s="478" t="s">
        <v>2498</v>
      </c>
      <c r="P3104" s="473"/>
      <c r="Q3104" s="473"/>
      <c r="R3104" s="479">
        <f>SUM(R3098:R3103)</f>
        <v>17362</v>
      </c>
    </row>
    <row r="3105" spans="5:18">
      <c r="E3105" s="473"/>
      <c r="F3105" s="473"/>
      <c r="G3105" s="473"/>
      <c r="H3105" s="480" t="s">
        <v>2499</v>
      </c>
      <c r="I3105" s="473"/>
      <c r="J3105" s="473"/>
      <c r="K3105" s="481">
        <f>K3104/90</f>
        <v>168.9</v>
      </c>
      <c r="L3105" s="473"/>
      <c r="M3105" s="473"/>
      <c r="N3105" s="473"/>
      <c r="O3105" s="480" t="s">
        <v>2499</v>
      </c>
      <c r="P3105" s="473"/>
      <c r="Q3105" s="473"/>
      <c r="R3105" s="481">
        <f>R3104/90</f>
        <v>192.91</v>
      </c>
    </row>
    <row r="3106" spans="5:18">
      <c r="E3106" s="473"/>
      <c r="F3106" s="473"/>
      <c r="G3106" s="473"/>
      <c r="H3106" s="473"/>
      <c r="I3106" s="473"/>
      <c r="J3106" s="473"/>
      <c r="K3106" s="473"/>
      <c r="L3106" s="473"/>
      <c r="M3106" s="473"/>
    </row>
    <row r="3107" spans="5:18">
      <c r="E3107" s="473"/>
      <c r="F3107" s="473"/>
      <c r="G3107" s="473"/>
      <c r="H3107" s="473"/>
      <c r="I3107" s="473"/>
      <c r="J3107" s="473"/>
      <c r="K3107" s="473"/>
      <c r="L3107" s="473"/>
      <c r="M3107" s="473"/>
    </row>
    <row r="3108" spans="5:18">
      <c r="E3108" s="473"/>
      <c r="F3108" s="473"/>
      <c r="G3108" s="473"/>
      <c r="H3108" s="481" t="s">
        <v>3366</v>
      </c>
      <c r="I3108" s="473"/>
      <c r="J3108" s="473"/>
      <c r="K3108" s="473"/>
      <c r="L3108" s="473"/>
      <c r="M3108" s="473"/>
    </row>
    <row r="3109" spans="5:18">
      <c r="E3109" s="473"/>
      <c r="F3109" s="473"/>
      <c r="G3109" s="473"/>
      <c r="H3109" s="481" t="s">
        <v>2435</v>
      </c>
      <c r="I3109" s="473"/>
      <c r="J3109" s="473"/>
      <c r="K3109" s="473"/>
      <c r="L3109" s="473"/>
      <c r="M3109" s="473"/>
    </row>
    <row r="3110" spans="5:18">
      <c r="E3110" s="473"/>
      <c r="F3110" s="473"/>
      <c r="G3110" s="473"/>
      <c r="H3110" s="473"/>
      <c r="I3110" s="473"/>
      <c r="J3110" s="473"/>
      <c r="K3110" s="473"/>
      <c r="L3110" s="473"/>
      <c r="M3110" s="473"/>
    </row>
    <row r="3111" spans="5:18" ht="121.5" customHeight="1">
      <c r="E3111" s="473"/>
      <c r="F3111" s="473"/>
      <c r="G3111" s="473"/>
      <c r="H3111" s="472" t="s">
        <v>2444</v>
      </c>
      <c r="I3111" s="473"/>
      <c r="J3111" s="473"/>
      <c r="K3111" s="473"/>
      <c r="L3111" s="473"/>
      <c r="M3111" s="473"/>
    </row>
    <row r="3112" spans="5:18" ht="31.5">
      <c r="E3112" s="473"/>
      <c r="F3112" s="473">
        <v>360</v>
      </c>
      <c r="G3112" s="473"/>
      <c r="H3112" s="624" t="s">
        <v>3364</v>
      </c>
      <c r="I3112" s="623">
        <f>I3098</f>
        <v>34.6</v>
      </c>
      <c r="J3112" s="473" t="s">
        <v>2663</v>
      </c>
      <c r="K3112" s="473">
        <f>F3112*I3112</f>
        <v>12456</v>
      </c>
      <c r="L3112" s="473"/>
      <c r="M3112" s="473"/>
    </row>
    <row r="3113" spans="5:18" ht="31.5">
      <c r="E3113" s="473"/>
      <c r="F3113" s="473">
        <v>90</v>
      </c>
      <c r="G3113" s="473"/>
      <c r="H3113" s="472" t="s">
        <v>2445</v>
      </c>
      <c r="I3113" s="623">
        <v>30.3</v>
      </c>
      <c r="J3113" s="473" t="s">
        <v>840</v>
      </c>
      <c r="K3113" s="473">
        <f>F3113*I3113</f>
        <v>2727</v>
      </c>
      <c r="L3113" s="473"/>
      <c r="M3113" s="473"/>
    </row>
    <row r="3114" spans="5:18">
      <c r="E3114" s="473"/>
      <c r="F3114" s="473">
        <v>3</v>
      </c>
      <c r="G3114" s="473"/>
      <c r="H3114" s="473" t="s">
        <v>391</v>
      </c>
      <c r="I3114" s="473">
        <f>I3100</f>
        <v>275</v>
      </c>
      <c r="J3114" s="473" t="s">
        <v>2759</v>
      </c>
      <c r="K3114" s="473">
        <f>F3114*I3114</f>
        <v>825</v>
      </c>
      <c r="L3114" s="473"/>
      <c r="M3114" s="473"/>
    </row>
    <row r="3115" spans="5:18" ht="31.5">
      <c r="E3115" s="473"/>
      <c r="F3115" s="473">
        <v>90</v>
      </c>
      <c r="G3115" s="473"/>
      <c r="H3115" s="394" t="s">
        <v>3365</v>
      </c>
      <c r="I3115" s="473">
        <f>I3101</f>
        <v>21.8</v>
      </c>
      <c r="J3115" s="473" t="s">
        <v>2663</v>
      </c>
      <c r="K3115" s="473">
        <f>F3115*I3115</f>
        <v>1962</v>
      </c>
      <c r="L3115" s="473"/>
      <c r="M3115" s="473"/>
    </row>
    <row r="3116" spans="5:18">
      <c r="E3116" s="473"/>
      <c r="F3116" s="473"/>
      <c r="G3116" s="473"/>
      <c r="H3116" s="473" t="s">
        <v>931</v>
      </c>
      <c r="I3116" s="473"/>
      <c r="J3116" s="473"/>
      <c r="K3116" s="473">
        <f>I3122</f>
        <v>5732</v>
      </c>
      <c r="L3116" s="473"/>
      <c r="M3116" s="473"/>
    </row>
    <row r="3117" spans="5:18">
      <c r="E3117" s="473"/>
      <c r="F3117" s="473"/>
      <c r="G3117" s="473"/>
      <c r="H3117" s="473" t="s">
        <v>2359</v>
      </c>
      <c r="I3117" s="473"/>
      <c r="J3117" s="473"/>
      <c r="K3117" s="473">
        <v>13</v>
      </c>
      <c r="L3117" s="473"/>
      <c r="M3117" s="473"/>
    </row>
    <row r="3118" spans="5:18">
      <c r="E3118" s="473"/>
      <c r="F3118" s="473"/>
      <c r="G3118" s="473"/>
      <c r="H3118" s="478" t="s">
        <v>2498</v>
      </c>
      <c r="I3118" s="473"/>
      <c r="J3118" s="473"/>
      <c r="K3118" s="479">
        <f>SUM(K3112:K3117)</f>
        <v>23715</v>
      </c>
      <c r="L3118" s="473">
        <f>217.3*90</f>
        <v>19557</v>
      </c>
      <c r="M3118" s="473"/>
    </row>
    <row r="3119" spans="5:18">
      <c r="E3119" s="473"/>
      <c r="F3119" s="473"/>
      <c r="G3119" s="473"/>
      <c r="H3119" s="480" t="s">
        <v>2499</v>
      </c>
      <c r="I3119" s="473"/>
      <c r="J3119" s="473"/>
      <c r="K3119" s="481">
        <f>K3118/90</f>
        <v>263.5</v>
      </c>
      <c r="L3119" s="473">
        <f>L3118-K3118</f>
        <v>-4158</v>
      </c>
      <c r="M3119" s="473"/>
    </row>
    <row r="3120" spans="5:18">
      <c r="E3120" s="473"/>
      <c r="F3120" s="473"/>
      <c r="G3120" s="473"/>
      <c r="H3120" s="473"/>
      <c r="I3120" s="473"/>
      <c r="J3120" s="473"/>
      <c r="K3120" s="473"/>
      <c r="L3120" s="473"/>
      <c r="M3120" s="473"/>
    </row>
    <row r="3121" spans="5:13">
      <c r="E3121" s="473"/>
      <c r="F3121" s="473"/>
      <c r="G3121" s="473"/>
      <c r="H3121" s="481" t="s">
        <v>2446</v>
      </c>
      <c r="I3121" s="473"/>
      <c r="J3121" s="473"/>
      <c r="K3121" s="473"/>
      <c r="L3121" s="473"/>
      <c r="M3121" s="473"/>
    </row>
    <row r="3122" spans="5:13" s="629" customFormat="1">
      <c r="E3122" s="627"/>
      <c r="F3122" s="627"/>
      <c r="G3122" s="627"/>
      <c r="H3122" s="627" t="s">
        <v>3730</v>
      </c>
      <c r="I3122" s="628">
        <f>(1.5*K2873)-((K2871+K2872)/2)</f>
        <v>5732</v>
      </c>
      <c r="J3122" s="627"/>
      <c r="K3122" s="627"/>
      <c r="L3122" s="627">
        <f>(1.5*4340)-((652+904)/2)</f>
        <v>5732</v>
      </c>
      <c r="M3122" s="627"/>
    </row>
    <row r="3123" spans="5:13">
      <c r="E3123" s="473"/>
      <c r="F3123" s="473"/>
      <c r="G3123" s="473"/>
      <c r="H3123" s="473">
        <f>1.5*K2873-(K2871+K2872)/2</f>
        <v>5732</v>
      </c>
      <c r="I3123" s="473"/>
      <c r="J3123" s="473"/>
      <c r="K3123" s="473"/>
      <c r="L3123" s="473"/>
      <c r="M3123" s="473"/>
    </row>
    <row r="3124" spans="5:13">
      <c r="E3124" s="473"/>
      <c r="F3124" s="473"/>
      <c r="G3124" s="473"/>
      <c r="H3124" s="473"/>
      <c r="I3124" s="473"/>
      <c r="J3124" s="473"/>
      <c r="K3124" s="473"/>
      <c r="L3124" s="473"/>
      <c r="M3124" s="473"/>
    </row>
    <row r="3125" spans="5:13">
      <c r="E3125" s="473"/>
      <c r="F3125" s="473"/>
      <c r="G3125" s="473"/>
      <c r="H3125" s="490" t="s">
        <v>2447</v>
      </c>
      <c r="I3125" s="473"/>
      <c r="J3125" s="473"/>
      <c r="K3125" s="473"/>
      <c r="L3125" s="473"/>
      <c r="M3125" s="473"/>
    </row>
    <row r="3126" spans="5:13">
      <c r="E3126" s="473"/>
      <c r="F3126" s="473"/>
      <c r="G3126" s="473"/>
      <c r="H3126" s="473"/>
      <c r="I3126" s="473"/>
      <c r="J3126" s="473"/>
      <c r="K3126" s="473"/>
      <c r="L3126" s="473"/>
      <c r="M3126" s="473"/>
    </row>
    <row r="3127" spans="5:13">
      <c r="E3127" s="473"/>
      <c r="F3127" s="473"/>
      <c r="G3127" s="473"/>
      <c r="H3127" s="481" t="s">
        <v>2448</v>
      </c>
      <c r="I3127" s="473"/>
      <c r="J3127" s="473"/>
      <c r="K3127" s="473"/>
      <c r="L3127" s="473"/>
      <c r="M3127" s="473"/>
    </row>
    <row r="3128" spans="5:13">
      <c r="E3128" s="473"/>
      <c r="F3128" s="473"/>
      <c r="G3128" s="473"/>
      <c r="H3128" s="473"/>
      <c r="I3128" s="473"/>
      <c r="J3128" s="473"/>
      <c r="K3128" s="473"/>
      <c r="L3128" s="473"/>
      <c r="M3128" s="473"/>
    </row>
    <row r="3129" spans="5:13">
      <c r="E3129" s="473"/>
      <c r="F3129" s="473"/>
      <c r="G3129" s="473"/>
      <c r="H3129" s="481" t="s">
        <v>2449</v>
      </c>
      <c r="I3129" s="473"/>
      <c r="J3129" s="473"/>
      <c r="K3129" s="473"/>
      <c r="L3129" s="473"/>
      <c r="M3129" s="473"/>
    </row>
    <row r="3130" spans="5:13">
      <c r="E3130" s="473"/>
      <c r="F3130" s="473"/>
      <c r="G3130" s="473"/>
      <c r="H3130" s="473"/>
      <c r="I3130" s="473"/>
      <c r="J3130" s="473"/>
      <c r="K3130" s="473"/>
      <c r="L3130" s="473"/>
      <c r="M3130" s="473"/>
    </row>
    <row r="3131" spans="5:13" ht="63">
      <c r="E3131" s="473"/>
      <c r="F3131" s="473"/>
      <c r="G3131" s="473"/>
      <c r="H3131" s="472" t="s">
        <v>2450</v>
      </c>
      <c r="I3131" s="473"/>
      <c r="J3131" s="473"/>
      <c r="K3131" s="473"/>
      <c r="L3131" s="473"/>
      <c r="M3131" s="473"/>
    </row>
    <row r="3132" spans="5:13">
      <c r="E3132" s="473"/>
      <c r="F3132" s="473">
        <v>1</v>
      </c>
      <c r="G3132" s="473" t="s">
        <v>1454</v>
      </c>
      <c r="H3132" s="473" t="s">
        <v>2451</v>
      </c>
      <c r="I3132" s="623">
        <v>330</v>
      </c>
      <c r="J3132" s="473" t="s">
        <v>1454</v>
      </c>
      <c r="K3132" s="473">
        <f>F3132*I3132</f>
        <v>330</v>
      </c>
      <c r="L3132" s="473"/>
      <c r="M3132" s="473"/>
    </row>
    <row r="3133" spans="5:13">
      <c r="E3133" s="473"/>
      <c r="F3133" s="473"/>
      <c r="G3133" s="473"/>
      <c r="H3133" s="473" t="s">
        <v>2359</v>
      </c>
      <c r="I3133" s="473"/>
      <c r="J3133" s="473"/>
      <c r="K3133" s="473">
        <v>1.8</v>
      </c>
      <c r="L3133" s="473"/>
      <c r="M3133" s="473"/>
    </row>
    <row r="3134" spans="5:13">
      <c r="E3134" s="473"/>
      <c r="F3134" s="473"/>
      <c r="G3134" s="473"/>
      <c r="H3134" s="473" t="s">
        <v>931</v>
      </c>
      <c r="I3134" s="473"/>
      <c r="J3134" s="473"/>
      <c r="K3134" s="473">
        <f>K3142</f>
        <v>85.2</v>
      </c>
      <c r="L3134" s="473"/>
      <c r="M3134" s="473"/>
    </row>
    <row r="3135" spans="5:13">
      <c r="E3135" s="473"/>
      <c r="F3135" s="473"/>
      <c r="G3135" s="473"/>
      <c r="H3135" s="480" t="s">
        <v>2452</v>
      </c>
      <c r="I3135" s="473"/>
      <c r="J3135" s="473"/>
      <c r="K3135" s="481">
        <f>SUM(K3132:K3134)</f>
        <v>417</v>
      </c>
      <c r="L3135" s="473">
        <f>357-K3135</f>
        <v>-60</v>
      </c>
      <c r="M3135" s="473"/>
    </row>
    <row r="3136" spans="5:13">
      <c r="E3136" s="473"/>
      <c r="F3136" s="473"/>
      <c r="G3136" s="473"/>
      <c r="H3136" s="473"/>
      <c r="I3136" s="473"/>
      <c r="J3136" s="473"/>
      <c r="K3136" s="473"/>
      <c r="L3136" s="473"/>
      <c r="M3136" s="473"/>
    </row>
    <row r="3137" spans="5:13">
      <c r="E3137" s="473"/>
      <c r="F3137" s="473"/>
      <c r="G3137" s="473"/>
      <c r="H3137" s="473"/>
      <c r="I3137" s="473"/>
      <c r="J3137" s="473"/>
      <c r="K3137" s="473"/>
      <c r="L3137" s="473"/>
      <c r="M3137" s="473"/>
    </row>
    <row r="3138" spans="5:13">
      <c r="E3138" s="473"/>
      <c r="F3138" s="473"/>
      <c r="G3138" s="473"/>
      <c r="H3138" s="488" t="s">
        <v>2453</v>
      </c>
      <c r="I3138" s="473"/>
      <c r="J3138" s="473"/>
      <c r="K3138" s="473"/>
      <c r="L3138" s="473"/>
      <c r="M3138" s="473"/>
    </row>
    <row r="3139" spans="5:13">
      <c r="E3139" s="473"/>
      <c r="F3139" s="473">
        <v>2</v>
      </c>
      <c r="G3139" s="473" t="s">
        <v>1454</v>
      </c>
      <c r="H3139" s="473" t="s">
        <v>2711</v>
      </c>
      <c r="I3139" s="473">
        <f>I2868</f>
        <v>300</v>
      </c>
      <c r="J3139" s="473" t="s">
        <v>1454</v>
      </c>
      <c r="K3139" s="473">
        <f>F3139*I3139</f>
        <v>600</v>
      </c>
      <c r="L3139" s="473"/>
      <c r="M3139" s="473"/>
    </row>
    <row r="3140" spans="5:13">
      <c r="E3140" s="473"/>
      <c r="F3140" s="473">
        <v>3</v>
      </c>
      <c r="G3140" s="473" t="s">
        <v>1454</v>
      </c>
      <c r="H3140" s="473" t="s">
        <v>2712</v>
      </c>
      <c r="I3140" s="473">
        <f>I2869</f>
        <v>226</v>
      </c>
      <c r="J3140" s="473" t="s">
        <v>1454</v>
      </c>
      <c r="K3140" s="473">
        <f>F3140*I3140</f>
        <v>678</v>
      </c>
      <c r="L3140" s="473"/>
      <c r="M3140" s="473"/>
    </row>
    <row r="3141" spans="5:13">
      <c r="E3141" s="473"/>
      <c r="F3141" s="473"/>
      <c r="G3141" s="473"/>
      <c r="H3141" s="478" t="s">
        <v>3633</v>
      </c>
      <c r="I3141" s="473"/>
      <c r="J3141" s="473"/>
      <c r="K3141" s="479">
        <f>SUM(K3139:K3140)</f>
        <v>1278</v>
      </c>
      <c r="L3141" s="473"/>
      <c r="M3141" s="473"/>
    </row>
    <row r="3142" spans="5:13">
      <c r="E3142" s="473"/>
      <c r="F3142" s="473"/>
      <c r="G3142" s="473"/>
      <c r="H3142" s="480" t="s">
        <v>2929</v>
      </c>
      <c r="I3142" s="473"/>
      <c r="J3142" s="473"/>
      <c r="K3142" s="481">
        <f>K3141/15</f>
        <v>85.2</v>
      </c>
      <c r="L3142" s="473"/>
      <c r="M3142" s="473"/>
    </row>
    <row r="3143" spans="5:13">
      <c r="E3143" s="473"/>
      <c r="F3143" s="473"/>
      <c r="G3143" s="473"/>
      <c r="H3143" s="473"/>
      <c r="I3143" s="473"/>
      <c r="J3143" s="473"/>
      <c r="K3143" s="473"/>
      <c r="L3143" s="473"/>
      <c r="M3143" s="473"/>
    </row>
    <row r="3144" spans="5:13">
      <c r="E3144" s="473"/>
      <c r="F3144" s="473"/>
      <c r="G3144" s="473"/>
      <c r="H3144" s="481" t="s">
        <v>3634</v>
      </c>
      <c r="I3144" s="473"/>
      <c r="J3144" s="473"/>
      <c r="K3144" s="473"/>
      <c r="L3144" s="473"/>
      <c r="M3144" s="473"/>
    </row>
    <row r="3145" spans="5:13">
      <c r="E3145" s="473"/>
      <c r="F3145" s="473"/>
      <c r="G3145" s="473"/>
      <c r="H3145" s="473"/>
      <c r="I3145" s="473"/>
      <c r="J3145" s="473"/>
      <c r="K3145" s="473"/>
      <c r="L3145" s="473"/>
      <c r="M3145" s="473"/>
    </row>
    <row r="3146" spans="5:13" ht="72.75" customHeight="1">
      <c r="E3146" s="473"/>
      <c r="F3146" s="473"/>
      <c r="G3146" s="473"/>
      <c r="H3146" s="471" t="s">
        <v>3635</v>
      </c>
      <c r="I3146" s="473"/>
      <c r="J3146" s="473"/>
      <c r="K3146" s="473"/>
      <c r="L3146" s="473"/>
      <c r="M3146" s="473"/>
    </row>
    <row r="3147" spans="5:13">
      <c r="E3147" s="473"/>
      <c r="F3147" s="473"/>
      <c r="G3147" s="473"/>
      <c r="H3147" s="473"/>
      <c r="I3147" s="473"/>
      <c r="J3147" s="473"/>
      <c r="K3147" s="473"/>
      <c r="L3147" s="473"/>
      <c r="M3147" s="473"/>
    </row>
    <row r="3148" spans="5:13" ht="72.75" customHeight="1">
      <c r="E3148" s="473"/>
      <c r="F3148" s="473"/>
      <c r="G3148" s="473"/>
      <c r="H3148" s="472" t="s">
        <v>2897</v>
      </c>
      <c r="I3148" s="473"/>
      <c r="J3148" s="473"/>
      <c r="K3148" s="473"/>
      <c r="L3148" s="473"/>
      <c r="M3148" s="473"/>
    </row>
    <row r="3149" spans="5:13">
      <c r="E3149" s="473"/>
      <c r="F3149" s="473"/>
      <c r="G3149" s="473"/>
      <c r="H3149" s="473"/>
      <c r="I3149" s="473"/>
      <c r="J3149" s="473"/>
      <c r="K3149" s="473"/>
      <c r="L3149" s="473"/>
      <c r="M3149" s="473"/>
    </row>
    <row r="3150" spans="5:13" s="626" customFormat="1" ht="31.5">
      <c r="E3150" s="625"/>
      <c r="F3150" s="625">
        <v>1</v>
      </c>
      <c r="G3150" s="625" t="s">
        <v>1454</v>
      </c>
      <c r="H3150" s="630" t="s">
        <v>2898</v>
      </c>
      <c r="I3150" s="631">
        <v>200</v>
      </c>
      <c r="J3150" s="625" t="s">
        <v>1454</v>
      </c>
      <c r="K3150" s="625">
        <f>F3150*I3150</f>
        <v>200</v>
      </c>
      <c r="L3150" s="625"/>
      <c r="M3150" s="625"/>
    </row>
    <row r="3151" spans="5:13" s="626" customFormat="1" ht="31.5">
      <c r="E3151" s="625"/>
      <c r="F3151" s="625">
        <v>1</v>
      </c>
      <c r="G3151" s="625" t="s">
        <v>1454</v>
      </c>
      <c r="H3151" s="630" t="s">
        <v>3743</v>
      </c>
      <c r="I3151" s="632">
        <v>81.349999999999994</v>
      </c>
      <c r="J3151" s="625" t="s">
        <v>1454</v>
      </c>
      <c r="K3151" s="625">
        <f>F3151*I3151</f>
        <v>81.349999999999994</v>
      </c>
      <c r="L3151" s="625"/>
      <c r="M3151" s="625"/>
    </row>
    <row r="3152" spans="5:13" ht="31.5">
      <c r="E3152" s="473"/>
      <c r="F3152" s="473"/>
      <c r="G3152" s="473"/>
      <c r="H3152" s="472" t="s">
        <v>2900</v>
      </c>
      <c r="I3152" s="473"/>
      <c r="J3152" s="473"/>
      <c r="K3152" s="473">
        <v>6.4</v>
      </c>
      <c r="L3152" s="473"/>
      <c r="M3152" s="473"/>
    </row>
    <row r="3153" spans="5:13">
      <c r="E3153" s="473"/>
      <c r="F3153" s="473"/>
      <c r="G3153" s="473"/>
      <c r="H3153" s="473" t="s">
        <v>931</v>
      </c>
      <c r="I3153" s="473"/>
      <c r="J3153" s="473"/>
      <c r="K3153" s="473">
        <f>K3161</f>
        <v>192.25</v>
      </c>
      <c r="L3153" s="473"/>
      <c r="M3153" s="473"/>
    </row>
    <row r="3154" spans="5:13">
      <c r="E3154" s="473"/>
      <c r="F3154" s="473"/>
      <c r="G3154" s="473"/>
      <c r="H3154" s="480" t="s">
        <v>2929</v>
      </c>
      <c r="I3154" s="473"/>
      <c r="J3154" s="473"/>
      <c r="K3154" s="481">
        <f>SUM(K3150:K3153)</f>
        <v>480</v>
      </c>
      <c r="L3154" s="473"/>
      <c r="M3154" s="473"/>
    </row>
    <row r="3155" spans="5:13">
      <c r="E3155" s="473"/>
      <c r="F3155" s="473"/>
      <c r="G3155" s="473"/>
      <c r="H3155" s="473">
        <v>0</v>
      </c>
      <c r="I3155" s="473"/>
      <c r="J3155" s="473"/>
      <c r="K3155" s="473"/>
      <c r="L3155" s="473"/>
      <c r="M3155" s="473"/>
    </row>
    <row r="3156" spans="5:13">
      <c r="E3156" s="473"/>
      <c r="F3156" s="473"/>
      <c r="G3156" s="473"/>
      <c r="H3156" s="473"/>
      <c r="I3156" s="473"/>
      <c r="J3156" s="473"/>
      <c r="K3156" s="473"/>
      <c r="L3156" s="473"/>
      <c r="M3156" s="473"/>
    </row>
    <row r="3157" spans="5:13">
      <c r="E3157" s="473"/>
      <c r="F3157" s="473"/>
      <c r="G3157" s="473"/>
      <c r="H3157" s="488" t="s">
        <v>931</v>
      </c>
      <c r="I3157" s="473"/>
      <c r="J3157" s="473"/>
      <c r="K3157" s="473"/>
      <c r="L3157" s="473"/>
      <c r="M3157" s="473"/>
    </row>
    <row r="3158" spans="5:13">
      <c r="E3158" s="473"/>
      <c r="F3158" s="473">
        <v>1</v>
      </c>
      <c r="G3158" s="473" t="s">
        <v>1454</v>
      </c>
      <c r="H3158" s="473" t="s">
        <v>2901</v>
      </c>
      <c r="I3158" s="473">
        <f>I2867</f>
        <v>317</v>
      </c>
      <c r="J3158" s="473" t="s">
        <v>1454</v>
      </c>
      <c r="K3158" s="473">
        <f>F3158*I3158</f>
        <v>317</v>
      </c>
      <c r="L3158" s="473"/>
      <c r="M3158" s="473"/>
    </row>
    <row r="3159" spans="5:13">
      <c r="E3159" s="473"/>
      <c r="F3159" s="473">
        <v>2</v>
      </c>
      <c r="G3159" s="473" t="s">
        <v>1454</v>
      </c>
      <c r="H3159" s="473" t="s">
        <v>2712</v>
      </c>
      <c r="I3159" s="473">
        <f>I3140</f>
        <v>226</v>
      </c>
      <c r="J3159" s="473" t="s">
        <v>1454</v>
      </c>
      <c r="K3159" s="473">
        <f>F3159*I3159</f>
        <v>452</v>
      </c>
      <c r="L3159" s="473"/>
      <c r="M3159" s="473"/>
    </row>
    <row r="3160" spans="5:13">
      <c r="E3160" s="473"/>
      <c r="F3160" s="473"/>
      <c r="G3160" s="473"/>
      <c r="H3160" s="478" t="s">
        <v>2902</v>
      </c>
      <c r="I3160" s="473"/>
      <c r="J3160" s="473"/>
      <c r="K3160" s="479">
        <f>SUM(K3158:K3159)</f>
        <v>769</v>
      </c>
      <c r="L3160" s="473"/>
      <c r="M3160" s="473"/>
    </row>
    <row r="3161" spans="5:13">
      <c r="E3161" s="473"/>
      <c r="F3161" s="473"/>
      <c r="G3161" s="473"/>
      <c r="H3161" s="480" t="s">
        <v>3042</v>
      </c>
      <c r="I3161" s="473"/>
      <c r="J3161" s="473"/>
      <c r="K3161" s="481">
        <f>K3160/4</f>
        <v>192.25</v>
      </c>
      <c r="L3161" s="473"/>
      <c r="M3161" s="473"/>
    </row>
    <row r="3162" spans="5:13">
      <c r="E3162" s="473"/>
      <c r="F3162" s="473"/>
      <c r="G3162" s="473"/>
      <c r="H3162" s="473"/>
      <c r="I3162" s="473"/>
      <c r="J3162" s="473"/>
      <c r="K3162" s="473"/>
      <c r="L3162" s="473"/>
      <c r="M3162" s="473"/>
    </row>
    <row r="3163" spans="5:13">
      <c r="E3163" s="473"/>
      <c r="F3163" s="473"/>
      <c r="G3163" s="473"/>
      <c r="H3163" s="481" t="s">
        <v>2903</v>
      </c>
      <c r="I3163" s="473"/>
      <c r="J3163" s="473"/>
      <c r="K3163" s="473"/>
      <c r="L3163" s="473"/>
      <c r="M3163" s="473"/>
    </row>
    <row r="3164" spans="5:13">
      <c r="E3164" s="473"/>
      <c r="F3164" s="473"/>
      <c r="G3164" s="473"/>
      <c r="H3164" s="473"/>
      <c r="I3164" s="473"/>
      <c r="J3164" s="473"/>
      <c r="K3164" s="473"/>
      <c r="L3164" s="473"/>
      <c r="M3164" s="473"/>
    </row>
    <row r="3165" spans="5:13" ht="63">
      <c r="E3165" s="473"/>
      <c r="F3165" s="473"/>
      <c r="G3165" s="473"/>
      <c r="H3165" s="471" t="s">
        <v>2904</v>
      </c>
      <c r="I3165" s="473"/>
      <c r="J3165" s="473"/>
      <c r="K3165" s="473"/>
      <c r="L3165" s="473"/>
      <c r="M3165" s="473"/>
    </row>
    <row r="3166" spans="5:13">
      <c r="E3166" s="473"/>
      <c r="F3166" s="473"/>
      <c r="G3166" s="473"/>
      <c r="H3166" s="473"/>
      <c r="I3166" s="473"/>
      <c r="J3166" s="473"/>
      <c r="K3166" s="473"/>
      <c r="L3166" s="473"/>
      <c r="M3166" s="473"/>
    </row>
    <row r="3167" spans="5:13" ht="78.75">
      <c r="E3167" s="473"/>
      <c r="F3167" s="473"/>
      <c r="G3167" s="473"/>
      <c r="H3167" s="472" t="s">
        <v>3396</v>
      </c>
      <c r="I3167" s="473"/>
      <c r="J3167" s="473"/>
      <c r="K3167" s="473"/>
      <c r="L3167" s="473"/>
      <c r="M3167" s="473"/>
    </row>
    <row r="3168" spans="5:13">
      <c r="E3168" s="473"/>
      <c r="F3168" s="473"/>
      <c r="G3168" s="473"/>
      <c r="H3168" s="473"/>
      <c r="I3168" s="473"/>
      <c r="J3168" s="473"/>
      <c r="K3168" s="473"/>
      <c r="L3168" s="473"/>
      <c r="M3168" s="473"/>
    </row>
    <row r="3169" spans="5:13" s="626" customFormat="1" ht="31.5">
      <c r="E3169" s="625"/>
      <c r="F3169" s="625">
        <v>1</v>
      </c>
      <c r="G3169" s="625" t="s">
        <v>1454</v>
      </c>
      <c r="H3169" s="630" t="s">
        <v>3397</v>
      </c>
      <c r="I3169" s="625">
        <v>455</v>
      </c>
      <c r="J3169" s="625" t="s">
        <v>1454</v>
      </c>
      <c r="K3169" s="625">
        <f>F3169*I3169</f>
        <v>455</v>
      </c>
      <c r="L3169" s="625"/>
      <c r="M3169" s="625"/>
    </row>
    <row r="3170" spans="5:13" s="626" customFormat="1" ht="31.5">
      <c r="E3170" s="625"/>
      <c r="F3170" s="625">
        <v>1</v>
      </c>
      <c r="G3170" s="625" t="s">
        <v>1454</v>
      </c>
      <c r="H3170" s="630" t="s">
        <v>2899</v>
      </c>
      <c r="I3170" s="625">
        <f>I3151</f>
        <v>81.349999999999994</v>
      </c>
      <c r="J3170" s="625" t="s">
        <v>1454</v>
      </c>
      <c r="K3170" s="625">
        <f>F3170*I3170</f>
        <v>81.349999999999994</v>
      </c>
      <c r="L3170" s="625"/>
      <c r="M3170" s="625"/>
    </row>
    <row r="3171" spans="5:13" ht="31.5">
      <c r="E3171" s="473"/>
      <c r="F3171" s="473"/>
      <c r="G3171" s="473"/>
      <c r="H3171" s="472" t="s">
        <v>2900</v>
      </c>
      <c r="I3171" s="473"/>
      <c r="J3171" s="473"/>
      <c r="K3171" s="473">
        <v>6.4</v>
      </c>
      <c r="L3171" s="473"/>
      <c r="M3171" s="473"/>
    </row>
    <row r="3172" spans="5:13">
      <c r="E3172" s="473"/>
      <c r="F3172" s="473"/>
      <c r="G3172" s="473"/>
      <c r="H3172" s="473" t="s">
        <v>931</v>
      </c>
      <c r="I3172" s="473"/>
      <c r="J3172" s="473"/>
      <c r="K3172" s="473">
        <f>K3161</f>
        <v>192.25</v>
      </c>
      <c r="L3172" s="473"/>
      <c r="M3172" s="473"/>
    </row>
    <row r="3173" spans="5:13">
      <c r="E3173" s="473"/>
      <c r="F3173" s="473"/>
      <c r="G3173" s="473"/>
      <c r="H3173" s="480" t="s">
        <v>2929</v>
      </c>
      <c r="I3173" s="473"/>
      <c r="J3173" s="473"/>
      <c r="K3173" s="481">
        <f>SUM(K3169:K3172)</f>
        <v>735</v>
      </c>
      <c r="L3173" s="473"/>
      <c r="M3173" s="473"/>
    </row>
    <row r="3174" spans="5:13">
      <c r="E3174" s="473"/>
      <c r="F3174" s="473"/>
      <c r="G3174" s="473"/>
      <c r="H3174" s="473"/>
      <c r="I3174" s="473"/>
      <c r="J3174" s="473"/>
      <c r="K3174" s="473"/>
      <c r="L3174" s="473"/>
      <c r="M3174" s="473"/>
    </row>
    <row r="3175" spans="5:13">
      <c r="E3175" s="473"/>
      <c r="F3175" s="473"/>
      <c r="G3175" s="473"/>
      <c r="H3175" s="473"/>
      <c r="I3175" s="473"/>
      <c r="J3175" s="473"/>
      <c r="K3175" s="473"/>
      <c r="L3175" s="473"/>
      <c r="M3175" s="473"/>
    </row>
    <row r="3176" spans="5:13">
      <c r="E3176" s="473"/>
      <c r="F3176" s="473"/>
      <c r="G3176" s="473"/>
      <c r="H3176" s="481" t="s">
        <v>3403</v>
      </c>
      <c r="I3176" s="473"/>
      <c r="J3176" s="473"/>
      <c r="K3176" s="473"/>
      <c r="L3176" s="473"/>
      <c r="M3176" s="473"/>
    </row>
    <row r="3177" spans="5:13">
      <c r="E3177" s="473"/>
      <c r="F3177" s="473"/>
      <c r="G3177" s="473"/>
      <c r="H3177" s="473"/>
      <c r="I3177" s="473"/>
      <c r="J3177" s="473"/>
      <c r="K3177" s="473"/>
      <c r="L3177" s="473"/>
      <c r="M3177" s="473"/>
    </row>
    <row r="3178" spans="5:13" ht="58.5" customHeight="1">
      <c r="E3178" s="473"/>
      <c r="F3178" s="473"/>
      <c r="G3178" s="473"/>
      <c r="H3178" s="472" t="s">
        <v>2511</v>
      </c>
      <c r="I3178" s="473"/>
      <c r="J3178" s="473"/>
      <c r="K3178" s="473"/>
      <c r="L3178" s="473"/>
      <c r="M3178" s="473"/>
    </row>
    <row r="3179" spans="5:13">
      <c r="E3179" s="473"/>
      <c r="F3179" s="473"/>
      <c r="G3179" s="473"/>
      <c r="H3179" s="473"/>
      <c r="I3179" s="473"/>
      <c r="J3179" s="473"/>
      <c r="K3179" s="473"/>
      <c r="L3179" s="473"/>
      <c r="M3179" s="473"/>
    </row>
    <row r="3180" spans="5:13" ht="40.5" customHeight="1">
      <c r="E3180" s="473"/>
      <c r="F3180" s="473">
        <v>1</v>
      </c>
      <c r="G3180" s="473" t="s">
        <v>1454</v>
      </c>
      <c r="H3180" s="472" t="s">
        <v>2512</v>
      </c>
      <c r="I3180" s="474">
        <v>529</v>
      </c>
      <c r="J3180" s="473" t="s">
        <v>1454</v>
      </c>
      <c r="K3180" s="473">
        <f>F3180*I3180</f>
        <v>529</v>
      </c>
      <c r="L3180" s="473"/>
      <c r="M3180" s="473"/>
    </row>
    <row r="3181" spans="5:13">
      <c r="E3181" s="473"/>
      <c r="F3181" s="473">
        <v>1</v>
      </c>
      <c r="G3181" s="473" t="s">
        <v>1454</v>
      </c>
      <c r="H3181" s="473" t="s">
        <v>2513</v>
      </c>
      <c r="I3181" s="473">
        <f>I3170</f>
        <v>81.349999999999994</v>
      </c>
      <c r="J3181" s="473" t="s">
        <v>1454</v>
      </c>
      <c r="K3181" s="473">
        <f>F3181*I3181</f>
        <v>81.349999999999994</v>
      </c>
      <c r="L3181" s="473"/>
      <c r="M3181" s="473"/>
    </row>
    <row r="3182" spans="5:13">
      <c r="E3182" s="473"/>
      <c r="F3182" s="473"/>
      <c r="G3182" s="473"/>
      <c r="H3182" s="473" t="s">
        <v>2359</v>
      </c>
      <c r="I3182" s="473"/>
      <c r="J3182" s="473"/>
      <c r="K3182" s="473">
        <v>7.4</v>
      </c>
      <c r="L3182" s="473"/>
      <c r="M3182" s="473"/>
    </row>
    <row r="3183" spans="5:13">
      <c r="E3183" s="473"/>
      <c r="F3183" s="473"/>
      <c r="G3183" s="473"/>
      <c r="H3183" s="473" t="s">
        <v>2514</v>
      </c>
      <c r="I3183" s="473"/>
      <c r="J3183" s="473"/>
      <c r="K3183" s="473">
        <f>K3161</f>
        <v>192.25</v>
      </c>
      <c r="L3183" s="473"/>
      <c r="M3183" s="473"/>
    </row>
    <row r="3184" spans="5:13">
      <c r="E3184" s="473"/>
      <c r="F3184" s="473"/>
      <c r="G3184" s="473"/>
      <c r="H3184" s="480" t="s">
        <v>1100</v>
      </c>
      <c r="I3184" s="473"/>
      <c r="J3184" s="473"/>
      <c r="K3184" s="481">
        <f>SUM(K3180:K3183)</f>
        <v>810</v>
      </c>
      <c r="L3184" s="473"/>
      <c r="M3184" s="473"/>
    </row>
    <row r="3185" spans="5:13">
      <c r="E3185" s="473"/>
      <c r="F3185" s="473"/>
      <c r="G3185" s="473"/>
      <c r="H3185" s="473"/>
      <c r="I3185" s="473"/>
      <c r="J3185" s="473"/>
      <c r="K3185" s="473"/>
      <c r="L3185" s="473"/>
      <c r="M3185" s="473"/>
    </row>
    <row r="3186" spans="5:13">
      <c r="E3186" s="473"/>
      <c r="F3186" s="473"/>
      <c r="G3186" s="473"/>
      <c r="H3186" s="481" t="s">
        <v>2903</v>
      </c>
      <c r="I3186" s="473"/>
      <c r="J3186" s="473"/>
      <c r="K3186" s="473"/>
      <c r="L3186" s="473"/>
      <c r="M3186" s="473"/>
    </row>
    <row r="3187" spans="5:13">
      <c r="E3187" s="473"/>
      <c r="F3187" s="473"/>
      <c r="G3187" s="473"/>
      <c r="H3187" s="473"/>
      <c r="I3187" s="473"/>
      <c r="J3187" s="473"/>
      <c r="K3187" s="473"/>
      <c r="L3187" s="473"/>
      <c r="M3187" s="473"/>
    </row>
    <row r="3188" spans="5:13" ht="52.5" customHeight="1">
      <c r="E3188" s="473"/>
      <c r="F3188" s="473"/>
      <c r="G3188" s="473"/>
      <c r="H3188" s="471" t="s">
        <v>3619</v>
      </c>
      <c r="I3188" s="473"/>
      <c r="J3188" s="473"/>
      <c r="K3188" s="473"/>
      <c r="L3188" s="473"/>
      <c r="M3188" s="473"/>
    </row>
    <row r="3189" spans="5:13">
      <c r="E3189" s="473"/>
      <c r="F3189" s="473"/>
      <c r="G3189" s="473"/>
      <c r="H3189" s="473"/>
      <c r="I3189" s="473"/>
      <c r="J3189" s="473"/>
      <c r="K3189" s="473"/>
      <c r="L3189" s="473"/>
      <c r="M3189" s="473"/>
    </row>
    <row r="3190" spans="5:13" ht="88.5" customHeight="1">
      <c r="E3190" s="473"/>
      <c r="F3190" s="473"/>
      <c r="G3190" s="473"/>
      <c r="H3190" s="472" t="s">
        <v>3620</v>
      </c>
      <c r="I3190" s="473"/>
      <c r="J3190" s="473"/>
      <c r="K3190" s="473"/>
      <c r="L3190" s="473"/>
      <c r="M3190" s="473"/>
    </row>
    <row r="3191" spans="5:13">
      <c r="E3191" s="473"/>
      <c r="F3191" s="473">
        <v>1</v>
      </c>
      <c r="G3191" s="473" t="s">
        <v>1454</v>
      </c>
      <c r="H3191" s="473" t="s">
        <v>3621</v>
      </c>
      <c r="I3191" s="473">
        <v>480</v>
      </c>
      <c r="J3191" s="473" t="s">
        <v>1454</v>
      </c>
      <c r="K3191" s="473">
        <f>F3191*I3191</f>
        <v>480</v>
      </c>
      <c r="L3191" s="473"/>
      <c r="M3191" s="473"/>
    </row>
    <row r="3192" spans="5:13" ht="40.5" customHeight="1">
      <c r="E3192" s="473"/>
      <c r="F3192" s="473">
        <v>1</v>
      </c>
      <c r="G3192" s="473" t="s">
        <v>1454</v>
      </c>
      <c r="H3192" s="472" t="s">
        <v>2722</v>
      </c>
      <c r="I3192" s="473">
        <v>130</v>
      </c>
      <c r="J3192" s="473" t="s">
        <v>1454</v>
      </c>
      <c r="K3192" s="473">
        <f>F3192*I3192</f>
        <v>130</v>
      </c>
      <c r="L3192" s="473"/>
      <c r="M3192" s="473"/>
    </row>
    <row r="3193" spans="5:13" ht="31.5">
      <c r="E3193" s="473"/>
      <c r="F3193" s="473"/>
      <c r="G3193" s="473"/>
      <c r="H3193" s="472" t="s">
        <v>2723</v>
      </c>
      <c r="I3193" s="473"/>
      <c r="J3193" s="473"/>
      <c r="K3193" s="473">
        <f>7.33+0.34</f>
        <v>7.67</v>
      </c>
      <c r="L3193" s="473"/>
      <c r="M3193" s="473"/>
    </row>
    <row r="3194" spans="5:13">
      <c r="E3194" s="473"/>
      <c r="F3194" s="473"/>
      <c r="G3194" s="473"/>
      <c r="H3194" s="473" t="s">
        <v>931</v>
      </c>
      <c r="I3194" s="473"/>
      <c r="J3194" s="473"/>
      <c r="K3194" s="473">
        <f>K3201</f>
        <v>256.33</v>
      </c>
      <c r="L3194" s="473"/>
      <c r="M3194" s="473"/>
    </row>
    <row r="3195" spans="5:13">
      <c r="E3195" s="473"/>
      <c r="F3195" s="473"/>
      <c r="G3195" s="473"/>
      <c r="H3195" s="480" t="s">
        <v>1100</v>
      </c>
      <c r="I3195" s="473"/>
      <c r="J3195" s="473"/>
      <c r="K3195" s="481">
        <f>SUM(K3191:K3194)</f>
        <v>874</v>
      </c>
      <c r="L3195" s="473"/>
      <c r="M3195" s="473"/>
    </row>
    <row r="3196" spans="5:13">
      <c r="E3196" s="473"/>
      <c r="F3196" s="473"/>
      <c r="G3196" s="473"/>
      <c r="H3196" s="473"/>
      <c r="I3196" s="473"/>
      <c r="J3196" s="473"/>
      <c r="K3196" s="473"/>
      <c r="L3196" s="473"/>
      <c r="M3196" s="473"/>
    </row>
    <row r="3197" spans="5:13">
      <c r="E3197" s="473"/>
      <c r="F3197" s="473"/>
      <c r="G3197" s="473"/>
      <c r="H3197" s="479" t="s">
        <v>931</v>
      </c>
      <c r="I3197" s="473"/>
      <c r="J3197" s="473"/>
      <c r="K3197" s="473"/>
      <c r="L3197" s="473"/>
      <c r="M3197" s="473"/>
    </row>
    <row r="3198" spans="5:13">
      <c r="E3198" s="473"/>
      <c r="F3198" s="473">
        <v>1</v>
      </c>
      <c r="G3198" s="473" t="s">
        <v>1454</v>
      </c>
      <c r="H3198" s="473" t="s">
        <v>2724</v>
      </c>
      <c r="I3198" s="473">
        <f>I3158</f>
        <v>317</v>
      </c>
      <c r="J3198" s="473" t="s">
        <v>1454</v>
      </c>
      <c r="K3198" s="473">
        <f>F3198*I3198</f>
        <v>317</v>
      </c>
      <c r="L3198" s="473"/>
      <c r="M3198" s="473"/>
    </row>
    <row r="3199" spans="5:13">
      <c r="E3199" s="473"/>
      <c r="F3199" s="473">
        <v>2</v>
      </c>
      <c r="G3199" s="473" t="s">
        <v>1454</v>
      </c>
      <c r="H3199" s="473" t="s">
        <v>3246</v>
      </c>
      <c r="I3199" s="473">
        <f>I3159</f>
        <v>226</v>
      </c>
      <c r="J3199" s="473" t="s">
        <v>1454</v>
      </c>
      <c r="K3199" s="473">
        <f>F3199*I3199</f>
        <v>452</v>
      </c>
      <c r="L3199" s="473"/>
      <c r="M3199" s="473"/>
    </row>
    <row r="3200" spans="5:13">
      <c r="E3200" s="473"/>
      <c r="F3200" s="473"/>
      <c r="G3200" s="473"/>
      <c r="H3200" s="478" t="s">
        <v>3248</v>
      </c>
      <c r="I3200" s="473"/>
      <c r="J3200" s="473"/>
      <c r="K3200" s="473">
        <f>SUM(K3198:K3199)</f>
        <v>769</v>
      </c>
      <c r="L3200" s="473"/>
      <c r="M3200" s="473"/>
    </row>
    <row r="3201" spans="5:13">
      <c r="E3201" s="473"/>
      <c r="F3201" s="473"/>
      <c r="G3201" s="473"/>
      <c r="H3201" s="480" t="s">
        <v>2929</v>
      </c>
      <c r="I3201" s="473"/>
      <c r="J3201" s="473"/>
      <c r="K3201" s="481">
        <f>K3200/3</f>
        <v>256.33</v>
      </c>
      <c r="L3201" s="473"/>
      <c r="M3201" s="473"/>
    </row>
    <row r="3202" spans="5:13">
      <c r="E3202" s="473"/>
      <c r="F3202" s="473"/>
      <c r="G3202" s="473"/>
      <c r="H3202" s="473"/>
      <c r="I3202" s="473"/>
      <c r="J3202" s="473"/>
      <c r="K3202" s="473"/>
      <c r="L3202" s="473"/>
      <c r="M3202" s="473"/>
    </row>
    <row r="3203" spans="5:13">
      <c r="E3203" s="473"/>
      <c r="F3203" s="473"/>
      <c r="G3203" s="473"/>
      <c r="H3203" s="481" t="s">
        <v>2725</v>
      </c>
      <c r="I3203" s="473"/>
      <c r="J3203" s="473"/>
      <c r="K3203" s="473"/>
      <c r="L3203" s="473"/>
      <c r="M3203" s="473"/>
    </row>
    <row r="3204" spans="5:13">
      <c r="E3204" s="473"/>
      <c r="F3204" s="473"/>
      <c r="G3204" s="473"/>
      <c r="H3204" s="473"/>
      <c r="I3204" s="473"/>
      <c r="J3204" s="473"/>
      <c r="K3204" s="473"/>
      <c r="L3204" s="473"/>
      <c r="M3204" s="473"/>
    </row>
    <row r="3205" spans="5:13" ht="91.5" customHeight="1">
      <c r="E3205" s="473"/>
      <c r="F3205" s="473"/>
      <c r="G3205" s="473"/>
      <c r="H3205" s="471" t="s">
        <v>2992</v>
      </c>
      <c r="I3205" s="473"/>
      <c r="J3205" s="473"/>
      <c r="K3205" s="473"/>
      <c r="L3205" s="473"/>
      <c r="M3205" s="473"/>
    </row>
    <row r="3206" spans="5:13">
      <c r="E3206" s="473"/>
      <c r="F3206" s="473">
        <v>1</v>
      </c>
      <c r="G3206" s="473" t="s">
        <v>1454</v>
      </c>
      <c r="H3206" s="473" t="s">
        <v>2739</v>
      </c>
      <c r="I3206" s="473">
        <v>800</v>
      </c>
      <c r="J3206" s="473" t="s">
        <v>1454</v>
      </c>
      <c r="K3206" s="473">
        <f>F3206*I3206</f>
        <v>800</v>
      </c>
      <c r="L3206" s="473"/>
      <c r="M3206" s="473"/>
    </row>
    <row r="3207" spans="5:13" ht="36.75" customHeight="1">
      <c r="E3207" s="473"/>
      <c r="F3207" s="473">
        <v>1</v>
      </c>
      <c r="G3207" s="473" t="s">
        <v>1454</v>
      </c>
      <c r="H3207" s="472" t="s">
        <v>2722</v>
      </c>
      <c r="I3207" s="473">
        <f>I3192</f>
        <v>130</v>
      </c>
      <c r="J3207" s="473" t="s">
        <v>1454</v>
      </c>
      <c r="K3207" s="473">
        <f>F3207*I3207</f>
        <v>130</v>
      </c>
      <c r="L3207" s="473"/>
      <c r="M3207" s="473"/>
    </row>
    <row r="3208" spans="5:13" ht="35.25" customHeight="1">
      <c r="E3208" s="473"/>
      <c r="F3208" s="473"/>
      <c r="G3208" s="473"/>
      <c r="H3208" s="472" t="s">
        <v>2723</v>
      </c>
      <c r="I3208" s="473"/>
      <c r="J3208" s="473"/>
      <c r="K3208" s="473">
        <f>6.33+0.34</f>
        <v>6.67</v>
      </c>
      <c r="L3208" s="473"/>
      <c r="M3208" s="473"/>
    </row>
    <row r="3209" spans="5:13">
      <c r="E3209" s="473"/>
      <c r="F3209" s="473"/>
      <c r="G3209" s="473"/>
      <c r="H3209" s="473" t="s">
        <v>931</v>
      </c>
      <c r="I3209" s="473"/>
      <c r="J3209" s="473"/>
      <c r="K3209" s="473">
        <f>K3201</f>
        <v>256.33</v>
      </c>
      <c r="L3209" s="473"/>
      <c r="M3209" s="473"/>
    </row>
    <row r="3210" spans="5:13">
      <c r="E3210" s="473"/>
      <c r="F3210" s="473"/>
      <c r="G3210" s="473"/>
      <c r="H3210" s="480" t="s">
        <v>1100</v>
      </c>
      <c r="I3210" s="473"/>
      <c r="J3210" s="473"/>
      <c r="K3210" s="481">
        <f>SUM(K3206:K3209)</f>
        <v>1193</v>
      </c>
      <c r="L3210" s="473"/>
      <c r="M3210" s="473"/>
    </row>
    <row r="3211" spans="5:13">
      <c r="E3211" s="473"/>
      <c r="F3211" s="473"/>
      <c r="G3211" s="473"/>
      <c r="H3211" s="473"/>
      <c r="I3211" s="473"/>
      <c r="J3211" s="473"/>
      <c r="K3211" s="473"/>
      <c r="L3211" s="473"/>
      <c r="M3211" s="473"/>
    </row>
    <row r="3212" spans="5:13">
      <c r="E3212" s="473"/>
      <c r="F3212" s="473"/>
      <c r="G3212" s="473"/>
      <c r="H3212" s="481" t="s">
        <v>2740</v>
      </c>
      <c r="I3212" s="473"/>
      <c r="J3212" s="473"/>
      <c r="K3212" s="473"/>
      <c r="L3212" s="473"/>
      <c r="M3212" s="473"/>
    </row>
    <row r="3213" spans="5:13">
      <c r="E3213" s="473"/>
      <c r="F3213" s="473"/>
      <c r="G3213" s="473"/>
      <c r="H3213" s="473"/>
      <c r="I3213" s="473"/>
      <c r="J3213" s="473"/>
      <c r="K3213" s="473"/>
      <c r="L3213" s="473"/>
      <c r="M3213" s="473"/>
    </row>
    <row r="3214" spans="5:13" ht="74.25" customHeight="1">
      <c r="E3214" s="473"/>
      <c r="F3214" s="473"/>
      <c r="G3214" s="473"/>
      <c r="H3214" s="471" t="s">
        <v>3309</v>
      </c>
      <c r="I3214" s="473"/>
      <c r="J3214" s="473"/>
      <c r="K3214" s="473"/>
      <c r="L3214" s="473"/>
      <c r="M3214" s="473"/>
    </row>
    <row r="3215" spans="5:13" ht="91.5" customHeight="1">
      <c r="E3215" s="473"/>
      <c r="F3215" s="473"/>
      <c r="G3215" s="473"/>
      <c r="H3215" s="472" t="s">
        <v>3588</v>
      </c>
      <c r="I3215" s="473"/>
      <c r="J3215" s="473"/>
      <c r="K3215" s="473"/>
      <c r="L3215" s="473"/>
      <c r="M3215" s="473"/>
    </row>
    <row r="3216" spans="5:13">
      <c r="E3216" s="473"/>
      <c r="F3216" s="473"/>
      <c r="G3216" s="473"/>
      <c r="H3216" s="473"/>
      <c r="I3216" s="473"/>
      <c r="J3216" s="473"/>
      <c r="K3216" s="473"/>
      <c r="L3216" s="473"/>
      <c r="M3216" s="473"/>
    </row>
    <row r="3217" spans="5:13" ht="39" customHeight="1">
      <c r="E3217" s="473"/>
      <c r="F3217" s="473">
        <v>1</v>
      </c>
      <c r="G3217" s="473" t="s">
        <v>1454</v>
      </c>
      <c r="H3217" s="472" t="s">
        <v>3589</v>
      </c>
      <c r="I3217" s="474">
        <v>2640</v>
      </c>
      <c r="J3217" s="473" t="s">
        <v>1454</v>
      </c>
      <c r="K3217" s="473">
        <f>F3217*I3217</f>
        <v>2640</v>
      </c>
      <c r="L3217" s="473"/>
      <c r="M3217" s="473"/>
    </row>
    <row r="3218" spans="5:13">
      <c r="E3218" s="473"/>
      <c r="F3218" s="473">
        <v>1</v>
      </c>
      <c r="G3218" s="473" t="s">
        <v>1454</v>
      </c>
      <c r="H3218" s="473" t="s">
        <v>3590</v>
      </c>
      <c r="I3218" s="474">
        <f>K3222</f>
        <v>329.94</v>
      </c>
      <c r="J3218" s="473" t="s">
        <v>1454</v>
      </c>
      <c r="K3218" s="473">
        <f>F3218*I3218</f>
        <v>329.94</v>
      </c>
      <c r="L3218" s="473"/>
      <c r="M3218" s="473"/>
    </row>
    <row r="3219" spans="5:13" ht="37.5" customHeight="1">
      <c r="E3219" s="473"/>
      <c r="F3219" s="473"/>
      <c r="G3219" s="473"/>
      <c r="H3219" s="472" t="s">
        <v>3591</v>
      </c>
      <c r="I3219" s="473"/>
      <c r="J3219" s="473"/>
      <c r="K3219" s="473">
        <v>13.73</v>
      </c>
      <c r="L3219" s="473"/>
      <c r="M3219" s="473"/>
    </row>
    <row r="3220" spans="5:13">
      <c r="E3220" s="473"/>
      <c r="F3220" s="473"/>
      <c r="G3220" s="473"/>
      <c r="H3220" s="473" t="s">
        <v>931</v>
      </c>
      <c r="I3220" s="473"/>
      <c r="J3220" s="473"/>
      <c r="K3220" s="473">
        <f>K3201</f>
        <v>256.33</v>
      </c>
      <c r="L3220" s="473"/>
      <c r="M3220" s="473"/>
    </row>
    <row r="3221" spans="5:13">
      <c r="E3221" s="473"/>
      <c r="F3221" s="473"/>
      <c r="G3221" s="473"/>
      <c r="H3221" s="480" t="s">
        <v>1100</v>
      </c>
      <c r="I3221" s="473"/>
      <c r="J3221" s="473"/>
      <c r="K3221" s="481">
        <f>SUM(K3217:K3220)</f>
        <v>3240</v>
      </c>
      <c r="L3221" s="473"/>
      <c r="M3221" s="473"/>
    </row>
    <row r="3222" spans="5:13">
      <c r="E3222" s="473"/>
      <c r="F3222" s="473"/>
      <c r="G3222" s="473"/>
      <c r="H3222" s="473" t="s">
        <v>3731</v>
      </c>
      <c r="I3222" s="474">
        <v>81467</v>
      </c>
      <c r="J3222" s="491">
        <f>0.75*0.45*0.012</f>
        <v>4.0499999999999998E-3</v>
      </c>
      <c r="K3222" s="473">
        <f>J3222*I3222</f>
        <v>329.94</v>
      </c>
      <c r="L3222" s="473">
        <f>63100+4239</f>
        <v>67339</v>
      </c>
      <c r="M3222" s="473">
        <f>5117+76350</f>
        <v>81467</v>
      </c>
    </row>
    <row r="3223" spans="5:13">
      <c r="E3223" s="473"/>
      <c r="F3223" s="473"/>
      <c r="G3223" s="473"/>
      <c r="H3223" s="481" t="s">
        <v>3592</v>
      </c>
      <c r="I3223" s="473"/>
      <c r="J3223" s="473"/>
      <c r="K3223" s="473"/>
      <c r="L3223" s="473"/>
      <c r="M3223" s="473"/>
    </row>
    <row r="3224" spans="5:13">
      <c r="E3224" s="473"/>
      <c r="F3224" s="473"/>
      <c r="G3224" s="473"/>
      <c r="H3224" s="473"/>
      <c r="I3224" s="473"/>
      <c r="J3224" s="473"/>
      <c r="K3224" s="473"/>
      <c r="L3224" s="473"/>
      <c r="M3224" s="473"/>
    </row>
    <row r="3225" spans="5:13" ht="78.75">
      <c r="E3225" s="473"/>
      <c r="F3225" s="473"/>
      <c r="G3225" s="473"/>
      <c r="H3225" s="471" t="s">
        <v>2708</v>
      </c>
      <c r="I3225" s="473"/>
      <c r="J3225" s="473"/>
      <c r="K3225" s="473"/>
      <c r="L3225" s="473"/>
      <c r="M3225" s="473"/>
    </row>
    <row r="3226" spans="5:13">
      <c r="E3226" s="473"/>
      <c r="F3226" s="473"/>
      <c r="G3226" s="473"/>
      <c r="H3226" s="473"/>
      <c r="I3226" s="473"/>
      <c r="J3226" s="473"/>
      <c r="K3226" s="473"/>
      <c r="L3226" s="473"/>
      <c r="M3226" s="473"/>
    </row>
    <row r="3227" spans="5:13">
      <c r="E3227" s="473"/>
      <c r="F3227" s="473"/>
      <c r="G3227" s="473"/>
      <c r="H3227" s="473" t="s">
        <v>2709</v>
      </c>
      <c r="I3227" s="473"/>
      <c r="J3227" s="473"/>
      <c r="K3227" s="473"/>
      <c r="L3227" s="473"/>
      <c r="M3227" s="473"/>
    </row>
    <row r="3228" spans="5:13">
      <c r="E3228" s="473"/>
      <c r="F3228" s="473"/>
      <c r="G3228" s="473"/>
      <c r="H3228" s="473"/>
      <c r="I3228" s="473"/>
      <c r="J3228" s="473"/>
      <c r="K3228" s="473"/>
      <c r="L3228" s="473"/>
      <c r="M3228" s="473"/>
    </row>
    <row r="3229" spans="5:13">
      <c r="E3229" s="473"/>
      <c r="F3229" s="473"/>
      <c r="G3229" s="473"/>
      <c r="H3229" s="473" t="s">
        <v>3123</v>
      </c>
      <c r="I3229" s="473"/>
      <c r="J3229" s="473"/>
      <c r="K3229" s="473">
        <f>K3221</f>
        <v>3240</v>
      </c>
      <c r="L3229" s="473"/>
      <c r="M3229" s="473"/>
    </row>
    <row r="3230" spans="5:13">
      <c r="E3230" s="473"/>
      <c r="F3230" s="473">
        <v>1</v>
      </c>
      <c r="G3230" s="473" t="s">
        <v>1454</v>
      </c>
      <c r="H3230" s="473" t="s">
        <v>3627</v>
      </c>
      <c r="I3230" s="474">
        <v>3520</v>
      </c>
      <c r="J3230" s="473" t="s">
        <v>1454</v>
      </c>
      <c r="K3230" s="473">
        <f>F3230*I3230</f>
        <v>3520</v>
      </c>
      <c r="L3230" s="473"/>
      <c r="M3230" s="473"/>
    </row>
    <row r="3231" spans="5:13">
      <c r="E3231" s="473"/>
      <c r="F3231" s="473">
        <v>1</v>
      </c>
      <c r="G3231" s="473" t="s">
        <v>1454</v>
      </c>
      <c r="H3231" s="473" t="s">
        <v>3632</v>
      </c>
      <c r="I3231" s="473">
        <f>I3217</f>
        <v>2640</v>
      </c>
      <c r="J3231" s="473" t="s">
        <v>1454</v>
      </c>
      <c r="K3231" s="473">
        <f>F3231*I3231</f>
        <v>2640</v>
      </c>
      <c r="L3231" s="473"/>
      <c r="M3231" s="473"/>
    </row>
    <row r="3232" spans="5:13">
      <c r="E3232" s="473"/>
      <c r="F3232" s="473"/>
      <c r="G3232" s="473"/>
      <c r="H3232" s="473" t="s">
        <v>2359</v>
      </c>
      <c r="I3232" s="473"/>
      <c r="J3232" s="473"/>
      <c r="K3232" s="473"/>
      <c r="L3232" s="473"/>
      <c r="M3232" s="473"/>
    </row>
    <row r="3233" spans="5:13">
      <c r="E3233" s="473"/>
      <c r="F3233" s="473"/>
      <c r="G3233" s="473"/>
      <c r="H3233" s="480" t="s">
        <v>1100</v>
      </c>
      <c r="I3233" s="473"/>
      <c r="J3233" s="473"/>
      <c r="K3233" s="481">
        <f>K3229+K3230-K3231+K3232</f>
        <v>4120</v>
      </c>
      <c r="L3233" s="473"/>
      <c r="M3233" s="473"/>
    </row>
    <row r="3234" spans="5:13">
      <c r="E3234" s="473"/>
      <c r="F3234" s="473"/>
      <c r="G3234" s="473"/>
      <c r="H3234" s="473"/>
      <c r="I3234" s="473"/>
      <c r="J3234" s="473"/>
      <c r="K3234" s="473"/>
      <c r="L3234" s="473"/>
      <c r="M3234" s="473"/>
    </row>
    <row r="3235" spans="5:13">
      <c r="E3235" s="473"/>
      <c r="F3235" s="473"/>
      <c r="G3235" s="473"/>
      <c r="H3235" s="481" t="s">
        <v>2725</v>
      </c>
      <c r="I3235" s="473"/>
      <c r="J3235" s="473"/>
      <c r="K3235" s="473"/>
      <c r="L3235" s="473"/>
      <c r="M3235" s="473"/>
    </row>
    <row r="3236" spans="5:13">
      <c r="E3236" s="473"/>
      <c r="F3236" s="473"/>
      <c r="G3236" s="473"/>
      <c r="H3236" s="473"/>
      <c r="I3236" s="473"/>
      <c r="J3236" s="473"/>
      <c r="K3236" s="473"/>
      <c r="L3236" s="473"/>
      <c r="M3236" s="473"/>
    </row>
    <row r="3237" spans="5:13" ht="39" customHeight="1">
      <c r="E3237" s="473"/>
      <c r="F3237" s="473"/>
      <c r="G3237" s="473"/>
      <c r="H3237" s="471" t="s">
        <v>3531</v>
      </c>
      <c r="I3237" s="473"/>
      <c r="J3237" s="473"/>
      <c r="K3237" s="473"/>
      <c r="L3237" s="473"/>
      <c r="M3237" s="473"/>
    </row>
    <row r="3238" spans="5:13">
      <c r="E3238" s="473"/>
      <c r="F3238" s="473"/>
      <c r="G3238" s="473"/>
      <c r="H3238" s="473"/>
      <c r="I3238" s="473"/>
      <c r="J3238" s="473"/>
      <c r="K3238" s="473"/>
      <c r="L3238" s="473"/>
      <c r="M3238" s="473"/>
    </row>
    <row r="3239" spans="5:13" ht="95.25" customHeight="1">
      <c r="E3239" s="473"/>
      <c r="F3239" s="473"/>
      <c r="G3239" s="473"/>
      <c r="H3239" s="472" t="s">
        <v>2421</v>
      </c>
      <c r="I3239" s="473"/>
      <c r="J3239" s="473"/>
      <c r="K3239" s="473"/>
      <c r="L3239" s="473"/>
      <c r="M3239" s="473"/>
    </row>
    <row r="3240" spans="5:13">
      <c r="E3240" s="473"/>
      <c r="F3240" s="473">
        <v>2</v>
      </c>
      <c r="G3240" s="473" t="s">
        <v>1454</v>
      </c>
      <c r="H3240" s="473" t="s">
        <v>2422</v>
      </c>
      <c r="I3240" s="474">
        <v>660</v>
      </c>
      <c r="J3240" s="473" t="s">
        <v>3035</v>
      </c>
      <c r="K3240" s="473">
        <f>F3240*(I3240/100)</f>
        <v>13.2</v>
      </c>
      <c r="L3240" s="473"/>
      <c r="M3240" s="473"/>
    </row>
    <row r="3241" spans="5:13">
      <c r="E3241" s="473"/>
      <c r="F3241" s="473">
        <v>2</v>
      </c>
      <c r="G3241" s="473" t="s">
        <v>840</v>
      </c>
      <c r="H3241" s="473" t="s">
        <v>2423</v>
      </c>
      <c r="I3241" s="473">
        <v>914.1</v>
      </c>
      <c r="J3241" s="473" t="s">
        <v>2424</v>
      </c>
      <c r="K3241" s="473">
        <f>F3241*(I3241/100)</f>
        <v>18.28</v>
      </c>
      <c r="L3241" s="473"/>
      <c r="M3241" s="473"/>
    </row>
    <row r="3242" spans="5:13">
      <c r="E3242" s="473"/>
      <c r="F3242" s="473"/>
      <c r="G3242" s="473"/>
      <c r="H3242" s="473" t="s">
        <v>2425</v>
      </c>
      <c r="I3242" s="473"/>
      <c r="J3242" s="473"/>
      <c r="K3242" s="473">
        <v>3.83</v>
      </c>
      <c r="L3242" s="473"/>
      <c r="M3242" s="473"/>
    </row>
    <row r="3243" spans="5:13">
      <c r="E3243" s="473"/>
      <c r="F3243" s="473"/>
      <c r="G3243" s="473"/>
      <c r="H3243" s="473" t="s">
        <v>3546</v>
      </c>
      <c r="I3243" s="473"/>
      <c r="J3243" s="473"/>
      <c r="K3243" s="473">
        <f>K3251</f>
        <v>99.69</v>
      </c>
      <c r="L3243" s="473"/>
      <c r="M3243" s="473"/>
    </row>
    <row r="3244" spans="5:13">
      <c r="E3244" s="473"/>
      <c r="F3244" s="473"/>
      <c r="G3244" s="473"/>
      <c r="H3244" s="480" t="s">
        <v>1100</v>
      </c>
      <c r="I3244" s="473"/>
      <c r="J3244" s="473"/>
      <c r="K3244" s="481">
        <f>SUM(K3240:K3243)</f>
        <v>135</v>
      </c>
      <c r="L3244" s="473"/>
      <c r="M3244" s="473"/>
    </row>
    <row r="3245" spans="5:13">
      <c r="E3245" s="473"/>
      <c r="F3245" s="473"/>
      <c r="G3245" s="473"/>
      <c r="H3245" s="473"/>
      <c r="I3245" s="473"/>
      <c r="J3245" s="473"/>
      <c r="K3245" s="473"/>
      <c r="L3245" s="473"/>
      <c r="M3245" s="473"/>
    </row>
    <row r="3246" spans="5:13">
      <c r="E3246" s="473"/>
      <c r="F3246" s="473"/>
      <c r="H3246" s="479" t="s">
        <v>3547</v>
      </c>
      <c r="I3246" s="473"/>
      <c r="J3246" s="473"/>
      <c r="K3246" s="473"/>
      <c r="L3246" s="473"/>
      <c r="M3246" s="473"/>
    </row>
    <row r="3247" spans="5:13">
      <c r="E3247" s="473"/>
      <c r="F3247" s="473">
        <v>1</v>
      </c>
      <c r="G3247" s="473" t="s">
        <v>1454</v>
      </c>
      <c r="H3247" s="473" t="s">
        <v>2901</v>
      </c>
      <c r="I3247" s="473">
        <f>I2867</f>
        <v>317</v>
      </c>
      <c r="J3247" s="473" t="s">
        <v>1454</v>
      </c>
      <c r="K3247" s="473">
        <f>F3247*I3247</f>
        <v>317</v>
      </c>
      <c r="L3247" s="473"/>
      <c r="M3247" s="473"/>
    </row>
    <row r="3248" spans="5:13">
      <c r="E3248" s="473"/>
      <c r="F3248" s="473">
        <v>2</v>
      </c>
      <c r="G3248" s="473" t="s">
        <v>1454</v>
      </c>
      <c r="H3248" s="473" t="s">
        <v>2711</v>
      </c>
      <c r="I3248" s="473">
        <f>I2868</f>
        <v>300</v>
      </c>
      <c r="J3248" s="473" t="s">
        <v>1454</v>
      </c>
      <c r="K3248" s="473">
        <f>F3248*I3248</f>
        <v>600</v>
      </c>
      <c r="L3248" s="473"/>
      <c r="M3248" s="473"/>
    </row>
    <row r="3249" spans="5:13">
      <c r="E3249" s="473"/>
      <c r="F3249" s="473">
        <v>3</v>
      </c>
      <c r="G3249" s="473" t="s">
        <v>1454</v>
      </c>
      <c r="H3249" s="473" t="s">
        <v>3246</v>
      </c>
      <c r="I3249" s="473">
        <f>I2869</f>
        <v>226</v>
      </c>
      <c r="J3249" s="473" t="s">
        <v>1454</v>
      </c>
      <c r="K3249" s="473">
        <f>F3249*I3249</f>
        <v>678</v>
      </c>
      <c r="L3249" s="473"/>
      <c r="M3249" s="473"/>
    </row>
    <row r="3250" spans="5:13">
      <c r="E3250" s="473"/>
      <c r="F3250" s="473"/>
      <c r="G3250" s="473"/>
      <c r="H3250" s="478" t="s">
        <v>3548</v>
      </c>
      <c r="I3250" s="473"/>
      <c r="J3250" s="473"/>
      <c r="K3250" s="479">
        <f>SUM(K3247:K3249)</f>
        <v>1595</v>
      </c>
      <c r="L3250" s="473"/>
      <c r="M3250" s="473"/>
    </row>
    <row r="3251" spans="5:13">
      <c r="E3251" s="473"/>
      <c r="F3251" s="473"/>
      <c r="G3251" s="473"/>
      <c r="H3251" s="480" t="s">
        <v>2929</v>
      </c>
      <c r="I3251" s="473"/>
      <c r="J3251" s="473"/>
      <c r="K3251" s="481">
        <f>K3250/16</f>
        <v>99.69</v>
      </c>
      <c r="L3251" s="473"/>
      <c r="M3251" s="473"/>
    </row>
    <row r="3252" spans="5:13">
      <c r="E3252" s="473"/>
      <c r="F3252" s="473"/>
      <c r="G3252" s="473"/>
      <c r="H3252" s="473"/>
      <c r="I3252" s="473"/>
      <c r="J3252" s="473"/>
      <c r="K3252" s="473"/>
      <c r="L3252" s="473"/>
      <c r="M3252" s="473"/>
    </row>
    <row r="3253" spans="5:13">
      <c r="E3253" s="473"/>
      <c r="F3253" s="473"/>
      <c r="G3253" s="473"/>
      <c r="H3253" s="481" t="s">
        <v>3549</v>
      </c>
      <c r="I3253" s="473"/>
      <c r="J3253" s="473"/>
      <c r="K3253" s="473"/>
      <c r="L3253" s="473"/>
      <c r="M3253" s="473"/>
    </row>
    <row r="3254" spans="5:13" ht="31.5">
      <c r="E3254" s="473"/>
      <c r="F3254" s="473"/>
      <c r="G3254" s="473"/>
      <c r="H3254" s="471" t="s">
        <v>3550</v>
      </c>
      <c r="I3254" s="473"/>
      <c r="J3254" s="473"/>
      <c r="K3254" s="473"/>
      <c r="L3254" s="473"/>
      <c r="M3254" s="473"/>
    </row>
    <row r="3255" spans="5:13">
      <c r="E3255" s="473"/>
      <c r="F3255" s="473"/>
      <c r="G3255" s="473"/>
      <c r="H3255" s="473"/>
      <c r="I3255" s="473"/>
      <c r="J3255" s="473"/>
      <c r="K3255" s="473"/>
      <c r="L3255" s="473"/>
      <c r="M3255" s="473"/>
    </row>
    <row r="3256" spans="5:13" ht="120" customHeight="1">
      <c r="E3256" s="473"/>
      <c r="F3256" s="473"/>
      <c r="G3256" s="473"/>
      <c r="H3256" s="472" t="s">
        <v>2873</v>
      </c>
      <c r="I3256" s="473"/>
      <c r="J3256" s="473"/>
      <c r="K3256" s="473"/>
      <c r="L3256" s="473"/>
      <c r="M3256" s="473"/>
    </row>
    <row r="3257" spans="5:13">
      <c r="E3257" s="473"/>
      <c r="F3257" s="473">
        <v>1.5</v>
      </c>
      <c r="G3257" s="473" t="s">
        <v>840</v>
      </c>
      <c r="H3257" s="473" t="s">
        <v>2874</v>
      </c>
      <c r="I3257" s="474">
        <v>34.1</v>
      </c>
      <c r="J3257" s="473" t="s">
        <v>840</v>
      </c>
      <c r="K3257" s="473">
        <f>F3257*I3257</f>
        <v>51.15</v>
      </c>
      <c r="L3257" s="473"/>
      <c r="M3257" s="473"/>
    </row>
    <row r="3258" spans="5:13">
      <c r="E3258" s="473"/>
      <c r="F3258" s="473">
        <v>2</v>
      </c>
      <c r="G3258" s="473" t="s">
        <v>1454</v>
      </c>
      <c r="H3258" s="473" t="s">
        <v>2875</v>
      </c>
      <c r="I3258" s="473">
        <f>I3240</f>
        <v>660</v>
      </c>
      <c r="J3258" s="473" t="s">
        <v>3035</v>
      </c>
      <c r="K3258" s="473">
        <f>F3258*(I3258/100)</f>
        <v>13.2</v>
      </c>
      <c r="L3258" s="473"/>
      <c r="M3258" s="473"/>
    </row>
    <row r="3259" spans="5:13">
      <c r="E3259" s="473"/>
      <c r="F3259" s="473">
        <v>2</v>
      </c>
      <c r="G3259" s="473" t="s">
        <v>840</v>
      </c>
      <c r="H3259" s="473" t="s">
        <v>2423</v>
      </c>
      <c r="I3259" s="473">
        <f>I3241</f>
        <v>914.1</v>
      </c>
      <c r="J3259" s="473" t="s">
        <v>840</v>
      </c>
      <c r="K3259" s="473">
        <f>F3259*(I3259/100)</f>
        <v>18.28</v>
      </c>
      <c r="L3259" s="473"/>
      <c r="M3259" s="473"/>
    </row>
    <row r="3260" spans="5:13" ht="35.25" customHeight="1">
      <c r="E3260" s="473"/>
      <c r="F3260" s="473"/>
      <c r="G3260" s="473"/>
      <c r="H3260" s="472" t="s">
        <v>2876</v>
      </c>
      <c r="I3260" s="473"/>
      <c r="J3260" s="473"/>
      <c r="K3260" s="473">
        <v>4.87</v>
      </c>
      <c r="L3260" s="473"/>
      <c r="M3260" s="473"/>
    </row>
    <row r="3261" spans="5:13">
      <c r="E3261" s="473"/>
      <c r="F3261" s="473"/>
      <c r="G3261" s="473"/>
      <c r="H3261" s="473" t="s">
        <v>931</v>
      </c>
      <c r="I3261" s="473"/>
      <c r="J3261" s="473"/>
      <c r="K3261" s="473">
        <f>K3269</f>
        <v>159.5</v>
      </c>
      <c r="L3261" s="473"/>
      <c r="M3261" s="473"/>
    </row>
    <row r="3262" spans="5:13">
      <c r="E3262" s="473"/>
      <c r="F3262" s="473"/>
      <c r="G3262" s="473"/>
      <c r="H3262" s="480" t="s">
        <v>1100</v>
      </c>
      <c r="I3262" s="473"/>
      <c r="J3262" s="473"/>
      <c r="K3262" s="481">
        <f>SUM(K3257:K3261)</f>
        <v>247</v>
      </c>
      <c r="L3262" s="473"/>
      <c r="M3262" s="473"/>
    </row>
    <row r="3263" spans="5:13">
      <c r="E3263" s="473"/>
      <c r="F3263" s="473"/>
      <c r="G3263" s="473"/>
      <c r="H3263" s="473"/>
      <c r="I3263" s="473"/>
      <c r="J3263" s="473"/>
      <c r="K3263" s="473"/>
      <c r="L3263" s="473"/>
      <c r="M3263" s="473"/>
    </row>
    <row r="3264" spans="5:13">
      <c r="E3264" s="473"/>
      <c r="F3264" s="473"/>
      <c r="G3264" s="473"/>
      <c r="H3264" s="473" t="s">
        <v>144</v>
      </c>
      <c r="I3264" s="473"/>
      <c r="J3264" s="473"/>
      <c r="K3264" s="473"/>
      <c r="L3264" s="473"/>
      <c r="M3264" s="473"/>
    </row>
    <row r="3265" spans="5:13">
      <c r="E3265" s="473"/>
      <c r="F3265" s="473">
        <v>1</v>
      </c>
      <c r="G3265" s="473" t="s">
        <v>1454</v>
      </c>
      <c r="H3265" s="473" t="s">
        <v>2901</v>
      </c>
      <c r="I3265" s="473">
        <f>I3247</f>
        <v>317</v>
      </c>
      <c r="J3265" s="473" t="s">
        <v>1454</v>
      </c>
      <c r="K3265" s="473">
        <f>F3265*I3265</f>
        <v>317</v>
      </c>
      <c r="L3265" s="473"/>
      <c r="M3265" s="473"/>
    </row>
    <row r="3266" spans="5:13">
      <c r="E3266" s="473"/>
      <c r="F3266" s="473">
        <v>2</v>
      </c>
      <c r="G3266" s="473" t="s">
        <v>1454</v>
      </c>
      <c r="H3266" s="473" t="s">
        <v>2711</v>
      </c>
      <c r="I3266" s="473">
        <f>I3248</f>
        <v>300</v>
      </c>
      <c r="J3266" s="473" t="s">
        <v>1454</v>
      </c>
      <c r="K3266" s="473">
        <f>F3266*I3266</f>
        <v>600</v>
      </c>
      <c r="L3266" s="473"/>
      <c r="M3266" s="473"/>
    </row>
    <row r="3267" spans="5:13">
      <c r="E3267" s="473"/>
      <c r="F3267" s="473">
        <v>3</v>
      </c>
      <c r="G3267" s="473" t="s">
        <v>1454</v>
      </c>
      <c r="H3267" s="473" t="s">
        <v>3246</v>
      </c>
      <c r="I3267" s="473">
        <f>I3249</f>
        <v>226</v>
      </c>
      <c r="J3267" s="473" t="s">
        <v>1454</v>
      </c>
      <c r="K3267" s="473">
        <f>F3267*I3267</f>
        <v>678</v>
      </c>
      <c r="L3267" s="473"/>
      <c r="M3267" s="473"/>
    </row>
    <row r="3268" spans="5:13">
      <c r="E3268" s="473"/>
      <c r="F3268" s="473"/>
      <c r="G3268" s="473"/>
      <c r="H3268" s="478" t="s">
        <v>2877</v>
      </c>
      <c r="I3268" s="473"/>
      <c r="J3268" s="473"/>
      <c r="K3268" s="479">
        <f>SUM(K3265:K3267)</f>
        <v>1595</v>
      </c>
      <c r="L3268" s="473"/>
      <c r="M3268" s="473"/>
    </row>
    <row r="3269" spans="5:13">
      <c r="E3269" s="473"/>
      <c r="F3269" s="473"/>
      <c r="G3269" s="473"/>
      <c r="H3269" s="480" t="s">
        <v>2929</v>
      </c>
      <c r="I3269" s="473"/>
      <c r="J3269" s="473"/>
      <c r="K3269" s="481">
        <f>K3268/10</f>
        <v>159.5</v>
      </c>
      <c r="L3269" s="473"/>
      <c r="M3269" s="473"/>
    </row>
    <row r="3270" spans="5:13">
      <c r="E3270" s="473"/>
      <c r="F3270" s="473"/>
      <c r="G3270" s="473"/>
      <c r="H3270" s="473"/>
      <c r="I3270" s="473"/>
      <c r="J3270" s="473"/>
      <c r="K3270" s="473"/>
      <c r="L3270" s="473"/>
      <c r="M3270" s="473"/>
    </row>
    <row r="3271" spans="5:13">
      <c r="E3271" s="473"/>
      <c r="F3271" s="473"/>
      <c r="G3271" s="473"/>
      <c r="H3271" s="481" t="s">
        <v>3592</v>
      </c>
      <c r="I3271" s="473"/>
      <c r="J3271" s="473"/>
      <c r="K3271" s="473"/>
      <c r="L3271" s="473"/>
      <c r="M3271" s="473"/>
    </row>
    <row r="3272" spans="5:13" ht="73.5" customHeight="1">
      <c r="E3272" s="473"/>
      <c r="F3272" s="473"/>
      <c r="G3272" s="473"/>
      <c r="H3272" s="472" t="s">
        <v>3289</v>
      </c>
      <c r="I3272" s="473"/>
      <c r="J3272" s="473"/>
      <c r="K3272" s="473"/>
      <c r="L3272" s="473"/>
      <c r="M3272" s="473"/>
    </row>
    <row r="3273" spans="5:13">
      <c r="E3273" s="473"/>
      <c r="F3273" s="473"/>
      <c r="G3273" s="473"/>
      <c r="H3273" s="473"/>
      <c r="I3273" s="473"/>
      <c r="J3273" s="473"/>
      <c r="K3273" s="473"/>
      <c r="L3273" s="473"/>
      <c r="M3273" s="473"/>
    </row>
    <row r="3274" spans="5:13">
      <c r="E3274" s="473"/>
      <c r="F3274" s="473">
        <v>1</v>
      </c>
      <c r="G3274" s="473" t="s">
        <v>840</v>
      </c>
      <c r="H3274" s="473" t="s">
        <v>2423</v>
      </c>
      <c r="I3274" s="473">
        <f>I3259</f>
        <v>914.1</v>
      </c>
      <c r="J3274" s="473" t="s">
        <v>3290</v>
      </c>
      <c r="K3274" s="473">
        <f>F3274*(I3274/100)</f>
        <v>9.14</v>
      </c>
      <c r="L3274" s="473"/>
      <c r="M3274" s="473"/>
    </row>
    <row r="3275" spans="5:13">
      <c r="E3275" s="473"/>
      <c r="F3275" s="473"/>
      <c r="G3275" s="473"/>
      <c r="H3275" s="473" t="s">
        <v>144</v>
      </c>
      <c r="I3275" s="473"/>
      <c r="J3275" s="473"/>
      <c r="K3275" s="473">
        <f>K3282</f>
        <v>213.8</v>
      </c>
      <c r="L3275" s="473"/>
      <c r="M3275" s="473"/>
    </row>
    <row r="3276" spans="5:13">
      <c r="E3276" s="473"/>
      <c r="F3276" s="473"/>
      <c r="G3276" s="473"/>
      <c r="H3276" s="473" t="s">
        <v>2426</v>
      </c>
      <c r="J3276" s="473"/>
      <c r="K3276" s="473">
        <v>2.06</v>
      </c>
      <c r="L3276" s="473"/>
      <c r="M3276" s="473"/>
    </row>
    <row r="3277" spans="5:13">
      <c r="E3277" s="473"/>
      <c r="F3277" s="473"/>
      <c r="G3277" s="473"/>
      <c r="H3277" s="479" t="s">
        <v>3291</v>
      </c>
      <c r="I3277" s="481" t="s">
        <v>1100</v>
      </c>
      <c r="J3277" s="473"/>
      <c r="K3277" s="481">
        <f>SUM(K3274:K3276)</f>
        <v>225</v>
      </c>
      <c r="L3277" s="473"/>
      <c r="M3277" s="473"/>
    </row>
    <row r="3278" spans="5:13">
      <c r="E3278" s="473"/>
      <c r="F3278" s="473">
        <v>1</v>
      </c>
      <c r="G3278" s="473" t="s">
        <v>1454</v>
      </c>
      <c r="H3278" s="473" t="s">
        <v>2901</v>
      </c>
      <c r="I3278" s="473">
        <f>I3265</f>
        <v>317</v>
      </c>
      <c r="J3278" s="473" t="s">
        <v>1454</v>
      </c>
      <c r="K3278" s="473">
        <f>F3278*I3278</f>
        <v>317</v>
      </c>
      <c r="L3278" s="473"/>
      <c r="M3278" s="473"/>
    </row>
    <row r="3279" spans="5:13">
      <c r="E3279" s="473"/>
      <c r="F3279" s="473">
        <v>1</v>
      </c>
      <c r="G3279" s="473" t="s">
        <v>1454</v>
      </c>
      <c r="H3279" s="473" t="s">
        <v>2711</v>
      </c>
      <c r="I3279" s="473">
        <f>I3266</f>
        <v>300</v>
      </c>
      <c r="J3279" s="473" t="s">
        <v>1454</v>
      </c>
      <c r="K3279" s="473">
        <f>F3279*I3279</f>
        <v>300</v>
      </c>
      <c r="L3279" s="473"/>
      <c r="M3279" s="473"/>
    </row>
    <row r="3280" spans="5:13">
      <c r="E3280" s="473"/>
      <c r="F3280" s="473">
        <v>2</v>
      </c>
      <c r="G3280" s="473" t="s">
        <v>1454</v>
      </c>
      <c r="H3280" s="473" t="s">
        <v>3246</v>
      </c>
      <c r="I3280" s="473">
        <f>I3267</f>
        <v>226</v>
      </c>
      <c r="J3280" s="473" t="s">
        <v>1454</v>
      </c>
      <c r="K3280" s="473">
        <f>F3280*I3280</f>
        <v>452</v>
      </c>
      <c r="L3280" s="473"/>
      <c r="M3280" s="473"/>
    </row>
    <row r="3281" spans="5:13">
      <c r="E3281" s="473"/>
      <c r="F3281" s="473"/>
      <c r="G3281" s="473"/>
      <c r="H3281" s="478" t="s">
        <v>3292</v>
      </c>
      <c r="I3281" s="473"/>
      <c r="J3281" s="473"/>
      <c r="K3281" s="479">
        <f>SUM(K3278:K3280)</f>
        <v>1069</v>
      </c>
      <c r="L3281" s="473"/>
      <c r="M3281" s="473"/>
    </row>
    <row r="3282" spans="5:13">
      <c r="E3282" s="473"/>
      <c r="F3282" s="473"/>
      <c r="G3282" s="473"/>
      <c r="H3282" s="480" t="s">
        <v>1100</v>
      </c>
      <c r="I3282" s="473"/>
      <c r="J3282" s="473"/>
      <c r="K3282" s="481">
        <f>K3281/5</f>
        <v>213.8</v>
      </c>
      <c r="L3282" s="473"/>
      <c r="M3282" s="473"/>
    </row>
    <row r="3283" spans="5:13">
      <c r="E3283" s="473"/>
      <c r="F3283" s="473"/>
      <c r="G3283" s="473"/>
      <c r="H3283" s="492" t="s">
        <v>3293</v>
      </c>
      <c r="I3283" s="473"/>
      <c r="J3283" s="473"/>
      <c r="K3283" s="473"/>
      <c r="L3283" s="473"/>
      <c r="M3283" s="473"/>
    </row>
    <row r="3284" spans="5:13">
      <c r="E3284" s="473"/>
      <c r="F3284" s="473"/>
      <c r="G3284" s="473"/>
      <c r="H3284" s="481" t="s">
        <v>3294</v>
      </c>
      <c r="I3284" s="473"/>
      <c r="J3284" s="473"/>
      <c r="K3284" s="473"/>
      <c r="L3284" s="473"/>
      <c r="M3284" s="473"/>
    </row>
    <row r="3285" spans="5:13">
      <c r="E3285" s="473"/>
      <c r="F3285" s="473"/>
      <c r="G3285" s="473"/>
      <c r="H3285" s="481" t="s">
        <v>3295</v>
      </c>
      <c r="I3285" s="473"/>
      <c r="J3285" s="473"/>
      <c r="K3285" s="473"/>
      <c r="L3285" s="473"/>
      <c r="M3285" s="473"/>
    </row>
    <row r="3286" spans="5:13">
      <c r="E3286" s="473"/>
      <c r="F3286" s="473"/>
      <c r="G3286" s="473"/>
      <c r="H3286" s="482" t="s">
        <v>3296</v>
      </c>
      <c r="I3286" s="473"/>
      <c r="J3286" s="473"/>
      <c r="K3286" s="473"/>
      <c r="L3286" s="473"/>
      <c r="M3286" s="473"/>
    </row>
    <row r="3287" spans="5:13" ht="68.25" customHeight="1">
      <c r="E3287" s="473"/>
      <c r="F3287" s="473"/>
      <c r="G3287" s="473"/>
      <c r="H3287" s="472" t="s">
        <v>3647</v>
      </c>
      <c r="I3287" s="473"/>
      <c r="J3287" s="473"/>
      <c r="K3287" s="473"/>
      <c r="L3287" s="473"/>
      <c r="M3287" s="473"/>
    </row>
    <row r="3288" spans="5:13">
      <c r="E3288" s="473"/>
      <c r="F3288" s="473"/>
      <c r="G3288" s="473"/>
      <c r="H3288" s="473"/>
      <c r="I3288" s="473"/>
      <c r="J3288" s="473"/>
      <c r="K3288" s="473"/>
      <c r="L3288" s="473"/>
      <c r="M3288" s="473"/>
    </row>
    <row r="3289" spans="5:13">
      <c r="E3289" s="473"/>
      <c r="F3289" s="473">
        <v>9.5</v>
      </c>
      <c r="G3289" s="473" t="s">
        <v>1730</v>
      </c>
      <c r="H3289" s="473" t="s">
        <v>3648</v>
      </c>
      <c r="I3289" s="474">
        <v>88</v>
      </c>
      <c r="J3289" s="473" t="s">
        <v>1730</v>
      </c>
      <c r="K3289" s="473">
        <f>F3289*I3289</f>
        <v>836</v>
      </c>
      <c r="L3289" s="473"/>
      <c r="M3289" s="473"/>
    </row>
    <row r="3290" spans="5:13">
      <c r="E3290" s="473"/>
      <c r="F3290" s="473">
        <v>0.5</v>
      </c>
      <c r="G3290" s="473" t="s">
        <v>1730</v>
      </c>
      <c r="H3290" s="473" t="s">
        <v>3553</v>
      </c>
      <c r="I3290" s="474">
        <v>22</v>
      </c>
      <c r="J3290" s="473"/>
      <c r="K3290" s="473">
        <f>F3290*I3290</f>
        <v>11</v>
      </c>
      <c r="L3290" s="473"/>
      <c r="M3290" s="473"/>
    </row>
    <row r="3291" spans="5:13">
      <c r="E3291" s="473"/>
      <c r="F3291" s="473"/>
      <c r="G3291" s="473"/>
      <c r="H3291" s="473" t="s">
        <v>1900</v>
      </c>
      <c r="I3291" s="473"/>
      <c r="J3291" s="473"/>
      <c r="K3291" s="473">
        <f>K3299</f>
        <v>543</v>
      </c>
      <c r="L3291" s="473"/>
      <c r="M3291" s="473"/>
    </row>
    <row r="3292" spans="5:13">
      <c r="E3292" s="473"/>
      <c r="F3292" s="473"/>
      <c r="G3292" s="473"/>
      <c r="H3292" s="473" t="s">
        <v>2359</v>
      </c>
      <c r="I3292" s="473"/>
      <c r="J3292" s="473"/>
      <c r="K3292" s="473">
        <v>5</v>
      </c>
      <c r="L3292" s="473"/>
      <c r="M3292" s="473"/>
    </row>
    <row r="3293" spans="5:13">
      <c r="E3293" s="473"/>
      <c r="F3293" s="473"/>
      <c r="G3293" s="473"/>
      <c r="H3293" s="478" t="s">
        <v>3554</v>
      </c>
      <c r="I3293" s="473"/>
      <c r="J3293" s="473"/>
      <c r="K3293" s="479">
        <f>SUM(K3289:K3292)</f>
        <v>1395</v>
      </c>
      <c r="L3293" s="473">
        <f>11.8*90</f>
        <v>1062</v>
      </c>
      <c r="M3293" s="473"/>
    </row>
    <row r="3294" spans="5:13">
      <c r="E3294" s="473"/>
      <c r="F3294" s="473"/>
      <c r="G3294" s="473"/>
      <c r="H3294" s="480" t="s">
        <v>2896</v>
      </c>
      <c r="I3294" s="473"/>
      <c r="J3294" s="473"/>
      <c r="K3294" s="481">
        <f>K3293/90</f>
        <v>15.5</v>
      </c>
      <c r="L3294" s="473"/>
      <c r="M3294" s="473"/>
    </row>
    <row r="3295" spans="5:13">
      <c r="E3295" s="473"/>
      <c r="F3295" s="473"/>
      <c r="G3295" s="473"/>
      <c r="H3295" s="473"/>
      <c r="I3295" s="473"/>
      <c r="J3295" s="473"/>
      <c r="K3295" s="473"/>
      <c r="L3295" s="473"/>
      <c r="M3295" s="473"/>
    </row>
    <row r="3296" spans="5:13">
      <c r="E3296" s="473"/>
      <c r="F3296" s="473"/>
      <c r="G3296" s="473"/>
      <c r="H3296" s="479" t="s">
        <v>2770</v>
      </c>
      <c r="I3296" s="473"/>
      <c r="J3296" s="473"/>
      <c r="K3296" s="473"/>
      <c r="L3296" s="473"/>
      <c r="M3296" s="473"/>
    </row>
    <row r="3297" spans="5:13">
      <c r="E3297" s="473"/>
      <c r="F3297" s="473">
        <v>1</v>
      </c>
      <c r="G3297" s="473"/>
      <c r="H3297" s="473" t="s">
        <v>2901</v>
      </c>
      <c r="I3297" s="473">
        <f>I3278</f>
        <v>317</v>
      </c>
      <c r="J3297" s="473" t="s">
        <v>1454</v>
      </c>
      <c r="K3297" s="473">
        <f>F3297*I3297</f>
        <v>317</v>
      </c>
      <c r="L3297" s="473"/>
      <c r="M3297" s="473"/>
    </row>
    <row r="3298" spans="5:13">
      <c r="E3298" s="473"/>
      <c r="F3298" s="473">
        <v>1</v>
      </c>
      <c r="G3298" s="473"/>
      <c r="H3298" s="473" t="s">
        <v>3246</v>
      </c>
      <c r="I3298" s="473">
        <f>I3280</f>
        <v>226</v>
      </c>
      <c r="J3298" s="473" t="s">
        <v>1454</v>
      </c>
      <c r="K3298" s="473">
        <f>F3298*I3298</f>
        <v>226</v>
      </c>
      <c r="L3298" s="473"/>
      <c r="M3298" s="473"/>
    </row>
    <row r="3299" spans="5:13">
      <c r="E3299" s="473"/>
      <c r="F3299" s="473"/>
      <c r="G3299" s="473"/>
      <c r="H3299" s="473"/>
      <c r="I3299" s="473"/>
      <c r="J3299" s="473"/>
      <c r="K3299" s="481">
        <f>SUM(K3297:K3298)</f>
        <v>543</v>
      </c>
      <c r="L3299" s="473"/>
      <c r="M3299" s="473"/>
    </row>
    <row r="3300" spans="5:13">
      <c r="E3300" s="473"/>
      <c r="F3300" s="473" t="s">
        <v>2771</v>
      </c>
      <c r="G3300" s="473"/>
      <c r="H3300" s="473"/>
      <c r="I3300" s="473"/>
      <c r="J3300" s="473"/>
      <c r="K3300" s="473"/>
      <c r="L3300" s="473"/>
      <c r="M3300" s="473"/>
    </row>
    <row r="3301" spans="5:13">
      <c r="E3301" s="473"/>
      <c r="F3301" s="473"/>
      <c r="G3301" s="473"/>
      <c r="H3301" s="473"/>
      <c r="I3301" s="473"/>
      <c r="J3301" s="473"/>
      <c r="K3301" s="473"/>
      <c r="L3301" s="473"/>
      <c r="M3301" s="473"/>
    </row>
    <row r="3302" spans="5:13">
      <c r="E3302" s="473"/>
      <c r="F3302" s="473"/>
      <c r="G3302" s="473"/>
      <c r="H3302" s="481" t="s">
        <v>2772</v>
      </c>
      <c r="I3302" s="473"/>
      <c r="J3302" s="473"/>
      <c r="K3302" s="473"/>
      <c r="L3302" s="473"/>
      <c r="M3302" s="473"/>
    </row>
    <row r="3303" spans="5:13">
      <c r="E3303" s="473"/>
      <c r="F3303" s="473"/>
      <c r="G3303" s="473"/>
      <c r="H3303" s="481" t="s">
        <v>2773</v>
      </c>
      <c r="I3303" s="473"/>
      <c r="J3303" s="473"/>
      <c r="K3303" s="473"/>
      <c r="L3303" s="473"/>
      <c r="M3303" s="473"/>
    </row>
    <row r="3304" spans="5:13">
      <c r="E3304" s="473"/>
      <c r="F3304" s="473"/>
      <c r="G3304" s="473"/>
      <c r="H3304" s="473"/>
      <c r="I3304" s="473"/>
      <c r="J3304" s="473"/>
      <c r="K3304" s="473"/>
      <c r="L3304" s="473"/>
      <c r="M3304" s="473"/>
    </row>
    <row r="3305" spans="5:13" ht="57" customHeight="1">
      <c r="E3305" s="473"/>
      <c r="F3305" s="473"/>
      <c r="G3305" s="473"/>
      <c r="H3305" s="472" t="s">
        <v>2774</v>
      </c>
      <c r="I3305" s="473"/>
      <c r="J3305" s="473"/>
      <c r="K3305" s="473"/>
      <c r="L3305" s="473"/>
      <c r="M3305" s="473"/>
    </row>
    <row r="3306" spans="5:13">
      <c r="E3306" s="473"/>
      <c r="F3306" s="473">
        <v>2.5</v>
      </c>
      <c r="G3306" s="473" t="s">
        <v>840</v>
      </c>
      <c r="H3306" s="473" t="s">
        <v>2775</v>
      </c>
      <c r="I3306" s="474">
        <v>169.75</v>
      </c>
      <c r="J3306" s="473" t="s">
        <v>840</v>
      </c>
      <c r="K3306" s="473">
        <f>F3306*I3306</f>
        <v>424.38</v>
      </c>
      <c r="L3306" s="473"/>
      <c r="M3306" s="473"/>
    </row>
    <row r="3307" spans="5:13">
      <c r="E3307" s="473"/>
      <c r="F3307" s="473">
        <v>1</v>
      </c>
      <c r="G3307" s="473" t="s">
        <v>840</v>
      </c>
      <c r="H3307" s="473" t="s">
        <v>2776</v>
      </c>
      <c r="I3307" s="474">
        <v>102.8</v>
      </c>
      <c r="J3307" s="473" t="s">
        <v>840</v>
      </c>
      <c r="K3307" s="473">
        <f t="shared" ref="K3307:K3316" si="104">F3307*I3307</f>
        <v>102.8</v>
      </c>
      <c r="L3307" s="473"/>
      <c r="M3307" s="473"/>
    </row>
    <row r="3308" spans="5:13">
      <c r="E3308" s="473"/>
      <c r="F3308" s="473">
        <v>1</v>
      </c>
      <c r="G3308" s="473" t="s">
        <v>840</v>
      </c>
      <c r="H3308" s="473" t="s">
        <v>2777</v>
      </c>
      <c r="I3308" s="474">
        <v>72.75</v>
      </c>
      <c r="J3308" s="473" t="s">
        <v>840</v>
      </c>
      <c r="K3308" s="473">
        <f t="shared" si="104"/>
        <v>72.75</v>
      </c>
      <c r="L3308" s="473"/>
      <c r="M3308" s="473"/>
    </row>
    <row r="3309" spans="5:13">
      <c r="E3309" s="473"/>
      <c r="F3309" s="473">
        <v>1</v>
      </c>
      <c r="G3309" s="473" t="s">
        <v>1454</v>
      </c>
      <c r="H3309" s="473" t="s">
        <v>2778</v>
      </c>
      <c r="I3309" s="474">
        <v>54.25</v>
      </c>
      <c r="J3309" s="473" t="s">
        <v>1454</v>
      </c>
      <c r="K3309" s="473">
        <f t="shared" si="104"/>
        <v>54.25</v>
      </c>
      <c r="L3309" s="473"/>
      <c r="M3309" s="473"/>
    </row>
    <row r="3310" spans="5:13">
      <c r="E3310" s="473"/>
      <c r="F3310" s="473">
        <v>1</v>
      </c>
      <c r="G3310" s="473" t="s">
        <v>284</v>
      </c>
      <c r="H3310" s="473" t="s">
        <v>2779</v>
      </c>
      <c r="I3310" s="473" t="s">
        <v>667</v>
      </c>
      <c r="J3310" s="473" t="s">
        <v>284</v>
      </c>
      <c r="K3310" s="473">
        <v>15</v>
      </c>
      <c r="L3310" s="473"/>
      <c r="M3310" s="473"/>
    </row>
    <row r="3311" spans="5:13">
      <c r="E3311" s="473"/>
      <c r="F3311" s="473"/>
      <c r="G3311" s="473" t="s">
        <v>667</v>
      </c>
      <c r="H3311" s="473" t="s">
        <v>2780</v>
      </c>
      <c r="I3311" s="473" t="s">
        <v>667</v>
      </c>
      <c r="J3311" s="473" t="s">
        <v>667</v>
      </c>
      <c r="K3311" s="473">
        <v>150</v>
      </c>
      <c r="L3311" s="473"/>
      <c r="M3311" s="473"/>
    </row>
    <row r="3312" spans="5:13">
      <c r="E3312" s="473"/>
      <c r="F3312" s="473">
        <v>1</v>
      </c>
      <c r="G3312" s="473" t="s">
        <v>1454</v>
      </c>
      <c r="H3312" s="473" t="s">
        <v>2781</v>
      </c>
      <c r="I3312" s="473">
        <v>100</v>
      </c>
      <c r="J3312" s="473" t="s">
        <v>1454</v>
      </c>
      <c r="K3312" s="473">
        <f t="shared" si="104"/>
        <v>100</v>
      </c>
      <c r="L3312" s="473"/>
      <c r="M3312" s="473"/>
    </row>
    <row r="3313" spans="5:13">
      <c r="E3313" s="473"/>
      <c r="F3313" s="473">
        <v>40</v>
      </c>
      <c r="G3313" s="473" t="s">
        <v>1730</v>
      </c>
      <c r="H3313" s="473" t="s">
        <v>2782</v>
      </c>
      <c r="I3313" s="623">
        <v>5.75</v>
      </c>
      <c r="J3313" s="473" t="s">
        <v>1730</v>
      </c>
      <c r="K3313" s="473">
        <f t="shared" si="104"/>
        <v>230</v>
      </c>
      <c r="L3313" s="473"/>
      <c r="M3313" s="473"/>
    </row>
    <row r="3314" spans="5:13">
      <c r="E3314" s="473"/>
      <c r="F3314" s="473">
        <v>2</v>
      </c>
      <c r="G3314" s="473" t="s">
        <v>1454</v>
      </c>
      <c r="H3314" s="473" t="s">
        <v>2783</v>
      </c>
      <c r="I3314" s="474">
        <v>14.4</v>
      </c>
      <c r="J3314" s="473" t="s">
        <v>1454</v>
      </c>
      <c r="K3314" s="473">
        <f t="shared" si="104"/>
        <v>28.8</v>
      </c>
      <c r="L3314" s="473"/>
      <c r="M3314" s="473"/>
    </row>
    <row r="3315" spans="5:13">
      <c r="E3315" s="473"/>
      <c r="F3315" s="473">
        <v>4</v>
      </c>
      <c r="G3315" s="473" t="s">
        <v>1454</v>
      </c>
      <c r="H3315" s="473" t="s">
        <v>2784</v>
      </c>
      <c r="I3315" s="474">
        <v>14.4</v>
      </c>
      <c r="J3315" s="473" t="s">
        <v>1454</v>
      </c>
      <c r="K3315" s="473">
        <f t="shared" si="104"/>
        <v>57.6</v>
      </c>
      <c r="L3315" s="473"/>
      <c r="M3315" s="473"/>
    </row>
    <row r="3316" spans="5:13">
      <c r="E3316" s="473"/>
      <c r="F3316" s="473">
        <v>10</v>
      </c>
      <c r="G3316" s="473" t="s">
        <v>1730</v>
      </c>
      <c r="H3316" s="473" t="s">
        <v>2785</v>
      </c>
      <c r="I3316" s="474">
        <v>4.2</v>
      </c>
      <c r="J3316" s="473" t="s">
        <v>1730</v>
      </c>
      <c r="K3316" s="473">
        <f t="shared" si="104"/>
        <v>42</v>
      </c>
      <c r="L3316" s="473"/>
      <c r="M3316" s="473"/>
    </row>
    <row r="3317" spans="5:13">
      <c r="E3317" s="473"/>
      <c r="F3317" s="473"/>
      <c r="G3317" s="473"/>
      <c r="H3317" s="473" t="s">
        <v>2359</v>
      </c>
      <c r="I3317" s="473"/>
      <c r="J3317" s="473"/>
      <c r="K3317" s="473">
        <v>9.42</v>
      </c>
      <c r="L3317" s="473"/>
      <c r="M3317" s="473"/>
    </row>
    <row r="3318" spans="5:13">
      <c r="E3318" s="473"/>
      <c r="F3318" s="473"/>
      <c r="G3318" s="473"/>
      <c r="H3318" s="473" t="s">
        <v>931</v>
      </c>
      <c r="I3318" s="473"/>
      <c r="J3318" s="473"/>
      <c r="K3318" s="482">
        <f>K3324</f>
        <v>543</v>
      </c>
      <c r="L3318" s="473"/>
      <c r="M3318" s="473"/>
    </row>
    <row r="3319" spans="5:13">
      <c r="E3319" s="473"/>
      <c r="F3319" s="473"/>
      <c r="G3319" s="473"/>
      <c r="H3319" s="480" t="s">
        <v>1100</v>
      </c>
      <c r="I3319" s="473"/>
      <c r="J3319" s="473"/>
      <c r="K3319" s="481">
        <f>SUM(K3306:K3318)</f>
        <v>1830</v>
      </c>
      <c r="L3319" s="473"/>
      <c r="M3319" s="473"/>
    </row>
    <row r="3320" spans="5:13">
      <c r="E3320" s="473"/>
      <c r="F3320" s="473"/>
      <c r="G3320" s="473"/>
      <c r="H3320" s="473"/>
      <c r="I3320" s="473"/>
      <c r="J3320" s="473"/>
      <c r="K3320" s="473"/>
      <c r="L3320" s="473"/>
      <c r="M3320" s="473"/>
    </row>
    <row r="3321" spans="5:13">
      <c r="E3321" s="473"/>
      <c r="F3321" s="473"/>
      <c r="G3321" s="473"/>
      <c r="H3321" s="479" t="s">
        <v>931</v>
      </c>
      <c r="I3321" s="473"/>
      <c r="J3321" s="473"/>
      <c r="K3321" s="473"/>
      <c r="L3321" s="473"/>
      <c r="M3321" s="473"/>
    </row>
    <row r="3322" spans="5:13">
      <c r="E3322" s="473"/>
      <c r="F3322" s="473">
        <v>1</v>
      </c>
      <c r="G3322" s="473" t="s">
        <v>1454</v>
      </c>
      <c r="H3322" s="473" t="s">
        <v>2901</v>
      </c>
      <c r="I3322" s="473">
        <f>I3297</f>
        <v>317</v>
      </c>
      <c r="J3322" s="473" t="s">
        <v>1454</v>
      </c>
      <c r="K3322" s="473">
        <f>F3322*I3322</f>
        <v>317</v>
      </c>
      <c r="L3322" s="473"/>
      <c r="M3322" s="473"/>
    </row>
    <row r="3323" spans="5:13">
      <c r="E3323" s="473"/>
      <c r="F3323" s="473">
        <v>1</v>
      </c>
      <c r="G3323" s="473" t="s">
        <v>1454</v>
      </c>
      <c r="H3323" s="473" t="s">
        <v>3246</v>
      </c>
      <c r="I3323" s="473">
        <f>I3298</f>
        <v>226</v>
      </c>
      <c r="J3323" s="473" t="s">
        <v>1454</v>
      </c>
      <c r="K3323" s="473">
        <f>F3323*I3323</f>
        <v>226</v>
      </c>
      <c r="L3323" s="473"/>
      <c r="M3323" s="473"/>
    </row>
    <row r="3324" spans="5:13">
      <c r="E3324" s="473"/>
      <c r="F3324" s="473"/>
      <c r="G3324" s="473"/>
      <c r="H3324" s="473"/>
      <c r="I3324" s="473"/>
      <c r="J3324" s="473"/>
      <c r="K3324" s="481">
        <f>SUM(K3322:K3323)</f>
        <v>543</v>
      </c>
      <c r="L3324" s="473"/>
      <c r="M3324" s="473"/>
    </row>
    <row r="3325" spans="5:13">
      <c r="E3325" s="473"/>
      <c r="F3325" s="473"/>
      <c r="G3325" s="473"/>
      <c r="H3325" s="481" t="s">
        <v>2786</v>
      </c>
      <c r="I3325" s="473"/>
      <c r="J3325" s="473"/>
      <c r="K3325" s="473"/>
      <c r="L3325" s="473"/>
      <c r="M3325" s="473"/>
    </row>
    <row r="3326" spans="5:13">
      <c r="E3326" s="473"/>
      <c r="F3326" s="473"/>
      <c r="G3326" s="473"/>
      <c r="H3326" s="481" t="s">
        <v>2787</v>
      </c>
      <c r="I3326" s="473"/>
      <c r="J3326" s="473"/>
      <c r="K3326" s="473"/>
      <c r="L3326" s="473"/>
      <c r="M3326" s="473"/>
    </row>
    <row r="3327" spans="5:13">
      <c r="E3327" s="473"/>
      <c r="F3327" s="473"/>
      <c r="G3327" s="473"/>
      <c r="H3327" s="473"/>
      <c r="I3327" s="473"/>
      <c r="J3327" s="473"/>
      <c r="K3327" s="473"/>
      <c r="L3327" s="473"/>
      <c r="M3327" s="473"/>
    </row>
    <row r="3328" spans="5:13" ht="86.25" customHeight="1">
      <c r="E3328" s="473"/>
      <c r="F3328" s="473"/>
      <c r="G3328" s="473"/>
      <c r="H3328" s="472" t="s">
        <v>3496</v>
      </c>
      <c r="I3328" s="473"/>
      <c r="J3328" s="473"/>
      <c r="K3328" s="473"/>
      <c r="L3328" s="473"/>
      <c r="M3328" s="473"/>
    </row>
    <row r="3329" spans="5:13">
      <c r="E3329" s="473"/>
      <c r="F3329" s="473"/>
      <c r="G3329" s="473"/>
      <c r="H3329" s="473"/>
      <c r="I3329" s="473"/>
      <c r="J3329" s="473"/>
      <c r="K3329" s="473"/>
      <c r="L3329" s="473"/>
      <c r="M3329" s="473"/>
    </row>
    <row r="3330" spans="5:13">
      <c r="E3330" s="473"/>
      <c r="F3330" s="473">
        <v>1</v>
      </c>
      <c r="G3330" s="473" t="s">
        <v>1454</v>
      </c>
      <c r="H3330" s="473" t="s">
        <v>3367</v>
      </c>
      <c r="I3330" s="473">
        <f>K3335</f>
        <v>48.88</v>
      </c>
      <c r="J3330" s="473" t="s">
        <v>1458</v>
      </c>
      <c r="K3330" s="473">
        <f>F3330*I3330</f>
        <v>48.88</v>
      </c>
      <c r="L3330" s="473"/>
      <c r="M3330" s="473"/>
    </row>
    <row r="3331" spans="5:13" ht="56.25" customHeight="1">
      <c r="E3331" s="473"/>
      <c r="F3331" s="473"/>
      <c r="G3331" s="473"/>
      <c r="H3331" s="472" t="s">
        <v>3368</v>
      </c>
      <c r="I3331" s="473"/>
      <c r="J3331" s="473" t="s">
        <v>667</v>
      </c>
      <c r="K3331" s="473">
        <v>12.42</v>
      </c>
      <c r="L3331" s="473"/>
      <c r="M3331" s="473"/>
    </row>
    <row r="3332" spans="5:13">
      <c r="E3332" s="473"/>
      <c r="F3332" s="473"/>
      <c r="G3332" s="473"/>
      <c r="H3332" s="473" t="s">
        <v>144</v>
      </c>
      <c r="I3332" s="473"/>
      <c r="J3332" s="473"/>
      <c r="K3332" s="473">
        <f>K3340</f>
        <v>121.7</v>
      </c>
      <c r="L3332" s="473"/>
      <c r="M3332" s="473"/>
    </row>
    <row r="3333" spans="5:13">
      <c r="E3333" s="473"/>
      <c r="F3333" s="473"/>
      <c r="G3333" s="473"/>
      <c r="H3333" s="480" t="s">
        <v>1100</v>
      </c>
      <c r="I3333" s="473"/>
      <c r="J3333" s="473"/>
      <c r="K3333" s="481">
        <f>SUM(K3330:K3332)</f>
        <v>183</v>
      </c>
      <c r="L3333" s="473"/>
      <c r="M3333" s="473"/>
    </row>
    <row r="3334" spans="5:13">
      <c r="E3334" s="473"/>
      <c r="F3334" s="473"/>
      <c r="G3334" s="473"/>
      <c r="H3334" s="473"/>
      <c r="I3334" s="473"/>
      <c r="J3334" s="473"/>
      <c r="K3334" s="473"/>
      <c r="L3334" s="473"/>
      <c r="M3334" s="473"/>
    </row>
    <row r="3335" spans="5:13">
      <c r="E3335" s="473"/>
      <c r="F3335" s="473"/>
      <c r="G3335" s="473"/>
      <c r="H3335" s="481" t="s">
        <v>3369</v>
      </c>
      <c r="I3335" s="473">
        <f>I3222</f>
        <v>81467</v>
      </c>
      <c r="J3335" s="487">
        <v>5.9999999999999995E-4</v>
      </c>
      <c r="K3335" s="473">
        <f>ROUND(I3335*J3335,2)</f>
        <v>48.88</v>
      </c>
      <c r="L3335" s="473"/>
      <c r="M3335" s="473"/>
    </row>
    <row r="3336" spans="5:13">
      <c r="E3336" s="473"/>
      <c r="F3336" s="473"/>
      <c r="G3336" s="473"/>
      <c r="H3336" s="473" t="s">
        <v>144</v>
      </c>
      <c r="I3336" s="473"/>
      <c r="J3336" s="473"/>
      <c r="K3336" s="473"/>
      <c r="L3336" s="473"/>
      <c r="M3336" s="473"/>
    </row>
    <row r="3337" spans="5:13">
      <c r="E3337" s="473"/>
      <c r="F3337" s="473">
        <v>1</v>
      </c>
      <c r="G3337" s="473" t="s">
        <v>1454</v>
      </c>
      <c r="H3337" s="473" t="s">
        <v>3370</v>
      </c>
      <c r="I3337" s="473">
        <f>I3278</f>
        <v>317</v>
      </c>
      <c r="J3337" s="473" t="s">
        <v>1458</v>
      </c>
      <c r="K3337" s="473">
        <f>F3337*I3337</f>
        <v>317</v>
      </c>
      <c r="L3337" s="473"/>
      <c r="M3337" s="473"/>
    </row>
    <row r="3338" spans="5:13">
      <c r="E3338" s="473"/>
      <c r="F3338" s="473">
        <v>3</v>
      </c>
      <c r="G3338" s="473" t="s">
        <v>1454</v>
      </c>
      <c r="H3338" s="473" t="s">
        <v>2711</v>
      </c>
      <c r="I3338" s="473">
        <f>I3279</f>
        <v>300</v>
      </c>
      <c r="J3338" s="473" t="s">
        <v>1458</v>
      </c>
      <c r="K3338" s="473">
        <f>F3338*I3338</f>
        <v>900</v>
      </c>
      <c r="L3338" s="473"/>
      <c r="M3338" s="473"/>
    </row>
    <row r="3339" spans="5:13">
      <c r="E3339" s="473"/>
      <c r="F3339" s="473"/>
      <c r="G3339" s="473"/>
      <c r="H3339" s="478" t="s">
        <v>3371</v>
      </c>
      <c r="I3339" s="473"/>
      <c r="J3339" s="473"/>
      <c r="K3339" s="482">
        <f>SUM(K3337:K3338)</f>
        <v>1217</v>
      </c>
      <c r="L3339" s="473"/>
      <c r="M3339" s="473"/>
    </row>
    <row r="3340" spans="5:13">
      <c r="E3340" s="473"/>
      <c r="F3340" s="473"/>
      <c r="G3340" s="473"/>
      <c r="H3340" s="478" t="s">
        <v>3372</v>
      </c>
      <c r="I3340" s="473"/>
      <c r="J3340" s="473"/>
      <c r="K3340" s="481">
        <f>K3339/10</f>
        <v>121.7</v>
      </c>
      <c r="L3340" s="473"/>
      <c r="M3340" s="473"/>
    </row>
    <row r="3341" spans="5:13">
      <c r="E3341" s="473"/>
      <c r="F3341" s="473"/>
      <c r="G3341" s="473"/>
      <c r="H3341" s="473"/>
      <c r="I3341" s="473"/>
      <c r="J3341" s="473"/>
      <c r="K3341" s="473"/>
      <c r="L3341" s="473"/>
      <c r="M3341" s="473"/>
    </row>
    <row r="3342" spans="5:13">
      <c r="E3342" s="473"/>
      <c r="F3342" s="473"/>
      <c r="G3342" s="473"/>
      <c r="H3342" s="481" t="s">
        <v>3373</v>
      </c>
      <c r="I3342" s="473"/>
      <c r="J3342" s="473"/>
      <c r="K3342" s="473"/>
      <c r="L3342" s="473"/>
      <c r="M3342" s="473"/>
    </row>
    <row r="3343" spans="5:13" ht="103.5" customHeight="1">
      <c r="E3343" s="473"/>
      <c r="F3343" s="473"/>
      <c r="G3343" s="473"/>
      <c r="H3343" s="472" t="s">
        <v>3374</v>
      </c>
      <c r="I3343" s="473"/>
      <c r="J3343" s="473"/>
      <c r="K3343" s="473"/>
      <c r="L3343" s="473"/>
      <c r="M3343" s="473"/>
    </row>
    <row r="3344" spans="5:13">
      <c r="E3344" s="473"/>
      <c r="F3344" s="473"/>
      <c r="G3344" s="473"/>
      <c r="H3344" s="473"/>
      <c r="I3344" s="473"/>
      <c r="J3344" s="473"/>
      <c r="K3344" s="473"/>
      <c r="L3344" s="473"/>
      <c r="M3344" s="473"/>
    </row>
    <row r="3345" spans="5:13">
      <c r="E3345" s="473"/>
      <c r="F3345" s="473">
        <v>1</v>
      </c>
      <c r="G3345" s="473" t="s">
        <v>1454</v>
      </c>
      <c r="H3345" s="473" t="s">
        <v>3375</v>
      </c>
      <c r="I3345" s="474">
        <v>330</v>
      </c>
      <c r="J3345" s="473" t="s">
        <v>1454</v>
      </c>
      <c r="K3345" s="473">
        <f>F3345*I3345</f>
        <v>330</v>
      </c>
      <c r="L3345" s="473"/>
      <c r="M3345" s="473"/>
    </row>
    <row r="3346" spans="5:13" ht="52.5" customHeight="1">
      <c r="E3346" s="473"/>
      <c r="F3346" s="473"/>
      <c r="G3346" s="473"/>
      <c r="H3346" s="472" t="s">
        <v>3376</v>
      </c>
      <c r="I3346" s="473"/>
      <c r="J3346" s="473"/>
      <c r="K3346" s="473">
        <v>19.55</v>
      </c>
      <c r="L3346" s="473"/>
      <c r="M3346" s="473"/>
    </row>
    <row r="3347" spans="5:13">
      <c r="E3347" s="473"/>
      <c r="F3347" s="473"/>
      <c r="G3347" s="473"/>
      <c r="H3347" s="473" t="s">
        <v>931</v>
      </c>
      <c r="I3347" s="473"/>
      <c r="J3347" s="473"/>
      <c r="K3347" s="473">
        <f>K3356</f>
        <v>162.44999999999999</v>
      </c>
      <c r="L3347" s="473"/>
      <c r="M3347" s="473"/>
    </row>
    <row r="3348" spans="5:13">
      <c r="E3348" s="473"/>
      <c r="F3348" s="473"/>
      <c r="G3348" s="473"/>
      <c r="H3348" s="480" t="s">
        <v>1100</v>
      </c>
      <c r="I3348" s="473"/>
      <c r="J3348" s="473"/>
      <c r="K3348" s="481">
        <f>SUM(K3345:K3347)</f>
        <v>512</v>
      </c>
      <c r="L3348" s="473"/>
      <c r="M3348" s="473"/>
    </row>
    <row r="3349" spans="5:13">
      <c r="E3349" s="473"/>
      <c r="F3349" s="473"/>
      <c r="G3349" s="473"/>
      <c r="H3349" s="480"/>
      <c r="I3349" s="473"/>
      <c r="J3349" s="473"/>
      <c r="K3349" s="481"/>
      <c r="L3349" s="473"/>
      <c r="M3349" s="473"/>
    </row>
    <row r="3350" spans="5:13">
      <c r="E3350" s="473"/>
      <c r="F3350" s="473"/>
      <c r="G3350" s="473"/>
      <c r="H3350" s="473" t="s">
        <v>144</v>
      </c>
      <c r="I3350" s="473"/>
      <c r="J3350" s="473"/>
      <c r="K3350" s="473"/>
      <c r="L3350" s="473"/>
      <c r="M3350" s="473"/>
    </row>
    <row r="3351" spans="5:13">
      <c r="E3351" s="473"/>
      <c r="F3351" s="473">
        <v>1</v>
      </c>
      <c r="G3351" s="473"/>
      <c r="H3351" s="473" t="s">
        <v>2901</v>
      </c>
      <c r="I3351" s="473">
        <f>I2867</f>
        <v>317</v>
      </c>
      <c r="J3351" s="473" t="s">
        <v>1454</v>
      </c>
      <c r="K3351" s="473">
        <f>F3351*I3351</f>
        <v>317</v>
      </c>
      <c r="L3351" s="473"/>
      <c r="M3351" s="473"/>
    </row>
    <row r="3352" spans="5:13">
      <c r="E3352" s="473"/>
      <c r="F3352" s="473">
        <v>3</v>
      </c>
      <c r="G3352" s="473"/>
      <c r="H3352" s="473" t="s">
        <v>2711</v>
      </c>
      <c r="I3352" s="473">
        <f>I2868</f>
        <v>300</v>
      </c>
      <c r="J3352" s="473" t="s">
        <v>1454</v>
      </c>
      <c r="K3352" s="473">
        <f>F3352*I3352</f>
        <v>900</v>
      </c>
      <c r="L3352" s="473"/>
      <c r="M3352" s="473"/>
    </row>
    <row r="3353" spans="5:13">
      <c r="E3353" s="473"/>
      <c r="F3353" s="473">
        <v>1</v>
      </c>
      <c r="G3353" s="473"/>
      <c r="H3353" s="473" t="s">
        <v>2430</v>
      </c>
      <c r="I3353" s="473">
        <f>I2869</f>
        <v>226</v>
      </c>
      <c r="J3353" s="473" t="s">
        <v>1454</v>
      </c>
      <c r="K3353" s="473">
        <f>F3353*I3353</f>
        <v>226</v>
      </c>
      <c r="L3353" s="473"/>
      <c r="M3353" s="473"/>
    </row>
    <row r="3354" spans="5:13">
      <c r="E3354" s="473"/>
      <c r="F3354" s="473">
        <v>0.5</v>
      </c>
      <c r="G3354" s="473"/>
      <c r="H3354" s="473" t="s">
        <v>1039</v>
      </c>
      <c r="I3354" s="474">
        <v>363</v>
      </c>
      <c r="J3354" s="473" t="s">
        <v>1454</v>
      </c>
      <c r="K3354" s="473">
        <f>F3354*I3354</f>
        <v>181.5</v>
      </c>
      <c r="L3354" s="473"/>
      <c r="M3354" s="473"/>
    </row>
    <row r="3355" spans="5:13">
      <c r="E3355" s="473"/>
      <c r="F3355" s="473"/>
      <c r="G3355" s="473"/>
      <c r="H3355" s="478" t="s">
        <v>3377</v>
      </c>
      <c r="I3355" s="473"/>
      <c r="J3355" s="473"/>
      <c r="K3355" s="479">
        <f>SUM(K3351:K3354)</f>
        <v>1624.5</v>
      </c>
      <c r="L3355" s="473"/>
      <c r="M3355" s="473"/>
    </row>
    <row r="3356" spans="5:13">
      <c r="E3356" s="473"/>
      <c r="F3356" s="473"/>
      <c r="G3356" s="473"/>
      <c r="H3356" s="480" t="s">
        <v>3378</v>
      </c>
      <c r="I3356" s="481"/>
      <c r="J3356" s="481"/>
      <c r="K3356" s="481">
        <f>K3355/10</f>
        <v>162.44999999999999</v>
      </c>
      <c r="L3356" s="473"/>
      <c r="M3356" s="473"/>
    </row>
    <row r="3357" spans="5:13">
      <c r="E3357" s="473"/>
      <c r="F3357" s="473"/>
      <c r="G3357" s="473"/>
      <c r="H3357" s="473"/>
      <c r="I3357" s="473"/>
      <c r="J3357" s="473"/>
      <c r="K3357" s="473"/>
      <c r="L3357" s="473"/>
      <c r="M3357" s="473"/>
    </row>
    <row r="3358" spans="5:13">
      <c r="E3358" s="473"/>
      <c r="F3358" s="473"/>
      <c r="G3358" s="473"/>
      <c r="H3358" s="481" t="s">
        <v>3379</v>
      </c>
      <c r="I3358" s="473"/>
      <c r="J3358" s="473"/>
      <c r="K3358" s="473"/>
      <c r="L3358" s="473"/>
      <c r="M3358" s="473"/>
    </row>
    <row r="3359" spans="5:13">
      <c r="E3359" s="473"/>
      <c r="F3359" s="473"/>
      <c r="G3359" s="473"/>
      <c r="H3359" s="481" t="s">
        <v>3380</v>
      </c>
      <c r="I3359" s="473"/>
      <c r="J3359" s="473"/>
      <c r="K3359" s="473"/>
      <c r="L3359" s="473"/>
      <c r="M3359" s="473"/>
    </row>
    <row r="3360" spans="5:13">
      <c r="E3360" s="473"/>
      <c r="F3360" s="473"/>
      <c r="G3360" s="473"/>
      <c r="H3360" s="473"/>
      <c r="I3360" s="473"/>
      <c r="J3360" s="473"/>
      <c r="K3360" s="473"/>
      <c r="L3360" s="473"/>
      <c r="M3360" s="473"/>
    </row>
    <row r="3361" spans="5:13" ht="103.5" customHeight="1">
      <c r="E3361" s="473"/>
      <c r="F3361" s="473"/>
      <c r="G3361" s="473"/>
      <c r="H3361" s="472" t="s">
        <v>3411</v>
      </c>
      <c r="I3361" s="473"/>
      <c r="J3361" s="473"/>
      <c r="K3361" s="473"/>
      <c r="L3361" s="473"/>
      <c r="M3361" s="473"/>
    </row>
    <row r="3362" spans="5:13">
      <c r="E3362" s="473"/>
      <c r="F3362" s="473"/>
      <c r="G3362" s="473"/>
      <c r="H3362" s="473"/>
      <c r="I3362" s="473"/>
      <c r="J3362" s="473"/>
      <c r="K3362" s="473"/>
      <c r="L3362" s="473"/>
      <c r="M3362" s="473"/>
    </row>
    <row r="3363" spans="5:13">
      <c r="E3363" s="473"/>
      <c r="F3363" s="473">
        <v>1</v>
      </c>
      <c r="G3363" s="473" t="s">
        <v>1454</v>
      </c>
      <c r="H3363" s="473" t="s">
        <v>3412</v>
      </c>
      <c r="I3363" s="473">
        <f>K3368</f>
        <v>97.76</v>
      </c>
      <c r="J3363" s="473" t="s">
        <v>1458</v>
      </c>
      <c r="K3363" s="473">
        <f>F3363*I3363</f>
        <v>97.76</v>
      </c>
      <c r="L3363" s="473"/>
      <c r="M3363" s="473"/>
    </row>
    <row r="3364" spans="5:13" ht="51" customHeight="1">
      <c r="E3364" s="473"/>
      <c r="F3364" s="473" t="s">
        <v>667</v>
      </c>
      <c r="G3364" s="473" t="s">
        <v>667</v>
      </c>
      <c r="H3364" s="472" t="s">
        <v>3413</v>
      </c>
      <c r="I3364" s="473" t="s">
        <v>667</v>
      </c>
      <c r="J3364" s="473" t="s">
        <v>667</v>
      </c>
      <c r="K3364" s="473">
        <v>38.54</v>
      </c>
      <c r="L3364" s="473">
        <f>39-0.92</f>
        <v>38.08</v>
      </c>
      <c r="M3364" s="473"/>
    </row>
    <row r="3365" spans="5:13">
      <c r="E3365" s="473"/>
      <c r="F3365" s="473"/>
      <c r="G3365" s="473"/>
      <c r="H3365" s="473" t="s">
        <v>144</v>
      </c>
      <c r="I3365" s="473"/>
      <c r="J3365" s="473"/>
      <c r="K3365" s="473">
        <f>K3340</f>
        <v>121.7</v>
      </c>
      <c r="L3365" s="473"/>
      <c r="M3365" s="473"/>
    </row>
    <row r="3366" spans="5:13">
      <c r="E3366" s="473"/>
      <c r="F3366" s="473"/>
      <c r="G3366" s="473"/>
      <c r="H3366" s="480" t="s">
        <v>1100</v>
      </c>
      <c r="I3366" s="473"/>
      <c r="J3366" s="473"/>
      <c r="K3366" s="481">
        <f>SUM(K3363:K3365)</f>
        <v>258</v>
      </c>
      <c r="L3366" s="473">
        <f>158-K3366</f>
        <v>-100</v>
      </c>
      <c r="M3366" s="473"/>
    </row>
    <row r="3367" spans="5:13">
      <c r="E3367" s="473"/>
      <c r="F3367" s="473"/>
      <c r="G3367" s="473"/>
      <c r="H3367" s="473"/>
      <c r="I3367" s="473"/>
      <c r="J3367" s="473"/>
      <c r="K3367" s="481"/>
      <c r="L3367" s="473"/>
      <c r="M3367" s="473"/>
    </row>
    <row r="3368" spans="5:13">
      <c r="E3368" s="473"/>
      <c r="F3368" s="473"/>
      <c r="G3368" s="473"/>
      <c r="H3368" s="481" t="s">
        <v>3412</v>
      </c>
      <c r="I3368" s="473">
        <f>I3335</f>
        <v>81467</v>
      </c>
      <c r="J3368" s="487">
        <f>0.0012</f>
        <v>1.1999999999999999E-3</v>
      </c>
      <c r="K3368" s="481">
        <f>I3368*J3368</f>
        <v>97.76</v>
      </c>
      <c r="L3368" s="473"/>
      <c r="M3368" s="473"/>
    </row>
    <row r="3369" spans="5:13">
      <c r="E3369" s="473"/>
      <c r="F3369" s="473"/>
      <c r="G3369" s="473"/>
      <c r="H3369" s="473"/>
      <c r="I3369" s="473"/>
      <c r="J3369" s="473"/>
      <c r="K3369" s="473"/>
      <c r="L3369" s="473"/>
      <c r="M3369" s="473"/>
    </row>
    <row r="3370" spans="5:13">
      <c r="E3370" s="473"/>
      <c r="F3370" s="473"/>
      <c r="G3370" s="473"/>
      <c r="H3370" s="481" t="s">
        <v>2786</v>
      </c>
      <c r="I3370" s="473"/>
      <c r="J3370" s="473"/>
      <c r="K3370" s="473"/>
      <c r="L3370" s="473"/>
      <c r="M3370" s="473"/>
    </row>
    <row r="3371" spans="5:13">
      <c r="E3371" s="473"/>
      <c r="F3371" s="473"/>
      <c r="G3371" s="473"/>
      <c r="H3371" s="473"/>
      <c r="I3371" s="473"/>
      <c r="J3371" s="473"/>
      <c r="K3371" s="473"/>
      <c r="L3371" s="473"/>
      <c r="M3371" s="473"/>
    </row>
    <row r="3372" spans="5:13">
      <c r="E3372" s="473"/>
      <c r="F3372" s="473"/>
      <c r="G3372" s="473"/>
      <c r="H3372" s="481" t="s">
        <v>2656</v>
      </c>
      <c r="I3372" s="473"/>
      <c r="J3372" s="473"/>
      <c r="K3372" s="473"/>
      <c r="L3372" s="473"/>
      <c r="M3372" s="473"/>
    </row>
    <row r="3373" spans="5:13">
      <c r="E3373" s="473"/>
      <c r="F3373" s="473"/>
      <c r="G3373" s="473"/>
      <c r="H3373" s="473"/>
      <c r="I3373" s="473"/>
      <c r="J3373" s="473"/>
      <c r="K3373" s="473"/>
      <c r="L3373" s="473"/>
      <c r="M3373" s="473"/>
    </row>
    <row r="3374" spans="5:13" ht="102" customHeight="1">
      <c r="E3374" s="473"/>
      <c r="F3374" s="473"/>
      <c r="G3374" s="473"/>
      <c r="H3374" s="472" t="s">
        <v>2518</v>
      </c>
      <c r="I3374" s="473"/>
      <c r="J3374" s="473"/>
      <c r="K3374" s="473"/>
      <c r="L3374" s="473"/>
      <c r="M3374" s="473"/>
    </row>
    <row r="3375" spans="5:13">
      <c r="E3375" s="473"/>
      <c r="F3375" s="473"/>
      <c r="G3375" s="473"/>
      <c r="H3375" s="473"/>
      <c r="I3375" s="473"/>
      <c r="J3375" s="473"/>
      <c r="K3375" s="473"/>
      <c r="L3375" s="473"/>
      <c r="M3375" s="473"/>
    </row>
    <row r="3376" spans="5:13">
      <c r="E3376" s="473"/>
      <c r="F3376" s="473">
        <v>1</v>
      </c>
      <c r="G3376" s="473" t="s">
        <v>1454</v>
      </c>
      <c r="H3376" s="473" t="s">
        <v>3375</v>
      </c>
      <c r="I3376" s="473">
        <f>I3345</f>
        <v>330</v>
      </c>
      <c r="J3376" s="473" t="s">
        <v>1454</v>
      </c>
      <c r="K3376" s="473">
        <f>F3376*I3376</f>
        <v>330</v>
      </c>
      <c r="L3376" s="473"/>
      <c r="M3376" s="473"/>
    </row>
    <row r="3377" spans="5:13" ht="47.25">
      <c r="E3377" s="473"/>
      <c r="F3377" s="473"/>
      <c r="G3377" s="473"/>
      <c r="H3377" s="472" t="s">
        <v>3376</v>
      </c>
      <c r="I3377" s="473"/>
      <c r="J3377" s="473"/>
      <c r="K3377" s="473">
        <v>33.549999999999997</v>
      </c>
      <c r="L3377" s="473"/>
      <c r="M3377" s="473"/>
    </row>
    <row r="3378" spans="5:13">
      <c r="E3378" s="473"/>
      <c r="F3378" s="473"/>
      <c r="G3378" s="473"/>
      <c r="H3378" s="473" t="s">
        <v>931</v>
      </c>
      <c r="I3378" s="473"/>
      <c r="J3378" s="473"/>
      <c r="K3378" s="473">
        <f>K3356</f>
        <v>162.44999999999999</v>
      </c>
      <c r="L3378" s="473"/>
      <c r="M3378" s="473"/>
    </row>
    <row r="3379" spans="5:13">
      <c r="E3379" s="473"/>
      <c r="F3379" s="473"/>
      <c r="G3379" s="473"/>
      <c r="H3379" s="480" t="s">
        <v>1100</v>
      </c>
      <c r="I3379" s="473"/>
      <c r="J3379" s="473"/>
      <c r="K3379" s="481">
        <f>SUM(K3376:K3378)</f>
        <v>526</v>
      </c>
      <c r="L3379" s="473"/>
      <c r="M3379" s="473"/>
    </row>
    <row r="3380" spans="5:13">
      <c r="E3380" s="473"/>
      <c r="F3380" s="473"/>
      <c r="G3380" s="473"/>
      <c r="H3380" s="473"/>
      <c r="I3380" s="473"/>
      <c r="J3380" s="473"/>
      <c r="K3380" s="473"/>
      <c r="L3380" s="473"/>
      <c r="M3380" s="473"/>
    </row>
    <row r="3381" spans="5:13">
      <c r="E3381" s="473"/>
      <c r="F3381" s="473"/>
      <c r="G3381" s="473"/>
      <c r="H3381" s="481" t="s">
        <v>2519</v>
      </c>
      <c r="I3381" s="473"/>
      <c r="J3381" s="473"/>
      <c r="K3381" s="473"/>
      <c r="L3381" s="473"/>
      <c r="M3381" s="473"/>
    </row>
    <row r="3382" spans="5:13">
      <c r="E3382" s="473"/>
      <c r="F3382" s="473"/>
      <c r="G3382" s="473"/>
      <c r="H3382" s="481" t="s">
        <v>2520</v>
      </c>
      <c r="I3382" s="473"/>
      <c r="J3382" s="473"/>
      <c r="K3382" s="473"/>
      <c r="L3382" s="473"/>
      <c r="M3382" s="473"/>
    </row>
    <row r="3383" spans="5:13">
      <c r="E3383" s="473"/>
      <c r="F3383" s="473"/>
      <c r="G3383" s="473"/>
      <c r="H3383" s="473"/>
      <c r="I3383" s="473"/>
      <c r="J3383" s="473"/>
      <c r="K3383" s="473"/>
      <c r="L3383" s="473"/>
      <c r="M3383" s="473"/>
    </row>
    <row r="3384" spans="5:13" ht="39" customHeight="1">
      <c r="E3384" s="473"/>
      <c r="F3384" s="473">
        <v>1</v>
      </c>
      <c r="G3384" s="473" t="s">
        <v>1454</v>
      </c>
      <c r="H3384" s="472" t="s">
        <v>2521</v>
      </c>
      <c r="I3384" s="474">
        <v>1740</v>
      </c>
      <c r="J3384" s="473" t="s">
        <v>1454</v>
      </c>
      <c r="K3384" s="481">
        <f>F3384*I3384</f>
        <v>1740</v>
      </c>
      <c r="L3384" s="473"/>
      <c r="M3384" s="473"/>
    </row>
    <row r="3385" spans="5:13">
      <c r="E3385" s="473"/>
      <c r="F3385" s="473"/>
      <c r="G3385" s="473"/>
      <c r="H3385" s="473"/>
      <c r="I3385" s="473"/>
      <c r="J3385" s="473"/>
      <c r="K3385" s="473"/>
      <c r="L3385" s="473"/>
      <c r="M3385" s="473"/>
    </row>
    <row r="3386" spans="5:13">
      <c r="E3386" s="473"/>
      <c r="F3386" s="473"/>
      <c r="G3386" s="473"/>
      <c r="H3386" s="481" t="s">
        <v>2522</v>
      </c>
      <c r="I3386" s="473"/>
      <c r="J3386" s="473"/>
      <c r="K3386" s="473"/>
      <c r="L3386" s="473"/>
      <c r="M3386" s="473"/>
    </row>
    <row r="3387" spans="5:13">
      <c r="E3387" s="473"/>
      <c r="F3387" s="473"/>
      <c r="G3387" s="473"/>
      <c r="H3387" s="481" t="s">
        <v>2507</v>
      </c>
      <c r="I3387" s="473"/>
      <c r="J3387" s="473"/>
      <c r="K3387" s="473"/>
      <c r="L3387" s="473"/>
      <c r="M3387" s="473"/>
    </row>
    <row r="3388" spans="5:13">
      <c r="E3388" s="473"/>
      <c r="F3388" s="473"/>
      <c r="G3388" s="473"/>
      <c r="H3388" s="473"/>
      <c r="I3388" s="473"/>
      <c r="J3388" s="473"/>
      <c r="K3388" s="473"/>
      <c r="L3388" s="473"/>
      <c r="M3388" s="473"/>
    </row>
    <row r="3389" spans="5:13" ht="36.75" customHeight="1">
      <c r="E3389" s="473"/>
      <c r="F3389" s="473">
        <v>1</v>
      </c>
      <c r="G3389" s="473" t="s">
        <v>1454</v>
      </c>
      <c r="H3389" s="472" t="s">
        <v>2993</v>
      </c>
      <c r="I3389" s="474">
        <v>2140</v>
      </c>
      <c r="J3389" s="473" t="s">
        <v>1454</v>
      </c>
      <c r="K3389" s="493">
        <f>F3389*I3389</f>
        <v>2140</v>
      </c>
      <c r="L3389" s="473"/>
      <c r="M3389" s="473"/>
    </row>
    <row r="3390" spans="5:13">
      <c r="E3390" s="473"/>
      <c r="F3390" s="473"/>
      <c r="G3390" s="473"/>
      <c r="H3390" s="473"/>
      <c r="I3390" s="473"/>
      <c r="J3390" s="473"/>
      <c r="K3390" s="473"/>
      <c r="L3390" s="473"/>
      <c r="M3390" s="473"/>
    </row>
    <row r="3391" spans="5:13">
      <c r="E3391" s="473"/>
      <c r="F3391" s="473"/>
      <c r="G3391" s="473"/>
      <c r="H3391" s="481" t="s">
        <v>2508</v>
      </c>
      <c r="I3391" s="473"/>
      <c r="J3391" s="473"/>
      <c r="K3391" s="473"/>
      <c r="L3391" s="473"/>
      <c r="M3391" s="473"/>
    </row>
    <row r="3392" spans="5:13">
      <c r="E3392" s="473"/>
      <c r="F3392" s="473"/>
      <c r="G3392" s="473"/>
      <c r="H3392" s="481" t="s">
        <v>2509</v>
      </c>
      <c r="I3392" s="473"/>
      <c r="J3392" s="473"/>
      <c r="K3392" s="473"/>
      <c r="L3392" s="473"/>
      <c r="M3392" s="473"/>
    </row>
    <row r="3393" spans="5:14">
      <c r="E3393" s="473"/>
      <c r="F3393" s="473"/>
      <c r="G3393" s="473"/>
      <c r="H3393" s="479" t="s">
        <v>2510</v>
      </c>
      <c r="I3393" s="473"/>
      <c r="J3393" s="473"/>
      <c r="K3393" s="473"/>
      <c r="L3393" s="473"/>
      <c r="M3393" s="473"/>
    </row>
    <row r="3394" spans="5:14">
      <c r="E3394" s="473"/>
      <c r="F3394" s="473"/>
      <c r="G3394" s="473"/>
      <c r="H3394" s="473"/>
      <c r="I3394" s="473"/>
      <c r="J3394" s="473"/>
      <c r="K3394" s="473"/>
      <c r="L3394" s="473"/>
      <c r="M3394" s="473"/>
    </row>
    <row r="3395" spans="5:14" ht="78.75">
      <c r="E3395" s="473"/>
      <c r="F3395" s="473"/>
      <c r="G3395" s="473"/>
      <c r="H3395" s="472" t="s">
        <v>2836</v>
      </c>
      <c r="I3395" s="473"/>
      <c r="J3395" s="473"/>
      <c r="K3395" s="473"/>
      <c r="L3395" s="472" t="s">
        <v>3668</v>
      </c>
      <c r="M3395" s="472" t="s">
        <v>3669</v>
      </c>
    </row>
    <row r="3396" spans="5:14">
      <c r="E3396" s="473"/>
      <c r="F3396" s="473">
        <v>1</v>
      </c>
      <c r="G3396" s="473" t="s">
        <v>1454</v>
      </c>
      <c r="H3396" s="473" t="s">
        <v>2837</v>
      </c>
      <c r="I3396" s="474">
        <v>97.5</v>
      </c>
      <c r="J3396" s="473" t="s">
        <v>1454</v>
      </c>
      <c r="K3396" s="473">
        <f>F3396*I3396</f>
        <v>97.5</v>
      </c>
      <c r="L3396" s="473">
        <v>199</v>
      </c>
      <c r="M3396" s="473">
        <v>50</v>
      </c>
      <c r="N3396" s="473">
        <v>357</v>
      </c>
    </row>
    <row r="3397" spans="5:14">
      <c r="E3397" s="473"/>
      <c r="F3397" s="473">
        <v>1</v>
      </c>
      <c r="G3397" s="473" t="s">
        <v>1454</v>
      </c>
      <c r="H3397" s="473" t="s">
        <v>2838</v>
      </c>
      <c r="I3397" s="473">
        <f>K3402</f>
        <v>24.44</v>
      </c>
      <c r="J3397" s="473" t="s">
        <v>1454</v>
      </c>
      <c r="K3397" s="473">
        <f>F3397*I3397</f>
        <v>24.44</v>
      </c>
      <c r="L3397" s="473">
        <f t="shared" ref="L3397:M3399" si="105">K3397</f>
        <v>24.44</v>
      </c>
      <c r="M3397" s="473">
        <f t="shared" si="105"/>
        <v>24.44</v>
      </c>
      <c r="N3397" s="473">
        <f>M3397</f>
        <v>24.44</v>
      </c>
    </row>
    <row r="3398" spans="5:14">
      <c r="E3398" s="473"/>
      <c r="F3398" s="473"/>
      <c r="G3398" s="473"/>
      <c r="H3398" s="473" t="s">
        <v>931</v>
      </c>
      <c r="I3398" s="473"/>
      <c r="J3398" s="473"/>
      <c r="K3398" s="473">
        <f>K3409</f>
        <v>161.88</v>
      </c>
      <c r="L3398" s="473">
        <f t="shared" si="105"/>
        <v>161.88</v>
      </c>
      <c r="M3398" s="473">
        <f t="shared" si="105"/>
        <v>161.88</v>
      </c>
      <c r="N3398" s="473">
        <f>M3398</f>
        <v>161.88</v>
      </c>
    </row>
    <row r="3399" spans="5:14">
      <c r="E3399" s="473"/>
      <c r="F3399" s="473"/>
      <c r="G3399" s="473"/>
      <c r="H3399" s="473" t="s">
        <v>2839</v>
      </c>
      <c r="I3399" s="473" t="s">
        <v>667</v>
      </c>
      <c r="J3399" s="473"/>
      <c r="K3399" s="473">
        <v>3.18</v>
      </c>
      <c r="L3399" s="473">
        <f t="shared" si="105"/>
        <v>3.18</v>
      </c>
      <c r="M3399" s="473">
        <f t="shared" si="105"/>
        <v>3.18</v>
      </c>
      <c r="N3399" s="473">
        <f>M3399</f>
        <v>3.18</v>
      </c>
    </row>
    <row r="3400" spans="5:14">
      <c r="E3400" s="473"/>
      <c r="F3400" s="473"/>
      <c r="G3400" s="473"/>
      <c r="H3400" s="480" t="s">
        <v>1100</v>
      </c>
      <c r="I3400" s="473"/>
      <c r="J3400" s="473"/>
      <c r="K3400" s="481">
        <f>SUM(K3396:K3399)</f>
        <v>287</v>
      </c>
      <c r="L3400" s="481">
        <f>SUM(L3396:L3399)</f>
        <v>388.5</v>
      </c>
      <c r="M3400" s="481">
        <f>SUM(M3396:M3399)</f>
        <v>239.5</v>
      </c>
      <c r="N3400" s="481">
        <f>SUM(N3396:N3399)</f>
        <v>546.5</v>
      </c>
    </row>
    <row r="3401" spans="5:14">
      <c r="E3401" s="473"/>
      <c r="F3401" s="473"/>
      <c r="G3401" s="473"/>
      <c r="H3401" s="473"/>
      <c r="I3401" s="473"/>
      <c r="J3401" s="473"/>
      <c r="K3401" s="473"/>
      <c r="L3401" s="473"/>
      <c r="M3401" s="473"/>
    </row>
    <row r="3402" spans="5:14">
      <c r="E3402" s="473"/>
      <c r="F3402" s="473"/>
      <c r="G3402" s="473"/>
      <c r="H3402" s="481" t="s">
        <v>2840</v>
      </c>
      <c r="I3402" s="473">
        <f>I3368</f>
        <v>81467</v>
      </c>
      <c r="J3402" s="487">
        <v>2.9999999999999997E-4</v>
      </c>
      <c r="K3402" s="481">
        <f>I3402*J3402</f>
        <v>24.44</v>
      </c>
      <c r="L3402" s="473"/>
      <c r="M3402" s="473"/>
    </row>
    <row r="3403" spans="5:14">
      <c r="E3403" s="473"/>
      <c r="F3403" s="473"/>
      <c r="G3403" s="473"/>
      <c r="H3403" s="473"/>
      <c r="I3403" s="473"/>
      <c r="J3403" s="473"/>
      <c r="K3403" s="473"/>
      <c r="L3403" s="473"/>
      <c r="M3403" s="473"/>
    </row>
    <row r="3404" spans="5:14">
      <c r="E3404" s="473"/>
      <c r="F3404" s="473"/>
      <c r="G3404" s="473"/>
      <c r="H3404" s="479" t="s">
        <v>144</v>
      </c>
      <c r="I3404" s="473"/>
      <c r="J3404" s="473"/>
      <c r="K3404" s="473"/>
      <c r="L3404" s="473"/>
      <c r="M3404" s="473"/>
    </row>
    <row r="3405" spans="5:14">
      <c r="E3405" s="473"/>
      <c r="F3405" s="473">
        <v>1</v>
      </c>
      <c r="G3405" s="473" t="s">
        <v>1454</v>
      </c>
      <c r="H3405" s="473" t="s">
        <v>2901</v>
      </c>
      <c r="I3405" s="473">
        <f>I3351</f>
        <v>317</v>
      </c>
      <c r="J3405" s="473" t="s">
        <v>1454</v>
      </c>
      <c r="K3405" s="473">
        <f>F3405*I3405</f>
        <v>317</v>
      </c>
      <c r="L3405" s="473"/>
      <c r="M3405" s="473"/>
    </row>
    <row r="3406" spans="5:14">
      <c r="E3406" s="473"/>
      <c r="F3406" s="473">
        <v>1</v>
      </c>
      <c r="G3406" s="473" t="s">
        <v>1454</v>
      </c>
      <c r="H3406" s="473" t="s">
        <v>2711</v>
      </c>
      <c r="I3406" s="473">
        <f>I3352</f>
        <v>300</v>
      </c>
      <c r="J3406" s="473" t="s">
        <v>1454</v>
      </c>
      <c r="K3406" s="473">
        <f>F3406*I3406</f>
        <v>300</v>
      </c>
      <c r="L3406" s="473"/>
      <c r="M3406" s="473"/>
    </row>
    <row r="3407" spans="5:14">
      <c r="E3407" s="473"/>
      <c r="F3407" s="473">
        <v>3</v>
      </c>
      <c r="G3407" s="473" t="s">
        <v>1454</v>
      </c>
      <c r="H3407" s="473" t="s">
        <v>2430</v>
      </c>
      <c r="I3407" s="473">
        <f>I3353</f>
        <v>226</v>
      </c>
      <c r="J3407" s="473" t="s">
        <v>1454</v>
      </c>
      <c r="K3407" s="473">
        <f>F3407*I3407</f>
        <v>678</v>
      </c>
      <c r="L3407" s="473"/>
      <c r="M3407" s="473"/>
    </row>
    <row r="3408" spans="5:14">
      <c r="E3408" s="473"/>
      <c r="F3408" s="473"/>
      <c r="G3408" s="473"/>
      <c r="H3408" s="478" t="s">
        <v>2788</v>
      </c>
      <c r="I3408" s="473"/>
      <c r="J3408" s="473"/>
      <c r="K3408" s="473">
        <f>SUM(K3405:K3407)</f>
        <v>1295</v>
      </c>
      <c r="L3408" s="473"/>
      <c r="M3408" s="473"/>
    </row>
    <row r="3409" spans="5:13">
      <c r="E3409" s="473"/>
      <c r="F3409" s="473"/>
      <c r="G3409" s="473"/>
      <c r="H3409" s="480" t="s">
        <v>2929</v>
      </c>
      <c r="I3409" s="473"/>
      <c r="J3409" s="473"/>
      <c r="K3409" s="481">
        <f>K3408/8</f>
        <v>161.88</v>
      </c>
      <c r="L3409" s="473"/>
      <c r="M3409" s="473"/>
    </row>
    <row r="3410" spans="5:13">
      <c r="E3410" s="473"/>
      <c r="F3410" s="473"/>
      <c r="G3410" s="473"/>
      <c r="H3410" s="473"/>
      <c r="I3410" s="473"/>
      <c r="J3410" s="473"/>
      <c r="K3410" s="473"/>
      <c r="L3410" s="473"/>
      <c r="M3410" s="473"/>
    </row>
    <row r="3411" spans="5:13">
      <c r="E3411" s="473"/>
      <c r="F3411" s="473"/>
      <c r="G3411" s="473"/>
      <c r="H3411" s="481" t="s">
        <v>2789</v>
      </c>
      <c r="I3411" s="473"/>
      <c r="J3411" s="473"/>
      <c r="K3411" s="473"/>
      <c r="L3411" s="473"/>
      <c r="M3411" s="473"/>
    </row>
    <row r="3412" spans="5:13">
      <c r="E3412" s="473"/>
      <c r="F3412" s="473"/>
      <c r="G3412" s="473"/>
      <c r="H3412" s="481" t="s">
        <v>2790</v>
      </c>
      <c r="I3412" s="473"/>
      <c r="J3412" s="473"/>
      <c r="K3412" s="473"/>
      <c r="L3412" s="473"/>
      <c r="M3412" s="473"/>
    </row>
    <row r="3413" spans="5:13">
      <c r="E3413" s="473"/>
      <c r="F3413" s="473"/>
      <c r="G3413" s="473"/>
      <c r="H3413" s="473"/>
      <c r="I3413" s="473"/>
      <c r="J3413" s="473"/>
      <c r="K3413" s="473"/>
      <c r="L3413" s="473"/>
      <c r="M3413" s="473"/>
    </row>
    <row r="3414" spans="5:13" ht="78.75">
      <c r="E3414" s="473"/>
      <c r="F3414" s="473"/>
      <c r="G3414" s="473"/>
      <c r="H3414" s="472" t="s">
        <v>2796</v>
      </c>
      <c r="I3414" s="473"/>
      <c r="J3414" s="473"/>
      <c r="K3414" s="473"/>
      <c r="L3414" s="473"/>
      <c r="M3414" s="473"/>
    </row>
    <row r="3415" spans="5:13">
      <c r="E3415" s="473"/>
      <c r="F3415" s="473">
        <v>3</v>
      </c>
      <c r="G3415" s="473" t="s">
        <v>1454</v>
      </c>
      <c r="H3415" s="473" t="s">
        <v>2837</v>
      </c>
      <c r="I3415" s="623">
        <f>I3396</f>
        <v>97.5</v>
      </c>
      <c r="J3415" s="473" t="s">
        <v>1458</v>
      </c>
      <c r="K3415" s="473">
        <f>F3415*I3415</f>
        <v>292.5</v>
      </c>
      <c r="L3415" s="473">
        <f>L3396*3</f>
        <v>597</v>
      </c>
      <c r="M3415" s="473"/>
    </row>
    <row r="3416" spans="5:13">
      <c r="E3416" s="473"/>
      <c r="F3416" s="473">
        <v>1</v>
      </c>
      <c r="G3416" s="473" t="s">
        <v>1454</v>
      </c>
      <c r="H3416" s="473" t="s">
        <v>3367</v>
      </c>
      <c r="I3416" s="473">
        <f>K3421</f>
        <v>48.88</v>
      </c>
      <c r="J3416" s="473" t="s">
        <v>1454</v>
      </c>
      <c r="K3416" s="473">
        <f>F3416*I3416</f>
        <v>48.88</v>
      </c>
      <c r="L3416" s="473">
        <f>K3416</f>
        <v>48.88</v>
      </c>
      <c r="M3416" s="473"/>
    </row>
    <row r="3417" spans="5:13">
      <c r="E3417" s="473"/>
      <c r="F3417" s="473"/>
      <c r="G3417" s="473"/>
      <c r="H3417" s="473" t="s">
        <v>931</v>
      </c>
      <c r="I3417" s="473"/>
      <c r="J3417" s="473"/>
      <c r="K3417" s="473">
        <f>K3428</f>
        <v>190.13</v>
      </c>
      <c r="L3417" s="473">
        <f>K3417</f>
        <v>190.13</v>
      </c>
      <c r="M3417" s="473"/>
    </row>
    <row r="3418" spans="5:13">
      <c r="E3418" s="473"/>
      <c r="F3418" s="473"/>
      <c r="G3418" s="473"/>
      <c r="H3418" s="473" t="s">
        <v>2839</v>
      </c>
      <c r="I3418" s="473" t="s">
        <v>667</v>
      </c>
      <c r="J3418" s="473"/>
      <c r="K3418" s="473">
        <v>6.49</v>
      </c>
      <c r="L3418" s="473">
        <v>6.43</v>
      </c>
      <c r="M3418" s="473"/>
    </row>
    <row r="3419" spans="5:13">
      <c r="E3419" s="473"/>
      <c r="F3419" s="473"/>
      <c r="G3419" s="473"/>
      <c r="H3419" s="480" t="s">
        <v>1100</v>
      </c>
      <c r="I3419" s="473"/>
      <c r="J3419" s="473"/>
      <c r="K3419" s="481">
        <f>SUM(K3415:K3418)</f>
        <v>538</v>
      </c>
      <c r="L3419" s="473">
        <f>SUM(L3415:L3418)</f>
        <v>842.44</v>
      </c>
      <c r="M3419" s="473"/>
    </row>
    <row r="3420" spans="5:13">
      <c r="E3420" s="473"/>
      <c r="F3420" s="473"/>
      <c r="G3420" s="473"/>
      <c r="H3420" s="480"/>
      <c r="I3420" s="473"/>
      <c r="J3420" s="473"/>
      <c r="K3420" s="481"/>
      <c r="L3420" s="473"/>
      <c r="M3420" s="473"/>
    </row>
    <row r="3421" spans="5:13">
      <c r="E3421" s="473"/>
      <c r="F3421" s="473"/>
      <c r="G3421" s="473"/>
      <c r="H3421" s="481" t="s">
        <v>3367</v>
      </c>
      <c r="I3421" s="473">
        <f>I3402</f>
        <v>81467</v>
      </c>
      <c r="J3421" s="487">
        <v>5.9999999999999995E-4</v>
      </c>
      <c r="K3421" s="481">
        <f>I3421*J3421</f>
        <v>48.88</v>
      </c>
      <c r="L3421" s="473"/>
      <c r="M3421" s="473"/>
    </row>
    <row r="3422" spans="5:13">
      <c r="E3422" s="473"/>
      <c r="F3422" s="473"/>
      <c r="G3422" s="473"/>
      <c r="H3422" s="480"/>
      <c r="I3422" s="473"/>
      <c r="J3422" s="473"/>
      <c r="K3422" s="473"/>
      <c r="L3422" s="473"/>
      <c r="M3422" s="473"/>
    </row>
    <row r="3423" spans="5:13">
      <c r="E3423" s="473"/>
      <c r="F3423" s="473"/>
      <c r="G3423" s="473"/>
      <c r="H3423" s="479" t="s">
        <v>144</v>
      </c>
      <c r="I3423" s="473"/>
      <c r="J3423" s="473"/>
      <c r="K3423" s="473"/>
      <c r="L3423" s="473"/>
      <c r="M3423" s="473"/>
    </row>
    <row r="3424" spans="5:13">
      <c r="E3424" s="473"/>
      <c r="F3424" s="473">
        <v>1</v>
      </c>
      <c r="G3424" s="473" t="s">
        <v>1454</v>
      </c>
      <c r="H3424" s="473" t="s">
        <v>2901</v>
      </c>
      <c r="I3424" s="473">
        <f>I3405</f>
        <v>317</v>
      </c>
      <c r="J3424" s="473" t="s">
        <v>1454</v>
      </c>
      <c r="K3424" s="473">
        <f>F3424*I3424</f>
        <v>317</v>
      </c>
      <c r="L3424" s="473"/>
      <c r="M3424" s="473"/>
    </row>
    <row r="3425" spans="5:13">
      <c r="E3425" s="473"/>
      <c r="F3425" s="473">
        <v>1</v>
      </c>
      <c r="G3425" s="473" t="s">
        <v>1454</v>
      </c>
      <c r="H3425" s="473" t="s">
        <v>2711</v>
      </c>
      <c r="I3425" s="473">
        <f>I3406</f>
        <v>300</v>
      </c>
      <c r="J3425" s="473" t="s">
        <v>1454</v>
      </c>
      <c r="K3425" s="473">
        <f>F3425*I3425</f>
        <v>300</v>
      </c>
      <c r="L3425" s="473"/>
      <c r="M3425" s="473"/>
    </row>
    <row r="3426" spans="5:13">
      <c r="E3426" s="473"/>
      <c r="F3426" s="473">
        <v>4</v>
      </c>
      <c r="G3426" s="473" t="s">
        <v>1454</v>
      </c>
      <c r="H3426" s="473" t="s">
        <v>2430</v>
      </c>
      <c r="I3426" s="473">
        <f>I3407</f>
        <v>226</v>
      </c>
      <c r="J3426" s="473" t="s">
        <v>1454</v>
      </c>
      <c r="K3426" s="473">
        <f>F3426*I3426</f>
        <v>904</v>
      </c>
      <c r="L3426" s="473"/>
      <c r="M3426" s="473"/>
    </row>
    <row r="3427" spans="5:13">
      <c r="E3427" s="473"/>
      <c r="F3427" s="473"/>
      <c r="G3427" s="473"/>
      <c r="H3427" s="478" t="s">
        <v>2788</v>
      </c>
      <c r="I3427" s="473"/>
      <c r="J3427" s="473"/>
      <c r="K3427" s="473">
        <f>SUM(K3424:K3426)</f>
        <v>1521</v>
      </c>
      <c r="L3427" s="473"/>
      <c r="M3427" s="473"/>
    </row>
    <row r="3428" spans="5:13">
      <c r="E3428" s="473"/>
      <c r="F3428" s="473"/>
      <c r="G3428" s="473"/>
      <c r="H3428" s="480" t="s">
        <v>3042</v>
      </c>
      <c r="I3428" s="473"/>
      <c r="J3428" s="473"/>
      <c r="K3428" s="481">
        <f>K3427/8</f>
        <v>190.13</v>
      </c>
      <c r="L3428" s="473"/>
      <c r="M3428" s="473"/>
    </row>
    <row r="3429" spans="5:13">
      <c r="E3429" s="473"/>
      <c r="F3429" s="473"/>
      <c r="G3429" s="473"/>
      <c r="H3429" s="473"/>
      <c r="I3429" s="473"/>
      <c r="J3429" s="473"/>
      <c r="K3429" s="473"/>
      <c r="L3429" s="473"/>
      <c r="M3429" s="473"/>
    </row>
    <row r="3430" spans="5:13">
      <c r="E3430" s="473"/>
      <c r="F3430" s="473"/>
      <c r="G3430" s="473"/>
      <c r="H3430" s="481" t="s">
        <v>2797</v>
      </c>
      <c r="I3430" s="473"/>
      <c r="J3430" s="473"/>
      <c r="K3430" s="473"/>
      <c r="L3430" s="473"/>
      <c r="M3430" s="473"/>
    </row>
    <row r="3431" spans="5:13">
      <c r="E3431" s="473"/>
      <c r="F3431" s="473"/>
      <c r="G3431" s="473"/>
      <c r="H3431" s="473"/>
      <c r="I3431" s="473"/>
      <c r="J3431" s="473"/>
      <c r="K3431" s="473"/>
      <c r="L3431" s="473"/>
      <c r="M3431" s="473"/>
    </row>
    <row r="3432" spans="5:13">
      <c r="E3432" s="473"/>
      <c r="F3432" s="473"/>
      <c r="G3432" s="473"/>
      <c r="H3432" s="481" t="s">
        <v>2798</v>
      </c>
      <c r="I3432" s="473"/>
      <c r="J3432" s="473"/>
      <c r="K3432" s="473"/>
      <c r="L3432" s="473"/>
      <c r="M3432" s="473"/>
    </row>
    <row r="3433" spans="5:13">
      <c r="E3433" s="473"/>
      <c r="F3433" s="473"/>
      <c r="G3433" s="473"/>
      <c r="H3433" s="473"/>
      <c r="I3433" s="473"/>
      <c r="J3433" s="473"/>
      <c r="K3433" s="473"/>
      <c r="L3433" s="473"/>
      <c r="M3433" s="473"/>
    </row>
    <row r="3434" spans="5:13" ht="94.5">
      <c r="E3434" s="473"/>
      <c r="F3434" s="473"/>
      <c r="G3434" s="473"/>
      <c r="H3434" s="472" t="s">
        <v>2469</v>
      </c>
      <c r="I3434" s="473"/>
      <c r="J3434" s="473"/>
      <c r="K3434" s="473"/>
      <c r="L3434" s="473"/>
      <c r="M3434" s="473"/>
    </row>
    <row r="3435" spans="5:13">
      <c r="E3435" s="473"/>
      <c r="F3435" s="473"/>
      <c r="G3435" s="473"/>
      <c r="H3435" s="473"/>
      <c r="I3435" s="473"/>
      <c r="J3435" s="473"/>
      <c r="K3435" s="473"/>
      <c r="L3435" s="473"/>
      <c r="M3435" s="473"/>
    </row>
    <row r="3436" spans="5:13">
      <c r="E3436" s="473"/>
      <c r="F3436" s="473">
        <v>1</v>
      </c>
      <c r="G3436" s="473" t="s">
        <v>1454</v>
      </c>
      <c r="H3436" s="473" t="s">
        <v>3744</v>
      </c>
      <c r="I3436" s="473">
        <v>46</v>
      </c>
      <c r="J3436" s="473" t="s">
        <v>1454</v>
      </c>
      <c r="K3436" s="473">
        <f>F3436*I3436</f>
        <v>46</v>
      </c>
      <c r="L3436" s="473"/>
      <c r="M3436" s="473"/>
    </row>
    <row r="3437" spans="5:13">
      <c r="E3437" s="473"/>
      <c r="F3437" s="473">
        <v>1</v>
      </c>
      <c r="G3437" s="473" t="s">
        <v>1454</v>
      </c>
      <c r="H3437" s="472" t="s">
        <v>2471</v>
      </c>
      <c r="I3437" s="473">
        <f>K3443</f>
        <v>183.3</v>
      </c>
      <c r="J3437" s="473" t="s">
        <v>1454</v>
      </c>
      <c r="K3437" s="473">
        <f>F3437*I3437</f>
        <v>183.3</v>
      </c>
      <c r="L3437" s="473"/>
      <c r="M3437" s="473"/>
    </row>
    <row r="3438" spans="5:13">
      <c r="E3438" s="473"/>
      <c r="F3438" s="473">
        <v>1</v>
      </c>
      <c r="G3438" s="473" t="s">
        <v>1454</v>
      </c>
      <c r="H3438" s="473" t="s">
        <v>2472</v>
      </c>
      <c r="I3438" s="473">
        <v>25</v>
      </c>
      <c r="J3438" s="473" t="s">
        <v>2473</v>
      </c>
      <c r="K3438" s="473">
        <f>F3438*I3438</f>
        <v>25</v>
      </c>
      <c r="L3438" s="473"/>
      <c r="M3438" s="473"/>
    </row>
    <row r="3439" spans="5:13">
      <c r="E3439" s="473"/>
      <c r="F3439" s="473"/>
      <c r="G3439" s="473"/>
      <c r="H3439" s="473" t="s">
        <v>144</v>
      </c>
      <c r="I3439" s="473"/>
      <c r="J3439" s="473"/>
      <c r="K3439" s="473">
        <f>K3449</f>
        <v>192.25</v>
      </c>
      <c r="L3439" s="473"/>
      <c r="M3439" s="473"/>
    </row>
    <row r="3440" spans="5:13">
      <c r="E3440" s="473"/>
      <c r="F3440" s="473"/>
      <c r="G3440" s="473"/>
      <c r="H3440" s="473" t="s">
        <v>2474</v>
      </c>
      <c r="I3440" s="473"/>
      <c r="J3440" s="473"/>
      <c r="K3440" s="473">
        <v>5.45</v>
      </c>
      <c r="L3440" s="473"/>
      <c r="M3440" s="473"/>
    </row>
    <row r="3441" spans="5:13">
      <c r="E3441" s="473"/>
      <c r="F3441" s="473"/>
      <c r="G3441" s="473"/>
      <c r="H3441" s="480" t="s">
        <v>2475</v>
      </c>
      <c r="I3441" s="473"/>
      <c r="J3441" s="473"/>
      <c r="K3441" s="481">
        <f>SUM(K3436:K3440)</f>
        <v>452</v>
      </c>
      <c r="L3441" s="473"/>
      <c r="M3441" s="473"/>
    </row>
    <row r="3442" spans="5:13">
      <c r="E3442" s="473"/>
      <c r="F3442" s="473"/>
      <c r="G3442" s="473"/>
      <c r="H3442" s="473"/>
      <c r="I3442" s="473"/>
      <c r="J3442" s="473"/>
      <c r="K3442" s="473"/>
      <c r="L3442" s="473"/>
      <c r="M3442" s="473"/>
    </row>
    <row r="3443" spans="5:13">
      <c r="E3443" s="473"/>
      <c r="F3443" s="473"/>
      <c r="G3443" s="473"/>
      <c r="H3443" s="481" t="s">
        <v>2476</v>
      </c>
      <c r="I3443" s="473">
        <f>I3421</f>
        <v>81467</v>
      </c>
      <c r="J3443" s="494">
        <v>2.2499999999999998E-3</v>
      </c>
      <c r="K3443" s="473">
        <f>I3443*J3443</f>
        <v>183.3</v>
      </c>
      <c r="L3443" s="473"/>
      <c r="M3443" s="473"/>
    </row>
    <row r="3444" spans="5:13">
      <c r="E3444" s="473"/>
      <c r="F3444" s="473"/>
      <c r="G3444" s="473"/>
      <c r="H3444" s="473"/>
      <c r="I3444" s="473"/>
      <c r="J3444" s="473"/>
      <c r="K3444" s="473"/>
      <c r="L3444" s="473"/>
      <c r="M3444" s="473"/>
    </row>
    <row r="3445" spans="5:13">
      <c r="E3445" s="473"/>
      <c r="F3445" s="473"/>
      <c r="G3445" s="473"/>
      <c r="H3445" s="473" t="s">
        <v>931</v>
      </c>
      <c r="I3445" s="473"/>
      <c r="J3445" s="473"/>
      <c r="K3445" s="473"/>
      <c r="L3445" s="473"/>
      <c r="M3445" s="473"/>
    </row>
    <row r="3446" spans="5:13">
      <c r="E3446" s="473"/>
      <c r="F3446" s="473">
        <v>1</v>
      </c>
      <c r="G3446" s="473" t="s">
        <v>1454</v>
      </c>
      <c r="H3446" s="473" t="s">
        <v>2901</v>
      </c>
      <c r="I3446" s="246">
        <f>I3424</f>
        <v>317</v>
      </c>
      <c r="J3446" s="473" t="s">
        <v>1454</v>
      </c>
      <c r="K3446" s="473">
        <f>F3446*I3446</f>
        <v>317</v>
      </c>
      <c r="L3446" s="473"/>
      <c r="M3446" s="473"/>
    </row>
    <row r="3447" spans="5:13">
      <c r="E3447" s="473"/>
      <c r="F3447" s="473">
        <v>2</v>
      </c>
      <c r="G3447" s="473" t="s">
        <v>1454</v>
      </c>
      <c r="H3447" s="473" t="s">
        <v>2712</v>
      </c>
      <c r="I3447" s="246">
        <f>I3426</f>
        <v>226</v>
      </c>
      <c r="J3447" s="473" t="s">
        <v>1454</v>
      </c>
      <c r="K3447" s="473">
        <f>F3447*I3447</f>
        <v>452</v>
      </c>
      <c r="L3447" s="473"/>
      <c r="M3447" s="473"/>
    </row>
    <row r="3448" spans="5:13">
      <c r="E3448" s="473"/>
      <c r="F3448" s="473"/>
      <c r="G3448" s="473"/>
      <c r="H3448" s="478" t="s">
        <v>2902</v>
      </c>
      <c r="I3448" s="473"/>
      <c r="J3448" s="473"/>
      <c r="K3448" s="473">
        <f>SUM(K3446:K3447)</f>
        <v>769</v>
      </c>
      <c r="L3448" s="473"/>
      <c r="M3448" s="473"/>
    </row>
    <row r="3449" spans="5:13">
      <c r="E3449" s="473"/>
      <c r="F3449" s="473"/>
      <c r="G3449" s="473"/>
      <c r="H3449" s="480" t="s">
        <v>2929</v>
      </c>
      <c r="I3449" s="473"/>
      <c r="J3449" s="473"/>
      <c r="K3449" s="481">
        <f>K3448/4</f>
        <v>192.25</v>
      </c>
      <c r="L3449" s="473"/>
      <c r="M3449" s="473"/>
    </row>
    <row r="3450" spans="5:13">
      <c r="E3450" s="473"/>
      <c r="F3450" s="473"/>
      <c r="G3450" s="473"/>
      <c r="H3450" s="473"/>
      <c r="I3450" s="473"/>
      <c r="J3450" s="473"/>
      <c r="K3450" s="473"/>
      <c r="L3450" s="473"/>
      <c r="M3450" s="473"/>
    </row>
    <row r="3451" spans="5:13">
      <c r="E3451" s="473"/>
      <c r="F3451" s="473"/>
      <c r="G3451" s="473"/>
      <c r="H3451" s="481" t="s">
        <v>2477</v>
      </c>
      <c r="I3451" s="473"/>
      <c r="J3451" s="473"/>
      <c r="K3451" s="473"/>
      <c r="L3451" s="473"/>
      <c r="M3451" s="473"/>
    </row>
    <row r="3452" spans="5:13">
      <c r="E3452" s="473"/>
      <c r="F3452" s="473"/>
      <c r="G3452" s="473"/>
      <c r="H3452" s="481" t="s">
        <v>2478</v>
      </c>
      <c r="I3452" s="473"/>
      <c r="J3452" s="473"/>
      <c r="K3452" s="473"/>
      <c r="L3452" s="473"/>
      <c r="M3452" s="473"/>
    </row>
    <row r="3453" spans="5:13">
      <c r="E3453" s="473"/>
      <c r="F3453" s="473"/>
      <c r="G3453" s="473"/>
      <c r="H3453" s="473" t="s">
        <v>995</v>
      </c>
      <c r="I3453" s="473"/>
      <c r="J3453" s="473"/>
      <c r="K3453" s="473"/>
      <c r="L3453" s="473"/>
      <c r="M3453" s="473"/>
    </row>
    <row r="3454" spans="5:13">
      <c r="E3454" s="473"/>
      <c r="F3454" s="473">
        <v>1</v>
      </c>
      <c r="G3454" s="473" t="s">
        <v>1454</v>
      </c>
      <c r="H3454" s="473" t="s">
        <v>2615</v>
      </c>
      <c r="I3454" s="623">
        <v>1740</v>
      </c>
      <c r="J3454" s="473" t="s">
        <v>1454</v>
      </c>
      <c r="K3454" s="473">
        <f>F3454*I3454</f>
        <v>1740</v>
      </c>
      <c r="L3454" s="473"/>
      <c r="M3454" s="473"/>
    </row>
    <row r="3455" spans="5:13">
      <c r="E3455" s="473"/>
      <c r="F3455" s="473">
        <v>3</v>
      </c>
      <c r="G3455" s="473" t="s">
        <v>1454</v>
      </c>
      <c r="H3455" s="473" t="s">
        <v>2616</v>
      </c>
      <c r="I3455" s="475">
        <v>148</v>
      </c>
      <c r="J3455" s="473" t="s">
        <v>1454</v>
      </c>
      <c r="K3455" s="473">
        <f>F3455*I3455</f>
        <v>444</v>
      </c>
      <c r="L3455" s="473"/>
      <c r="M3455" s="473"/>
    </row>
    <row r="3456" spans="5:13">
      <c r="E3456" s="473"/>
      <c r="F3456" s="473"/>
      <c r="G3456" s="473"/>
      <c r="H3456" s="473" t="s">
        <v>2617</v>
      </c>
      <c r="I3456" s="473"/>
      <c r="J3456" s="473"/>
      <c r="K3456" s="473">
        <f>K3348</f>
        <v>512</v>
      </c>
      <c r="L3456" s="473"/>
      <c r="M3456" s="473"/>
    </row>
    <row r="3457" spans="5:13">
      <c r="E3457" s="473"/>
      <c r="F3457" s="473"/>
      <c r="G3457" s="473"/>
      <c r="H3457" s="473" t="s">
        <v>2359</v>
      </c>
      <c r="I3457" s="473"/>
      <c r="J3457" s="473"/>
      <c r="K3457" s="473">
        <v>0</v>
      </c>
      <c r="L3457" s="473"/>
      <c r="M3457" s="473"/>
    </row>
    <row r="3458" spans="5:13">
      <c r="E3458" s="473"/>
      <c r="F3458" s="473"/>
      <c r="G3458" s="473"/>
      <c r="H3458" s="480" t="s">
        <v>2618</v>
      </c>
      <c r="I3458" s="473"/>
      <c r="J3458" s="473"/>
      <c r="K3458" s="481">
        <f>SUM(K3454:K3457)</f>
        <v>2696</v>
      </c>
      <c r="L3458" s="473"/>
      <c r="M3458" s="473"/>
    </row>
    <row r="3459" spans="5:13">
      <c r="E3459" s="473"/>
      <c r="F3459" s="473"/>
      <c r="G3459" s="473"/>
      <c r="H3459" s="473"/>
      <c r="I3459" s="473"/>
      <c r="J3459" s="473"/>
      <c r="K3459" s="473"/>
      <c r="L3459" s="473"/>
      <c r="M3459" s="473"/>
    </row>
    <row r="3460" spans="5:13">
      <c r="E3460" s="473"/>
      <c r="F3460" s="473"/>
      <c r="G3460" s="473"/>
      <c r="H3460" s="481" t="s">
        <v>2477</v>
      </c>
      <c r="I3460" s="473"/>
      <c r="J3460" s="473"/>
      <c r="K3460" s="473"/>
      <c r="L3460" s="473"/>
      <c r="M3460" s="473"/>
    </row>
    <row r="3461" spans="5:13">
      <c r="E3461" s="473"/>
      <c r="F3461" s="473"/>
      <c r="G3461" s="473"/>
      <c r="H3461" s="473"/>
      <c r="I3461" s="473"/>
      <c r="J3461" s="473"/>
      <c r="K3461" s="473"/>
      <c r="L3461" s="473"/>
      <c r="M3461" s="473"/>
    </row>
    <row r="3462" spans="5:13">
      <c r="E3462" s="473"/>
      <c r="F3462" s="473"/>
      <c r="G3462" s="473"/>
      <c r="H3462" s="481" t="s">
        <v>2619</v>
      </c>
      <c r="I3462" s="473"/>
      <c r="J3462" s="473"/>
      <c r="K3462" s="473"/>
      <c r="L3462" s="473"/>
      <c r="M3462" s="473"/>
    </row>
    <row r="3463" spans="5:13">
      <c r="E3463" s="473"/>
      <c r="F3463" s="473"/>
      <c r="G3463" s="473"/>
      <c r="H3463" s="473"/>
      <c r="I3463" s="473"/>
      <c r="J3463" s="473"/>
      <c r="K3463" s="473"/>
      <c r="L3463" s="473"/>
      <c r="M3463" s="473"/>
    </row>
    <row r="3464" spans="5:13">
      <c r="E3464" s="473"/>
      <c r="F3464" s="473">
        <v>1</v>
      </c>
      <c r="G3464" s="473" t="s">
        <v>1454</v>
      </c>
      <c r="H3464" s="473" t="s">
        <v>2620</v>
      </c>
      <c r="I3464" s="473">
        <f>K3389</f>
        <v>2140</v>
      </c>
      <c r="J3464" s="473" t="s">
        <v>1454</v>
      </c>
      <c r="K3464" s="473">
        <f>F3464*I3464</f>
        <v>2140</v>
      </c>
      <c r="L3464" s="473"/>
      <c r="M3464" s="473"/>
    </row>
    <row r="3465" spans="5:13">
      <c r="E3465" s="473"/>
      <c r="F3465" s="473">
        <v>3</v>
      </c>
      <c r="G3465" s="473" t="s">
        <v>1454</v>
      </c>
      <c r="H3465" s="473" t="s">
        <v>2616</v>
      </c>
      <c r="I3465" s="473">
        <f>I3455</f>
        <v>148</v>
      </c>
      <c r="J3465" s="473" t="s">
        <v>1454</v>
      </c>
      <c r="K3465" s="473">
        <f>F3465*I3465</f>
        <v>444</v>
      </c>
      <c r="L3465" s="473"/>
      <c r="M3465" s="473"/>
    </row>
    <row r="3466" spans="5:13">
      <c r="E3466" s="473"/>
      <c r="F3466" s="473"/>
      <c r="G3466" s="473"/>
      <c r="H3466" s="473" t="s">
        <v>3007</v>
      </c>
      <c r="I3466" s="473"/>
      <c r="J3466" s="473"/>
      <c r="K3466" s="473">
        <f>K3379</f>
        <v>526</v>
      </c>
      <c r="L3466" s="473"/>
      <c r="M3466" s="473"/>
    </row>
    <row r="3467" spans="5:13">
      <c r="E3467" s="473"/>
      <c r="F3467" s="473"/>
      <c r="G3467" s="473"/>
      <c r="H3467" s="473" t="s">
        <v>2359</v>
      </c>
      <c r="I3467" s="473"/>
      <c r="J3467" s="473"/>
      <c r="K3467" s="473">
        <v>0</v>
      </c>
      <c r="L3467" s="473"/>
      <c r="M3467" s="473"/>
    </row>
    <row r="3468" spans="5:13">
      <c r="E3468" s="473"/>
      <c r="F3468" s="473"/>
      <c r="G3468" s="473"/>
      <c r="H3468" s="480" t="s">
        <v>3008</v>
      </c>
      <c r="I3468" s="473"/>
      <c r="J3468" s="473"/>
      <c r="K3468" s="481">
        <f>SUM(K3464:K3467)</f>
        <v>3110</v>
      </c>
      <c r="L3468" s="473"/>
      <c r="M3468" s="473"/>
    </row>
    <row r="3469" spans="5:13">
      <c r="E3469" s="473"/>
      <c r="F3469" s="473"/>
      <c r="G3469" s="473"/>
      <c r="H3469" s="473"/>
      <c r="I3469" s="473"/>
      <c r="J3469" s="473"/>
      <c r="K3469" s="473"/>
      <c r="L3469" s="473"/>
      <c r="M3469" s="473"/>
    </row>
    <row r="3470" spans="5:13">
      <c r="E3470" s="473"/>
      <c r="F3470" s="473"/>
      <c r="G3470" s="473"/>
      <c r="H3470" s="481" t="s">
        <v>3009</v>
      </c>
      <c r="I3470" s="473"/>
      <c r="J3470" s="473"/>
      <c r="K3470" s="473"/>
      <c r="L3470" s="473"/>
      <c r="M3470" s="473"/>
    </row>
    <row r="3471" spans="5:13">
      <c r="E3471" s="473"/>
      <c r="F3471" s="473"/>
      <c r="G3471" s="473"/>
      <c r="H3471" s="473"/>
      <c r="I3471" s="473"/>
      <c r="J3471" s="473"/>
      <c r="K3471" s="473"/>
      <c r="L3471" s="473"/>
      <c r="M3471" s="473"/>
    </row>
    <row r="3472" spans="5:13">
      <c r="E3472" s="473"/>
      <c r="F3472" s="473"/>
      <c r="G3472" s="473"/>
      <c r="H3472" s="481" t="s">
        <v>3010</v>
      </c>
      <c r="I3472" s="473"/>
      <c r="J3472" s="473"/>
      <c r="K3472" s="473"/>
      <c r="L3472" s="473"/>
      <c r="M3472" s="473"/>
    </row>
    <row r="3473" spans="5:13">
      <c r="E3473" s="473"/>
      <c r="F3473" s="473"/>
      <c r="G3473" s="473"/>
      <c r="H3473" s="473"/>
      <c r="I3473" s="473"/>
      <c r="J3473" s="473"/>
      <c r="K3473" s="473"/>
      <c r="L3473" s="473"/>
      <c r="M3473" s="473"/>
    </row>
    <row r="3474" spans="5:13" ht="94.5">
      <c r="E3474" s="473"/>
      <c r="F3474" s="473"/>
      <c r="G3474" s="473"/>
      <c r="H3474" s="472" t="s">
        <v>3575</v>
      </c>
      <c r="I3474" s="473"/>
      <c r="J3474" s="473"/>
      <c r="K3474" s="473"/>
      <c r="L3474" s="473"/>
      <c r="M3474" s="473"/>
    </row>
    <row r="3475" spans="5:13">
      <c r="E3475" s="473"/>
      <c r="F3475" s="473"/>
      <c r="G3475" s="473"/>
      <c r="H3475" s="473"/>
      <c r="I3475" s="473"/>
      <c r="J3475" s="473"/>
      <c r="K3475" s="473"/>
      <c r="L3475" s="473"/>
      <c r="M3475" s="473"/>
    </row>
    <row r="3476" spans="5:13">
      <c r="E3476" s="473"/>
      <c r="F3476" s="473">
        <v>3</v>
      </c>
      <c r="G3476" s="473" t="s">
        <v>1454</v>
      </c>
      <c r="H3476" s="473" t="s">
        <v>3011</v>
      </c>
      <c r="I3476" s="473">
        <f>I3396</f>
        <v>97.5</v>
      </c>
      <c r="J3476" s="473" t="s">
        <v>1454</v>
      </c>
      <c r="K3476" s="473">
        <f>F3476*I3476</f>
        <v>292.5</v>
      </c>
      <c r="L3476" s="473"/>
      <c r="M3476" s="473"/>
    </row>
    <row r="3477" spans="5:13">
      <c r="E3477" s="473"/>
      <c r="F3477" s="473">
        <v>1</v>
      </c>
      <c r="G3477" s="473" t="s">
        <v>1454</v>
      </c>
      <c r="H3477" s="472" t="s">
        <v>3012</v>
      </c>
      <c r="I3477" s="473">
        <f>K3483</f>
        <v>274.95</v>
      </c>
      <c r="J3477" s="473" t="s">
        <v>1454</v>
      </c>
      <c r="K3477" s="473">
        <f>F3477*I3477</f>
        <v>274.95</v>
      </c>
      <c r="L3477" s="473"/>
      <c r="M3477" s="473"/>
    </row>
    <row r="3478" spans="5:13">
      <c r="E3478" s="473"/>
      <c r="F3478" s="473">
        <v>1</v>
      </c>
      <c r="G3478" s="473" t="s">
        <v>1454</v>
      </c>
      <c r="H3478" s="473" t="s">
        <v>2472</v>
      </c>
      <c r="I3478" s="473">
        <f>I3438</f>
        <v>25</v>
      </c>
      <c r="J3478" s="473" t="s">
        <v>2473</v>
      </c>
      <c r="K3478" s="473">
        <f>F3478*I3478</f>
        <v>25</v>
      </c>
      <c r="L3478" s="473"/>
      <c r="M3478" s="473"/>
    </row>
    <row r="3479" spans="5:13">
      <c r="E3479" s="473"/>
      <c r="F3479" s="473"/>
      <c r="G3479" s="473"/>
      <c r="H3479" s="473" t="s">
        <v>144</v>
      </c>
      <c r="I3479" s="473"/>
      <c r="J3479" s="473"/>
      <c r="K3479" s="473">
        <f>K3489</f>
        <v>256.33</v>
      </c>
      <c r="L3479" s="473"/>
      <c r="M3479" s="473"/>
    </row>
    <row r="3480" spans="5:13">
      <c r="E3480" s="473"/>
      <c r="F3480" s="473"/>
      <c r="G3480" s="473"/>
      <c r="H3480" s="473" t="s">
        <v>2474</v>
      </c>
      <c r="I3480" s="473"/>
      <c r="J3480" s="473"/>
      <c r="K3480" s="473">
        <v>4.22</v>
      </c>
      <c r="L3480" s="473"/>
      <c r="M3480" s="473"/>
    </row>
    <row r="3481" spans="5:13">
      <c r="E3481" s="473"/>
      <c r="F3481" s="473"/>
      <c r="G3481" s="473"/>
      <c r="H3481" s="480" t="s">
        <v>2475</v>
      </c>
      <c r="I3481" s="473"/>
      <c r="J3481" s="473"/>
      <c r="K3481" s="481">
        <f>SUM(K3476:K3480)</f>
        <v>853</v>
      </c>
      <c r="L3481" s="473">
        <f>568-K3481</f>
        <v>-285</v>
      </c>
      <c r="M3481" s="473"/>
    </row>
    <row r="3482" spans="5:13">
      <c r="E3482" s="473"/>
      <c r="F3482" s="473"/>
      <c r="G3482" s="473"/>
      <c r="H3482" s="473"/>
      <c r="I3482" s="473"/>
      <c r="J3482" s="473"/>
      <c r="K3482" s="473"/>
      <c r="L3482" s="473"/>
      <c r="M3482" s="473"/>
    </row>
    <row r="3483" spans="5:13">
      <c r="E3483" s="473"/>
      <c r="F3483" s="473"/>
      <c r="G3483" s="473"/>
      <c r="H3483" s="481" t="s">
        <v>3013</v>
      </c>
      <c r="I3483" s="473">
        <f>I3443</f>
        <v>81467</v>
      </c>
      <c r="J3483" s="494">
        <v>3.375E-3</v>
      </c>
      <c r="K3483" s="473">
        <f>I3483*J3483</f>
        <v>274.95</v>
      </c>
      <c r="L3483" s="473"/>
      <c r="M3483" s="473"/>
    </row>
    <row r="3484" spans="5:13">
      <c r="E3484" s="473"/>
      <c r="F3484" s="473"/>
      <c r="G3484" s="473"/>
      <c r="H3484" s="473"/>
      <c r="I3484" s="473"/>
      <c r="J3484" s="473"/>
      <c r="K3484" s="473"/>
      <c r="L3484" s="473"/>
      <c r="M3484" s="473"/>
    </row>
    <row r="3485" spans="5:13">
      <c r="E3485" s="473"/>
      <c r="F3485" s="473"/>
      <c r="G3485" s="473"/>
      <c r="H3485" s="479" t="s">
        <v>931</v>
      </c>
      <c r="I3485" s="473"/>
      <c r="J3485" s="473"/>
      <c r="K3485" s="473"/>
      <c r="L3485" s="473"/>
      <c r="M3485" s="473"/>
    </row>
    <row r="3486" spans="5:13">
      <c r="E3486" s="473"/>
      <c r="F3486" s="473">
        <v>1</v>
      </c>
      <c r="G3486" s="473" t="s">
        <v>1454</v>
      </c>
      <c r="H3486" s="473" t="s">
        <v>2901</v>
      </c>
      <c r="I3486" s="473">
        <f>I3446</f>
        <v>317</v>
      </c>
      <c r="J3486" s="473" t="s">
        <v>1454</v>
      </c>
      <c r="K3486" s="473">
        <f>F3486*I3486</f>
        <v>317</v>
      </c>
      <c r="L3486" s="473"/>
      <c r="M3486" s="473"/>
    </row>
    <row r="3487" spans="5:13">
      <c r="E3487" s="473"/>
      <c r="F3487" s="473">
        <v>2</v>
      </c>
      <c r="G3487" s="473" t="s">
        <v>1454</v>
      </c>
      <c r="H3487" s="473" t="s">
        <v>2712</v>
      </c>
      <c r="I3487" s="473">
        <f>I3447</f>
        <v>226</v>
      </c>
      <c r="J3487" s="473" t="s">
        <v>1454</v>
      </c>
      <c r="K3487" s="473">
        <f>F3487*I3487</f>
        <v>452</v>
      </c>
      <c r="L3487" s="473"/>
      <c r="M3487" s="473"/>
    </row>
    <row r="3488" spans="5:13">
      <c r="E3488" s="473"/>
      <c r="F3488" s="473"/>
      <c r="G3488" s="473"/>
      <c r="H3488" s="478" t="s">
        <v>3014</v>
      </c>
      <c r="I3488" s="473"/>
      <c r="J3488" s="481"/>
      <c r="K3488" s="482">
        <f>SUM(K3486:K3487)</f>
        <v>769</v>
      </c>
      <c r="L3488" s="473"/>
      <c r="M3488" s="473"/>
    </row>
    <row r="3489" spans="5:18">
      <c r="E3489" s="473"/>
      <c r="F3489" s="473"/>
      <c r="G3489" s="473"/>
      <c r="H3489" s="480" t="s">
        <v>2929</v>
      </c>
      <c r="I3489" s="473"/>
      <c r="J3489" s="481"/>
      <c r="K3489" s="481">
        <f>K3488/3</f>
        <v>256.33</v>
      </c>
      <c r="L3489" s="473"/>
      <c r="M3489" s="473"/>
    </row>
    <row r="3490" spans="5:18">
      <c r="E3490" s="473"/>
      <c r="F3490" s="473"/>
      <c r="G3490" s="473"/>
      <c r="H3490" s="473"/>
      <c r="I3490" s="473"/>
      <c r="J3490" s="473"/>
      <c r="K3490" s="473"/>
      <c r="L3490" s="473"/>
      <c r="M3490" s="473"/>
    </row>
    <row r="3491" spans="5:18">
      <c r="E3491" s="473"/>
      <c r="F3491" s="473"/>
      <c r="G3491" s="473"/>
      <c r="H3491" s="481" t="s">
        <v>3015</v>
      </c>
      <c r="I3491" s="473"/>
      <c r="J3491" s="473"/>
      <c r="K3491" s="473"/>
      <c r="L3491" s="473"/>
      <c r="M3491" s="473"/>
    </row>
    <row r="3492" spans="5:18">
      <c r="E3492" s="473"/>
      <c r="F3492" s="473"/>
      <c r="G3492" s="473"/>
      <c r="H3492" s="473"/>
      <c r="I3492" s="473"/>
      <c r="J3492" s="473"/>
      <c r="K3492" s="473"/>
      <c r="L3492" s="473"/>
      <c r="M3492" s="473"/>
    </row>
    <row r="3493" spans="5:18" ht="61.5" customHeight="1">
      <c r="E3493" s="473"/>
      <c r="F3493" s="473"/>
      <c r="G3493" s="473"/>
      <c r="H3493" s="471" t="s">
        <v>2828</v>
      </c>
      <c r="I3493" s="473"/>
      <c r="J3493" s="473"/>
      <c r="K3493" s="473"/>
      <c r="L3493" s="473"/>
      <c r="M3493" s="473"/>
      <c r="N3493" s="473"/>
      <c r="O3493" s="471" t="s">
        <v>307</v>
      </c>
      <c r="P3493" s="473"/>
      <c r="Q3493" s="473"/>
      <c r="R3493" s="473"/>
    </row>
    <row r="3494" spans="5:18" ht="36" customHeight="1">
      <c r="E3494" s="473"/>
      <c r="F3494" s="473">
        <v>180</v>
      </c>
      <c r="G3494" s="473" t="s">
        <v>840</v>
      </c>
      <c r="H3494" s="472" t="s">
        <v>2829</v>
      </c>
      <c r="I3494" s="474">
        <v>34.6</v>
      </c>
      <c r="J3494" s="473" t="s">
        <v>840</v>
      </c>
      <c r="K3494" s="473">
        <f>F3494*I3494</f>
        <v>6228</v>
      </c>
      <c r="L3494" s="473"/>
      <c r="M3494" s="473">
        <v>180</v>
      </c>
      <c r="N3494" s="473" t="s">
        <v>840</v>
      </c>
      <c r="O3494" s="472" t="s">
        <v>308</v>
      </c>
      <c r="P3494" s="474">
        <f>I3101</f>
        <v>21.8</v>
      </c>
      <c r="Q3494" s="473" t="s">
        <v>840</v>
      </c>
      <c r="R3494" s="473">
        <f>M3494*P3494</f>
        <v>3924</v>
      </c>
    </row>
    <row r="3495" spans="5:18">
      <c r="E3495" s="473"/>
      <c r="F3495" s="473">
        <v>4</v>
      </c>
      <c r="G3495" s="473" t="s">
        <v>1730</v>
      </c>
      <c r="H3495" s="473" t="s">
        <v>3517</v>
      </c>
      <c r="I3495" s="474">
        <v>88</v>
      </c>
      <c r="J3495" s="473" t="s">
        <v>1730</v>
      </c>
      <c r="K3495" s="473">
        <f>F3495*I3495</f>
        <v>352</v>
      </c>
      <c r="L3495" s="473"/>
      <c r="M3495" s="473">
        <v>4</v>
      </c>
      <c r="N3495" s="473" t="s">
        <v>1730</v>
      </c>
      <c r="O3495" s="473" t="s">
        <v>3517</v>
      </c>
      <c r="P3495" s="474">
        <f>I3495</f>
        <v>88</v>
      </c>
      <c r="Q3495" s="473" t="s">
        <v>1730</v>
      </c>
      <c r="R3495" s="473">
        <f>M3495*P3495</f>
        <v>352</v>
      </c>
    </row>
    <row r="3496" spans="5:18">
      <c r="E3496" s="473"/>
      <c r="F3496" s="473">
        <v>180</v>
      </c>
      <c r="G3496" s="473" t="s">
        <v>1458</v>
      </c>
      <c r="H3496" s="473" t="s">
        <v>2830</v>
      </c>
      <c r="I3496" s="474">
        <f>ROUND(6.7/12,2)</f>
        <v>0.56000000000000005</v>
      </c>
      <c r="J3496" s="473" t="s">
        <v>1458</v>
      </c>
      <c r="K3496" s="473">
        <f>F3496*I3496</f>
        <v>100.8</v>
      </c>
      <c r="L3496" s="473"/>
      <c r="M3496" s="473">
        <v>180</v>
      </c>
      <c r="N3496" s="473" t="s">
        <v>1458</v>
      </c>
      <c r="O3496" s="473" t="s">
        <v>2830</v>
      </c>
      <c r="P3496" s="474">
        <f>I3496</f>
        <v>0.56000000000000005</v>
      </c>
      <c r="Q3496" s="473" t="s">
        <v>1458</v>
      </c>
      <c r="R3496" s="473">
        <f>M3496*P3496</f>
        <v>100.8</v>
      </c>
    </row>
    <row r="3497" spans="5:18">
      <c r="E3497" s="473"/>
      <c r="F3497" s="473">
        <v>1</v>
      </c>
      <c r="G3497" s="473" t="s">
        <v>1730</v>
      </c>
      <c r="H3497" s="473" t="s">
        <v>2831</v>
      </c>
      <c r="I3497" s="474">
        <f>I3495</f>
        <v>88</v>
      </c>
      <c r="J3497" s="473" t="s">
        <v>1730</v>
      </c>
      <c r="K3497" s="473">
        <f>F3497*I3497</f>
        <v>88</v>
      </c>
      <c r="L3497" s="473"/>
      <c r="M3497" s="473">
        <v>1</v>
      </c>
      <c r="N3497" s="473" t="s">
        <v>1730</v>
      </c>
      <c r="O3497" s="473" t="s">
        <v>2831</v>
      </c>
      <c r="P3497" s="474">
        <f>I3497</f>
        <v>88</v>
      </c>
      <c r="Q3497" s="473" t="s">
        <v>1730</v>
      </c>
      <c r="R3497" s="473">
        <f>M3497*P3497</f>
        <v>88</v>
      </c>
    </row>
    <row r="3498" spans="5:18">
      <c r="E3498" s="473"/>
      <c r="F3498" s="473"/>
      <c r="G3498" s="473"/>
      <c r="H3498" s="473" t="s">
        <v>931</v>
      </c>
      <c r="I3498" s="473"/>
      <c r="J3498" s="473"/>
      <c r="K3498" s="473">
        <f>K3507</f>
        <v>2258</v>
      </c>
      <c r="L3498" s="473"/>
      <c r="M3498" s="473"/>
      <c r="N3498" s="473"/>
      <c r="O3498" s="473" t="s">
        <v>931</v>
      </c>
      <c r="P3498" s="473"/>
      <c r="Q3498" s="473"/>
      <c r="R3498" s="473">
        <f>R3507</f>
        <v>2258</v>
      </c>
    </row>
    <row r="3499" spans="5:18">
      <c r="E3499" s="473"/>
      <c r="F3499" s="473"/>
      <c r="G3499" s="473"/>
      <c r="H3499" s="473" t="s">
        <v>2832</v>
      </c>
      <c r="I3499" s="473"/>
      <c r="J3499" s="473"/>
      <c r="K3499" s="473">
        <v>27.2</v>
      </c>
      <c r="L3499" s="473">
        <v>26.5</v>
      </c>
      <c r="M3499" s="473"/>
      <c r="N3499" s="473"/>
      <c r="O3499" s="473" t="s">
        <v>2832</v>
      </c>
      <c r="P3499" s="473"/>
      <c r="Q3499" s="473"/>
      <c r="R3499" s="473">
        <v>29.2</v>
      </c>
    </row>
    <row r="3500" spans="5:18">
      <c r="E3500" s="473"/>
      <c r="F3500" s="473"/>
      <c r="G3500" s="473"/>
      <c r="H3500" s="478" t="s">
        <v>2833</v>
      </c>
      <c r="I3500" s="473"/>
      <c r="J3500" s="473"/>
      <c r="K3500" s="473">
        <f>SUM(K3494:K3499)</f>
        <v>9054</v>
      </c>
      <c r="L3500" s="473"/>
      <c r="M3500" s="473"/>
      <c r="N3500" s="473"/>
      <c r="O3500" s="478" t="s">
        <v>2833</v>
      </c>
      <c r="P3500" s="473"/>
      <c r="Q3500" s="473"/>
      <c r="R3500" s="473">
        <f>SUM(R3494:R3499)</f>
        <v>6752</v>
      </c>
    </row>
    <row r="3501" spans="5:18">
      <c r="E3501" s="473"/>
      <c r="F3501" s="473"/>
      <c r="G3501" s="473"/>
      <c r="H3501" s="480" t="s">
        <v>2499</v>
      </c>
      <c r="I3501" s="473"/>
      <c r="J3501" s="473"/>
      <c r="K3501" s="481">
        <f>K3500/90</f>
        <v>100.6</v>
      </c>
      <c r="L3501" s="473">
        <f>82.6*90</f>
        <v>7434</v>
      </c>
      <c r="M3501" s="473"/>
      <c r="N3501" s="473"/>
      <c r="O3501" s="480" t="s">
        <v>2499</v>
      </c>
      <c r="P3501" s="473"/>
      <c r="Q3501" s="473"/>
      <c r="R3501" s="481">
        <f>R3500/90</f>
        <v>75.02</v>
      </c>
    </row>
    <row r="3502" spans="5:18">
      <c r="E3502" s="473"/>
      <c r="F3502" s="473"/>
      <c r="G3502" s="473"/>
      <c r="H3502" s="479" t="s">
        <v>2770</v>
      </c>
      <c r="I3502" s="473"/>
      <c r="J3502" s="473"/>
      <c r="K3502" s="473"/>
      <c r="L3502" s="473"/>
      <c r="M3502" s="473"/>
      <c r="N3502" s="473"/>
      <c r="O3502" s="479" t="s">
        <v>2770</v>
      </c>
      <c r="P3502" s="473"/>
      <c r="Q3502" s="473"/>
      <c r="R3502" s="473"/>
    </row>
    <row r="3503" spans="5:18">
      <c r="E3503" s="473"/>
      <c r="F3503" s="473">
        <v>1</v>
      </c>
      <c r="G3503" s="473" t="s">
        <v>1454</v>
      </c>
      <c r="H3503" s="482" t="s">
        <v>2834</v>
      </c>
      <c r="I3503" s="473">
        <f>I2866</f>
        <v>346</v>
      </c>
      <c r="J3503" s="473" t="s">
        <v>1454</v>
      </c>
      <c r="K3503" s="473">
        <f>F3503*I3503</f>
        <v>346</v>
      </c>
      <c r="L3503" s="473"/>
      <c r="M3503" s="473">
        <v>1</v>
      </c>
      <c r="N3503" s="473" t="s">
        <v>1454</v>
      </c>
      <c r="O3503" s="482" t="s">
        <v>2834</v>
      </c>
      <c r="P3503" s="473">
        <f>I3503</f>
        <v>346</v>
      </c>
      <c r="Q3503" s="473" t="s">
        <v>1454</v>
      </c>
      <c r="R3503" s="473">
        <f>M3503*P3503</f>
        <v>346</v>
      </c>
    </row>
    <row r="3504" spans="5:18">
      <c r="E3504" s="473"/>
      <c r="F3504" s="473">
        <v>2</v>
      </c>
      <c r="G3504" s="473" t="s">
        <v>1454</v>
      </c>
      <c r="H3504" s="473" t="s">
        <v>2901</v>
      </c>
      <c r="I3504" s="473">
        <f>I2867</f>
        <v>317</v>
      </c>
      <c r="J3504" s="473" t="s">
        <v>1454</v>
      </c>
      <c r="K3504" s="473">
        <f>F3504*I3504</f>
        <v>634</v>
      </c>
      <c r="L3504" s="473"/>
      <c r="M3504" s="473">
        <v>2</v>
      </c>
      <c r="N3504" s="473" t="s">
        <v>1454</v>
      </c>
      <c r="O3504" s="473" t="s">
        <v>2901</v>
      </c>
      <c r="P3504" s="473">
        <f>I3504</f>
        <v>317</v>
      </c>
      <c r="Q3504" s="473" t="s">
        <v>1454</v>
      </c>
      <c r="R3504" s="473">
        <f>M3504*P3504</f>
        <v>634</v>
      </c>
    </row>
    <row r="3505" spans="5:18">
      <c r="E3505" s="473"/>
      <c r="F3505" s="473">
        <v>2</v>
      </c>
      <c r="G3505" s="473" t="s">
        <v>1454</v>
      </c>
      <c r="H3505" s="473" t="s">
        <v>2711</v>
      </c>
      <c r="I3505" s="473">
        <f>I2868</f>
        <v>300</v>
      </c>
      <c r="J3505" s="473" t="s">
        <v>1454</v>
      </c>
      <c r="K3505" s="473">
        <f>F3505*I3505</f>
        <v>600</v>
      </c>
      <c r="L3505" s="473"/>
      <c r="M3505" s="473">
        <v>2</v>
      </c>
      <c r="N3505" s="473" t="s">
        <v>1454</v>
      </c>
      <c r="O3505" s="473" t="s">
        <v>2711</v>
      </c>
      <c r="P3505" s="473">
        <f>I3505</f>
        <v>300</v>
      </c>
      <c r="Q3505" s="473" t="s">
        <v>1454</v>
      </c>
      <c r="R3505" s="473">
        <f>M3505*P3505</f>
        <v>600</v>
      </c>
    </row>
    <row r="3506" spans="5:18">
      <c r="E3506" s="473"/>
      <c r="F3506" s="473">
        <v>3</v>
      </c>
      <c r="G3506" s="473" t="s">
        <v>1454</v>
      </c>
      <c r="H3506" s="473" t="s">
        <v>2430</v>
      </c>
      <c r="I3506" s="473">
        <f>I2869</f>
        <v>226</v>
      </c>
      <c r="J3506" s="473" t="s">
        <v>1454</v>
      </c>
      <c r="K3506" s="473">
        <f>F3506*I3506</f>
        <v>678</v>
      </c>
      <c r="L3506" s="473"/>
      <c r="M3506" s="473">
        <v>3</v>
      </c>
      <c r="N3506" s="473" t="s">
        <v>1454</v>
      </c>
      <c r="O3506" s="473" t="s">
        <v>2430</v>
      </c>
      <c r="P3506" s="473">
        <f>I3506</f>
        <v>226</v>
      </c>
      <c r="Q3506" s="473" t="s">
        <v>1454</v>
      </c>
      <c r="R3506" s="473">
        <f>M3506*P3506</f>
        <v>678</v>
      </c>
    </row>
    <row r="3507" spans="5:18">
      <c r="E3507" s="473"/>
      <c r="F3507" s="473"/>
      <c r="G3507" s="473"/>
      <c r="H3507" s="473"/>
      <c r="I3507" s="473"/>
      <c r="J3507" s="473"/>
      <c r="K3507" s="481">
        <f>SUM(K3503:K3506)</f>
        <v>2258</v>
      </c>
      <c r="L3507" s="473"/>
      <c r="M3507" s="473"/>
      <c r="N3507" s="473"/>
      <c r="O3507" s="473"/>
      <c r="P3507" s="473"/>
      <c r="Q3507" s="473"/>
      <c r="R3507" s="481">
        <f>SUM(R3503:R3506)</f>
        <v>2258</v>
      </c>
    </row>
    <row r="3508" spans="5:18">
      <c r="E3508" s="473"/>
      <c r="F3508" s="473"/>
      <c r="G3508" s="473"/>
      <c r="H3508" s="473"/>
      <c r="I3508" s="473"/>
      <c r="J3508" s="473"/>
      <c r="K3508" s="473"/>
      <c r="L3508" s="473"/>
      <c r="M3508" s="473"/>
    </row>
    <row r="3509" spans="5:18">
      <c r="E3509" s="473"/>
      <c r="F3509" s="473"/>
      <c r="G3509" s="473"/>
      <c r="H3509" s="481" t="s">
        <v>2835</v>
      </c>
      <c r="I3509" s="473"/>
      <c r="J3509" s="473"/>
      <c r="K3509" s="473"/>
      <c r="L3509" s="473"/>
      <c r="M3509" s="473"/>
    </row>
    <row r="3510" spans="5:18" ht="40.5" customHeight="1">
      <c r="E3510" s="473"/>
      <c r="F3510" s="473"/>
      <c r="G3510" s="473"/>
      <c r="H3510" s="471" t="s">
        <v>2403</v>
      </c>
      <c r="I3510" s="473"/>
      <c r="J3510" s="473"/>
      <c r="K3510" s="473"/>
      <c r="L3510" s="473"/>
      <c r="M3510" s="473"/>
    </row>
    <row r="3511" spans="5:18" ht="18" customHeight="1">
      <c r="E3511" s="473"/>
      <c r="F3511" s="473"/>
      <c r="G3511" s="473"/>
      <c r="H3511" s="473"/>
      <c r="I3511" s="473"/>
      <c r="J3511" s="473"/>
      <c r="K3511" s="473"/>
      <c r="L3511" s="473"/>
      <c r="M3511" s="473"/>
    </row>
    <row r="3512" spans="5:18" ht="57.75" customHeight="1">
      <c r="E3512" s="473"/>
      <c r="F3512" s="473"/>
      <c r="G3512" s="473"/>
      <c r="H3512" s="495" t="s">
        <v>2769</v>
      </c>
      <c r="I3512" s="473"/>
      <c r="J3512" s="473"/>
      <c r="K3512" s="473"/>
      <c r="L3512" s="473"/>
      <c r="M3512" s="473"/>
    </row>
    <row r="3513" spans="5:18">
      <c r="E3513" s="473"/>
      <c r="F3513" s="473">
        <v>1</v>
      </c>
      <c r="G3513" s="473" t="s">
        <v>840</v>
      </c>
      <c r="H3513" s="473" t="s">
        <v>3557</v>
      </c>
      <c r="I3513" s="474">
        <v>133.35</v>
      </c>
      <c r="J3513" s="473" t="s">
        <v>840</v>
      </c>
      <c r="K3513" s="473">
        <f>F3513*I3513</f>
        <v>133.35</v>
      </c>
      <c r="L3513" s="473"/>
      <c r="M3513" s="473"/>
    </row>
    <row r="3514" spans="5:18">
      <c r="E3514" s="473"/>
      <c r="F3514" s="473"/>
      <c r="G3514" s="473"/>
      <c r="H3514" s="473" t="s">
        <v>2359</v>
      </c>
      <c r="I3514" s="473"/>
      <c r="J3514" s="473"/>
      <c r="K3514" s="473">
        <v>0.65</v>
      </c>
      <c r="L3514" s="473"/>
      <c r="M3514" s="473"/>
    </row>
    <row r="3515" spans="5:18">
      <c r="E3515" s="473"/>
      <c r="F3515" s="473"/>
      <c r="G3515" s="473"/>
      <c r="H3515" s="480" t="s">
        <v>3558</v>
      </c>
      <c r="I3515" s="473"/>
      <c r="J3515" s="473"/>
      <c r="K3515" s="481">
        <f>SUM(K3513:K3514)</f>
        <v>134</v>
      </c>
      <c r="L3515" s="473"/>
      <c r="M3515" s="473"/>
    </row>
    <row r="3516" spans="5:18">
      <c r="E3516" s="473"/>
      <c r="F3516" s="473"/>
      <c r="G3516" s="473"/>
      <c r="H3516" s="473"/>
      <c r="I3516" s="473"/>
      <c r="J3516" s="473"/>
      <c r="K3516" s="473"/>
      <c r="L3516" s="473"/>
      <c r="M3516" s="473"/>
    </row>
    <row r="3517" spans="5:18">
      <c r="E3517" s="473"/>
      <c r="F3517" s="473"/>
      <c r="G3517" s="473"/>
      <c r="H3517" s="481" t="s">
        <v>3559</v>
      </c>
      <c r="I3517" s="473"/>
      <c r="J3517" s="473"/>
      <c r="K3517" s="473"/>
      <c r="L3517" s="473"/>
      <c r="M3517" s="473"/>
    </row>
    <row r="3518" spans="5:18">
      <c r="E3518" s="473"/>
      <c r="F3518" s="473"/>
      <c r="G3518" s="473"/>
      <c r="H3518" s="481" t="s">
        <v>3560</v>
      </c>
      <c r="I3518" s="473"/>
      <c r="J3518" s="473"/>
      <c r="K3518" s="473"/>
      <c r="L3518" s="473"/>
      <c r="M3518" s="473"/>
    </row>
    <row r="3519" spans="5:18">
      <c r="E3519" s="473"/>
      <c r="F3519" s="473"/>
      <c r="G3519" s="473"/>
      <c r="H3519" s="473"/>
      <c r="I3519" s="473"/>
      <c r="J3519" s="473"/>
      <c r="K3519" s="473"/>
      <c r="L3519" s="473"/>
      <c r="M3519" s="473"/>
    </row>
    <row r="3520" spans="5:18" ht="56.25" customHeight="1">
      <c r="E3520" s="473"/>
      <c r="F3520" s="473"/>
      <c r="G3520" s="473"/>
      <c r="H3520" s="495" t="s">
        <v>3561</v>
      </c>
      <c r="I3520" s="473"/>
      <c r="J3520" s="473"/>
      <c r="K3520" s="473"/>
      <c r="L3520" s="473"/>
      <c r="M3520" s="473"/>
    </row>
    <row r="3521" spans="5:13">
      <c r="E3521" s="473"/>
      <c r="F3521" s="473">
        <v>1</v>
      </c>
      <c r="G3521" s="473" t="s">
        <v>840</v>
      </c>
      <c r="H3521" s="473" t="s">
        <v>3562</v>
      </c>
      <c r="I3521" s="474">
        <v>50.4</v>
      </c>
      <c r="J3521" s="473" t="s">
        <v>364</v>
      </c>
      <c r="K3521" s="473">
        <f>F3522*I3521</f>
        <v>163.80000000000001</v>
      </c>
      <c r="L3521" s="473"/>
      <c r="M3521" s="473"/>
    </row>
    <row r="3522" spans="5:13">
      <c r="E3522" s="473"/>
      <c r="F3522" s="473">
        <v>3.25</v>
      </c>
      <c r="G3522" s="473" t="s">
        <v>3563</v>
      </c>
      <c r="H3522" s="473"/>
      <c r="I3522" s="473"/>
      <c r="J3522" s="473"/>
      <c r="K3522" s="473"/>
      <c r="L3522" s="473"/>
      <c r="M3522" s="473"/>
    </row>
    <row r="3523" spans="5:13">
      <c r="E3523" s="473"/>
      <c r="F3523" s="473"/>
      <c r="G3523" s="473"/>
      <c r="H3523" s="473" t="s">
        <v>2359</v>
      </c>
      <c r="I3523" s="473"/>
      <c r="J3523" s="473"/>
      <c r="K3523" s="473">
        <v>1.2</v>
      </c>
      <c r="L3523" s="473"/>
      <c r="M3523" s="473"/>
    </row>
    <row r="3524" spans="5:13">
      <c r="E3524" s="473"/>
      <c r="F3524" s="473"/>
      <c r="G3524" s="473"/>
      <c r="H3524" s="480" t="s">
        <v>2896</v>
      </c>
      <c r="I3524" s="473"/>
      <c r="J3524" s="473"/>
      <c r="K3524" s="481">
        <f>SUM(K3521:K3523)</f>
        <v>165</v>
      </c>
      <c r="L3524" s="473"/>
      <c r="M3524" s="473"/>
    </row>
    <row r="3525" spans="5:13">
      <c r="E3525" s="473"/>
      <c r="F3525" s="473"/>
      <c r="G3525" s="473"/>
      <c r="H3525" s="480"/>
      <c r="I3525" s="473"/>
      <c r="J3525" s="473"/>
      <c r="K3525" s="481"/>
      <c r="L3525" s="473"/>
      <c r="M3525" s="473"/>
    </row>
    <row r="3526" spans="5:13">
      <c r="E3526" s="473"/>
      <c r="F3526" s="473"/>
      <c r="G3526" s="473"/>
      <c r="H3526" s="481" t="s">
        <v>3564</v>
      </c>
      <c r="I3526" s="473"/>
      <c r="J3526" s="473"/>
      <c r="K3526" s="473"/>
      <c r="L3526" s="473"/>
      <c r="M3526" s="473"/>
    </row>
    <row r="3527" spans="5:13">
      <c r="E3527" s="473"/>
      <c r="F3527" s="473"/>
      <c r="G3527" s="473"/>
      <c r="H3527" s="473"/>
      <c r="I3527" s="473"/>
      <c r="J3527" s="473"/>
      <c r="K3527" s="473"/>
      <c r="L3527" s="473"/>
      <c r="M3527" s="473"/>
    </row>
    <row r="3528" spans="5:13" ht="51" customHeight="1">
      <c r="E3528" s="473"/>
      <c r="F3528" s="473"/>
      <c r="G3528" s="473"/>
      <c r="H3528" s="471" t="s">
        <v>3565</v>
      </c>
      <c r="I3528" s="473"/>
      <c r="J3528" s="473"/>
      <c r="K3528" s="473"/>
      <c r="L3528" s="473"/>
      <c r="M3528" s="473"/>
    </row>
    <row r="3529" spans="5:13">
      <c r="E3529" s="473"/>
      <c r="F3529" s="473"/>
      <c r="G3529" s="473"/>
      <c r="H3529" s="473"/>
      <c r="I3529" s="473"/>
      <c r="J3529" s="473"/>
      <c r="K3529" s="473"/>
      <c r="L3529" s="473"/>
      <c r="M3529" s="473"/>
    </row>
    <row r="3530" spans="5:13" ht="135.75" customHeight="1">
      <c r="E3530" s="473"/>
      <c r="F3530" s="473"/>
      <c r="G3530" s="473"/>
      <c r="H3530" s="495" t="s">
        <v>3074</v>
      </c>
      <c r="I3530" s="473"/>
      <c r="J3530" s="473"/>
      <c r="K3530" s="473"/>
      <c r="L3530" s="473"/>
      <c r="M3530" s="473"/>
    </row>
    <row r="3531" spans="5:13">
      <c r="E3531" s="473"/>
      <c r="F3531" s="473"/>
      <c r="G3531" s="473"/>
      <c r="H3531" s="473"/>
      <c r="I3531" s="473"/>
      <c r="J3531" s="473"/>
      <c r="K3531" s="473"/>
      <c r="L3531" s="473"/>
      <c r="M3531" s="473"/>
    </row>
    <row r="3532" spans="5:13" ht="40.5" customHeight="1">
      <c r="E3532" s="473"/>
      <c r="F3532" s="473">
        <v>360</v>
      </c>
      <c r="G3532" s="473" t="s">
        <v>840</v>
      </c>
      <c r="H3532" s="472" t="s">
        <v>2829</v>
      </c>
      <c r="I3532" s="473">
        <f>I3494</f>
        <v>34.6</v>
      </c>
      <c r="J3532" s="473" t="s">
        <v>840</v>
      </c>
      <c r="K3532" s="473">
        <f>F3532*I3532</f>
        <v>12456</v>
      </c>
      <c r="L3532" s="473"/>
      <c r="M3532" s="473"/>
    </row>
    <row r="3533" spans="5:13">
      <c r="E3533" s="473"/>
      <c r="F3533" s="473">
        <v>4</v>
      </c>
      <c r="G3533" s="473" t="s">
        <v>1730</v>
      </c>
      <c r="H3533" s="473" t="s">
        <v>3517</v>
      </c>
      <c r="I3533" s="473">
        <f>I3495</f>
        <v>88</v>
      </c>
      <c r="J3533" s="473" t="s">
        <v>1730</v>
      </c>
      <c r="K3533" s="473">
        <f>F3533*I3533</f>
        <v>352</v>
      </c>
      <c r="L3533" s="473"/>
      <c r="M3533" s="473"/>
    </row>
    <row r="3534" spans="5:13">
      <c r="E3534" s="473"/>
      <c r="F3534" s="473">
        <v>360</v>
      </c>
      <c r="G3534" s="473" t="s">
        <v>1458</v>
      </c>
      <c r="H3534" s="473" t="s">
        <v>2830</v>
      </c>
      <c r="I3534" s="473">
        <f>I3496</f>
        <v>0.56000000000000005</v>
      </c>
      <c r="J3534" s="473" t="s">
        <v>1458</v>
      </c>
      <c r="K3534" s="473">
        <f>F3534*I3534</f>
        <v>201.6</v>
      </c>
      <c r="L3534" s="473"/>
      <c r="M3534" s="473"/>
    </row>
    <row r="3535" spans="5:13">
      <c r="E3535" s="473"/>
      <c r="F3535" s="473">
        <v>1.5</v>
      </c>
      <c r="G3535" s="473" t="s">
        <v>1730</v>
      </c>
      <c r="H3535" s="473" t="s">
        <v>2831</v>
      </c>
      <c r="I3535" s="473">
        <f>I3497</f>
        <v>88</v>
      </c>
      <c r="J3535" s="473" t="s">
        <v>1730</v>
      </c>
      <c r="K3535" s="473">
        <f>F3535*I3535</f>
        <v>132</v>
      </c>
      <c r="L3535" s="473"/>
      <c r="M3535" s="473"/>
    </row>
    <row r="3536" spans="5:13">
      <c r="E3536" s="473"/>
      <c r="F3536" s="473"/>
      <c r="G3536" s="473"/>
      <c r="H3536" s="473" t="s">
        <v>3075</v>
      </c>
      <c r="I3536" s="473"/>
      <c r="J3536" s="473"/>
      <c r="K3536" s="473">
        <f>K3507*1.5</f>
        <v>3387</v>
      </c>
      <c r="L3536" s="473"/>
      <c r="M3536" s="473"/>
    </row>
    <row r="3537" spans="5:13">
      <c r="E3537" s="473"/>
      <c r="F3537" s="473"/>
      <c r="G3537" s="473"/>
      <c r="H3537" s="473" t="s">
        <v>2832</v>
      </c>
      <c r="I3537" s="473"/>
      <c r="J3537" s="473"/>
      <c r="K3537" s="473">
        <v>22.4</v>
      </c>
      <c r="L3537" s="473">
        <f>147.5*90</f>
        <v>13275</v>
      </c>
      <c r="M3537" s="473"/>
    </row>
    <row r="3538" spans="5:13">
      <c r="E3538" s="473"/>
      <c r="F3538" s="473"/>
      <c r="G3538" s="473"/>
      <c r="H3538" s="478" t="s">
        <v>2833</v>
      </c>
      <c r="I3538" s="473"/>
      <c r="J3538" s="473"/>
      <c r="K3538" s="473">
        <f>SUM(K3532:K3537)</f>
        <v>16551</v>
      </c>
      <c r="L3538" s="473"/>
      <c r="M3538" s="473"/>
    </row>
    <row r="3539" spans="5:13">
      <c r="E3539" s="473"/>
      <c r="F3539" s="473"/>
      <c r="G3539" s="473"/>
      <c r="H3539" s="480" t="s">
        <v>2499</v>
      </c>
      <c r="I3539" s="473"/>
      <c r="J3539" s="473"/>
      <c r="K3539" s="481">
        <f>K3538/90</f>
        <v>183.9</v>
      </c>
      <c r="L3539" s="473"/>
      <c r="M3539" s="473"/>
    </row>
    <row r="3540" spans="5:13">
      <c r="E3540" s="473"/>
      <c r="F3540" s="473"/>
      <c r="G3540" s="473"/>
      <c r="H3540" s="473"/>
      <c r="I3540" s="473"/>
      <c r="J3540" s="473"/>
      <c r="K3540" s="473"/>
      <c r="L3540" s="473"/>
      <c r="M3540" s="473"/>
    </row>
    <row r="3541" spans="5:13">
      <c r="E3541" s="473"/>
      <c r="F3541" s="473"/>
      <c r="G3541" s="473"/>
      <c r="H3541" s="481" t="s">
        <v>3076</v>
      </c>
      <c r="I3541" s="473"/>
      <c r="J3541" s="473"/>
      <c r="K3541" s="473"/>
      <c r="L3541" s="473"/>
      <c r="M3541" s="473"/>
    </row>
    <row r="3542" spans="5:13" ht="40.5" customHeight="1">
      <c r="E3542" s="473"/>
      <c r="F3542" s="473"/>
      <c r="G3542" s="473"/>
      <c r="H3542" s="471" t="s">
        <v>2479</v>
      </c>
      <c r="I3542" s="473"/>
      <c r="J3542" s="473"/>
      <c r="K3542" s="473"/>
      <c r="L3542" s="473"/>
      <c r="M3542" s="473"/>
    </row>
    <row r="3543" spans="5:13">
      <c r="E3543" s="473"/>
      <c r="F3543" s="473"/>
      <c r="G3543" s="473"/>
      <c r="H3543" s="473"/>
      <c r="I3543" s="473"/>
      <c r="J3543" s="473"/>
      <c r="K3543" s="473"/>
      <c r="L3543" s="473"/>
      <c r="M3543" s="473"/>
    </row>
    <row r="3544" spans="5:13" ht="54.75" customHeight="1">
      <c r="E3544" s="473"/>
      <c r="F3544" s="473"/>
      <c r="G3544" s="473"/>
      <c r="H3544" s="495" t="s">
        <v>2404</v>
      </c>
      <c r="I3544" s="473"/>
      <c r="J3544" s="473"/>
      <c r="K3544" s="473"/>
      <c r="L3544" s="473"/>
      <c r="M3544" s="473"/>
    </row>
    <row r="3545" spans="5:13">
      <c r="E3545" s="473"/>
      <c r="F3545" s="473">
        <v>1</v>
      </c>
      <c r="G3545" s="473" t="s">
        <v>840</v>
      </c>
      <c r="H3545" s="473" t="s">
        <v>2405</v>
      </c>
      <c r="I3545" s="473">
        <v>169.75</v>
      </c>
      <c r="J3545" s="473" t="s">
        <v>840</v>
      </c>
      <c r="K3545" s="473">
        <f>F3545*I3545</f>
        <v>169.75</v>
      </c>
      <c r="L3545" s="473">
        <v>231.5</v>
      </c>
      <c r="M3545" s="473"/>
    </row>
    <row r="3546" spans="5:13">
      <c r="E3546" s="473"/>
      <c r="F3546" s="473"/>
      <c r="G3546" s="473"/>
      <c r="H3546" s="473" t="s">
        <v>2359</v>
      </c>
      <c r="I3546" s="473"/>
      <c r="J3546" s="473"/>
      <c r="K3546" s="473">
        <v>0.75</v>
      </c>
      <c r="L3546" s="473">
        <v>3.5</v>
      </c>
      <c r="M3546" s="473"/>
    </row>
    <row r="3547" spans="5:13">
      <c r="E3547" s="473"/>
      <c r="F3547" s="473"/>
      <c r="G3547" s="473"/>
      <c r="H3547" s="480" t="s">
        <v>3558</v>
      </c>
      <c r="I3547" s="473"/>
      <c r="J3547" s="473"/>
      <c r="K3547" s="481">
        <f>SUM(K3545:K3546)</f>
        <v>170.5</v>
      </c>
      <c r="L3547" s="473">
        <f>SUM(L3545:L3546)</f>
        <v>235</v>
      </c>
      <c r="M3547" s="473"/>
    </row>
    <row r="3548" spans="5:13">
      <c r="E3548" s="473"/>
      <c r="F3548" s="473"/>
      <c r="G3548" s="473"/>
      <c r="H3548" s="473"/>
      <c r="I3548" s="473"/>
      <c r="J3548" s="473"/>
      <c r="K3548" s="473"/>
      <c r="L3548" s="473"/>
      <c r="M3548" s="473"/>
    </row>
    <row r="3549" spans="5:13">
      <c r="E3549" s="473"/>
      <c r="F3549" s="473"/>
      <c r="G3549" s="473"/>
      <c r="H3549" s="481" t="s">
        <v>2406</v>
      </c>
      <c r="I3549" s="473"/>
      <c r="J3549" s="473"/>
      <c r="K3549" s="473"/>
      <c r="L3549" s="473"/>
      <c r="M3549" s="473"/>
    </row>
    <row r="3550" spans="5:13">
      <c r="E3550" s="473"/>
      <c r="F3550" s="473"/>
      <c r="G3550" s="473"/>
      <c r="H3550" s="481" t="s">
        <v>3560</v>
      </c>
      <c r="I3550" s="473"/>
      <c r="J3550" s="473"/>
      <c r="K3550" s="473"/>
      <c r="L3550" s="473"/>
      <c r="M3550" s="473"/>
    </row>
    <row r="3551" spans="5:13">
      <c r="E3551" s="473"/>
      <c r="F3551" s="473"/>
      <c r="G3551" s="473"/>
      <c r="H3551" s="473"/>
      <c r="I3551" s="473"/>
      <c r="J3551" s="473"/>
      <c r="K3551" s="473"/>
      <c r="L3551" s="473"/>
      <c r="M3551" s="473"/>
    </row>
    <row r="3552" spans="5:13" ht="47.25">
      <c r="E3552" s="473"/>
      <c r="F3552" s="473"/>
      <c r="G3552" s="473"/>
      <c r="H3552" s="495" t="s">
        <v>3561</v>
      </c>
      <c r="I3552" s="473"/>
      <c r="J3552" s="473"/>
      <c r="K3552" s="473"/>
      <c r="L3552" s="473"/>
      <c r="M3552" s="473"/>
    </row>
    <row r="3553" spans="5:13">
      <c r="E3553" s="473"/>
      <c r="F3553" s="473">
        <v>1</v>
      </c>
      <c r="G3553" s="473" t="s">
        <v>840</v>
      </c>
      <c r="H3553" s="473" t="s">
        <v>3562</v>
      </c>
      <c r="I3553" s="474">
        <f>I3521</f>
        <v>50.4</v>
      </c>
      <c r="J3553" s="473" t="s">
        <v>364</v>
      </c>
      <c r="K3553" s="473">
        <f>F3554*I3553</f>
        <v>163.80000000000001</v>
      </c>
      <c r="L3553" s="473"/>
      <c r="M3553" s="473"/>
    </row>
    <row r="3554" spans="5:13">
      <c r="E3554" s="473"/>
      <c r="F3554" s="473">
        <v>3.25</v>
      </c>
      <c r="G3554" s="473" t="s">
        <v>3563</v>
      </c>
      <c r="H3554" s="473"/>
      <c r="I3554" s="473"/>
      <c r="J3554" s="473"/>
      <c r="K3554" s="473"/>
      <c r="L3554" s="473"/>
      <c r="M3554" s="473"/>
    </row>
    <row r="3555" spans="5:13">
      <c r="E3555" s="473"/>
      <c r="F3555" s="473"/>
      <c r="G3555" s="473"/>
      <c r="H3555" s="473" t="s">
        <v>2359</v>
      </c>
      <c r="I3555" s="473"/>
      <c r="J3555" s="473"/>
      <c r="K3555" s="473">
        <v>1.2</v>
      </c>
      <c r="L3555" s="473"/>
      <c r="M3555" s="473"/>
    </row>
    <row r="3556" spans="5:13">
      <c r="E3556" s="473"/>
      <c r="F3556" s="473"/>
      <c r="G3556" s="473"/>
      <c r="H3556" s="480" t="s">
        <v>2896</v>
      </c>
      <c r="I3556" s="473"/>
      <c r="J3556" s="473"/>
      <c r="K3556" s="481">
        <f>SUM(K3553:K3555)</f>
        <v>165</v>
      </c>
      <c r="L3556" s="473"/>
      <c r="M3556" s="473"/>
    </row>
    <row r="3557" spans="5:13">
      <c r="E3557" s="473"/>
      <c r="F3557" s="473"/>
      <c r="G3557" s="473"/>
      <c r="H3557" s="473"/>
      <c r="I3557" s="473"/>
      <c r="J3557" s="473"/>
      <c r="K3557" s="473"/>
      <c r="L3557" s="473"/>
      <c r="M3557" s="473"/>
    </row>
    <row r="3558" spans="5:13">
      <c r="E3558" s="473"/>
      <c r="F3558" s="473"/>
      <c r="G3558" s="473"/>
      <c r="H3558" s="481" t="s">
        <v>2407</v>
      </c>
      <c r="I3558" s="473"/>
      <c r="J3558" s="473"/>
      <c r="K3558" s="473"/>
      <c r="L3558" s="473"/>
      <c r="M3558" s="473"/>
    </row>
    <row r="3559" spans="5:13">
      <c r="E3559" s="473"/>
      <c r="F3559" s="473"/>
      <c r="G3559" s="473"/>
      <c r="H3559" s="473"/>
      <c r="I3559" s="473"/>
      <c r="J3559" s="473"/>
      <c r="K3559" s="473"/>
      <c r="L3559" s="473"/>
      <c r="M3559" s="473"/>
    </row>
    <row r="3560" spans="5:13" ht="90" customHeight="1">
      <c r="E3560" s="473"/>
      <c r="F3560" s="473"/>
      <c r="G3560" s="473"/>
      <c r="H3560" s="495" t="s">
        <v>3576</v>
      </c>
      <c r="I3560" s="473"/>
      <c r="J3560" s="473"/>
      <c r="K3560" s="473"/>
      <c r="L3560" s="473"/>
      <c r="M3560" s="473"/>
    </row>
    <row r="3561" spans="5:13">
      <c r="E3561" s="473"/>
      <c r="F3561" s="473">
        <v>30.42</v>
      </c>
      <c r="G3561" s="473" t="s">
        <v>2226</v>
      </c>
      <c r="H3561" s="473" t="s">
        <v>2480</v>
      </c>
      <c r="I3561" s="632">
        <v>88.6</v>
      </c>
      <c r="J3561" s="473" t="s">
        <v>2226</v>
      </c>
      <c r="K3561" s="473">
        <f>F3561*I3561</f>
        <v>2695.21</v>
      </c>
      <c r="L3561" s="473">
        <f>77.07+12.8</f>
        <v>89.87</v>
      </c>
      <c r="M3561" s="473"/>
    </row>
    <row r="3562" spans="5:13">
      <c r="E3562" s="473"/>
      <c r="F3562" s="473">
        <v>6.1</v>
      </c>
      <c r="G3562" s="473" t="s">
        <v>2226</v>
      </c>
      <c r="H3562" s="473" t="s">
        <v>1103</v>
      </c>
      <c r="I3562" s="473">
        <v>110</v>
      </c>
      <c r="J3562" s="473" t="s">
        <v>2226</v>
      </c>
      <c r="K3562" s="473">
        <f>F3562*I3562</f>
        <v>671</v>
      </c>
      <c r="L3562" s="473"/>
      <c r="M3562" s="473"/>
    </row>
    <row r="3563" spans="5:13">
      <c r="E3563" s="473"/>
      <c r="F3563" s="473">
        <v>750</v>
      </c>
      <c r="G3563" s="473" t="s">
        <v>1454</v>
      </c>
      <c r="H3563" s="473" t="s">
        <v>2481</v>
      </c>
      <c r="I3563" s="474">
        <v>3985</v>
      </c>
      <c r="J3563" s="473" t="s">
        <v>1544</v>
      </c>
      <c r="K3563" s="473">
        <f>F3563*(I3563/1000)</f>
        <v>2988.75</v>
      </c>
      <c r="L3563" s="473"/>
      <c r="M3563" s="473"/>
    </row>
    <row r="3564" spans="5:13">
      <c r="E3564" s="473"/>
      <c r="F3564" s="473"/>
      <c r="G3564" s="473"/>
      <c r="H3564" s="473" t="s">
        <v>931</v>
      </c>
      <c r="I3564" s="473"/>
      <c r="J3564" s="473"/>
      <c r="K3564" s="473">
        <f>K3573</f>
        <v>1567</v>
      </c>
      <c r="L3564" s="473">
        <f>K3564/90</f>
        <v>17.41</v>
      </c>
      <c r="M3564" s="473"/>
    </row>
    <row r="3565" spans="5:13">
      <c r="E3565" s="473"/>
      <c r="F3565" s="473"/>
      <c r="G3565" s="473"/>
      <c r="H3565" s="473" t="s">
        <v>2359</v>
      </c>
      <c r="I3565" s="473"/>
      <c r="J3565" s="473"/>
      <c r="K3565" s="473">
        <v>25.21</v>
      </c>
      <c r="L3565" s="473"/>
      <c r="M3565" s="473"/>
    </row>
    <row r="3566" spans="5:13">
      <c r="E3566" s="473"/>
      <c r="F3566" s="473"/>
      <c r="G3566" s="473"/>
      <c r="H3566" s="478" t="s">
        <v>2833</v>
      </c>
      <c r="I3566" s="473"/>
      <c r="J3566" s="473"/>
      <c r="K3566" s="473">
        <f>SUM(K3561:K3565)</f>
        <v>7947.17</v>
      </c>
      <c r="L3566" s="473">
        <f>70.8*90</f>
        <v>6372</v>
      </c>
      <c r="M3566" s="473"/>
    </row>
    <row r="3567" spans="5:13">
      <c r="E3567" s="473"/>
      <c r="F3567" s="473"/>
      <c r="G3567" s="473"/>
      <c r="H3567" s="480" t="s">
        <v>2499</v>
      </c>
      <c r="I3567" s="473"/>
      <c r="J3567" s="473"/>
      <c r="K3567" s="481">
        <f>K3566/90</f>
        <v>88.3</v>
      </c>
      <c r="L3567" s="473">
        <f>82.2*90</f>
        <v>7398</v>
      </c>
      <c r="M3567" s="473"/>
    </row>
    <row r="3568" spans="5:13">
      <c r="E3568" s="473"/>
      <c r="F3568" s="473"/>
      <c r="G3568" s="473"/>
      <c r="H3568" s="473"/>
      <c r="I3568" s="473"/>
      <c r="J3568" s="473"/>
      <c r="K3568" s="473"/>
      <c r="L3568" s="473">
        <f>L3567-K3566</f>
        <v>-549.16999999999996</v>
      </c>
      <c r="M3568" s="473"/>
    </row>
    <row r="3569" spans="5:13">
      <c r="E3569" s="473"/>
      <c r="F3569" s="473"/>
      <c r="G3569" s="473"/>
      <c r="H3569" s="479" t="s">
        <v>144</v>
      </c>
      <c r="K3569" s="473"/>
      <c r="L3569" s="473"/>
      <c r="M3569" s="473"/>
    </row>
    <row r="3570" spans="5:13">
      <c r="E3570" s="473"/>
      <c r="F3570" s="473">
        <v>1</v>
      </c>
      <c r="G3570" s="473" t="s">
        <v>1454</v>
      </c>
      <c r="H3570" s="482" t="s">
        <v>2834</v>
      </c>
      <c r="I3570" s="246">
        <f>I3503</f>
        <v>346</v>
      </c>
      <c r="J3570" s="473" t="s">
        <v>1454</v>
      </c>
      <c r="K3570" s="473">
        <f>F3570*I3570</f>
        <v>346</v>
      </c>
      <c r="L3570" s="473"/>
      <c r="M3570" s="473"/>
    </row>
    <row r="3571" spans="5:13">
      <c r="E3571" s="473"/>
      <c r="F3571" s="473">
        <v>1</v>
      </c>
      <c r="G3571" s="473" t="s">
        <v>1454</v>
      </c>
      <c r="H3571" s="473" t="s">
        <v>2901</v>
      </c>
      <c r="I3571" s="246">
        <f>I3504</f>
        <v>317</v>
      </c>
      <c r="J3571" s="473" t="s">
        <v>1454</v>
      </c>
      <c r="K3571" s="473">
        <f>F3571*I3571</f>
        <v>317</v>
      </c>
      <c r="L3571" s="473"/>
      <c r="M3571" s="473"/>
    </row>
    <row r="3572" spans="5:13">
      <c r="E3572" s="473"/>
      <c r="F3572" s="473">
        <v>4</v>
      </c>
      <c r="G3572" s="473" t="s">
        <v>1454</v>
      </c>
      <c r="H3572" s="473" t="s">
        <v>2430</v>
      </c>
      <c r="I3572" s="473">
        <f>I3506</f>
        <v>226</v>
      </c>
      <c r="J3572" s="473" t="s">
        <v>1454</v>
      </c>
      <c r="K3572" s="473">
        <f>F3572*I3572</f>
        <v>904</v>
      </c>
      <c r="L3572" s="473"/>
      <c r="M3572" s="473"/>
    </row>
    <row r="3573" spans="5:13">
      <c r="E3573" s="473"/>
      <c r="F3573" s="473"/>
      <c r="G3573" s="473"/>
      <c r="H3573" s="473"/>
      <c r="I3573" s="473"/>
      <c r="J3573" s="473"/>
      <c r="K3573" s="481">
        <f>SUM(K3570:K3572)</f>
        <v>1567</v>
      </c>
      <c r="L3573" s="473"/>
      <c r="M3573" s="473"/>
    </row>
    <row r="3574" spans="5:13">
      <c r="E3574" s="473"/>
      <c r="F3574" s="473"/>
      <c r="G3574" s="473"/>
      <c r="H3574" s="481" t="s">
        <v>2482</v>
      </c>
      <c r="I3574" s="473"/>
      <c r="J3574" s="473"/>
      <c r="K3574" s="473"/>
      <c r="L3574" s="473"/>
      <c r="M3574" s="473"/>
    </row>
    <row r="3575" spans="5:13">
      <c r="E3575" s="473"/>
      <c r="F3575" s="473"/>
      <c r="G3575" s="473"/>
      <c r="H3575" s="473"/>
      <c r="I3575" s="473"/>
      <c r="J3575" s="473"/>
      <c r="K3575" s="473"/>
      <c r="L3575" s="473"/>
      <c r="M3575" s="473"/>
    </row>
    <row r="3576" spans="5:13">
      <c r="E3576" s="473"/>
      <c r="F3576" s="473"/>
      <c r="G3576" s="473"/>
      <c r="H3576" s="481" t="s">
        <v>3499</v>
      </c>
      <c r="I3576" s="473"/>
      <c r="J3576" s="473"/>
      <c r="K3576" s="473"/>
      <c r="L3576" s="473"/>
      <c r="M3576" s="473"/>
    </row>
    <row r="3577" spans="5:13" ht="78.75">
      <c r="E3577" s="473"/>
      <c r="F3577" s="473"/>
      <c r="G3577" s="473"/>
      <c r="H3577" s="495" t="s">
        <v>2882</v>
      </c>
      <c r="I3577" s="473"/>
      <c r="J3577" s="473"/>
      <c r="K3577" s="473"/>
      <c r="L3577" s="473"/>
      <c r="M3577" s="473"/>
    </row>
    <row r="3578" spans="5:13">
      <c r="E3578" s="473"/>
      <c r="F3578" s="473">
        <v>1</v>
      </c>
      <c r="G3578" s="473" t="s">
        <v>2763</v>
      </c>
      <c r="H3578" s="473" t="s">
        <v>2583</v>
      </c>
      <c r="I3578" s="474">
        <v>71.5</v>
      </c>
      <c r="J3578" s="473" t="s">
        <v>2763</v>
      </c>
      <c r="K3578" s="473">
        <f>F3578*I3578</f>
        <v>71.5</v>
      </c>
      <c r="L3578" s="473"/>
      <c r="M3578" s="473"/>
    </row>
    <row r="3579" spans="5:13">
      <c r="E3579" s="473"/>
      <c r="F3579" s="473">
        <v>300</v>
      </c>
      <c r="G3579" s="473" t="s">
        <v>1454</v>
      </c>
      <c r="H3579" s="473" t="s">
        <v>2883</v>
      </c>
      <c r="I3579" s="474">
        <v>82.5</v>
      </c>
      <c r="J3579" s="473" t="s">
        <v>2763</v>
      </c>
      <c r="K3579" s="473">
        <f>F3579*(I3579/144)</f>
        <v>171.88</v>
      </c>
      <c r="L3579" s="473"/>
      <c r="M3579" s="473"/>
    </row>
    <row r="3580" spans="5:13">
      <c r="E3580" s="473"/>
      <c r="F3580" s="473">
        <v>300</v>
      </c>
      <c r="G3580" s="473" t="s">
        <v>1454</v>
      </c>
      <c r="H3580" s="473" t="s">
        <v>2884</v>
      </c>
      <c r="I3580" s="474">
        <v>341</v>
      </c>
      <c r="J3580" s="473" t="s">
        <v>1544</v>
      </c>
      <c r="K3580" s="473">
        <f>F3580*(I3580/1000)</f>
        <v>102.3</v>
      </c>
      <c r="L3580" s="473"/>
      <c r="M3580" s="473"/>
    </row>
    <row r="3581" spans="5:13">
      <c r="E3581" s="473"/>
      <c r="F3581" s="473"/>
      <c r="G3581" s="473"/>
      <c r="H3581" s="473" t="s">
        <v>2885</v>
      </c>
      <c r="I3581" s="473"/>
      <c r="J3581" s="473"/>
      <c r="K3581" s="473">
        <v>19.32</v>
      </c>
      <c r="L3581" s="473">
        <f>45.2*90</f>
        <v>4068</v>
      </c>
      <c r="M3581" s="473"/>
    </row>
    <row r="3582" spans="5:13">
      <c r="E3582" s="473"/>
      <c r="F3582" s="473"/>
      <c r="G3582" s="473"/>
      <c r="H3582" s="473" t="s">
        <v>931</v>
      </c>
      <c r="I3582" s="473"/>
      <c r="J3582" s="473"/>
      <c r="K3582" s="473">
        <f>K3592</f>
        <v>5602</v>
      </c>
      <c r="L3582" s="473">
        <f>36.5*90</f>
        <v>3285</v>
      </c>
      <c r="M3582" s="473"/>
    </row>
    <row r="3583" spans="5:13">
      <c r="E3583" s="473"/>
      <c r="F3583" s="473"/>
      <c r="G3583" s="473"/>
      <c r="H3583" s="478" t="s">
        <v>2886</v>
      </c>
      <c r="I3583" s="473"/>
      <c r="J3583" s="473"/>
      <c r="K3583" s="479">
        <f>SUM(K3578:K3582)</f>
        <v>5967</v>
      </c>
      <c r="L3583" s="473">
        <f>L3582-K3583</f>
        <v>-2682</v>
      </c>
      <c r="M3583" s="473"/>
    </row>
    <row r="3584" spans="5:13">
      <c r="E3584" s="473"/>
      <c r="F3584" s="473"/>
      <c r="G3584" s="473"/>
      <c r="H3584" s="480" t="s">
        <v>2896</v>
      </c>
      <c r="I3584" s="473"/>
      <c r="J3584" s="473"/>
      <c r="K3584" s="481">
        <f>K3583/90</f>
        <v>66.3</v>
      </c>
      <c r="L3584" s="473"/>
      <c r="M3584" s="473"/>
    </row>
    <row r="3585" spans="5:13">
      <c r="E3585" s="473"/>
      <c r="F3585" s="473"/>
      <c r="G3585" s="473"/>
      <c r="H3585" s="473"/>
      <c r="I3585" s="473"/>
      <c r="J3585" s="473"/>
      <c r="K3585" s="473"/>
      <c r="L3585" s="473"/>
      <c r="M3585" s="473"/>
    </row>
    <row r="3586" spans="5:13">
      <c r="E3586" s="473"/>
      <c r="F3586" s="473"/>
      <c r="G3586" s="473"/>
      <c r="H3586" s="479" t="s">
        <v>2770</v>
      </c>
      <c r="I3586" s="473"/>
      <c r="J3586" s="473"/>
      <c r="K3586" s="473"/>
      <c r="L3586" s="473"/>
      <c r="M3586" s="473"/>
    </row>
    <row r="3587" spans="5:13">
      <c r="E3587" s="473"/>
      <c r="F3587" s="473">
        <v>1</v>
      </c>
      <c r="G3587" s="473" t="s">
        <v>1454</v>
      </c>
      <c r="H3587" s="482" t="s">
        <v>2887</v>
      </c>
      <c r="I3587" s="474">
        <f>I3354</f>
        <v>363</v>
      </c>
      <c r="J3587" s="473" t="s">
        <v>1454</v>
      </c>
      <c r="K3587" s="473">
        <f>F3587*I3587</f>
        <v>363</v>
      </c>
      <c r="L3587" s="473"/>
      <c r="M3587" s="473"/>
    </row>
    <row r="3588" spans="5:13">
      <c r="E3588" s="473"/>
      <c r="F3588" s="473">
        <v>2</v>
      </c>
      <c r="G3588" s="473" t="s">
        <v>1454</v>
      </c>
      <c r="H3588" s="473" t="s">
        <v>2901</v>
      </c>
      <c r="I3588" s="473">
        <f>I3504</f>
        <v>317</v>
      </c>
      <c r="J3588" s="473" t="s">
        <v>1454</v>
      </c>
      <c r="K3588" s="473">
        <f>F3588*I3588</f>
        <v>634</v>
      </c>
      <c r="L3588" s="473"/>
      <c r="M3588" s="473"/>
    </row>
    <row r="3589" spans="5:13">
      <c r="E3589" s="473"/>
      <c r="F3589" s="473">
        <v>3</v>
      </c>
      <c r="G3589" s="473" t="s">
        <v>1454</v>
      </c>
      <c r="H3589" s="473" t="s">
        <v>2711</v>
      </c>
      <c r="I3589" s="473">
        <f>I3505</f>
        <v>300</v>
      </c>
      <c r="J3589" s="473" t="s">
        <v>1454</v>
      </c>
      <c r="K3589" s="473">
        <f>F3589*I3589</f>
        <v>900</v>
      </c>
      <c r="L3589" s="473"/>
      <c r="M3589" s="473"/>
    </row>
    <row r="3590" spans="5:13">
      <c r="E3590" s="473"/>
      <c r="F3590" s="473">
        <v>4</v>
      </c>
      <c r="G3590" s="473" t="s">
        <v>1454</v>
      </c>
      <c r="H3590" s="473" t="s">
        <v>2430</v>
      </c>
      <c r="I3590" s="473">
        <f>I3506</f>
        <v>226</v>
      </c>
      <c r="J3590" s="473" t="s">
        <v>1454</v>
      </c>
      <c r="K3590" s="473">
        <f>F3590*I3590</f>
        <v>904</v>
      </c>
      <c r="L3590" s="473"/>
      <c r="M3590" s="473"/>
    </row>
    <row r="3591" spans="5:13">
      <c r="E3591" s="473"/>
      <c r="F3591" s="473"/>
      <c r="G3591" s="473"/>
      <c r="H3591" s="478" t="s">
        <v>2888</v>
      </c>
      <c r="I3591" s="473"/>
      <c r="J3591" s="473"/>
      <c r="K3591" s="473">
        <f>SUM(K3587:K3590)</f>
        <v>2801</v>
      </c>
      <c r="L3591" s="473"/>
      <c r="M3591" s="473"/>
    </row>
    <row r="3592" spans="5:13">
      <c r="E3592" s="473"/>
      <c r="F3592" s="473"/>
      <c r="G3592" s="473"/>
      <c r="H3592" s="480" t="s">
        <v>2889</v>
      </c>
      <c r="I3592" s="473"/>
      <c r="J3592" s="473"/>
      <c r="K3592" s="481">
        <f>K3591*2</f>
        <v>5602</v>
      </c>
      <c r="L3592" s="473"/>
      <c r="M3592" s="473"/>
    </row>
    <row r="3593" spans="5:13">
      <c r="E3593" s="473"/>
      <c r="F3593" s="473"/>
      <c r="G3593" s="473"/>
      <c r="H3593" s="473"/>
      <c r="I3593" s="473"/>
      <c r="J3593" s="473"/>
      <c r="K3593" s="473"/>
      <c r="L3593" s="473"/>
      <c r="M3593" s="473"/>
    </row>
    <row r="3594" spans="5:13">
      <c r="E3594" s="473"/>
      <c r="F3594" s="473"/>
      <c r="G3594" s="473"/>
      <c r="H3594" s="481" t="s">
        <v>2890</v>
      </c>
      <c r="I3594" s="473"/>
      <c r="J3594" s="473"/>
      <c r="K3594" s="473"/>
      <c r="L3594" s="473"/>
      <c r="M3594" s="473"/>
    </row>
    <row r="3595" spans="5:13">
      <c r="E3595" s="473"/>
      <c r="F3595" s="473"/>
      <c r="G3595" s="473"/>
      <c r="H3595" s="473"/>
      <c r="I3595" s="473"/>
      <c r="J3595" s="473"/>
      <c r="K3595" s="473"/>
      <c r="L3595" s="473"/>
      <c r="M3595" s="473"/>
    </row>
    <row r="3596" spans="5:13">
      <c r="E3596" s="473"/>
      <c r="F3596" s="473"/>
      <c r="G3596" s="473"/>
      <c r="H3596" s="481" t="s">
        <v>2891</v>
      </c>
      <c r="I3596" s="473"/>
      <c r="J3596" s="473"/>
      <c r="K3596" s="473"/>
      <c r="L3596" s="473"/>
      <c r="M3596" s="473"/>
    </row>
    <row r="3597" spans="5:13">
      <c r="E3597" s="473"/>
      <c r="F3597" s="473"/>
      <c r="G3597" s="473"/>
      <c r="H3597" s="473"/>
      <c r="I3597" s="473"/>
      <c r="J3597" s="473"/>
      <c r="K3597" s="473"/>
      <c r="L3597" s="473"/>
      <c r="M3597" s="473"/>
    </row>
    <row r="3598" spans="5:13" ht="173.25">
      <c r="E3598" s="473"/>
      <c r="F3598" s="473"/>
      <c r="G3598" s="473"/>
      <c r="H3598" s="495" t="s">
        <v>3280</v>
      </c>
      <c r="I3598" s="473"/>
      <c r="J3598" s="473"/>
      <c r="K3598" s="473"/>
      <c r="L3598" s="473"/>
      <c r="M3598" s="473"/>
    </row>
    <row r="3599" spans="5:13">
      <c r="E3599" s="473"/>
      <c r="F3599" s="473"/>
      <c r="G3599" s="473"/>
      <c r="H3599" s="481" t="s">
        <v>3268</v>
      </c>
      <c r="I3599" s="473"/>
      <c r="J3599" s="473"/>
      <c r="K3599" s="473"/>
      <c r="L3599" s="473"/>
      <c r="M3599" s="473"/>
    </row>
    <row r="3600" spans="5:13">
      <c r="E3600" s="473"/>
      <c r="F3600" s="473"/>
      <c r="G3600" s="473"/>
      <c r="H3600" s="473"/>
      <c r="I3600" s="473"/>
      <c r="J3600" s="473"/>
      <c r="K3600" s="473"/>
      <c r="L3600" s="473"/>
      <c r="M3600" s="473"/>
    </row>
    <row r="3601" spans="5:13" ht="225" customHeight="1">
      <c r="E3601" s="473"/>
      <c r="F3601" s="473"/>
      <c r="G3601" s="473"/>
      <c r="H3601" s="495" t="s">
        <v>2953</v>
      </c>
      <c r="I3601" s="473"/>
      <c r="J3601" s="473"/>
      <c r="K3601" s="473"/>
      <c r="L3601" s="473"/>
      <c r="M3601" s="473"/>
    </row>
    <row r="3602" spans="5:13">
      <c r="E3602" s="473"/>
      <c r="F3602" s="473"/>
      <c r="G3602" s="473"/>
      <c r="H3602" s="479" t="s">
        <v>2954</v>
      </c>
      <c r="I3602" s="479" t="s">
        <v>2955</v>
      </c>
      <c r="J3602" s="479" t="s">
        <v>2956</v>
      </c>
      <c r="K3602" s="479" t="s">
        <v>2957</v>
      </c>
      <c r="L3602" s="479" t="s">
        <v>2958</v>
      </c>
      <c r="M3602" s="473"/>
    </row>
    <row r="3603" spans="5:13">
      <c r="E3603" s="473"/>
      <c r="F3603" s="473"/>
      <c r="G3603" s="473"/>
      <c r="H3603" s="473" t="s">
        <v>2954</v>
      </c>
      <c r="I3603" s="474">
        <v>3580</v>
      </c>
      <c r="J3603" s="474">
        <f>I3603</f>
        <v>3580</v>
      </c>
      <c r="K3603" s="474">
        <v>3440</v>
      </c>
      <c r="L3603" s="474">
        <v>3490</v>
      </c>
      <c r="M3603" s="473"/>
    </row>
    <row r="3604" spans="5:13">
      <c r="E3604" s="473"/>
      <c r="F3604" s="473"/>
      <c r="G3604" s="473"/>
      <c r="H3604" s="473" t="s">
        <v>2959</v>
      </c>
      <c r="I3604" s="473">
        <v>200</v>
      </c>
      <c r="J3604" s="473">
        <v>489</v>
      </c>
      <c r="K3604" s="496">
        <v>660</v>
      </c>
      <c r="L3604" s="496">
        <v>770</v>
      </c>
      <c r="M3604" s="473"/>
    </row>
    <row r="3605" spans="5:13">
      <c r="E3605" s="473"/>
      <c r="F3605" s="473"/>
      <c r="G3605" s="473"/>
      <c r="H3605" s="480" t="s">
        <v>2960</v>
      </c>
      <c r="I3605" s="481">
        <f>SUM(I3603:I3604)</f>
        <v>3780</v>
      </c>
      <c r="J3605" s="481">
        <f>SUM(J3603:J3604)</f>
        <v>4069</v>
      </c>
      <c r="K3605" s="493">
        <f>SUM(K3603:K3604)</f>
        <v>4100</v>
      </c>
      <c r="L3605" s="493">
        <f>SUM(L3603:L3604)</f>
        <v>4260</v>
      </c>
      <c r="M3605" s="473"/>
    </row>
    <row r="3606" spans="5:13">
      <c r="E3606" s="473"/>
      <c r="F3606" s="473"/>
      <c r="G3606" s="473"/>
      <c r="H3606" s="473"/>
      <c r="I3606" s="473"/>
      <c r="J3606" s="473"/>
      <c r="K3606" s="473"/>
      <c r="L3606" s="473"/>
      <c r="M3606" s="473"/>
    </row>
    <row r="3607" spans="5:13">
      <c r="E3607" s="473"/>
      <c r="F3607" s="473"/>
      <c r="G3607" s="473"/>
      <c r="H3607" s="481" t="s">
        <v>2961</v>
      </c>
      <c r="I3607" s="473"/>
      <c r="J3607" s="473"/>
      <c r="K3607" s="473"/>
      <c r="L3607" s="473"/>
      <c r="M3607" s="473"/>
    </row>
    <row r="3608" spans="5:13">
      <c r="E3608" s="473"/>
      <c r="F3608" s="473"/>
      <c r="G3608" s="473"/>
      <c r="H3608" s="473"/>
      <c r="I3608" s="473"/>
      <c r="J3608" s="473"/>
      <c r="K3608" s="473"/>
      <c r="L3608" s="473"/>
      <c r="M3608" s="473"/>
    </row>
    <row r="3609" spans="5:13">
      <c r="E3609" s="473"/>
      <c r="F3609" s="473"/>
      <c r="G3609" s="473"/>
      <c r="H3609" s="481" t="s">
        <v>2962</v>
      </c>
      <c r="I3609" s="473"/>
      <c r="J3609" s="473"/>
      <c r="K3609" s="473"/>
      <c r="L3609" s="473"/>
      <c r="M3609" s="473"/>
    </row>
    <row r="3610" spans="5:13" ht="86.25" customHeight="1">
      <c r="E3610" s="473"/>
      <c r="F3610" s="473"/>
      <c r="G3610" s="473"/>
      <c r="H3610" s="495" t="s">
        <v>3025</v>
      </c>
      <c r="I3610" s="473"/>
      <c r="J3610" s="473"/>
      <c r="K3610" s="473"/>
      <c r="L3610" s="473"/>
      <c r="M3610" s="473"/>
    </row>
    <row r="3611" spans="5:13">
      <c r="E3611" s="473"/>
      <c r="F3611" s="473"/>
      <c r="G3611" s="473"/>
      <c r="H3611" s="473"/>
      <c r="I3611" s="473"/>
      <c r="J3611" s="473"/>
      <c r="K3611" s="473"/>
      <c r="L3611" s="473"/>
      <c r="M3611" s="473"/>
    </row>
    <row r="3612" spans="5:13">
      <c r="E3612" s="473"/>
      <c r="F3612" s="473">
        <v>2</v>
      </c>
      <c r="G3612" s="473" t="s">
        <v>840</v>
      </c>
      <c r="H3612" s="473" t="s">
        <v>3026</v>
      </c>
      <c r="I3612" s="474">
        <v>102.8</v>
      </c>
      <c r="J3612" s="473" t="s">
        <v>840</v>
      </c>
      <c r="K3612" s="473">
        <f>F3612*I3612</f>
        <v>205.6</v>
      </c>
      <c r="L3612" s="473"/>
      <c r="M3612" s="473"/>
    </row>
    <row r="3613" spans="5:13">
      <c r="E3613" s="473"/>
      <c r="F3613" s="473">
        <v>2</v>
      </c>
      <c r="G3613" s="473" t="s">
        <v>2068</v>
      </c>
      <c r="H3613" s="473" t="s">
        <v>3027</v>
      </c>
      <c r="I3613" s="473">
        <v>35</v>
      </c>
      <c r="J3613" s="473" t="s">
        <v>2068</v>
      </c>
      <c r="K3613" s="473">
        <f>F3613*I3613</f>
        <v>70</v>
      </c>
      <c r="L3613" s="473"/>
      <c r="M3613" s="473"/>
    </row>
    <row r="3614" spans="5:13">
      <c r="E3614" s="473"/>
      <c r="F3614" s="473">
        <v>1</v>
      </c>
      <c r="G3614" s="473" t="s">
        <v>1454</v>
      </c>
      <c r="H3614" s="473" t="s">
        <v>3028</v>
      </c>
      <c r="I3614" s="474">
        <v>55</v>
      </c>
      <c r="J3614" s="473" t="s">
        <v>1458</v>
      </c>
      <c r="K3614" s="473">
        <f>F3614*I3614</f>
        <v>55</v>
      </c>
      <c r="L3614" s="473"/>
      <c r="M3614" s="473"/>
    </row>
    <row r="3615" spans="5:13">
      <c r="E3615" s="473"/>
      <c r="F3615" s="473">
        <v>1</v>
      </c>
      <c r="G3615" s="473" t="s">
        <v>1454</v>
      </c>
      <c r="H3615" s="473" t="s">
        <v>3029</v>
      </c>
      <c r="I3615" s="473">
        <f>K3628</f>
        <v>24.44</v>
      </c>
      <c r="J3615" s="473" t="s">
        <v>1458</v>
      </c>
      <c r="K3615" s="473">
        <f>F3615*I3615</f>
        <v>24.44</v>
      </c>
      <c r="L3615" s="473"/>
      <c r="M3615" s="473"/>
    </row>
    <row r="3616" spans="5:13">
      <c r="E3616" s="473"/>
      <c r="F3616" s="473">
        <v>8</v>
      </c>
      <c r="G3616" s="473" t="s">
        <v>840</v>
      </c>
      <c r="H3616" s="473" t="s">
        <v>3030</v>
      </c>
      <c r="I3616" s="473">
        <f>I3101</f>
        <v>21.8</v>
      </c>
      <c r="J3616" s="473" t="s">
        <v>3484</v>
      </c>
      <c r="K3616" s="473">
        <f>F3616*I3616</f>
        <v>174.4</v>
      </c>
      <c r="L3616" s="473"/>
      <c r="M3616" s="473"/>
    </row>
    <row r="3617" spans="5:13" ht="51" customHeight="1">
      <c r="E3617" s="473"/>
      <c r="F3617" s="473">
        <v>1</v>
      </c>
      <c r="G3617" s="473" t="s">
        <v>1454</v>
      </c>
      <c r="H3617" s="495" t="s">
        <v>3031</v>
      </c>
      <c r="I3617" s="473"/>
      <c r="J3617" s="473"/>
      <c r="K3617" s="473">
        <f>K3627</f>
        <v>647</v>
      </c>
      <c r="L3617" s="473"/>
      <c r="M3617" s="473"/>
    </row>
    <row r="3618" spans="5:13" ht="36.75" customHeight="1">
      <c r="E3618" s="473"/>
      <c r="F3618" s="473"/>
      <c r="G3618" s="473"/>
      <c r="H3618" s="495" t="s">
        <v>2612</v>
      </c>
      <c r="I3618" s="473" t="s">
        <v>667</v>
      </c>
      <c r="J3618" s="473"/>
      <c r="K3618" s="473">
        <v>13.56</v>
      </c>
      <c r="L3618" s="473"/>
      <c r="M3618" s="473"/>
    </row>
    <row r="3619" spans="5:13">
      <c r="E3619" s="473"/>
      <c r="F3619" s="473"/>
      <c r="G3619" s="473"/>
      <c r="H3619" s="480" t="s">
        <v>2475</v>
      </c>
      <c r="I3619" s="473"/>
      <c r="J3619" s="473"/>
      <c r="K3619" s="481">
        <f>SUM(K3612:K3618)</f>
        <v>1190</v>
      </c>
      <c r="L3619" s="473"/>
      <c r="M3619" s="473"/>
    </row>
    <row r="3620" spans="5:13">
      <c r="E3620" s="473"/>
      <c r="F3620" s="473"/>
      <c r="G3620" s="473"/>
      <c r="H3620" s="473"/>
      <c r="I3620" s="473"/>
      <c r="J3620" s="473"/>
      <c r="K3620" s="473"/>
      <c r="L3620" s="473"/>
      <c r="M3620" s="473"/>
    </row>
    <row r="3621" spans="5:13">
      <c r="E3621" s="473"/>
      <c r="F3621" s="473"/>
      <c r="G3621" s="473"/>
      <c r="H3621" s="479" t="s">
        <v>2613</v>
      </c>
      <c r="I3621" s="473"/>
      <c r="J3621" s="473"/>
      <c r="K3621" s="473"/>
      <c r="L3621" s="473"/>
      <c r="M3621" s="473"/>
    </row>
    <row r="3622" spans="5:13">
      <c r="E3622" s="473"/>
      <c r="F3622" s="473">
        <v>1</v>
      </c>
      <c r="G3622" s="473" t="s">
        <v>1454</v>
      </c>
      <c r="H3622" s="482" t="s">
        <v>2834</v>
      </c>
      <c r="I3622" s="473">
        <f>I3503</f>
        <v>346</v>
      </c>
      <c r="J3622" s="473" t="s">
        <v>1454</v>
      </c>
      <c r="K3622" s="473">
        <f>F3622*I3622</f>
        <v>346</v>
      </c>
      <c r="L3622" s="473"/>
      <c r="M3622" s="473"/>
    </row>
    <row r="3623" spans="5:13">
      <c r="E3623" s="473"/>
      <c r="F3623" s="473">
        <v>1</v>
      </c>
      <c r="G3623" s="473" t="s">
        <v>1454</v>
      </c>
      <c r="H3623" s="473" t="s">
        <v>2901</v>
      </c>
      <c r="I3623" s="473">
        <f>I3504</f>
        <v>317</v>
      </c>
      <c r="J3623" s="473" t="s">
        <v>1454</v>
      </c>
      <c r="K3623" s="473">
        <f>F3623*I3623</f>
        <v>317</v>
      </c>
      <c r="L3623" s="473"/>
      <c r="M3623" s="473"/>
    </row>
    <row r="3624" spans="5:13">
      <c r="E3624" s="473"/>
      <c r="F3624" s="473">
        <v>2</v>
      </c>
      <c r="G3624" s="473" t="s">
        <v>1454</v>
      </c>
      <c r="H3624" s="473" t="s">
        <v>2711</v>
      </c>
      <c r="I3624" s="473">
        <f>I3505</f>
        <v>300</v>
      </c>
      <c r="J3624" s="473" t="s">
        <v>1454</v>
      </c>
      <c r="K3624" s="473">
        <f>F3624*I3624</f>
        <v>600</v>
      </c>
      <c r="L3624" s="473"/>
      <c r="M3624" s="473"/>
    </row>
    <row r="3625" spans="5:13">
      <c r="E3625" s="473"/>
      <c r="F3625" s="473">
        <v>3</v>
      </c>
      <c r="G3625" s="473" t="s">
        <v>1454</v>
      </c>
      <c r="H3625" s="473" t="s">
        <v>2430</v>
      </c>
      <c r="I3625" s="473">
        <f>I3506</f>
        <v>226</v>
      </c>
      <c r="J3625" s="473" t="s">
        <v>1454</v>
      </c>
      <c r="K3625" s="473">
        <f>F3625*I3625</f>
        <v>678</v>
      </c>
      <c r="L3625" s="473"/>
      <c r="M3625" s="473"/>
    </row>
    <row r="3626" spans="5:13">
      <c r="E3626" s="473"/>
      <c r="F3626" s="473"/>
      <c r="G3626" s="473"/>
      <c r="H3626" s="478" t="s">
        <v>3014</v>
      </c>
      <c r="I3626" s="473"/>
      <c r="J3626" s="473"/>
      <c r="K3626" s="479">
        <f>SUM(K3622:K3625)</f>
        <v>1941</v>
      </c>
      <c r="L3626" s="473"/>
      <c r="M3626" s="473"/>
    </row>
    <row r="3627" spans="5:13">
      <c r="E3627" s="473"/>
      <c r="F3627" s="473"/>
      <c r="G3627" s="473"/>
      <c r="H3627" s="480" t="s">
        <v>2929</v>
      </c>
      <c r="I3627" s="473"/>
      <c r="J3627" s="473"/>
      <c r="K3627" s="481">
        <f>K3626/3</f>
        <v>647</v>
      </c>
      <c r="L3627" s="473"/>
      <c r="M3627" s="473"/>
    </row>
    <row r="3628" spans="5:13">
      <c r="E3628" s="473"/>
      <c r="F3628" s="473"/>
      <c r="G3628" s="473"/>
      <c r="H3628" s="481" t="s">
        <v>2614</v>
      </c>
      <c r="I3628" s="473">
        <f>I3483</f>
        <v>81467</v>
      </c>
      <c r="J3628" s="487">
        <v>2.9999999999999997E-4</v>
      </c>
      <c r="K3628" s="481">
        <f>I3628*J3628</f>
        <v>24.44</v>
      </c>
      <c r="L3628" s="473"/>
      <c r="M3628" s="473"/>
    </row>
    <row r="3629" spans="5:13">
      <c r="E3629" s="473"/>
      <c r="F3629" s="473"/>
      <c r="G3629" s="473"/>
      <c r="H3629" s="473"/>
      <c r="I3629" s="473"/>
      <c r="J3629" s="473"/>
      <c r="K3629" s="473"/>
      <c r="L3629" s="473"/>
      <c r="M3629" s="473"/>
    </row>
    <row r="3630" spans="5:13">
      <c r="E3630" s="473"/>
      <c r="F3630" s="473"/>
      <c r="G3630" s="473"/>
      <c r="H3630" s="481" t="s">
        <v>2477</v>
      </c>
      <c r="I3630" s="473"/>
      <c r="J3630" s="473"/>
      <c r="K3630" s="473"/>
      <c r="L3630" s="473"/>
      <c r="M3630" s="473"/>
    </row>
    <row r="3631" spans="5:13">
      <c r="E3631" s="473"/>
      <c r="F3631" s="473"/>
      <c r="G3631" s="473"/>
      <c r="H3631" s="473"/>
      <c r="I3631" s="473"/>
      <c r="J3631" s="473"/>
      <c r="K3631" s="473"/>
      <c r="L3631" s="473"/>
      <c r="M3631" s="473"/>
    </row>
    <row r="3632" spans="5:13">
      <c r="E3632" s="473"/>
      <c r="F3632" s="473"/>
      <c r="G3632" s="473"/>
      <c r="H3632" s="481" t="s">
        <v>3277</v>
      </c>
      <c r="I3632" s="473"/>
      <c r="J3632" s="473"/>
      <c r="K3632" s="473"/>
      <c r="L3632" s="473"/>
      <c r="M3632" s="473"/>
    </row>
    <row r="3633" spans="5:13">
      <c r="E3633" s="473"/>
      <c r="F3633" s="473"/>
      <c r="G3633" s="473"/>
      <c r="H3633" s="473"/>
      <c r="I3633" s="473"/>
      <c r="J3633" s="473"/>
      <c r="K3633" s="473"/>
      <c r="L3633" s="473"/>
      <c r="M3633" s="473"/>
    </row>
    <row r="3634" spans="5:13">
      <c r="E3634" s="473"/>
      <c r="F3634" s="473">
        <v>1</v>
      </c>
      <c r="G3634" s="473" t="s">
        <v>1454</v>
      </c>
      <c r="H3634" s="495" t="s">
        <v>3278</v>
      </c>
      <c r="I3634" s="475">
        <v>740</v>
      </c>
      <c r="J3634" s="473" t="s">
        <v>1454</v>
      </c>
      <c r="K3634" s="473">
        <f>F3634*I3634</f>
        <v>740</v>
      </c>
      <c r="L3634" s="473"/>
      <c r="M3634" s="473"/>
    </row>
    <row r="3635" spans="5:13">
      <c r="E3635" s="473"/>
      <c r="F3635" s="473">
        <v>1</v>
      </c>
      <c r="G3635" s="473" t="s">
        <v>1454</v>
      </c>
      <c r="H3635" s="495" t="s">
        <v>3261</v>
      </c>
      <c r="I3635" s="475">
        <v>41.5</v>
      </c>
      <c r="J3635" s="473" t="s">
        <v>1454</v>
      </c>
      <c r="K3635" s="473">
        <f>F3635*I3635</f>
        <v>41.5</v>
      </c>
      <c r="L3635" s="473"/>
      <c r="M3635" s="473"/>
    </row>
    <row r="3636" spans="5:13">
      <c r="E3636" s="473"/>
      <c r="F3636" s="473">
        <v>1</v>
      </c>
      <c r="G3636" s="473" t="s">
        <v>1454</v>
      </c>
      <c r="H3636" s="495" t="s">
        <v>931</v>
      </c>
      <c r="I3636" s="473">
        <f>K3619</f>
        <v>1190</v>
      </c>
      <c r="J3636" s="473" t="s">
        <v>1454</v>
      </c>
      <c r="K3636" s="473">
        <f>F3636*I3636</f>
        <v>1190</v>
      </c>
      <c r="L3636" s="473"/>
      <c r="M3636" s="473"/>
    </row>
    <row r="3637" spans="5:13">
      <c r="E3637" s="473"/>
      <c r="F3637" s="473"/>
      <c r="G3637" s="473"/>
      <c r="H3637" s="472" t="s">
        <v>2359</v>
      </c>
      <c r="I3637" s="473"/>
      <c r="J3637" s="473"/>
      <c r="K3637" s="473">
        <v>0.5</v>
      </c>
      <c r="L3637" s="473"/>
      <c r="M3637" s="473"/>
    </row>
    <row r="3638" spans="5:13">
      <c r="E3638" s="473"/>
      <c r="F3638" s="473"/>
      <c r="G3638" s="473"/>
      <c r="H3638" s="480" t="s">
        <v>1100</v>
      </c>
      <c r="I3638" s="473"/>
      <c r="J3638" s="473"/>
      <c r="K3638" s="481">
        <f>SUM(K3634:K3637)</f>
        <v>1972</v>
      </c>
      <c r="L3638" s="473"/>
      <c r="M3638" s="473"/>
    </row>
    <row r="3639" spans="5:13">
      <c r="E3639" s="473"/>
      <c r="F3639" s="473"/>
      <c r="G3639" s="473"/>
      <c r="H3639" s="473"/>
      <c r="I3639" s="473"/>
      <c r="J3639" s="473"/>
      <c r="K3639" s="473"/>
      <c r="L3639" s="473"/>
      <c r="M3639" s="473"/>
    </row>
    <row r="3640" spans="5:13">
      <c r="E3640" s="473"/>
      <c r="F3640" s="473"/>
      <c r="G3640" s="473"/>
      <c r="H3640" s="481" t="s">
        <v>3262</v>
      </c>
      <c r="I3640" s="473"/>
      <c r="J3640" s="473"/>
      <c r="K3640" s="473"/>
      <c r="L3640" s="473"/>
      <c r="M3640" s="473"/>
    </row>
    <row r="3641" spans="5:13" ht="78.75">
      <c r="E3641" s="473"/>
      <c r="F3641" s="473"/>
      <c r="G3641" s="473"/>
      <c r="H3641" s="495" t="s">
        <v>3263</v>
      </c>
      <c r="I3641" s="473"/>
      <c r="J3641" s="473"/>
      <c r="K3641" s="473"/>
      <c r="L3641" s="473"/>
      <c r="M3641" s="473"/>
    </row>
    <row r="3642" spans="5:13">
      <c r="E3642" s="473"/>
      <c r="F3642" s="473"/>
      <c r="G3642" s="473"/>
      <c r="H3642" s="473"/>
      <c r="I3642" s="473"/>
      <c r="J3642" s="473"/>
      <c r="K3642" s="473"/>
      <c r="L3642" s="473"/>
      <c r="M3642" s="473"/>
    </row>
    <row r="3643" spans="5:13">
      <c r="E3643" s="473"/>
      <c r="F3643" s="473">
        <v>1.5</v>
      </c>
      <c r="G3643" s="473" t="s">
        <v>840</v>
      </c>
      <c r="H3643" s="473" t="s">
        <v>3274</v>
      </c>
      <c r="I3643" s="474">
        <v>218.3</v>
      </c>
      <c r="J3643" s="473" t="s">
        <v>840</v>
      </c>
      <c r="K3643" s="473">
        <f>F3643*I3643</f>
        <v>327.45</v>
      </c>
      <c r="L3643" s="473"/>
      <c r="M3643" s="473"/>
    </row>
    <row r="3644" spans="5:13">
      <c r="E3644" s="473"/>
      <c r="F3644" s="473">
        <v>2</v>
      </c>
      <c r="G3644" s="473" t="s">
        <v>3275</v>
      </c>
      <c r="H3644" s="473" t="s">
        <v>3276</v>
      </c>
      <c r="I3644" s="473">
        <f>I3613</f>
        <v>35</v>
      </c>
      <c r="J3644" s="473" t="s">
        <v>3275</v>
      </c>
      <c r="K3644" s="473">
        <f>F3644*I3644</f>
        <v>70</v>
      </c>
      <c r="L3644" s="473"/>
      <c r="M3644" s="473"/>
    </row>
    <row r="3645" spans="5:13">
      <c r="E3645" s="473"/>
      <c r="F3645" s="473">
        <v>1</v>
      </c>
      <c r="G3645" s="473" t="s">
        <v>1454</v>
      </c>
      <c r="H3645" s="473" t="s">
        <v>3264</v>
      </c>
      <c r="I3645" s="473">
        <f>I3614</f>
        <v>55</v>
      </c>
      <c r="J3645" s="473" t="s">
        <v>1454</v>
      </c>
      <c r="K3645" s="473">
        <f>F3645*I3645</f>
        <v>55</v>
      </c>
      <c r="L3645" s="473"/>
      <c r="M3645" s="473"/>
    </row>
    <row r="3646" spans="5:13">
      <c r="E3646" s="473"/>
      <c r="F3646" s="473">
        <v>1</v>
      </c>
      <c r="G3646" s="473" t="s">
        <v>1454</v>
      </c>
      <c r="H3646" s="473" t="s">
        <v>3408</v>
      </c>
      <c r="I3646" s="473">
        <f>I3615</f>
        <v>24.44</v>
      </c>
      <c r="J3646" s="473" t="s">
        <v>1454</v>
      </c>
      <c r="K3646" s="473">
        <f>F3646*I3646</f>
        <v>24.44</v>
      </c>
      <c r="L3646" s="473"/>
      <c r="M3646" s="473"/>
    </row>
    <row r="3647" spans="5:13">
      <c r="E3647" s="473"/>
      <c r="F3647" s="473">
        <v>8</v>
      </c>
      <c r="G3647" s="473" t="s">
        <v>840</v>
      </c>
      <c r="H3647" s="473" t="s">
        <v>3030</v>
      </c>
      <c r="I3647" s="473">
        <f>I3616</f>
        <v>21.8</v>
      </c>
      <c r="J3647" s="473" t="s">
        <v>3484</v>
      </c>
      <c r="K3647" s="473">
        <f>F3647*I3647</f>
        <v>174.4</v>
      </c>
      <c r="L3647" s="473"/>
      <c r="M3647" s="473"/>
    </row>
    <row r="3648" spans="5:13" ht="51" customHeight="1">
      <c r="E3648" s="473"/>
      <c r="F3648" s="473"/>
      <c r="G3648" s="473"/>
      <c r="H3648" s="495" t="s">
        <v>3031</v>
      </c>
      <c r="I3648" s="473"/>
      <c r="J3648" s="473"/>
      <c r="K3648" s="473">
        <f>K3627</f>
        <v>647</v>
      </c>
      <c r="L3648" s="473"/>
      <c r="M3648" s="473"/>
    </row>
    <row r="3649" spans="5:13" ht="42.75" customHeight="1">
      <c r="E3649" s="473"/>
      <c r="F3649" s="473"/>
      <c r="G3649" s="473"/>
      <c r="H3649" s="495" t="s">
        <v>2612</v>
      </c>
      <c r="I3649" s="473"/>
      <c r="J3649" s="473" t="s">
        <v>667</v>
      </c>
      <c r="K3649" s="473">
        <v>9.7100000000000009</v>
      </c>
      <c r="L3649" s="473">
        <f>8.32-0.52</f>
        <v>7.8</v>
      </c>
      <c r="M3649" s="473"/>
    </row>
    <row r="3650" spans="5:13">
      <c r="E3650" s="473"/>
      <c r="F3650" s="473"/>
      <c r="G3650" s="473"/>
      <c r="H3650" s="480" t="s">
        <v>2475</v>
      </c>
      <c r="I3650" s="473"/>
      <c r="J3650" s="473"/>
      <c r="K3650" s="481">
        <f>SUM(K3643:K3649)</f>
        <v>1308</v>
      </c>
      <c r="L3650" s="473"/>
      <c r="M3650" s="473"/>
    </row>
    <row r="3651" spans="5:13">
      <c r="E3651" s="473"/>
      <c r="F3651" s="473"/>
      <c r="G3651" s="473"/>
      <c r="H3651" s="473"/>
      <c r="I3651" s="473"/>
      <c r="J3651" s="473"/>
      <c r="K3651" s="473"/>
      <c r="L3651" s="473"/>
      <c r="M3651" s="473"/>
    </row>
    <row r="3652" spans="5:13">
      <c r="E3652" s="473"/>
      <c r="F3652" s="473"/>
      <c r="G3652" s="473"/>
      <c r="H3652" s="493" t="s">
        <v>2961</v>
      </c>
      <c r="I3652" s="473"/>
      <c r="J3652" s="473"/>
      <c r="K3652" s="473"/>
      <c r="L3652" s="473"/>
      <c r="M3652" s="473"/>
    </row>
    <row r="3653" spans="5:13">
      <c r="E3653" s="473"/>
      <c r="F3653" s="473"/>
      <c r="G3653" s="473"/>
      <c r="H3653" s="473"/>
      <c r="I3653" s="473"/>
      <c r="J3653" s="473"/>
      <c r="K3653" s="473"/>
      <c r="L3653" s="473"/>
      <c r="M3653" s="473"/>
    </row>
    <row r="3654" spans="5:13">
      <c r="E3654" s="473"/>
      <c r="F3654" s="473"/>
      <c r="G3654" s="473"/>
      <c r="H3654" s="493" t="s">
        <v>3174</v>
      </c>
      <c r="I3654" s="473"/>
      <c r="J3654" s="473"/>
      <c r="K3654" s="473"/>
      <c r="L3654" s="473"/>
      <c r="M3654" s="473"/>
    </row>
    <row r="3655" spans="5:13">
      <c r="E3655" s="473"/>
      <c r="F3655" s="473"/>
      <c r="G3655" s="473"/>
      <c r="H3655" s="473"/>
      <c r="I3655" s="473"/>
      <c r="J3655" s="473"/>
      <c r="K3655" s="473"/>
      <c r="L3655" s="473"/>
      <c r="M3655" s="473"/>
    </row>
    <row r="3656" spans="5:13" ht="346.5">
      <c r="E3656" s="473"/>
      <c r="F3656" s="473"/>
      <c r="G3656" s="473"/>
      <c r="H3656" s="495" t="s">
        <v>2657</v>
      </c>
      <c r="I3656" s="473"/>
      <c r="J3656" s="473"/>
      <c r="K3656" s="473"/>
      <c r="L3656" s="473"/>
      <c r="M3656" s="473"/>
    </row>
    <row r="3657" spans="5:13">
      <c r="E3657" s="473"/>
      <c r="F3657" s="473"/>
      <c r="G3657" s="473"/>
      <c r="H3657" s="473"/>
      <c r="I3657" s="473"/>
      <c r="J3657" s="473"/>
      <c r="K3657" s="473"/>
      <c r="L3657" s="473"/>
      <c r="M3657" s="473"/>
    </row>
    <row r="3658" spans="5:13">
      <c r="E3658" s="473"/>
      <c r="F3658" s="473"/>
      <c r="G3658" s="473"/>
      <c r="H3658" s="481" t="s">
        <v>2982</v>
      </c>
      <c r="I3658" s="473"/>
      <c r="K3658" s="473"/>
      <c r="L3658" s="473"/>
      <c r="M3658" s="473"/>
    </row>
    <row r="3659" spans="5:13" ht="47.25">
      <c r="E3659" s="473"/>
      <c r="F3659" s="473">
        <v>1</v>
      </c>
      <c r="G3659" s="473" t="s">
        <v>1454</v>
      </c>
      <c r="H3659" s="495" t="s">
        <v>2983</v>
      </c>
      <c r="I3659" s="473">
        <v>225</v>
      </c>
      <c r="J3659" s="473" t="s">
        <v>1454</v>
      </c>
      <c r="K3659" s="473">
        <f>F3659*I3659</f>
        <v>225</v>
      </c>
      <c r="L3659" s="473"/>
      <c r="M3659" s="473"/>
    </row>
    <row r="3660" spans="5:13">
      <c r="E3660" s="473"/>
      <c r="F3660" s="473">
        <v>1</v>
      </c>
      <c r="G3660" s="473" t="s">
        <v>1454</v>
      </c>
      <c r="H3660" s="473" t="s">
        <v>2984</v>
      </c>
      <c r="I3660" s="473">
        <f>K3674</f>
        <v>219.96</v>
      </c>
      <c r="J3660" s="473" t="s">
        <v>1454</v>
      </c>
      <c r="K3660" s="473">
        <f t="shared" ref="K3660:K3670" si="106">F3660*I3660</f>
        <v>219.96</v>
      </c>
      <c r="L3660" s="473"/>
      <c r="M3660" s="473"/>
    </row>
    <row r="3661" spans="5:13">
      <c r="E3661" s="473"/>
      <c r="F3661" s="473">
        <v>1</v>
      </c>
      <c r="G3661" s="473" t="s">
        <v>1454</v>
      </c>
      <c r="H3661" s="473" t="s">
        <v>2985</v>
      </c>
      <c r="I3661" s="474">
        <v>97.5</v>
      </c>
      <c r="J3661" s="473" t="s">
        <v>1454</v>
      </c>
      <c r="K3661" s="473">
        <f t="shared" si="106"/>
        <v>97.5</v>
      </c>
      <c r="L3661" s="473"/>
      <c r="M3661" s="473"/>
    </row>
    <row r="3662" spans="5:13">
      <c r="E3662" s="473"/>
      <c r="F3662" s="473">
        <v>1</v>
      </c>
      <c r="G3662" s="473" t="s">
        <v>1454</v>
      </c>
      <c r="H3662" s="473" t="s">
        <v>2986</v>
      </c>
      <c r="I3662" s="473">
        <f>I3478</f>
        <v>25</v>
      </c>
      <c r="J3662" s="473" t="s">
        <v>1454</v>
      </c>
      <c r="K3662" s="473">
        <f t="shared" si="106"/>
        <v>25</v>
      </c>
      <c r="L3662" s="473"/>
      <c r="M3662" s="473"/>
    </row>
    <row r="3663" spans="5:13">
      <c r="E3663" s="473"/>
      <c r="F3663" s="473">
        <v>5</v>
      </c>
      <c r="G3663" s="473" t="s">
        <v>840</v>
      </c>
      <c r="H3663" s="473" t="s">
        <v>3401</v>
      </c>
      <c r="I3663" s="474">
        <v>102.8</v>
      </c>
      <c r="J3663" s="473" t="s">
        <v>840</v>
      </c>
      <c r="K3663" s="473">
        <f t="shared" si="106"/>
        <v>514</v>
      </c>
      <c r="L3663" s="473"/>
      <c r="M3663" s="473"/>
    </row>
    <row r="3664" spans="5:13" ht="31.5">
      <c r="E3664" s="473"/>
      <c r="F3664" s="473">
        <v>20</v>
      </c>
      <c r="G3664" s="473" t="s">
        <v>840</v>
      </c>
      <c r="H3664" s="495" t="s">
        <v>2829</v>
      </c>
      <c r="I3664" s="473">
        <f>I3098</f>
        <v>34.6</v>
      </c>
      <c r="J3664" s="473" t="s">
        <v>840</v>
      </c>
      <c r="K3664" s="473">
        <f t="shared" si="106"/>
        <v>692</v>
      </c>
      <c r="L3664" s="473"/>
      <c r="M3664" s="473"/>
    </row>
    <row r="3665" spans="4:13">
      <c r="E3665" s="473"/>
      <c r="F3665" s="473"/>
      <c r="G3665" s="473"/>
      <c r="H3665" s="481" t="s">
        <v>3402</v>
      </c>
      <c r="I3665" s="473"/>
      <c r="J3665" s="473"/>
      <c r="K3665" s="473"/>
      <c r="L3665" s="473"/>
      <c r="M3665" s="473"/>
    </row>
    <row r="3666" spans="4:13" ht="56.25" customHeight="1">
      <c r="E3666" s="473"/>
      <c r="F3666" s="473">
        <v>1</v>
      </c>
      <c r="G3666" s="473" t="s">
        <v>1454</v>
      </c>
      <c r="H3666" s="495" t="s">
        <v>3436</v>
      </c>
      <c r="I3666" s="473">
        <v>225</v>
      </c>
      <c r="J3666" s="473" t="s">
        <v>1454</v>
      </c>
      <c r="K3666" s="473">
        <f t="shared" si="106"/>
        <v>225</v>
      </c>
      <c r="L3666" s="473"/>
      <c r="M3666" s="473"/>
    </row>
    <row r="3667" spans="4:13">
      <c r="E3667" s="473"/>
      <c r="F3667" s="473">
        <v>1</v>
      </c>
      <c r="G3667" s="473" t="s">
        <v>1454</v>
      </c>
      <c r="H3667" s="473" t="s">
        <v>3437</v>
      </c>
      <c r="I3667" s="623">
        <v>885</v>
      </c>
      <c r="J3667" s="473" t="s">
        <v>1454</v>
      </c>
      <c r="K3667" s="473">
        <f t="shared" si="106"/>
        <v>885</v>
      </c>
      <c r="L3667" s="473"/>
      <c r="M3667" s="473"/>
    </row>
    <row r="3668" spans="4:13">
      <c r="E3668" s="473"/>
      <c r="F3668" s="473">
        <v>1</v>
      </c>
      <c r="G3668" s="473" t="s">
        <v>1454</v>
      </c>
      <c r="H3668" s="473" t="s">
        <v>3438</v>
      </c>
      <c r="I3668" s="473">
        <v>93.5</v>
      </c>
      <c r="J3668" s="473" t="s">
        <v>1454</v>
      </c>
      <c r="K3668" s="473">
        <f t="shared" si="106"/>
        <v>93.5</v>
      </c>
      <c r="L3668" s="473"/>
      <c r="M3668" s="473"/>
    </row>
    <row r="3669" spans="4:13">
      <c r="E3669" s="473"/>
      <c r="F3669" s="473">
        <v>1</v>
      </c>
      <c r="G3669" s="473" t="s">
        <v>1454</v>
      </c>
      <c r="H3669" s="473" t="s">
        <v>3439</v>
      </c>
      <c r="I3669" s="473">
        <v>89.6</v>
      </c>
      <c r="J3669" s="473" t="s">
        <v>1454</v>
      </c>
      <c r="K3669" s="473">
        <f t="shared" si="106"/>
        <v>89.6</v>
      </c>
      <c r="L3669" s="473"/>
      <c r="M3669" s="473"/>
    </row>
    <row r="3670" spans="4:13">
      <c r="E3670" s="473"/>
      <c r="F3670" s="473">
        <v>1</v>
      </c>
      <c r="G3670" s="473" t="s">
        <v>1454</v>
      </c>
      <c r="H3670" s="473" t="s">
        <v>2984</v>
      </c>
      <c r="I3670" s="473">
        <f>K3674</f>
        <v>219.96</v>
      </c>
      <c r="J3670" s="473" t="s">
        <v>1454</v>
      </c>
      <c r="K3670" s="473">
        <f t="shared" si="106"/>
        <v>219.96</v>
      </c>
      <c r="L3670" s="473"/>
      <c r="M3670" s="473"/>
    </row>
    <row r="3671" spans="4:13">
      <c r="D3671" s="497">
        <f>0.6*0.225*0.02</f>
        <v>2.7000000000000001E-3</v>
      </c>
      <c r="E3671" s="473"/>
      <c r="F3671" s="473"/>
      <c r="G3671" s="473"/>
      <c r="H3671" s="473" t="s">
        <v>2746</v>
      </c>
      <c r="I3671" s="473"/>
      <c r="J3671" s="473"/>
      <c r="K3671" s="473">
        <f>K3627</f>
        <v>647</v>
      </c>
      <c r="L3671" s="473"/>
      <c r="M3671" s="473"/>
    </row>
    <row r="3672" spans="4:13" ht="41.25" customHeight="1">
      <c r="E3672" s="473"/>
      <c r="F3672" s="473"/>
      <c r="G3672" s="473"/>
      <c r="H3672" s="495" t="s">
        <v>2747</v>
      </c>
      <c r="I3672" s="473"/>
      <c r="J3672" s="473"/>
      <c r="K3672" s="473">
        <v>6.48</v>
      </c>
      <c r="L3672" s="473"/>
      <c r="M3672" s="473"/>
    </row>
    <row r="3673" spans="4:13">
      <c r="E3673" s="473"/>
      <c r="F3673" s="473"/>
      <c r="G3673" s="473"/>
      <c r="H3673" s="478" t="s">
        <v>1100</v>
      </c>
      <c r="I3673" s="473"/>
      <c r="J3673" s="473"/>
      <c r="K3673" s="481">
        <f>SUM(K3659:K3672)</f>
        <v>3940</v>
      </c>
      <c r="L3673" s="473"/>
      <c r="M3673" s="473"/>
    </row>
    <row r="3674" spans="4:13">
      <c r="E3674" s="473"/>
      <c r="F3674" s="473"/>
      <c r="G3674" s="473"/>
      <c r="H3674" s="481" t="s">
        <v>3412</v>
      </c>
      <c r="I3674" s="473">
        <f>I3628</f>
        <v>81467</v>
      </c>
      <c r="J3674" s="487">
        <v>2.7000000000000001E-3</v>
      </c>
      <c r="K3674" s="481">
        <f>I3674*J3674</f>
        <v>219.96</v>
      </c>
      <c r="L3674" s="473"/>
      <c r="M3674" s="473"/>
    </row>
    <row r="3675" spans="4:13">
      <c r="E3675" s="473"/>
      <c r="F3675" s="473"/>
      <c r="G3675" s="473"/>
      <c r="H3675" s="481" t="s">
        <v>2748</v>
      </c>
      <c r="I3675" s="473"/>
      <c r="J3675" s="473"/>
      <c r="K3675" s="473"/>
      <c r="L3675" s="473"/>
      <c r="M3675" s="473"/>
    </row>
    <row r="3676" spans="4:13">
      <c r="E3676" s="473"/>
      <c r="F3676" s="473"/>
      <c r="G3676" s="473"/>
      <c r="H3676" s="481"/>
      <c r="I3676" s="473"/>
      <c r="J3676" s="473"/>
      <c r="K3676" s="473"/>
      <c r="L3676" s="473"/>
      <c r="M3676" s="473"/>
    </row>
    <row r="3677" spans="4:13" ht="31.5">
      <c r="E3677" s="473"/>
      <c r="F3677" s="473"/>
      <c r="G3677" s="473"/>
      <c r="H3677" s="471" t="s">
        <v>1802</v>
      </c>
      <c r="I3677" s="473"/>
      <c r="J3677" s="473"/>
      <c r="K3677" s="473"/>
      <c r="L3677" s="473"/>
      <c r="M3677" s="473"/>
    </row>
    <row r="3678" spans="4:13">
      <c r="E3678" s="473"/>
      <c r="F3678" s="473"/>
      <c r="G3678" s="473"/>
      <c r="H3678" s="473" t="s">
        <v>813</v>
      </c>
      <c r="I3678" s="473"/>
      <c r="J3678" s="473"/>
      <c r="K3678" s="473"/>
      <c r="L3678" s="473"/>
      <c r="M3678" s="473"/>
    </row>
    <row r="3679" spans="4:13" ht="39" customHeight="1">
      <c r="E3679" s="473"/>
      <c r="F3679" s="473">
        <v>90</v>
      </c>
      <c r="G3679" s="473" t="s">
        <v>374</v>
      </c>
      <c r="H3679" s="472" t="s">
        <v>2293</v>
      </c>
      <c r="I3679" s="473">
        <f>I2996</f>
        <v>20.399999999999999</v>
      </c>
      <c r="J3679" s="473" t="s">
        <v>374</v>
      </c>
      <c r="K3679" s="473">
        <f>F3679*I3679</f>
        <v>1836</v>
      </c>
      <c r="L3679" s="473"/>
      <c r="M3679" s="473"/>
    </row>
    <row r="3680" spans="4:13">
      <c r="E3680" s="473"/>
      <c r="F3680" s="473">
        <v>0.15</v>
      </c>
      <c r="G3680" s="473" t="s">
        <v>528</v>
      </c>
      <c r="H3680" s="473" t="s">
        <v>877</v>
      </c>
      <c r="I3680" s="474">
        <v>5500</v>
      </c>
      <c r="J3680" s="473" t="s">
        <v>528</v>
      </c>
      <c r="K3680" s="473">
        <f>F3680*I3680</f>
        <v>825</v>
      </c>
      <c r="L3680" s="473"/>
      <c r="M3680" s="473"/>
    </row>
    <row r="3681" spans="5:13">
      <c r="E3681" s="473"/>
      <c r="F3681" s="473">
        <v>1</v>
      </c>
      <c r="G3681" s="473" t="s">
        <v>781</v>
      </c>
      <c r="H3681" s="473" t="s">
        <v>373</v>
      </c>
      <c r="I3681" s="473">
        <f>I3623</f>
        <v>317</v>
      </c>
      <c r="J3681" s="473" t="s">
        <v>781</v>
      </c>
      <c r="K3681" s="473">
        <f>F3681*I3681</f>
        <v>317</v>
      </c>
      <c r="L3681" s="473"/>
      <c r="M3681" s="473"/>
    </row>
    <row r="3682" spans="5:13">
      <c r="E3682" s="473"/>
      <c r="F3682" s="473">
        <v>2</v>
      </c>
      <c r="G3682" s="473" t="s">
        <v>781</v>
      </c>
      <c r="H3682" s="473" t="s">
        <v>1791</v>
      </c>
      <c r="I3682" s="474">
        <f>I2871</f>
        <v>326</v>
      </c>
      <c r="J3682" s="473" t="s">
        <v>781</v>
      </c>
      <c r="K3682" s="473">
        <f>F3682*I3682</f>
        <v>652</v>
      </c>
      <c r="L3682" s="473"/>
      <c r="M3682" s="473"/>
    </row>
    <row r="3683" spans="5:13">
      <c r="E3683" s="473"/>
      <c r="F3683" s="473">
        <v>4</v>
      </c>
      <c r="G3683" s="473" t="s">
        <v>781</v>
      </c>
      <c r="H3683" s="473" t="s">
        <v>1343</v>
      </c>
      <c r="I3683" s="473">
        <f>I3590</f>
        <v>226</v>
      </c>
      <c r="J3683" s="473" t="s">
        <v>781</v>
      </c>
      <c r="K3683" s="473">
        <f>F3683*I3683</f>
        <v>904</v>
      </c>
      <c r="L3683" s="473"/>
      <c r="M3683" s="473"/>
    </row>
    <row r="3684" spans="5:13" ht="31.5">
      <c r="E3684" s="473"/>
      <c r="F3684" s="473"/>
      <c r="G3684" s="473"/>
      <c r="H3684" s="472" t="s">
        <v>375</v>
      </c>
      <c r="I3684" s="473"/>
      <c r="J3684" s="473"/>
      <c r="K3684" s="473">
        <v>11</v>
      </c>
      <c r="L3684" s="473">
        <f>37.4*90</f>
        <v>3366</v>
      </c>
      <c r="M3684" s="473"/>
    </row>
    <row r="3685" spans="5:13">
      <c r="E3685" s="473"/>
      <c r="F3685" s="473"/>
      <c r="G3685" s="473"/>
      <c r="H3685" s="478" t="s">
        <v>2354</v>
      </c>
      <c r="I3685" s="473"/>
      <c r="J3685" s="473"/>
      <c r="K3685" s="473">
        <f>SUM(K3679:K3684)</f>
        <v>4545</v>
      </c>
      <c r="L3685" s="473">
        <f>40.8*90</f>
        <v>3672</v>
      </c>
      <c r="M3685" s="473"/>
    </row>
    <row r="3686" spans="5:13">
      <c r="E3686" s="473"/>
      <c r="F3686" s="473"/>
      <c r="G3686" s="473"/>
      <c r="H3686" s="480" t="s">
        <v>1167</v>
      </c>
      <c r="I3686" s="473"/>
      <c r="J3686" s="473"/>
      <c r="K3686" s="498">
        <f>K3685/90</f>
        <v>50.5</v>
      </c>
      <c r="L3686" s="473">
        <f>L3685-K3685</f>
        <v>-873</v>
      </c>
      <c r="M3686" s="473"/>
    </row>
    <row r="3687" spans="5:13">
      <c r="E3687" s="473"/>
      <c r="F3687" s="473"/>
      <c r="G3687" s="473"/>
      <c r="H3687" s="473"/>
      <c r="I3687" s="473"/>
      <c r="J3687" s="473"/>
      <c r="K3687" s="473"/>
      <c r="L3687" s="473"/>
      <c r="M3687" s="473"/>
    </row>
    <row r="3688" spans="5:13">
      <c r="E3688" s="473"/>
      <c r="F3688" s="473"/>
      <c r="G3688" s="473"/>
      <c r="H3688" s="481" t="s">
        <v>2749</v>
      </c>
      <c r="I3688" s="473"/>
      <c r="J3688" s="473"/>
      <c r="K3688" s="473"/>
      <c r="L3688" s="473"/>
      <c r="M3688" s="473"/>
    </row>
    <row r="3689" spans="5:13">
      <c r="E3689" s="473"/>
      <c r="F3689" s="473"/>
      <c r="G3689" s="473"/>
      <c r="H3689" s="473" t="s">
        <v>2750</v>
      </c>
      <c r="I3689" s="473"/>
      <c r="J3689" s="473"/>
      <c r="K3689" s="473">
        <f>K3686</f>
        <v>50.5</v>
      </c>
      <c r="L3689" s="473"/>
      <c r="M3689" s="473"/>
    </row>
    <row r="3690" spans="5:13">
      <c r="E3690" s="473"/>
      <c r="F3690" s="473">
        <v>1</v>
      </c>
      <c r="G3690" s="473" t="s">
        <v>840</v>
      </c>
      <c r="H3690" s="473" t="s">
        <v>2751</v>
      </c>
      <c r="I3690" s="473">
        <f>I3679</f>
        <v>20.399999999999999</v>
      </c>
      <c r="J3690" s="473" t="s">
        <v>840</v>
      </c>
      <c r="K3690" s="473">
        <f>F3690*I3690</f>
        <v>20.399999999999999</v>
      </c>
      <c r="L3690" s="473"/>
      <c r="M3690" s="473"/>
    </row>
    <row r="3691" spans="5:13">
      <c r="E3691" s="473"/>
      <c r="F3691" s="473">
        <v>1</v>
      </c>
      <c r="G3691" s="473" t="s">
        <v>840</v>
      </c>
      <c r="H3691" s="473" t="s">
        <v>2752</v>
      </c>
      <c r="I3691" s="474">
        <v>30.3</v>
      </c>
      <c r="J3691" s="473" t="s">
        <v>840</v>
      </c>
      <c r="K3691" s="473">
        <f>F3691*I3691</f>
        <v>30.3</v>
      </c>
      <c r="L3691" s="473"/>
      <c r="M3691" s="473"/>
    </row>
    <row r="3692" spans="5:13">
      <c r="E3692" s="473"/>
      <c r="F3692" s="473"/>
      <c r="G3692" s="473"/>
      <c r="H3692" s="473"/>
      <c r="I3692" s="473"/>
      <c r="J3692" s="473"/>
      <c r="K3692" s="481">
        <f>(K3689-K3690)+K3691</f>
        <v>60.4</v>
      </c>
      <c r="L3692" s="473"/>
      <c r="M3692" s="473"/>
    </row>
    <row r="3693" spans="5:13">
      <c r="E3693" s="473"/>
      <c r="F3693" s="473"/>
      <c r="G3693" s="473"/>
      <c r="H3693" s="481" t="s">
        <v>2753</v>
      </c>
      <c r="I3693" s="473"/>
      <c r="J3693" s="473"/>
      <c r="K3693" s="473"/>
      <c r="L3693" s="473"/>
      <c r="M3693" s="473"/>
    </row>
    <row r="3694" spans="5:13">
      <c r="E3694" s="473"/>
      <c r="F3694" s="473"/>
      <c r="G3694" s="473"/>
      <c r="H3694" s="481"/>
      <c r="I3694" s="473"/>
      <c r="J3694" s="473"/>
      <c r="K3694" s="473"/>
      <c r="L3694" s="473"/>
      <c r="M3694" s="473"/>
    </row>
    <row r="3695" spans="5:13">
      <c r="E3695" s="473"/>
      <c r="F3695" s="473"/>
      <c r="G3695" s="473"/>
      <c r="H3695" s="481" t="s">
        <v>2754</v>
      </c>
      <c r="I3695" s="473"/>
      <c r="J3695" s="473"/>
      <c r="K3695" s="473"/>
      <c r="L3695" s="473"/>
      <c r="M3695" s="473"/>
    </row>
    <row r="3696" spans="5:13">
      <c r="E3696" s="473"/>
      <c r="F3696" s="473">
        <v>1</v>
      </c>
      <c r="G3696" s="473" t="s">
        <v>1454</v>
      </c>
      <c r="H3696" s="473" t="s">
        <v>3665</v>
      </c>
      <c r="I3696" s="474">
        <v>44</v>
      </c>
      <c r="J3696" s="473" t="s">
        <v>1454</v>
      </c>
      <c r="K3696" s="473">
        <f>F3696*I3696</f>
        <v>44</v>
      </c>
      <c r="L3696" s="473"/>
      <c r="M3696" s="473"/>
    </row>
    <row r="3697" spans="5:13" ht="20.25" customHeight="1">
      <c r="E3697" s="473"/>
      <c r="F3697" s="476">
        <v>1.4999999999999999E-2</v>
      </c>
      <c r="G3697" s="473" t="s">
        <v>2371</v>
      </c>
      <c r="H3697" s="495" t="s">
        <v>3666</v>
      </c>
      <c r="I3697" s="473">
        <f>I3000</f>
        <v>672</v>
      </c>
      <c r="J3697" s="473" t="s">
        <v>2371</v>
      </c>
      <c r="K3697" s="473">
        <f>F3697*I3697</f>
        <v>10.08</v>
      </c>
      <c r="L3697" s="473"/>
      <c r="M3697" s="473"/>
    </row>
    <row r="3698" spans="5:13">
      <c r="E3698" s="473"/>
      <c r="F3698" s="473"/>
      <c r="G3698" s="473"/>
      <c r="H3698" s="473" t="s">
        <v>3654</v>
      </c>
      <c r="I3698" s="473"/>
      <c r="J3698" s="473" t="s">
        <v>667</v>
      </c>
      <c r="K3698" s="473">
        <v>4.92</v>
      </c>
      <c r="L3698" s="473"/>
      <c r="M3698" s="473"/>
    </row>
    <row r="3699" spans="5:13">
      <c r="E3699" s="473"/>
      <c r="F3699" s="473"/>
      <c r="G3699" s="473"/>
      <c r="H3699" s="480" t="s">
        <v>1100</v>
      </c>
      <c r="I3699" s="473"/>
      <c r="J3699" s="473"/>
      <c r="K3699" s="481">
        <f>SUM(K3696:K3698)</f>
        <v>59</v>
      </c>
      <c r="L3699" s="473"/>
      <c r="M3699" s="473"/>
    </row>
    <row r="3700" spans="5:13">
      <c r="E3700" s="473"/>
      <c r="F3700" s="473"/>
      <c r="G3700" s="473"/>
      <c r="H3700" s="473"/>
      <c r="I3700" s="473"/>
      <c r="J3700" s="473"/>
      <c r="K3700" s="473"/>
      <c r="L3700" s="473"/>
      <c r="M3700" s="473"/>
    </row>
    <row r="3701" spans="5:13">
      <c r="E3701" s="473"/>
      <c r="F3701" s="473"/>
      <c r="G3701" s="473"/>
      <c r="H3701" s="481" t="s">
        <v>3655</v>
      </c>
      <c r="I3701" s="473"/>
      <c r="J3701" s="473"/>
      <c r="K3701" s="473"/>
      <c r="L3701" s="473"/>
      <c r="M3701" s="473"/>
    </row>
    <row r="3702" spans="5:13">
      <c r="E3702" s="473"/>
      <c r="F3702" s="473"/>
      <c r="G3702" s="473"/>
      <c r="H3702" s="473"/>
      <c r="I3702" s="473"/>
      <c r="J3702" s="473"/>
      <c r="K3702" s="473"/>
      <c r="L3702" s="473"/>
      <c r="M3702" s="473"/>
    </row>
    <row r="3703" spans="5:13" ht="51.75" customHeight="1">
      <c r="E3703" s="473"/>
      <c r="F3703" s="473"/>
      <c r="G3703" s="473"/>
      <c r="H3703" s="495" t="s">
        <v>3577</v>
      </c>
      <c r="I3703" s="473"/>
      <c r="J3703" s="473"/>
      <c r="K3703" s="473"/>
      <c r="L3703" s="473"/>
      <c r="M3703" s="473"/>
    </row>
    <row r="3704" spans="5:13">
      <c r="E3704" s="473"/>
      <c r="F3704" s="473"/>
      <c r="G3704" s="473"/>
      <c r="H3704" s="473"/>
      <c r="I3704" s="473"/>
      <c r="J3704" s="473"/>
      <c r="K3704" s="473"/>
      <c r="L3704" s="473"/>
      <c r="M3704" s="473"/>
    </row>
    <row r="3705" spans="5:13">
      <c r="E3705" s="473"/>
      <c r="F3705" s="473">
        <v>1</v>
      </c>
      <c r="G3705" s="473" t="s">
        <v>1454</v>
      </c>
      <c r="H3705" s="473" t="s">
        <v>3656</v>
      </c>
      <c r="I3705" s="474">
        <v>16.399999999999999</v>
      </c>
      <c r="J3705" s="473" t="s">
        <v>1454</v>
      </c>
      <c r="K3705" s="473">
        <f>F3705*I3705</f>
        <v>16.399999999999999</v>
      </c>
      <c r="L3705" s="473"/>
      <c r="M3705" s="473"/>
    </row>
    <row r="3706" spans="5:13">
      <c r="E3706" s="473"/>
      <c r="F3706" s="473">
        <v>0.01</v>
      </c>
      <c r="G3706" s="473" t="s">
        <v>3657</v>
      </c>
      <c r="H3706" s="473" t="s">
        <v>3666</v>
      </c>
      <c r="I3706" s="473">
        <f>I3697</f>
        <v>672</v>
      </c>
      <c r="J3706" s="473" t="s">
        <v>2371</v>
      </c>
      <c r="K3706" s="473">
        <f>F3706*I3706</f>
        <v>6.72</v>
      </c>
      <c r="L3706" s="473"/>
      <c r="M3706" s="473"/>
    </row>
    <row r="3707" spans="5:13">
      <c r="E3707" s="473"/>
      <c r="F3707" s="473">
        <v>1</v>
      </c>
      <c r="G3707" s="473" t="s">
        <v>1454</v>
      </c>
      <c r="H3707" s="473" t="s">
        <v>3658</v>
      </c>
      <c r="I3707" s="474">
        <v>24</v>
      </c>
      <c r="J3707" s="473" t="s">
        <v>1454</v>
      </c>
      <c r="K3707" s="473">
        <f>F3707*I3707</f>
        <v>24</v>
      </c>
      <c r="L3707" s="473"/>
      <c r="M3707" s="473"/>
    </row>
    <row r="3708" spans="5:13">
      <c r="E3708" s="473"/>
      <c r="F3708" s="473"/>
      <c r="G3708" s="473"/>
      <c r="H3708" s="473" t="s">
        <v>3659</v>
      </c>
      <c r="I3708" s="473" t="s">
        <v>667</v>
      </c>
      <c r="J3708" s="473"/>
      <c r="K3708" s="473">
        <v>5.88</v>
      </c>
      <c r="L3708" s="473"/>
      <c r="M3708" s="473"/>
    </row>
    <row r="3709" spans="5:13">
      <c r="E3709" s="473"/>
      <c r="F3709" s="473"/>
      <c r="G3709" s="473"/>
      <c r="H3709" s="480" t="s">
        <v>3660</v>
      </c>
      <c r="I3709" s="473"/>
      <c r="J3709" s="473"/>
      <c r="K3709" s="481">
        <f>SUM(K3705:K3708)</f>
        <v>53</v>
      </c>
      <c r="L3709" s="473"/>
      <c r="M3709" s="473"/>
    </row>
    <row r="3710" spans="5:13">
      <c r="E3710" s="473"/>
      <c r="F3710" s="473"/>
      <c r="G3710" s="473"/>
      <c r="H3710" s="473"/>
      <c r="I3710" s="473"/>
      <c r="J3710" s="473"/>
      <c r="K3710" s="473"/>
      <c r="L3710" s="473"/>
      <c r="M3710" s="473"/>
    </row>
    <row r="3711" spans="5:13">
      <c r="E3711" s="473"/>
      <c r="F3711" s="473"/>
      <c r="G3711" s="473"/>
      <c r="H3711" s="481" t="s">
        <v>3661</v>
      </c>
      <c r="I3711" s="473"/>
      <c r="J3711" s="473"/>
      <c r="K3711" s="473"/>
      <c r="L3711" s="473"/>
      <c r="M3711" s="473"/>
    </row>
    <row r="3712" spans="5:13">
      <c r="E3712" s="473"/>
      <c r="F3712" s="473"/>
      <c r="G3712" s="473"/>
      <c r="H3712" s="473"/>
      <c r="I3712" s="473"/>
      <c r="J3712" s="473"/>
      <c r="K3712" s="473"/>
      <c r="L3712" s="473"/>
      <c r="M3712" s="473"/>
    </row>
    <row r="3713" spans="5:13" ht="299.25">
      <c r="E3713" s="473"/>
      <c r="F3713" s="473"/>
      <c r="G3713" s="473"/>
      <c r="H3713" s="495" t="s">
        <v>3139</v>
      </c>
      <c r="I3713" s="473"/>
      <c r="J3713" s="473"/>
      <c r="K3713" s="473"/>
      <c r="L3713" s="473"/>
      <c r="M3713" s="473"/>
    </row>
    <row r="3714" spans="5:13">
      <c r="E3714" s="473"/>
      <c r="F3714" s="473"/>
      <c r="G3714" s="473"/>
      <c r="H3714" s="473"/>
      <c r="I3714" s="473"/>
      <c r="J3714" s="473"/>
      <c r="K3714" s="473"/>
      <c r="L3714" s="473"/>
      <c r="M3714" s="473"/>
    </row>
    <row r="3715" spans="5:13">
      <c r="F3715" s="473">
        <v>6</v>
      </c>
      <c r="G3715" s="473" t="s">
        <v>840</v>
      </c>
      <c r="H3715" s="473" t="s">
        <v>3582</v>
      </c>
      <c r="I3715" s="474">
        <v>254.65</v>
      </c>
      <c r="J3715" s="473" t="s">
        <v>840</v>
      </c>
      <c r="K3715" s="473">
        <f>F3715*I3715</f>
        <v>1527.9</v>
      </c>
      <c r="L3715" s="473"/>
      <c r="M3715" s="473"/>
    </row>
    <row r="3716" spans="5:13">
      <c r="F3716" s="473">
        <v>2</v>
      </c>
      <c r="G3716" s="473" t="s">
        <v>840</v>
      </c>
      <c r="H3716" s="473" t="s">
        <v>3583</v>
      </c>
      <c r="I3716" s="474">
        <v>102.8</v>
      </c>
      <c r="J3716" s="473" t="s">
        <v>840</v>
      </c>
      <c r="K3716" s="473">
        <f>F3716*I3716</f>
        <v>205.6</v>
      </c>
      <c r="L3716" s="473"/>
      <c r="M3716" s="473"/>
    </row>
    <row r="3717" spans="5:13">
      <c r="F3717" s="473">
        <v>1</v>
      </c>
      <c r="G3717" s="473" t="s">
        <v>1454</v>
      </c>
      <c r="H3717" s="473" t="s">
        <v>3584</v>
      </c>
      <c r="I3717" s="473">
        <v>130</v>
      </c>
      <c r="J3717" s="473" t="s">
        <v>1454</v>
      </c>
      <c r="K3717" s="473">
        <f>F3717*I3717</f>
        <v>130</v>
      </c>
      <c r="L3717" s="473"/>
      <c r="M3717" s="473"/>
    </row>
    <row r="3718" spans="5:13">
      <c r="F3718" s="473">
        <v>1</v>
      </c>
      <c r="G3718" s="473" t="s">
        <v>1454</v>
      </c>
      <c r="H3718" s="473" t="s">
        <v>3585</v>
      </c>
      <c r="I3718" s="623">
        <v>109</v>
      </c>
      <c r="J3718" s="473" t="s">
        <v>1454</v>
      </c>
      <c r="K3718" s="473">
        <f>F3718*I3718</f>
        <v>109</v>
      </c>
      <c r="L3718" s="473"/>
      <c r="M3718" s="473"/>
    </row>
    <row r="3719" spans="5:13">
      <c r="F3719" s="476">
        <v>0.23799999999999999</v>
      </c>
      <c r="G3719" s="473" t="s">
        <v>2226</v>
      </c>
      <c r="H3719" s="473" t="s">
        <v>2981</v>
      </c>
      <c r="I3719" s="474">
        <v>3700</v>
      </c>
      <c r="J3719" s="473" t="s">
        <v>2226</v>
      </c>
      <c r="K3719" s="473">
        <f>F3719*I3719</f>
        <v>880.6</v>
      </c>
      <c r="L3719" s="473">
        <f>Data!K218+62.16</f>
        <v>4236.28</v>
      </c>
      <c r="M3719" s="473"/>
    </row>
    <row r="3720" spans="5:13" ht="41.25" customHeight="1">
      <c r="F3720" s="473"/>
      <c r="G3720" s="473" t="s">
        <v>667</v>
      </c>
      <c r="H3720" s="495" t="s">
        <v>3225</v>
      </c>
      <c r="I3720" s="473" t="s">
        <v>667</v>
      </c>
      <c r="J3720" s="473"/>
      <c r="K3720" s="473">
        <v>225</v>
      </c>
      <c r="L3720" s="473"/>
      <c r="M3720" s="473"/>
    </row>
    <row r="3721" spans="5:13" ht="52.5" customHeight="1">
      <c r="F3721" s="473">
        <v>1</v>
      </c>
      <c r="G3721" s="473" t="s">
        <v>1454</v>
      </c>
      <c r="H3721" s="495" t="s">
        <v>2841</v>
      </c>
      <c r="I3721" s="473" t="s">
        <v>667</v>
      </c>
      <c r="J3721" s="473"/>
      <c r="K3721" s="473">
        <v>60</v>
      </c>
      <c r="L3721" s="473"/>
      <c r="M3721" s="473"/>
    </row>
    <row r="3722" spans="5:13" ht="37.5" customHeight="1">
      <c r="F3722" s="473">
        <v>8</v>
      </c>
      <c r="G3722" s="473" t="s">
        <v>840</v>
      </c>
      <c r="H3722" s="495" t="s">
        <v>2842</v>
      </c>
      <c r="I3722" s="473">
        <f>I2843</f>
        <v>14.05</v>
      </c>
      <c r="J3722" s="473"/>
      <c r="K3722" s="473">
        <f>F3722*I3722</f>
        <v>112.4</v>
      </c>
      <c r="L3722" s="473"/>
      <c r="M3722" s="473"/>
    </row>
    <row r="3723" spans="5:13">
      <c r="E3723" s="473"/>
      <c r="F3723" s="473"/>
      <c r="G3723" s="473"/>
      <c r="H3723" s="473" t="s">
        <v>931</v>
      </c>
      <c r="I3723" s="473"/>
      <c r="J3723" s="473"/>
      <c r="K3723" s="473">
        <f>K3730</f>
        <v>1210.5</v>
      </c>
      <c r="L3723" s="473"/>
      <c r="M3723" s="473"/>
    </row>
    <row r="3724" spans="5:13">
      <c r="E3724" s="473"/>
      <c r="F3724" s="473"/>
      <c r="G3724" s="473"/>
      <c r="H3724" s="480" t="s">
        <v>1100</v>
      </c>
      <c r="I3724" s="473"/>
      <c r="J3724" s="473"/>
      <c r="K3724" s="481">
        <f>SUM(K3715:K3723)</f>
        <v>4461</v>
      </c>
      <c r="L3724" s="473"/>
      <c r="M3724" s="473"/>
    </row>
    <row r="3725" spans="5:13">
      <c r="E3725" s="473"/>
      <c r="F3725" s="473"/>
      <c r="G3725" s="473"/>
      <c r="H3725" s="473"/>
      <c r="I3725" s="473"/>
      <c r="J3725" s="473"/>
      <c r="K3725" s="473"/>
      <c r="L3725" s="473"/>
      <c r="M3725" s="473"/>
    </row>
    <row r="3726" spans="5:13">
      <c r="E3726" s="473"/>
      <c r="F3726" s="473"/>
      <c r="G3726" s="473"/>
      <c r="H3726" s="479" t="s">
        <v>144</v>
      </c>
      <c r="I3726" s="473"/>
      <c r="J3726" s="473"/>
      <c r="K3726" s="473"/>
      <c r="L3726" s="473"/>
      <c r="M3726" s="473"/>
    </row>
    <row r="3727" spans="5:13">
      <c r="E3727" s="473"/>
      <c r="F3727" s="473">
        <v>0.5</v>
      </c>
      <c r="G3727" s="473" t="s">
        <v>1454</v>
      </c>
      <c r="H3727" s="473" t="s">
        <v>2901</v>
      </c>
      <c r="I3727" s="473">
        <f>I3623</f>
        <v>317</v>
      </c>
      <c r="J3727" s="473" t="s">
        <v>1454</v>
      </c>
      <c r="K3727" s="473">
        <f>F3727*I3727</f>
        <v>158.5</v>
      </c>
      <c r="L3727" s="473"/>
      <c r="M3727" s="473"/>
    </row>
    <row r="3728" spans="5:13">
      <c r="E3728" s="473"/>
      <c r="F3728" s="473">
        <v>2</v>
      </c>
      <c r="G3728" s="473" t="s">
        <v>1454</v>
      </c>
      <c r="H3728" s="473" t="s">
        <v>2711</v>
      </c>
      <c r="I3728" s="473">
        <f>I3624</f>
        <v>300</v>
      </c>
      <c r="J3728" s="473" t="s">
        <v>1454</v>
      </c>
      <c r="K3728" s="473">
        <f>F3728*I3728</f>
        <v>600</v>
      </c>
      <c r="L3728" s="473"/>
      <c r="M3728" s="473"/>
    </row>
    <row r="3729" spans="5:13">
      <c r="E3729" s="473"/>
      <c r="F3729" s="473">
        <v>2</v>
      </c>
      <c r="G3729" s="473" t="s">
        <v>1454</v>
      </c>
      <c r="H3729" s="473" t="s">
        <v>2430</v>
      </c>
      <c r="I3729" s="473">
        <f>I3625</f>
        <v>226</v>
      </c>
      <c r="J3729" s="473" t="s">
        <v>1454</v>
      </c>
      <c r="K3729" s="473">
        <f>F3729*I3729</f>
        <v>452</v>
      </c>
      <c r="L3729" s="473"/>
      <c r="M3729" s="473"/>
    </row>
    <row r="3730" spans="5:13">
      <c r="E3730" s="473"/>
      <c r="F3730" s="473"/>
      <c r="G3730" s="473"/>
      <c r="H3730" s="473"/>
      <c r="I3730" s="473"/>
      <c r="J3730" s="473"/>
      <c r="K3730" s="479">
        <f>SUM(K3727:K3729)</f>
        <v>1210.5</v>
      </c>
      <c r="L3730" s="473"/>
      <c r="M3730" s="473"/>
    </row>
    <row r="3731" spans="5:13">
      <c r="E3731" s="473"/>
      <c r="F3731" s="473"/>
      <c r="G3731" s="473"/>
      <c r="H3731" s="473"/>
      <c r="I3731" s="473"/>
      <c r="J3731" s="473"/>
      <c r="K3731" s="473"/>
      <c r="L3731" s="473"/>
      <c r="M3731" s="473"/>
    </row>
    <row r="3732" spans="5:13">
      <c r="E3732" s="473"/>
      <c r="F3732" s="473"/>
      <c r="G3732" s="473"/>
      <c r="H3732" s="481" t="s">
        <v>2843</v>
      </c>
      <c r="I3732" s="473"/>
      <c r="J3732" s="473"/>
      <c r="K3732" s="473"/>
      <c r="L3732" s="473"/>
      <c r="M3732" s="473"/>
    </row>
    <row r="3733" spans="5:13">
      <c r="E3733" s="473"/>
      <c r="F3733" s="473"/>
      <c r="G3733" s="473"/>
      <c r="H3733" s="473"/>
      <c r="I3733" s="473"/>
      <c r="J3733" s="473"/>
      <c r="K3733" s="473"/>
      <c r="L3733" s="473"/>
      <c r="M3733" s="473"/>
    </row>
    <row r="3734" spans="5:13">
      <c r="E3734" s="473"/>
      <c r="F3734" s="473"/>
      <c r="G3734" s="473"/>
      <c r="H3734" s="481" t="s">
        <v>2844</v>
      </c>
      <c r="I3734" s="473"/>
      <c r="J3734" s="473"/>
      <c r="K3734" s="473"/>
      <c r="L3734" s="473"/>
      <c r="M3734" s="473"/>
    </row>
    <row r="3735" spans="5:13">
      <c r="E3735" s="473"/>
      <c r="F3735" s="473"/>
      <c r="G3735" s="473"/>
      <c r="H3735" s="473"/>
      <c r="I3735" s="473"/>
      <c r="J3735" s="473"/>
      <c r="K3735" s="473"/>
      <c r="L3735" s="473"/>
      <c r="M3735" s="473"/>
    </row>
    <row r="3736" spans="5:13">
      <c r="E3736" s="473"/>
      <c r="F3736" s="473">
        <v>1</v>
      </c>
      <c r="G3736" s="473" t="s">
        <v>1454</v>
      </c>
      <c r="H3736" s="473" t="s">
        <v>2845</v>
      </c>
      <c r="I3736" s="496">
        <v>1395</v>
      </c>
      <c r="J3736" s="473" t="s">
        <v>1454</v>
      </c>
      <c r="K3736" s="473">
        <f>F3736*I3736</f>
        <v>1395</v>
      </c>
      <c r="L3736" s="473"/>
      <c r="M3736" s="473"/>
    </row>
    <row r="3737" spans="5:13">
      <c r="E3737" s="473"/>
      <c r="F3737" s="473"/>
      <c r="G3737" s="473"/>
      <c r="H3737" s="473" t="s">
        <v>2582</v>
      </c>
      <c r="I3737" s="474">
        <v>148</v>
      </c>
      <c r="J3737" s="473" t="s">
        <v>1454</v>
      </c>
      <c r="K3737" s="473">
        <f>I3737</f>
        <v>148</v>
      </c>
      <c r="L3737" s="473"/>
      <c r="M3737" s="473"/>
    </row>
    <row r="3738" spans="5:13" ht="39" customHeight="1">
      <c r="E3738" s="473"/>
      <c r="F3738" s="473"/>
      <c r="G3738" s="473"/>
      <c r="H3738" s="495" t="s">
        <v>3016</v>
      </c>
      <c r="I3738" s="473"/>
      <c r="J3738" s="473"/>
      <c r="K3738" s="474">
        <v>15.17</v>
      </c>
      <c r="L3738" s="473"/>
      <c r="M3738" s="473"/>
    </row>
    <row r="3739" spans="5:13">
      <c r="E3739" s="473"/>
      <c r="F3739" s="473"/>
      <c r="G3739" s="473"/>
      <c r="H3739" s="473" t="s">
        <v>3017</v>
      </c>
      <c r="I3739" s="473"/>
      <c r="J3739" s="482">
        <f>SUM(K3736:K3738)</f>
        <v>1558.17</v>
      </c>
      <c r="K3739" s="473">
        <f>J3739*1%</f>
        <v>15.58</v>
      </c>
      <c r="L3739" s="473"/>
      <c r="M3739" s="473"/>
    </row>
    <row r="3740" spans="5:13">
      <c r="E3740" s="473"/>
      <c r="F3740" s="473"/>
      <c r="G3740" s="473"/>
      <c r="H3740" s="473" t="s">
        <v>3018</v>
      </c>
      <c r="I3740" s="473"/>
      <c r="J3740" s="473"/>
      <c r="K3740" s="473">
        <f>K3747</f>
        <v>192.25</v>
      </c>
      <c r="L3740" s="473"/>
      <c r="M3740" s="473"/>
    </row>
    <row r="3741" spans="5:13">
      <c r="E3741" s="473"/>
      <c r="F3741" s="473"/>
      <c r="G3741" s="473"/>
      <c r="H3741" s="480" t="s">
        <v>3019</v>
      </c>
      <c r="I3741" s="473"/>
      <c r="J3741" s="473"/>
      <c r="K3741" s="481">
        <f>SUM(K3736:K3740)</f>
        <v>1766</v>
      </c>
      <c r="L3741" s="473"/>
      <c r="M3741" s="473"/>
    </row>
    <row r="3742" spans="5:13">
      <c r="E3742" s="473"/>
      <c r="F3742" s="473"/>
      <c r="G3742" s="473"/>
      <c r="H3742" s="473"/>
      <c r="I3742" s="473"/>
      <c r="J3742" s="473"/>
      <c r="K3742" s="473"/>
      <c r="L3742" s="473"/>
      <c r="M3742" s="473"/>
    </row>
    <row r="3743" spans="5:13">
      <c r="E3743" s="473"/>
      <c r="F3743" s="473"/>
      <c r="G3743" s="473"/>
      <c r="H3743" s="479" t="s">
        <v>931</v>
      </c>
      <c r="I3743" s="473"/>
      <c r="J3743" s="473"/>
      <c r="K3743" s="473"/>
      <c r="L3743" s="473"/>
      <c r="M3743" s="473"/>
    </row>
    <row r="3744" spans="5:13">
      <c r="E3744" s="473"/>
      <c r="F3744" s="473">
        <v>1</v>
      </c>
      <c r="G3744" s="473" t="s">
        <v>1454</v>
      </c>
      <c r="H3744" s="473" t="s">
        <v>2901</v>
      </c>
      <c r="I3744" s="473">
        <f>I3727</f>
        <v>317</v>
      </c>
      <c r="J3744" s="473" t="s">
        <v>1454</v>
      </c>
      <c r="K3744" s="473">
        <f>F3744*I3744</f>
        <v>317</v>
      </c>
      <c r="L3744" s="473"/>
      <c r="M3744" s="473"/>
    </row>
    <row r="3745" spans="5:13">
      <c r="E3745" s="473"/>
      <c r="F3745" s="473">
        <v>2</v>
      </c>
      <c r="G3745" s="473" t="s">
        <v>1454</v>
      </c>
      <c r="H3745" s="473" t="s">
        <v>2430</v>
      </c>
      <c r="I3745" s="473">
        <f>I3729</f>
        <v>226</v>
      </c>
      <c r="J3745" s="473" t="s">
        <v>1454</v>
      </c>
      <c r="K3745" s="473">
        <f>F3745*I3745</f>
        <v>452</v>
      </c>
      <c r="L3745" s="473"/>
      <c r="M3745" s="473"/>
    </row>
    <row r="3746" spans="5:13">
      <c r="E3746" s="473"/>
      <c r="F3746" s="473"/>
      <c r="G3746" s="473"/>
      <c r="H3746" s="478" t="s">
        <v>3020</v>
      </c>
      <c r="I3746" s="473"/>
      <c r="J3746" s="473"/>
      <c r="K3746" s="479">
        <f>SUM(K3744:K3745)</f>
        <v>769</v>
      </c>
      <c r="L3746" s="473"/>
      <c r="M3746" s="473"/>
    </row>
    <row r="3747" spans="5:13">
      <c r="E3747" s="473"/>
      <c r="F3747" s="473"/>
      <c r="G3747" s="473"/>
      <c r="H3747" s="480" t="s">
        <v>2929</v>
      </c>
      <c r="I3747" s="473"/>
      <c r="J3747" s="473"/>
      <c r="K3747" s="481">
        <f>K3746/4</f>
        <v>192.25</v>
      </c>
      <c r="L3747" s="473"/>
      <c r="M3747" s="473"/>
    </row>
    <row r="3748" spans="5:13">
      <c r="E3748" s="473"/>
      <c r="F3748" s="473"/>
      <c r="G3748" s="473"/>
      <c r="H3748" s="473"/>
      <c r="I3748" s="473"/>
      <c r="J3748" s="473"/>
      <c r="K3748" s="473"/>
      <c r="L3748" s="473"/>
      <c r="M3748" s="473"/>
    </row>
    <row r="3749" spans="5:13">
      <c r="E3749" s="473"/>
      <c r="F3749" s="473"/>
      <c r="G3749" s="473"/>
      <c r="H3749" s="473"/>
      <c r="I3749" s="473"/>
      <c r="J3749" s="473"/>
      <c r="K3749" s="473"/>
      <c r="L3749" s="473"/>
      <c r="M3749" s="473"/>
    </row>
    <row r="3750" spans="5:13">
      <c r="E3750" s="473"/>
      <c r="F3750" s="473"/>
      <c r="G3750" s="473"/>
      <c r="H3750" s="481" t="s">
        <v>3021</v>
      </c>
      <c r="I3750" s="473"/>
      <c r="J3750" s="473"/>
      <c r="K3750" s="473"/>
      <c r="L3750" s="473"/>
      <c r="M3750" s="473"/>
    </row>
    <row r="3751" spans="5:13">
      <c r="E3751" s="473"/>
      <c r="F3751" s="473"/>
      <c r="G3751" s="473"/>
      <c r="H3751" s="473"/>
      <c r="I3751" s="473"/>
      <c r="J3751" s="473"/>
      <c r="K3751" s="473"/>
      <c r="L3751" s="473"/>
      <c r="M3751" s="473"/>
    </row>
    <row r="3752" spans="5:13">
      <c r="E3752" s="473"/>
      <c r="F3752" s="473"/>
      <c r="G3752" s="473"/>
      <c r="H3752" s="481" t="s">
        <v>3022</v>
      </c>
      <c r="I3752" s="473"/>
      <c r="J3752" s="473"/>
      <c r="K3752" s="473"/>
      <c r="L3752" s="473"/>
      <c r="M3752" s="473"/>
    </row>
    <row r="3753" spans="5:13">
      <c r="E3753" s="473"/>
      <c r="F3753" s="473"/>
      <c r="G3753" s="473"/>
      <c r="H3753" s="473"/>
      <c r="I3753" s="473"/>
      <c r="J3753" s="473"/>
      <c r="K3753" s="473"/>
      <c r="L3753" s="473"/>
      <c r="M3753" s="473"/>
    </row>
    <row r="3754" spans="5:13">
      <c r="E3754" s="473"/>
      <c r="F3754" s="473"/>
      <c r="G3754" s="473"/>
      <c r="H3754" s="473" t="s">
        <v>3023</v>
      </c>
      <c r="I3754" s="496">
        <v>1220</v>
      </c>
      <c r="J3754" s="473" t="s">
        <v>1454</v>
      </c>
      <c r="K3754" s="473">
        <f>I3754</f>
        <v>1220</v>
      </c>
      <c r="L3754" s="473"/>
      <c r="M3754" s="473"/>
    </row>
    <row r="3755" spans="5:13">
      <c r="E3755" s="473"/>
      <c r="F3755" s="473"/>
      <c r="G3755" s="473"/>
      <c r="H3755" s="473" t="s">
        <v>2582</v>
      </c>
      <c r="I3755" s="473">
        <f>I3737</f>
        <v>148</v>
      </c>
      <c r="J3755" s="473" t="s">
        <v>1454</v>
      </c>
      <c r="K3755" s="473">
        <f>I3755</f>
        <v>148</v>
      </c>
      <c r="L3755" s="473"/>
      <c r="M3755" s="473"/>
    </row>
    <row r="3756" spans="5:13" ht="31.5">
      <c r="E3756" s="473"/>
      <c r="F3756" s="473"/>
      <c r="G3756" s="473"/>
      <c r="H3756" s="495" t="s">
        <v>3016</v>
      </c>
      <c r="I3756" s="473"/>
      <c r="J3756" s="473"/>
      <c r="K3756" s="473">
        <f>K3738</f>
        <v>15.17</v>
      </c>
      <c r="L3756" s="473"/>
      <c r="M3756" s="473"/>
    </row>
    <row r="3757" spans="5:13">
      <c r="E3757" s="473"/>
      <c r="F3757" s="473"/>
      <c r="G3757" s="473"/>
      <c r="H3757" s="473" t="s">
        <v>3017</v>
      </c>
      <c r="I3757" s="473"/>
      <c r="J3757" s="473"/>
      <c r="K3757" s="473">
        <f>K3739</f>
        <v>15.58</v>
      </c>
      <c r="L3757" s="473"/>
      <c r="M3757" s="473"/>
    </row>
    <row r="3758" spans="5:13">
      <c r="E3758" s="473"/>
      <c r="F3758" s="473"/>
      <c r="G3758" s="473"/>
      <c r="H3758" s="473" t="s">
        <v>3018</v>
      </c>
      <c r="I3758" s="473"/>
      <c r="J3758" s="473"/>
      <c r="K3758" s="473">
        <f>K3740</f>
        <v>192.25</v>
      </c>
      <c r="L3758" s="473"/>
      <c r="M3758" s="473"/>
    </row>
    <row r="3759" spans="5:13">
      <c r="E3759" s="473"/>
      <c r="F3759" s="473"/>
      <c r="G3759" s="473"/>
      <c r="H3759" s="480" t="s">
        <v>3019</v>
      </c>
      <c r="I3759" s="473"/>
      <c r="J3759" s="473"/>
      <c r="K3759" s="481">
        <f>SUM(K3754:K3758)</f>
        <v>1591</v>
      </c>
      <c r="L3759" s="473"/>
      <c r="M3759" s="473"/>
    </row>
    <row r="3760" spans="5:13">
      <c r="E3760" s="473"/>
      <c r="F3760" s="473"/>
      <c r="G3760" s="473"/>
      <c r="H3760" s="473"/>
      <c r="I3760" s="473"/>
      <c r="J3760" s="473"/>
      <c r="K3760" s="473"/>
      <c r="L3760" s="473"/>
      <c r="M3760" s="473"/>
    </row>
    <row r="3761" spans="5:13">
      <c r="E3761" s="473"/>
      <c r="F3761" s="473"/>
      <c r="G3761" s="473"/>
      <c r="H3761" s="479" t="s">
        <v>3024</v>
      </c>
      <c r="I3761" s="473"/>
      <c r="J3761" s="473"/>
      <c r="K3761" s="473"/>
      <c r="L3761" s="473">
        <f>1318-K3762</f>
        <v>-2</v>
      </c>
      <c r="M3761" s="473"/>
    </row>
    <row r="3762" spans="5:13">
      <c r="E3762" s="473"/>
      <c r="F3762" s="473">
        <v>1</v>
      </c>
      <c r="G3762" s="473" t="s">
        <v>1454</v>
      </c>
      <c r="H3762" s="473" t="s">
        <v>2545</v>
      </c>
      <c r="I3762" s="474">
        <v>1320</v>
      </c>
      <c r="J3762" s="473" t="s">
        <v>1454</v>
      </c>
      <c r="K3762" s="473">
        <f>F3762*I3762</f>
        <v>1320</v>
      </c>
      <c r="L3762" s="473"/>
      <c r="M3762" s="473"/>
    </row>
    <row r="3763" spans="5:13">
      <c r="E3763" s="473"/>
      <c r="F3763" s="473">
        <v>1</v>
      </c>
      <c r="G3763" s="473" t="s">
        <v>1454</v>
      </c>
      <c r="H3763" s="473" t="s">
        <v>2546</v>
      </c>
      <c r="I3763" s="623">
        <v>179</v>
      </c>
      <c r="J3763" s="473" t="s">
        <v>1454</v>
      </c>
      <c r="K3763" s="473">
        <f>F3763*I3763</f>
        <v>179</v>
      </c>
      <c r="L3763" s="473"/>
      <c r="M3763" s="473"/>
    </row>
    <row r="3764" spans="5:13">
      <c r="E3764" s="473"/>
      <c r="F3764" s="473"/>
      <c r="G3764" s="473"/>
      <c r="H3764" s="478"/>
      <c r="I3764" s="473"/>
      <c r="J3764" s="473"/>
      <c r="K3764" s="481">
        <f>SUM(K3762:K3763)</f>
        <v>1499</v>
      </c>
      <c r="L3764" s="473"/>
      <c r="M3764" s="473"/>
    </row>
    <row r="3765" spans="5:13">
      <c r="E3765" s="473"/>
      <c r="F3765" s="473"/>
      <c r="G3765" s="473"/>
      <c r="H3765" s="481" t="s">
        <v>2547</v>
      </c>
      <c r="I3765" s="473"/>
      <c r="J3765" s="473"/>
      <c r="K3765" s="473"/>
      <c r="L3765" s="473"/>
      <c r="M3765" s="473"/>
    </row>
    <row r="3766" spans="5:13">
      <c r="E3766" s="473"/>
      <c r="F3766" s="473">
        <v>1</v>
      </c>
      <c r="G3766" s="473" t="s">
        <v>1454</v>
      </c>
      <c r="H3766" s="473" t="s">
        <v>2548</v>
      </c>
      <c r="I3766" s="473">
        <v>404</v>
      </c>
      <c r="J3766" s="473" t="s">
        <v>1454</v>
      </c>
      <c r="K3766" s="473">
        <f>F3766*I3766</f>
        <v>404</v>
      </c>
      <c r="L3766" s="473"/>
      <c r="M3766" s="473"/>
    </row>
    <row r="3767" spans="5:13">
      <c r="E3767" s="473"/>
      <c r="F3767" s="473">
        <v>1</v>
      </c>
      <c r="G3767" s="473" t="s">
        <v>1454</v>
      </c>
      <c r="H3767" s="473" t="s">
        <v>2549</v>
      </c>
      <c r="I3767" s="496">
        <v>40.5</v>
      </c>
      <c r="J3767" s="473" t="s">
        <v>1454</v>
      </c>
      <c r="K3767" s="473">
        <f>F3767*I3767</f>
        <v>40.5</v>
      </c>
      <c r="L3767" s="473"/>
      <c r="M3767" s="473"/>
    </row>
    <row r="3768" spans="5:13">
      <c r="E3768" s="473"/>
      <c r="F3768" s="473"/>
      <c r="G3768" s="473"/>
      <c r="H3768" s="473" t="s">
        <v>2550</v>
      </c>
      <c r="I3768" s="473"/>
      <c r="J3768" s="473"/>
      <c r="K3768" s="473">
        <f>K3244</f>
        <v>135</v>
      </c>
      <c r="L3768" s="473"/>
      <c r="M3768" s="473"/>
    </row>
    <row r="3769" spans="5:13">
      <c r="E3769" s="473"/>
      <c r="F3769" s="473"/>
      <c r="G3769" s="473"/>
      <c r="H3769" s="473" t="s">
        <v>2359</v>
      </c>
      <c r="I3769" s="473"/>
      <c r="J3769" s="473"/>
      <c r="K3769" s="473">
        <v>0.5</v>
      </c>
      <c r="L3769" s="473"/>
      <c r="M3769" s="473"/>
    </row>
    <row r="3770" spans="5:13">
      <c r="E3770" s="473"/>
      <c r="F3770" s="473"/>
      <c r="G3770" s="473"/>
      <c r="H3770" s="473"/>
      <c r="I3770" s="473"/>
      <c r="J3770" s="473"/>
      <c r="K3770" s="481">
        <f>SUM(K3766:K3769)</f>
        <v>580</v>
      </c>
      <c r="L3770" s="473"/>
      <c r="M3770" s="473"/>
    </row>
    <row r="3771" spans="5:13">
      <c r="E3771" s="473"/>
      <c r="F3771" s="473"/>
      <c r="G3771" s="473"/>
      <c r="H3771" s="473"/>
      <c r="I3771" s="473"/>
      <c r="J3771" s="473"/>
      <c r="K3771" s="473"/>
      <c r="L3771" s="473"/>
      <c r="M3771" s="473"/>
    </row>
    <row r="3772" spans="5:13">
      <c r="E3772" s="473"/>
      <c r="F3772" s="473"/>
      <c r="G3772" s="473"/>
      <c r="H3772" s="481" t="s">
        <v>2551</v>
      </c>
      <c r="I3772" s="473"/>
      <c r="J3772" s="473"/>
      <c r="K3772" s="473"/>
      <c r="L3772" s="473"/>
      <c r="M3772" s="473"/>
    </row>
    <row r="3773" spans="5:13">
      <c r="E3773" s="473"/>
      <c r="F3773" s="473">
        <v>1</v>
      </c>
      <c r="G3773" s="473" t="s">
        <v>1454</v>
      </c>
      <c r="H3773" s="473" t="s">
        <v>2548</v>
      </c>
      <c r="I3773" s="473">
        <v>322</v>
      </c>
      <c r="J3773" s="473" t="s">
        <v>1454</v>
      </c>
      <c r="K3773" s="473">
        <f>F3773*I3773</f>
        <v>322</v>
      </c>
      <c r="L3773" s="473"/>
      <c r="M3773" s="473"/>
    </row>
    <row r="3774" spans="5:13">
      <c r="E3774" s="473"/>
      <c r="F3774" s="473">
        <v>1</v>
      </c>
      <c r="G3774" s="473" t="s">
        <v>1454</v>
      </c>
      <c r="H3774" s="473" t="s">
        <v>2549</v>
      </c>
      <c r="I3774" s="496">
        <f>I3767</f>
        <v>40.5</v>
      </c>
      <c r="J3774" s="473" t="s">
        <v>1454</v>
      </c>
      <c r="K3774" s="473">
        <f>F3774*I3774</f>
        <v>40.5</v>
      </c>
      <c r="L3774" s="473"/>
      <c r="M3774" s="473"/>
    </row>
    <row r="3775" spans="5:13">
      <c r="E3775" s="473"/>
      <c r="F3775" s="473"/>
      <c r="G3775" s="473"/>
      <c r="H3775" s="473" t="s">
        <v>2550</v>
      </c>
      <c r="I3775" s="473"/>
      <c r="J3775" s="473"/>
      <c r="K3775" s="473">
        <f>K3768</f>
        <v>135</v>
      </c>
      <c r="L3775" s="473"/>
      <c r="M3775" s="473"/>
    </row>
    <row r="3776" spans="5:13">
      <c r="E3776" s="473"/>
      <c r="F3776" s="473"/>
      <c r="G3776" s="473"/>
      <c r="H3776" s="473" t="s">
        <v>2359</v>
      </c>
      <c r="I3776" s="473"/>
      <c r="J3776" s="473"/>
      <c r="K3776" s="473">
        <v>0.5</v>
      </c>
      <c r="L3776" s="473"/>
      <c r="M3776" s="473"/>
    </row>
    <row r="3777" spans="5:13">
      <c r="E3777" s="473"/>
      <c r="F3777" s="473"/>
      <c r="G3777" s="473"/>
      <c r="H3777" s="473"/>
      <c r="I3777" s="473"/>
      <c r="J3777" s="473"/>
      <c r="K3777" s="481">
        <f>SUM(K3773:K3776)</f>
        <v>498</v>
      </c>
      <c r="L3777" s="473"/>
      <c r="M3777" s="473"/>
    </row>
    <row r="3778" spans="5:13">
      <c r="E3778" s="473"/>
      <c r="F3778" s="473"/>
      <c r="G3778" s="473"/>
      <c r="H3778" s="473"/>
      <c r="I3778" s="473"/>
      <c r="J3778" s="473"/>
      <c r="K3778" s="473"/>
      <c r="L3778" s="473"/>
      <c r="M3778" s="473"/>
    </row>
    <row r="3779" spans="5:13">
      <c r="E3779" s="473"/>
      <c r="F3779" s="473"/>
      <c r="G3779" s="473"/>
      <c r="H3779" s="473"/>
      <c r="I3779" s="473"/>
      <c r="J3779" s="473"/>
      <c r="K3779" s="473"/>
      <c r="L3779" s="473"/>
      <c r="M3779" s="473"/>
    </row>
    <row r="3780" spans="5:13">
      <c r="E3780" s="473"/>
      <c r="F3780" s="473"/>
      <c r="G3780" s="473"/>
      <c r="H3780" s="473"/>
      <c r="I3780" s="473"/>
      <c r="J3780" s="473"/>
      <c r="K3780" s="473"/>
      <c r="L3780" s="473"/>
      <c r="M3780" s="473"/>
    </row>
    <row r="3781" spans="5:13">
      <c r="E3781" s="473"/>
      <c r="F3781" s="473"/>
      <c r="G3781" s="473"/>
      <c r="H3781" s="473"/>
      <c r="I3781" s="473"/>
      <c r="J3781" s="473"/>
      <c r="K3781" s="473"/>
      <c r="L3781" s="473"/>
      <c r="M3781" s="473"/>
    </row>
    <row r="3782" spans="5:13">
      <c r="E3782" s="473"/>
      <c r="F3782" s="473"/>
      <c r="G3782" s="473"/>
      <c r="H3782" s="473"/>
      <c r="I3782" s="473"/>
      <c r="J3782" s="473"/>
      <c r="K3782" s="473"/>
      <c r="L3782" s="473"/>
      <c r="M3782" s="473"/>
    </row>
    <row r="3783" spans="5:13">
      <c r="E3783" s="473"/>
      <c r="F3783" s="473"/>
      <c r="G3783" s="473"/>
      <c r="J3783" s="245"/>
      <c r="L3783" s="473"/>
      <c r="M3783" s="473"/>
    </row>
    <row r="3784" spans="5:13">
      <c r="E3784" s="473"/>
      <c r="F3784" s="473"/>
      <c r="G3784" s="473"/>
      <c r="H3784" s="473"/>
      <c r="I3784" s="473"/>
      <c r="J3784" s="473"/>
      <c r="K3784" s="481"/>
      <c r="L3784" s="473"/>
      <c r="M3784" s="473"/>
    </row>
    <row r="3785" spans="5:13">
      <c r="E3785" s="473"/>
      <c r="F3785" s="473"/>
      <c r="G3785" s="473"/>
      <c r="H3785" s="473"/>
      <c r="I3785" s="473"/>
      <c r="J3785" s="473"/>
      <c r="K3785" s="473"/>
      <c r="L3785" s="473"/>
      <c r="M3785" s="473"/>
    </row>
    <row r="3786" spans="5:13">
      <c r="E3786" s="473"/>
      <c r="H3786" s="254" t="s">
        <v>2559</v>
      </c>
      <c r="L3786" s="473"/>
      <c r="M3786" s="473"/>
    </row>
    <row r="3787" spans="5:13">
      <c r="E3787" s="473"/>
      <c r="L3787" s="473"/>
      <c r="M3787" s="473"/>
    </row>
    <row r="3788" spans="5:13">
      <c r="E3788" s="473"/>
      <c r="H3788" s="254" t="s">
        <v>2383</v>
      </c>
      <c r="L3788" s="473"/>
      <c r="M3788" s="473"/>
    </row>
    <row r="3789" spans="5:13">
      <c r="E3789" s="473"/>
      <c r="L3789" s="473"/>
      <c r="M3789" s="473"/>
    </row>
    <row r="3790" spans="5:13" ht="173.25">
      <c r="E3790" s="473"/>
      <c r="H3790" s="472" t="s">
        <v>2802</v>
      </c>
      <c r="L3790" s="473"/>
      <c r="M3790" s="473"/>
    </row>
    <row r="3791" spans="5:13" ht="31.5">
      <c r="E3791" s="473"/>
      <c r="F3791" s="473">
        <v>90</v>
      </c>
      <c r="G3791" s="473" t="s">
        <v>840</v>
      </c>
      <c r="H3791" s="394" t="s">
        <v>2662</v>
      </c>
      <c r="I3791" s="473">
        <f>I2843</f>
        <v>14.05</v>
      </c>
      <c r="J3791" s="473" t="s">
        <v>2663</v>
      </c>
      <c r="K3791" s="473">
        <f>F3791*I3791</f>
        <v>1264.5</v>
      </c>
      <c r="L3791" s="473"/>
      <c r="M3791" s="473"/>
    </row>
    <row r="3792" spans="5:13" ht="31.5">
      <c r="E3792" s="473"/>
      <c r="F3792" s="473">
        <v>45</v>
      </c>
      <c r="G3792" s="473" t="s">
        <v>840</v>
      </c>
      <c r="H3792" s="472" t="s">
        <v>2466</v>
      </c>
      <c r="I3792" s="473">
        <f>I2844</f>
        <v>20.399999999999999</v>
      </c>
      <c r="J3792" s="473" t="s">
        <v>2467</v>
      </c>
      <c r="K3792" s="473">
        <f>F3792*I3792</f>
        <v>918</v>
      </c>
      <c r="L3792" s="473"/>
      <c r="M3792" s="473"/>
    </row>
    <row r="3793" spans="5:13">
      <c r="E3793" s="473"/>
      <c r="F3793" s="473">
        <v>20</v>
      </c>
      <c r="G3793" s="473" t="s">
        <v>1454</v>
      </c>
      <c r="H3793" s="473" t="s">
        <v>2468</v>
      </c>
      <c r="I3793" s="473">
        <f>I2845</f>
        <v>3.3</v>
      </c>
      <c r="J3793" s="473" t="s">
        <v>1454</v>
      </c>
      <c r="K3793" s="473">
        <f>F3793*I3793</f>
        <v>66</v>
      </c>
      <c r="L3793" s="473"/>
      <c r="M3793" s="473"/>
    </row>
    <row r="3794" spans="5:13">
      <c r="E3794" s="473"/>
      <c r="F3794" s="473">
        <v>150</v>
      </c>
      <c r="G3794" s="473" t="s">
        <v>1454</v>
      </c>
      <c r="H3794" s="473" t="s">
        <v>2803</v>
      </c>
      <c r="I3794" s="474">
        <v>341</v>
      </c>
      <c r="J3794" s="473" t="s">
        <v>2804</v>
      </c>
      <c r="K3794" s="473">
        <f>(F3794*I3794)/1000</f>
        <v>51.15</v>
      </c>
      <c r="L3794" s="473"/>
      <c r="M3794" s="473"/>
    </row>
    <row r="3795" spans="5:13">
      <c r="E3795" s="473"/>
      <c r="F3795" s="473">
        <v>10</v>
      </c>
      <c r="G3795" s="473" t="s">
        <v>1454</v>
      </c>
      <c r="H3795" s="473" t="s">
        <v>3571</v>
      </c>
      <c r="I3795" s="473">
        <f>I2846</f>
        <v>1.37</v>
      </c>
      <c r="J3795" s="473" t="s">
        <v>1454</v>
      </c>
      <c r="K3795" s="473">
        <f>F3795*I3795</f>
        <v>13.7</v>
      </c>
      <c r="L3795" s="473"/>
      <c r="M3795" s="473"/>
    </row>
    <row r="3796" spans="5:13">
      <c r="E3796" s="473"/>
      <c r="F3796" s="473">
        <v>10</v>
      </c>
      <c r="G3796" s="473" t="s">
        <v>1454</v>
      </c>
      <c r="H3796" s="473" t="s">
        <v>2805</v>
      </c>
      <c r="I3796" s="473">
        <v>44</v>
      </c>
      <c r="J3796" s="473" t="s">
        <v>3574</v>
      </c>
      <c r="K3796" s="473">
        <f>(F3796*I3796)/12</f>
        <v>36.67</v>
      </c>
      <c r="L3796" s="473"/>
      <c r="M3796" s="473"/>
    </row>
    <row r="3797" spans="5:13">
      <c r="E3797" s="473"/>
      <c r="F3797" s="476">
        <v>1.4999999999999999E-2</v>
      </c>
      <c r="G3797" s="473" t="s">
        <v>2371</v>
      </c>
      <c r="H3797" s="473" t="s">
        <v>3440</v>
      </c>
      <c r="I3797" s="473">
        <f>I2849</f>
        <v>672</v>
      </c>
      <c r="J3797" s="473" t="s">
        <v>2371</v>
      </c>
      <c r="K3797" s="473">
        <f t="shared" ref="K3797:K3807" si="107">F3797*I3797</f>
        <v>10.08</v>
      </c>
      <c r="L3797" s="473"/>
      <c r="M3797" s="473"/>
    </row>
    <row r="3798" spans="5:13">
      <c r="E3798" s="473"/>
      <c r="F3798" s="473">
        <v>10</v>
      </c>
      <c r="G3798" s="473" t="s">
        <v>1454</v>
      </c>
      <c r="H3798" s="473" t="s">
        <v>3441</v>
      </c>
      <c r="I3798" s="473">
        <f>I2850</f>
        <v>16.920000000000002</v>
      </c>
      <c r="J3798" s="473" t="s">
        <v>1454</v>
      </c>
      <c r="K3798" s="473">
        <f>(F3798*I3798)</f>
        <v>169.2</v>
      </c>
      <c r="L3798" s="473"/>
      <c r="M3798" s="473"/>
    </row>
    <row r="3799" spans="5:13">
      <c r="E3799" s="473"/>
      <c r="F3799" s="473">
        <v>10</v>
      </c>
      <c r="G3799" s="473" t="s">
        <v>1454</v>
      </c>
      <c r="H3799" s="473" t="s">
        <v>2755</v>
      </c>
      <c r="I3799" s="473">
        <f>I2851</f>
        <v>16.5</v>
      </c>
      <c r="J3799" s="473" t="s">
        <v>1454</v>
      </c>
      <c r="K3799" s="473">
        <f t="shared" si="107"/>
        <v>165</v>
      </c>
      <c r="L3799" s="473"/>
      <c r="M3799" s="473"/>
    </row>
    <row r="3800" spans="5:13">
      <c r="E3800" s="473"/>
      <c r="F3800" s="473">
        <v>1</v>
      </c>
      <c r="G3800" s="473" t="s">
        <v>2763</v>
      </c>
      <c r="H3800" s="473" t="s">
        <v>474</v>
      </c>
      <c r="I3800" s="474">
        <v>82.5</v>
      </c>
      <c r="J3800" s="473" t="s">
        <v>2763</v>
      </c>
      <c r="K3800" s="473">
        <f>F3800*I3800</f>
        <v>82.5</v>
      </c>
      <c r="L3800" s="473"/>
      <c r="M3800" s="473"/>
    </row>
    <row r="3801" spans="5:13">
      <c r="E3801" s="473"/>
      <c r="F3801" s="473">
        <v>72</v>
      </c>
      <c r="G3801" s="473" t="s">
        <v>1454</v>
      </c>
      <c r="H3801" s="473" t="s">
        <v>2806</v>
      </c>
      <c r="I3801" s="632">
        <v>42.5</v>
      </c>
      <c r="J3801" s="473" t="s">
        <v>2763</v>
      </c>
      <c r="K3801" s="473">
        <f>(F3801*I3801)/144</f>
        <v>21.25</v>
      </c>
      <c r="L3801" s="473"/>
      <c r="M3801" s="473"/>
    </row>
    <row r="3802" spans="5:13">
      <c r="E3802" s="473"/>
      <c r="F3802" s="477">
        <v>0.16666666666666666</v>
      </c>
      <c r="G3802" s="473" t="s">
        <v>2759</v>
      </c>
      <c r="H3802" s="473" t="s">
        <v>391</v>
      </c>
      <c r="I3802" s="623">
        <f>5500/20</f>
        <v>275</v>
      </c>
      <c r="J3802" s="473" t="s">
        <v>2759</v>
      </c>
      <c r="K3802" s="473">
        <f t="shared" si="107"/>
        <v>45.83</v>
      </c>
      <c r="L3802" s="473">
        <f>SUM(K3791:K3807)</f>
        <v>3848.41</v>
      </c>
      <c r="M3802" s="473"/>
    </row>
    <row r="3803" spans="5:13">
      <c r="E3803" s="473"/>
      <c r="F3803" s="473">
        <v>10</v>
      </c>
      <c r="G3803" s="473" t="s">
        <v>1454</v>
      </c>
      <c r="H3803" s="473" t="s">
        <v>2807</v>
      </c>
      <c r="I3803" s="623">
        <v>16.399999999999999</v>
      </c>
      <c r="J3803" s="473" t="s">
        <v>1454</v>
      </c>
      <c r="K3803" s="473">
        <f t="shared" si="107"/>
        <v>164</v>
      </c>
      <c r="L3803" s="473">
        <f>L3802*1/100</f>
        <v>38.479999999999997</v>
      </c>
      <c r="M3803" s="473"/>
    </row>
    <row r="3804" spans="5:13">
      <c r="E3804" s="473"/>
      <c r="F3804" s="473">
        <v>1</v>
      </c>
      <c r="G3804" s="473" t="s">
        <v>1454</v>
      </c>
      <c r="H3804" s="473" t="s">
        <v>3188</v>
      </c>
      <c r="I3804" s="623">
        <v>19.8</v>
      </c>
      <c r="J3804" s="473" t="s">
        <v>1454</v>
      </c>
      <c r="K3804" s="473">
        <f t="shared" si="107"/>
        <v>19.8</v>
      </c>
      <c r="L3804" s="473"/>
      <c r="M3804" s="473"/>
    </row>
    <row r="3805" spans="5:13">
      <c r="E3805" s="473"/>
      <c r="F3805" s="473">
        <v>0.1</v>
      </c>
      <c r="G3805" s="473" t="s">
        <v>2371</v>
      </c>
      <c r="H3805" s="473" t="s">
        <v>3189</v>
      </c>
      <c r="I3805" s="473">
        <f>I2855</f>
        <v>672</v>
      </c>
      <c r="J3805" s="473" t="s">
        <v>2371</v>
      </c>
      <c r="K3805" s="473">
        <f t="shared" si="107"/>
        <v>67.2</v>
      </c>
      <c r="L3805" s="473"/>
      <c r="M3805" s="473"/>
    </row>
    <row r="3806" spans="5:13" ht="31.5">
      <c r="E3806" s="473"/>
      <c r="F3806" s="473">
        <v>45</v>
      </c>
      <c r="G3806" s="473" t="s">
        <v>840</v>
      </c>
      <c r="H3806" s="394" t="s">
        <v>2765</v>
      </c>
      <c r="I3806" s="473">
        <f>I2856</f>
        <v>14.05</v>
      </c>
      <c r="J3806" s="473" t="s">
        <v>3484</v>
      </c>
      <c r="K3806" s="473">
        <f t="shared" si="107"/>
        <v>632.25</v>
      </c>
      <c r="L3806" s="473"/>
      <c r="M3806" s="473"/>
    </row>
    <row r="3807" spans="5:13">
      <c r="E3807" s="473"/>
      <c r="F3807" s="477">
        <v>0.5</v>
      </c>
      <c r="G3807" s="473" t="s">
        <v>59</v>
      </c>
      <c r="H3807" s="394" t="s">
        <v>3190</v>
      </c>
      <c r="I3807" s="623">
        <v>242.55</v>
      </c>
      <c r="J3807" s="473" t="s">
        <v>59</v>
      </c>
      <c r="K3807" s="473">
        <f t="shared" si="107"/>
        <v>121.28</v>
      </c>
      <c r="L3807" s="473"/>
      <c r="M3807" s="473"/>
    </row>
    <row r="3808" spans="5:13">
      <c r="E3808" s="473"/>
      <c r="F3808" s="473">
        <v>10</v>
      </c>
      <c r="G3808" s="473" t="s">
        <v>3488</v>
      </c>
      <c r="H3808" s="473" t="s">
        <v>931</v>
      </c>
      <c r="I3808" s="473"/>
      <c r="J3808" s="473" t="s">
        <v>667</v>
      </c>
      <c r="K3808" s="473">
        <f>K3827</f>
        <v>1856</v>
      </c>
      <c r="L3808" s="473">
        <f>438.5*10</f>
        <v>4385</v>
      </c>
      <c r="M3808" s="473"/>
    </row>
    <row r="3809" spans="5:13">
      <c r="E3809" s="473"/>
      <c r="F3809" s="473" t="s">
        <v>667</v>
      </c>
      <c r="G3809" s="473"/>
      <c r="H3809" s="473" t="s">
        <v>3191</v>
      </c>
      <c r="I3809" s="473"/>
      <c r="J3809" s="473" t="s">
        <v>667</v>
      </c>
      <c r="K3809" s="473">
        <v>5.59</v>
      </c>
      <c r="L3809" s="473"/>
      <c r="M3809" s="473"/>
    </row>
    <row r="3810" spans="5:13">
      <c r="E3810" s="473"/>
      <c r="F3810" s="473"/>
      <c r="G3810" s="473"/>
      <c r="H3810" s="478" t="s">
        <v>3487</v>
      </c>
      <c r="I3810" s="473"/>
      <c r="J3810" s="473"/>
      <c r="K3810" s="479">
        <f>SUM(K3791:K3809)</f>
        <v>5710</v>
      </c>
      <c r="L3810" s="473">
        <f>K3810-150+180</f>
        <v>5740</v>
      </c>
      <c r="M3810" s="473"/>
    </row>
    <row r="3811" spans="5:13">
      <c r="E3811" s="473"/>
      <c r="F3811" s="473"/>
      <c r="G3811" s="473"/>
      <c r="H3811" s="480" t="s">
        <v>3489</v>
      </c>
      <c r="I3811" s="473"/>
      <c r="J3811" s="473"/>
      <c r="K3811" s="481">
        <f>K3810/10</f>
        <v>571</v>
      </c>
      <c r="L3811" s="473">
        <f>464*10</f>
        <v>4640</v>
      </c>
      <c r="M3811" s="473"/>
    </row>
    <row r="3812" spans="5:13">
      <c r="E3812" s="473"/>
      <c r="F3812" s="473"/>
      <c r="G3812" s="473"/>
      <c r="H3812" s="473"/>
      <c r="I3812" s="473"/>
      <c r="J3812" s="473"/>
      <c r="K3812" s="473"/>
      <c r="L3812" s="473"/>
      <c r="M3812" s="473"/>
    </row>
    <row r="3813" spans="5:13">
      <c r="E3813" s="473"/>
      <c r="F3813" s="473"/>
      <c r="G3813" s="473"/>
      <c r="H3813" s="473"/>
      <c r="I3813" s="473"/>
      <c r="J3813" s="473"/>
      <c r="K3813" s="473"/>
      <c r="L3813" s="473"/>
      <c r="M3813" s="473"/>
    </row>
    <row r="3814" spans="5:13">
      <c r="E3814" s="473"/>
      <c r="F3814" s="473"/>
      <c r="G3814" s="473"/>
      <c r="H3814" s="473"/>
      <c r="I3814" s="473"/>
      <c r="J3814" s="473"/>
      <c r="K3814" s="473"/>
      <c r="L3814" s="473"/>
      <c r="M3814" s="473"/>
    </row>
    <row r="3815" spans="5:13">
      <c r="E3815" s="473"/>
      <c r="F3815" s="473"/>
      <c r="G3815" s="473"/>
      <c r="H3815" s="473"/>
      <c r="I3815" s="473"/>
      <c r="J3815" s="473"/>
      <c r="K3815" s="473"/>
      <c r="L3815" s="473"/>
      <c r="M3815" s="473"/>
    </row>
    <row r="3816" spans="5:13">
      <c r="E3816" s="473"/>
      <c r="F3816" s="473"/>
      <c r="G3816" s="481" t="s">
        <v>3491</v>
      </c>
      <c r="H3816" s="473"/>
      <c r="I3816" s="473"/>
      <c r="J3816" s="473"/>
      <c r="L3816" s="245">
        <f>L3811-K3810</f>
        <v>-1070</v>
      </c>
      <c r="M3816" s="473"/>
    </row>
    <row r="3817" spans="5:13">
      <c r="E3817" s="473"/>
      <c r="F3817" s="473"/>
      <c r="G3817" s="473"/>
      <c r="H3817" s="473"/>
      <c r="I3817" s="473"/>
      <c r="J3817" s="473"/>
      <c r="M3817" s="473"/>
    </row>
    <row r="3818" spans="5:13">
      <c r="E3818" s="473"/>
      <c r="F3818" s="473"/>
      <c r="G3818" s="481" t="s">
        <v>3569</v>
      </c>
      <c r="H3818" s="473"/>
      <c r="I3818" s="473"/>
      <c r="J3818" s="473"/>
      <c r="M3818" s="473"/>
    </row>
    <row r="3819" spans="5:13">
      <c r="E3819" s="473"/>
      <c r="F3819" s="473"/>
      <c r="G3819" s="473"/>
      <c r="H3819" s="473"/>
      <c r="I3819" s="473"/>
      <c r="J3819" s="473"/>
      <c r="M3819" s="473"/>
    </row>
    <row r="3820" spans="5:13">
      <c r="F3820" s="473">
        <v>1</v>
      </c>
      <c r="G3820" s="473" t="s">
        <v>1454</v>
      </c>
      <c r="H3820" s="473" t="s">
        <v>3493</v>
      </c>
      <c r="I3820" s="473">
        <f>I2866</f>
        <v>346</v>
      </c>
      <c r="J3820" s="473" t="s">
        <v>1454</v>
      </c>
      <c r="K3820" s="473">
        <f>F3820*I3820</f>
        <v>346</v>
      </c>
      <c r="L3820" s="473"/>
      <c r="M3820" s="473"/>
    </row>
    <row r="3821" spans="5:13">
      <c r="F3821" s="473">
        <v>2</v>
      </c>
      <c r="G3821" s="473" t="s">
        <v>1454</v>
      </c>
      <c r="H3821" s="473" t="s">
        <v>3494</v>
      </c>
      <c r="I3821" s="473">
        <f>I2867</f>
        <v>317</v>
      </c>
      <c r="J3821" s="473" t="s">
        <v>1454</v>
      </c>
      <c r="K3821" s="473">
        <f>F3821*I3821</f>
        <v>634</v>
      </c>
      <c r="L3821" s="473"/>
      <c r="M3821" s="473"/>
    </row>
    <row r="3822" spans="5:13">
      <c r="F3822" s="473">
        <v>3</v>
      </c>
      <c r="G3822" s="473" t="s">
        <v>1454</v>
      </c>
      <c r="H3822" s="473" t="s">
        <v>3495</v>
      </c>
      <c r="I3822" s="473">
        <f>I2868</f>
        <v>300</v>
      </c>
      <c r="J3822" s="473" t="s">
        <v>1454</v>
      </c>
      <c r="K3822" s="473">
        <f>F3822*I3822</f>
        <v>900</v>
      </c>
      <c r="L3822" s="473"/>
      <c r="M3822" s="473"/>
    </row>
    <row r="3823" spans="5:13">
      <c r="F3823" s="473">
        <v>4</v>
      </c>
      <c r="G3823" s="473" t="s">
        <v>1454</v>
      </c>
      <c r="H3823" s="473" t="s">
        <v>2430</v>
      </c>
      <c r="I3823" s="473">
        <f>I2869</f>
        <v>226</v>
      </c>
      <c r="J3823" s="473" t="s">
        <v>1454</v>
      </c>
      <c r="K3823" s="473">
        <f>F3823*I3823</f>
        <v>904</v>
      </c>
      <c r="L3823" s="473"/>
      <c r="M3823" s="473"/>
    </row>
    <row r="3824" spans="5:13">
      <c r="F3824" s="473"/>
      <c r="G3824" s="473"/>
      <c r="H3824" s="473"/>
      <c r="I3824" s="473"/>
      <c r="J3824" s="473"/>
      <c r="K3824" s="473"/>
      <c r="L3824" s="473"/>
      <c r="M3824" s="473"/>
    </row>
    <row r="3825" spans="5:13" ht="51">
      <c r="E3825" s="473"/>
      <c r="F3825" s="473"/>
      <c r="G3825" s="245"/>
      <c r="H3825" s="483" t="s">
        <v>2989</v>
      </c>
      <c r="J3825" s="245"/>
      <c r="K3825" s="484">
        <f>SUM(K3820:K3823)</f>
        <v>2784</v>
      </c>
      <c r="L3825" s="484"/>
      <c r="M3825" s="473"/>
    </row>
    <row r="3826" spans="5:13">
      <c r="E3826" s="473"/>
      <c r="F3826" s="473"/>
      <c r="G3826" s="245"/>
      <c r="J3826" s="245"/>
      <c r="M3826" s="473"/>
    </row>
    <row r="3827" spans="5:13">
      <c r="E3827" s="473"/>
      <c r="F3827" s="473"/>
      <c r="G3827" s="245"/>
      <c r="J3827" s="485"/>
      <c r="K3827" s="255">
        <f>K3825*2/3</f>
        <v>1856</v>
      </c>
      <c r="L3827" s="255"/>
      <c r="M3827" s="473"/>
    </row>
    <row r="3828" spans="5:13">
      <c r="E3828" s="473"/>
      <c r="F3828" s="473"/>
      <c r="G3828" s="473"/>
      <c r="H3828" s="473"/>
      <c r="I3828" s="473"/>
      <c r="J3828" s="473"/>
      <c r="K3828" s="473"/>
      <c r="L3828" s="473"/>
      <c r="M3828" s="473"/>
    </row>
    <row r="3829" spans="5:13">
      <c r="E3829" s="473"/>
      <c r="F3829" s="473"/>
      <c r="G3829" s="473"/>
      <c r="H3829" s="254" t="s">
        <v>3192</v>
      </c>
      <c r="I3829" s="473"/>
      <c r="J3829" s="473"/>
      <c r="K3829" s="473"/>
      <c r="L3829" s="473"/>
      <c r="M3829" s="473"/>
    </row>
    <row r="3830" spans="5:13">
      <c r="E3830" s="473"/>
      <c r="F3830" s="473"/>
      <c r="G3830" s="473"/>
      <c r="H3830" s="473"/>
      <c r="I3830" s="473"/>
      <c r="J3830" s="473"/>
      <c r="K3830" s="473"/>
      <c r="L3830" s="473"/>
      <c r="M3830" s="473"/>
    </row>
    <row r="3831" spans="5:13" ht="189">
      <c r="E3831" s="473"/>
      <c r="F3831" s="473"/>
      <c r="G3831" s="473"/>
      <c r="H3831" s="472" t="s">
        <v>3210</v>
      </c>
      <c r="I3831" s="473"/>
      <c r="J3831" s="473"/>
      <c r="K3831" s="473"/>
      <c r="L3831" s="473"/>
      <c r="M3831" s="473"/>
    </row>
    <row r="3832" spans="5:13">
      <c r="E3832" s="473"/>
      <c r="F3832" s="473"/>
      <c r="G3832" s="473"/>
      <c r="H3832" s="473" t="s">
        <v>2564</v>
      </c>
      <c r="I3832" s="473"/>
      <c r="J3832" s="473"/>
      <c r="K3832" s="473">
        <f>K3810-K3809</f>
        <v>5704.41</v>
      </c>
      <c r="L3832" s="473"/>
      <c r="M3832" s="473"/>
    </row>
    <row r="3833" spans="5:13">
      <c r="E3833" s="473"/>
      <c r="F3833" s="473"/>
      <c r="G3833" s="473"/>
      <c r="H3833" s="473" t="s">
        <v>2565</v>
      </c>
      <c r="I3833" s="473"/>
      <c r="J3833" s="473"/>
      <c r="K3833" s="473">
        <f>K3799</f>
        <v>165</v>
      </c>
      <c r="L3833" s="473"/>
      <c r="M3833" s="473"/>
    </row>
    <row r="3834" spans="5:13">
      <c r="E3834" s="473"/>
      <c r="F3834" s="473"/>
      <c r="G3834" s="473"/>
      <c r="H3834" s="473" t="s">
        <v>3732</v>
      </c>
      <c r="I3834" s="473"/>
      <c r="J3834" s="473"/>
      <c r="K3834" s="623">
        <f>10*19.8</f>
        <v>198</v>
      </c>
      <c r="L3834" s="473"/>
      <c r="M3834" s="473"/>
    </row>
    <row r="3835" spans="5:13">
      <c r="E3835" s="473"/>
      <c r="F3835" s="473"/>
      <c r="G3835" s="473"/>
      <c r="H3835" s="473" t="s">
        <v>2359</v>
      </c>
      <c r="I3835" s="473"/>
      <c r="J3835" s="473"/>
      <c r="K3835" s="473">
        <v>2.59</v>
      </c>
      <c r="L3835" s="473"/>
      <c r="M3835" s="473"/>
    </row>
    <row r="3836" spans="5:13">
      <c r="E3836" s="473"/>
      <c r="F3836" s="473"/>
      <c r="G3836" s="473"/>
      <c r="H3836" s="478" t="s">
        <v>2540</v>
      </c>
      <c r="I3836" s="473"/>
      <c r="J3836" s="473"/>
      <c r="K3836" s="479">
        <f>K3832-K3833+K3834+K3835</f>
        <v>5740</v>
      </c>
      <c r="L3836" s="473"/>
      <c r="M3836" s="473"/>
    </row>
    <row r="3837" spans="5:13">
      <c r="E3837" s="473"/>
      <c r="F3837" s="473"/>
      <c r="G3837" s="473"/>
      <c r="H3837" s="480" t="s">
        <v>2541</v>
      </c>
      <c r="I3837" s="473"/>
      <c r="J3837" s="473"/>
      <c r="K3837" s="481">
        <f>K3836/10</f>
        <v>574</v>
      </c>
      <c r="L3837" s="473"/>
      <c r="M3837" s="473"/>
    </row>
    <row r="3838" spans="5:13">
      <c r="E3838" s="473"/>
      <c r="F3838" s="473"/>
      <c r="G3838" s="473"/>
      <c r="H3838" s="473"/>
      <c r="I3838" s="473"/>
      <c r="J3838" s="473"/>
      <c r="K3838" s="473"/>
      <c r="L3838" s="473"/>
      <c r="M3838" s="473"/>
    </row>
    <row r="3839" spans="5:13">
      <c r="E3839" s="473"/>
      <c r="F3839" s="473"/>
      <c r="G3839" s="473"/>
      <c r="H3839" s="473"/>
      <c r="I3839" s="473"/>
      <c r="J3839" s="473"/>
      <c r="K3839" s="473"/>
      <c r="L3839" s="473"/>
      <c r="M3839" s="473"/>
    </row>
    <row r="3840" spans="5:13">
      <c r="E3840" s="473"/>
      <c r="F3840" s="473"/>
      <c r="G3840" s="473"/>
      <c r="H3840" s="473"/>
      <c r="I3840" s="473"/>
      <c r="J3840" s="473"/>
      <c r="K3840" s="473"/>
      <c r="L3840" s="473"/>
      <c r="M3840" s="473"/>
    </row>
    <row r="3841" spans="5:13" ht="47.25">
      <c r="E3841" s="473"/>
      <c r="F3841" s="473"/>
      <c r="G3841" s="473"/>
      <c r="H3841" s="471" t="s">
        <v>3570</v>
      </c>
      <c r="I3841" s="473"/>
      <c r="J3841" s="473"/>
      <c r="K3841" s="473"/>
      <c r="L3841" s="473"/>
      <c r="M3841" s="473"/>
    </row>
    <row r="3842" spans="5:13">
      <c r="E3842" s="473"/>
      <c r="F3842" s="473"/>
      <c r="G3842" s="473"/>
      <c r="H3842" s="473"/>
      <c r="I3842" s="473"/>
      <c r="J3842" s="473"/>
      <c r="K3842" s="473"/>
      <c r="L3842" s="473"/>
      <c r="M3842" s="473"/>
    </row>
    <row r="3843" spans="5:13" ht="204.75">
      <c r="E3843" s="473"/>
      <c r="F3843" s="473"/>
      <c r="G3843" s="473"/>
      <c r="H3843" s="472" t="s">
        <v>3555</v>
      </c>
      <c r="I3843" s="473"/>
      <c r="J3843" s="473"/>
      <c r="K3843" s="473"/>
      <c r="L3843" s="473"/>
      <c r="M3843" s="473"/>
    </row>
    <row r="3844" spans="5:13">
      <c r="E3844" s="473"/>
      <c r="F3844" s="473"/>
      <c r="G3844" s="473"/>
      <c r="H3844" s="473" t="s">
        <v>3579</v>
      </c>
      <c r="I3844" s="473"/>
      <c r="J3844" s="473"/>
      <c r="K3844" s="473">
        <f>K3832</f>
        <v>5704.41</v>
      </c>
      <c r="L3844" s="473"/>
      <c r="M3844" s="473"/>
    </row>
    <row r="3845" spans="5:13">
      <c r="E3845" s="473"/>
      <c r="F3845" s="473"/>
      <c r="G3845" s="473"/>
      <c r="H3845" s="473" t="s">
        <v>3146</v>
      </c>
      <c r="I3845" s="473"/>
      <c r="J3845" s="473"/>
      <c r="K3845" s="473">
        <f>K3833</f>
        <v>165</v>
      </c>
      <c r="L3845" s="473"/>
      <c r="M3845" s="473"/>
    </row>
    <row r="3846" spans="5:13">
      <c r="E3846" s="473"/>
      <c r="F3846" s="473"/>
      <c r="G3846" s="473"/>
      <c r="H3846" s="473" t="s">
        <v>3147</v>
      </c>
      <c r="I3846" s="473"/>
      <c r="J3846" s="473"/>
      <c r="K3846" s="473">
        <f>K2892</f>
        <v>36.700000000000003</v>
      </c>
      <c r="L3846" s="473"/>
      <c r="M3846" s="473"/>
    </row>
    <row r="3847" spans="5:13">
      <c r="E3847" s="473"/>
      <c r="F3847" s="473"/>
      <c r="G3847" s="473"/>
      <c r="H3847" s="473" t="s">
        <v>3148</v>
      </c>
      <c r="I3847" s="473"/>
      <c r="J3847" s="473"/>
      <c r="K3847" s="473">
        <f>K2893</f>
        <v>169.2</v>
      </c>
      <c r="L3847" s="473"/>
      <c r="M3847" s="473"/>
    </row>
    <row r="3848" spans="5:13">
      <c r="E3848" s="473"/>
      <c r="F3848" s="473"/>
      <c r="G3848" s="473"/>
      <c r="H3848" s="473" t="s">
        <v>3727</v>
      </c>
      <c r="I3848" s="473"/>
      <c r="J3848" s="473"/>
      <c r="K3848" s="623">
        <f>49.5*10</f>
        <v>495</v>
      </c>
      <c r="L3848" s="473"/>
      <c r="M3848" s="473"/>
    </row>
    <row r="3849" spans="5:13">
      <c r="E3849" s="473"/>
      <c r="F3849" s="473"/>
      <c r="G3849" s="473"/>
      <c r="H3849" s="473" t="s">
        <v>3733</v>
      </c>
      <c r="I3849" s="473"/>
      <c r="J3849" s="473"/>
      <c r="K3849" s="623">
        <f>10*16.92</f>
        <v>169.2</v>
      </c>
      <c r="L3849" s="473">
        <f>203/12</f>
        <v>16.920000000000002</v>
      </c>
      <c r="M3849" s="473"/>
    </row>
    <row r="3850" spans="5:13">
      <c r="E3850" s="473"/>
      <c r="F3850" s="473"/>
      <c r="G3850" s="473"/>
      <c r="H3850" s="473" t="s">
        <v>3728</v>
      </c>
      <c r="I3850" s="473"/>
      <c r="J3850" s="473"/>
      <c r="K3850" s="623">
        <f>19.8*10</f>
        <v>198</v>
      </c>
      <c r="L3850" s="473"/>
      <c r="M3850" s="473"/>
    </row>
    <row r="3851" spans="5:13">
      <c r="E3851" s="473"/>
      <c r="F3851" s="473"/>
      <c r="G3851" s="473"/>
      <c r="H3851" s="473" t="s">
        <v>2359</v>
      </c>
      <c r="I3851" s="473"/>
      <c r="J3851" s="473"/>
      <c r="K3851" s="473">
        <v>4.29</v>
      </c>
      <c r="L3851" s="473"/>
      <c r="M3851" s="473"/>
    </row>
    <row r="3852" spans="5:13">
      <c r="E3852" s="473"/>
      <c r="F3852" s="473"/>
      <c r="G3852" s="473"/>
      <c r="H3852" s="478" t="s">
        <v>2540</v>
      </c>
      <c r="I3852" s="473"/>
      <c r="J3852" s="473"/>
      <c r="K3852" s="479">
        <f>(K3844-K3845-K3846-K3847)+(K3848+K3849+K3850+K3851)</f>
        <v>6200</v>
      </c>
      <c r="L3852" s="473"/>
      <c r="M3852" s="473"/>
    </row>
    <row r="3853" spans="5:13">
      <c r="E3853" s="473"/>
      <c r="F3853" s="473"/>
      <c r="G3853" s="473"/>
      <c r="H3853" s="480" t="s">
        <v>3338</v>
      </c>
      <c r="I3853" s="473"/>
      <c r="J3853" s="473"/>
      <c r="K3853" s="481">
        <f>K3852/10</f>
        <v>620</v>
      </c>
      <c r="L3853" s="473"/>
      <c r="M3853" s="473"/>
    </row>
    <row r="3854" spans="5:13">
      <c r="E3854" s="473"/>
      <c r="F3854" s="473"/>
      <c r="G3854" s="473"/>
      <c r="H3854" s="473"/>
      <c r="I3854" s="473"/>
      <c r="J3854" s="473"/>
      <c r="K3854" s="473"/>
      <c r="L3854" s="473"/>
      <c r="M3854" s="473"/>
    </row>
    <row r="3855" spans="5:13">
      <c r="E3855" s="473"/>
      <c r="F3855" s="473"/>
      <c r="G3855" s="473"/>
      <c r="H3855" s="473"/>
      <c r="I3855" s="473"/>
      <c r="J3855" s="473"/>
      <c r="K3855" s="473"/>
      <c r="L3855" s="473"/>
      <c r="M3855" s="473"/>
    </row>
    <row r="3856" spans="5:13">
      <c r="E3856" s="473"/>
      <c r="F3856" s="473"/>
      <c r="G3856" s="473"/>
      <c r="H3856" s="473"/>
      <c r="I3856" s="473"/>
      <c r="J3856" s="473"/>
      <c r="K3856" s="473"/>
      <c r="L3856" s="473"/>
      <c r="M3856" s="473"/>
    </row>
    <row r="3857" spans="5:13">
      <c r="E3857" s="473"/>
      <c r="F3857" s="473"/>
      <c r="G3857" s="473"/>
      <c r="H3857" s="473"/>
      <c r="I3857" s="473"/>
      <c r="J3857" s="473"/>
      <c r="K3857" s="473"/>
      <c r="L3857" s="473"/>
      <c r="M3857" s="473"/>
    </row>
    <row r="3858" spans="5:13">
      <c r="E3858" s="473"/>
      <c r="F3858" s="473"/>
      <c r="G3858" s="473"/>
      <c r="H3858" s="473"/>
      <c r="I3858" s="473"/>
      <c r="J3858" s="473"/>
      <c r="K3858" s="473"/>
      <c r="L3858" s="473"/>
      <c r="M3858" s="473"/>
    </row>
    <row r="3859" spans="5:13" ht="31.5">
      <c r="E3859" s="473"/>
      <c r="F3859" s="473"/>
      <c r="G3859" s="473"/>
      <c r="H3859" s="471" t="s">
        <v>3046</v>
      </c>
      <c r="I3859" s="473"/>
      <c r="J3859" s="473"/>
      <c r="K3859" s="473"/>
      <c r="L3859" s="473"/>
      <c r="M3859" s="473"/>
    </row>
    <row r="3860" spans="5:13">
      <c r="E3860" s="473"/>
      <c r="F3860" s="473"/>
      <c r="G3860" s="473"/>
      <c r="I3860" s="473"/>
      <c r="J3860" s="473"/>
      <c r="K3860" s="473"/>
      <c r="L3860" s="473"/>
      <c r="M3860" s="473"/>
    </row>
    <row r="3861" spans="5:13">
      <c r="E3861" s="473"/>
      <c r="F3861" s="473"/>
      <c r="G3861" s="473"/>
      <c r="I3861" s="473"/>
      <c r="J3861" s="473"/>
      <c r="K3861" s="473"/>
      <c r="L3861" s="473"/>
      <c r="M3861" s="473"/>
    </row>
    <row r="3862" spans="5:13">
      <c r="E3862" s="473"/>
      <c r="F3862" s="473"/>
      <c r="G3862" s="473"/>
      <c r="I3862" s="473"/>
      <c r="J3862" s="473"/>
      <c r="K3862" s="473"/>
      <c r="L3862" s="473"/>
      <c r="M3862" s="473"/>
    </row>
    <row r="3863" spans="5:13">
      <c r="E3863" s="473"/>
      <c r="F3863" s="473"/>
      <c r="G3863" s="473"/>
      <c r="I3863" s="473"/>
      <c r="J3863" s="473"/>
      <c r="K3863" s="473"/>
      <c r="L3863" s="473"/>
      <c r="M3863" s="473"/>
    </row>
    <row r="3864" spans="5:13" ht="189">
      <c r="E3864" s="473"/>
      <c r="F3864" s="473"/>
      <c r="G3864" s="473"/>
      <c r="H3864" s="472" t="s">
        <v>2987</v>
      </c>
      <c r="I3864" s="473"/>
      <c r="J3864" s="473"/>
      <c r="K3864" s="473"/>
      <c r="L3864" s="473"/>
      <c r="M3864" s="473"/>
    </row>
    <row r="3865" spans="5:13">
      <c r="E3865" s="473"/>
      <c r="F3865" s="473"/>
      <c r="G3865" s="473"/>
      <c r="H3865" s="473"/>
      <c r="I3865" s="473"/>
      <c r="J3865" s="473"/>
      <c r="K3865" s="473"/>
      <c r="L3865" s="473"/>
      <c r="M3865" s="473"/>
    </row>
    <row r="3866" spans="5:13">
      <c r="E3866" s="473"/>
      <c r="F3866" s="473"/>
      <c r="G3866" s="473"/>
      <c r="H3866" s="473"/>
      <c r="I3866" s="473"/>
      <c r="J3866" s="473"/>
      <c r="K3866" s="473"/>
      <c r="L3866" s="473"/>
      <c r="M3866" s="473"/>
    </row>
    <row r="3867" spans="5:13">
      <c r="E3867" s="473"/>
      <c r="F3867" s="473"/>
      <c r="G3867" s="473"/>
      <c r="H3867" s="473"/>
      <c r="I3867" s="473"/>
      <c r="J3867" s="473"/>
      <c r="K3867" s="473"/>
      <c r="L3867" s="473"/>
      <c r="M3867" s="473"/>
    </row>
    <row r="3868" spans="5:13">
      <c r="E3868" s="473"/>
      <c r="F3868" s="473"/>
      <c r="G3868" s="473"/>
      <c r="H3868" s="473" t="s">
        <v>2564</v>
      </c>
      <c r="I3868" s="473"/>
      <c r="J3868" s="473"/>
      <c r="K3868" s="473">
        <f>K3810</f>
        <v>5710</v>
      </c>
      <c r="L3868" s="473"/>
      <c r="M3868" s="473"/>
    </row>
    <row r="3869" spans="5:13">
      <c r="E3869" s="473"/>
      <c r="F3869" s="473"/>
      <c r="G3869" s="473"/>
      <c r="H3869" s="473" t="s">
        <v>2951</v>
      </c>
      <c r="I3869" s="473"/>
      <c r="J3869" s="473"/>
      <c r="K3869" s="473">
        <f>K3803</f>
        <v>164</v>
      </c>
      <c r="L3869" s="473"/>
      <c r="M3869" s="473"/>
    </row>
    <row r="3870" spans="5:13">
      <c r="E3870" s="473"/>
      <c r="F3870" s="473"/>
      <c r="G3870" s="473"/>
      <c r="H3870" s="473" t="s">
        <v>2952</v>
      </c>
      <c r="I3870" s="473"/>
      <c r="J3870" s="473"/>
      <c r="K3870" s="473">
        <f>K3805</f>
        <v>67.2</v>
      </c>
      <c r="L3870" s="473"/>
      <c r="M3870" s="473"/>
    </row>
    <row r="3871" spans="5:13">
      <c r="E3871" s="473"/>
      <c r="F3871" s="473"/>
      <c r="G3871" s="473"/>
      <c r="H3871" s="473" t="s">
        <v>3734</v>
      </c>
      <c r="I3871" s="473"/>
      <c r="J3871" s="473"/>
      <c r="K3871" s="623">
        <f>82.6*10</f>
        <v>826</v>
      </c>
      <c r="L3871" s="473"/>
      <c r="M3871" s="473"/>
    </row>
    <row r="3872" spans="5:13">
      <c r="E3872" s="473"/>
      <c r="F3872" s="473"/>
      <c r="G3872" s="473"/>
      <c r="H3872" s="473" t="s">
        <v>3735</v>
      </c>
      <c r="I3872" s="473"/>
      <c r="J3872" s="473"/>
      <c r="K3872" s="623">
        <f>0.6*672</f>
        <v>403.2</v>
      </c>
      <c r="L3872" s="473"/>
      <c r="M3872" s="473"/>
    </row>
    <row r="3873" spans="5:13">
      <c r="E3873" s="473"/>
      <c r="F3873" s="473"/>
      <c r="G3873" s="473"/>
      <c r="H3873" s="473" t="s">
        <v>3193</v>
      </c>
      <c r="I3873" s="473"/>
      <c r="J3873" s="473"/>
      <c r="K3873" s="473">
        <v>12</v>
      </c>
      <c r="L3873" s="473">
        <f>SUM(K3868:K3872)</f>
        <v>7170.4</v>
      </c>
      <c r="M3873" s="473">
        <f>L3873*1/100</f>
        <v>71.7</v>
      </c>
    </row>
    <row r="3874" spans="5:13">
      <c r="E3874" s="473"/>
      <c r="F3874" s="473"/>
      <c r="G3874" s="473"/>
      <c r="H3874" s="478" t="s">
        <v>2540</v>
      </c>
      <c r="I3874" s="473"/>
      <c r="J3874" s="473"/>
      <c r="K3874" s="479">
        <f>K3868-K3869-K3870+K3871+K3872+K3873</f>
        <v>6720</v>
      </c>
      <c r="L3874" s="473"/>
      <c r="M3874" s="473"/>
    </row>
    <row r="3875" spans="5:13">
      <c r="E3875" s="473"/>
      <c r="F3875" s="473"/>
      <c r="G3875" s="473"/>
      <c r="H3875" s="480" t="s">
        <v>2541</v>
      </c>
      <c r="I3875" s="473"/>
      <c r="J3875" s="473"/>
      <c r="K3875" s="481">
        <f>K3874/10</f>
        <v>672</v>
      </c>
      <c r="L3875" s="473"/>
      <c r="M3875" s="473"/>
    </row>
    <row r="3876" spans="5:13">
      <c r="E3876" s="473"/>
      <c r="F3876" s="473"/>
      <c r="G3876" s="473"/>
      <c r="H3876" s="473"/>
      <c r="I3876" s="473"/>
      <c r="J3876" s="473"/>
      <c r="K3876" s="473"/>
      <c r="L3876" s="473"/>
      <c r="M3876" s="473"/>
    </row>
    <row r="3877" spans="5:13">
      <c r="E3877" s="473"/>
      <c r="F3877" s="473"/>
      <c r="G3877" s="473"/>
      <c r="H3877" s="473"/>
      <c r="I3877" s="473"/>
      <c r="J3877" s="473"/>
      <c r="K3877" s="473"/>
      <c r="L3877" s="473"/>
      <c r="M3877" s="473"/>
    </row>
    <row r="3878" spans="5:13">
      <c r="E3878" s="473"/>
      <c r="F3878" s="473"/>
      <c r="G3878" s="473"/>
      <c r="H3878" s="473"/>
      <c r="I3878" s="473"/>
      <c r="J3878" s="473"/>
      <c r="K3878" s="473"/>
      <c r="L3878" s="473"/>
      <c r="M3878" s="473"/>
    </row>
    <row r="3879" spans="5:13" ht="47.25">
      <c r="E3879" s="473"/>
      <c r="F3879" s="473"/>
      <c r="G3879" s="473"/>
      <c r="H3879" s="471" t="s">
        <v>3140</v>
      </c>
      <c r="I3879" s="473"/>
      <c r="J3879" s="473"/>
      <c r="K3879" s="473"/>
      <c r="L3879" s="473"/>
      <c r="M3879" s="473"/>
    </row>
    <row r="3880" spans="5:13" ht="189" customHeight="1">
      <c r="E3880" s="473"/>
      <c r="F3880" s="473"/>
      <c r="G3880" s="473"/>
      <c r="H3880" s="472" t="s">
        <v>3136</v>
      </c>
      <c r="I3880" s="473"/>
      <c r="J3880" s="473"/>
      <c r="K3880" s="473"/>
      <c r="L3880" s="473"/>
      <c r="M3880" s="473"/>
    </row>
    <row r="3881" spans="5:13" ht="31.5">
      <c r="E3881" s="473"/>
      <c r="F3881" s="473">
        <v>90</v>
      </c>
      <c r="G3881" s="473" t="s">
        <v>840</v>
      </c>
      <c r="H3881" s="394" t="s">
        <v>2662</v>
      </c>
      <c r="I3881" s="473">
        <f>I3049</f>
        <v>14.05</v>
      </c>
      <c r="J3881" s="473" t="s">
        <v>2663</v>
      </c>
      <c r="K3881" s="473">
        <f>F3881*I3881</f>
        <v>1264.5</v>
      </c>
      <c r="L3881" s="473"/>
      <c r="M3881" s="473"/>
    </row>
    <row r="3882" spans="5:13" ht="31.5">
      <c r="E3882" s="473"/>
      <c r="F3882" s="473">
        <v>30</v>
      </c>
      <c r="G3882" s="473" t="s">
        <v>840</v>
      </c>
      <c r="H3882" s="472" t="s">
        <v>2466</v>
      </c>
      <c r="I3882" s="473">
        <f>I3050</f>
        <v>20.399999999999999</v>
      </c>
      <c r="J3882" s="473" t="s">
        <v>840</v>
      </c>
      <c r="K3882" s="473">
        <f t="shared" ref="K3882:K3891" si="108">F3882*I3882</f>
        <v>612</v>
      </c>
      <c r="L3882" s="473"/>
      <c r="M3882" s="473"/>
    </row>
    <row r="3883" spans="5:13">
      <c r="E3883" s="473"/>
      <c r="F3883" s="473">
        <v>10</v>
      </c>
      <c r="G3883" s="473" t="s">
        <v>1454</v>
      </c>
      <c r="H3883" s="473" t="s">
        <v>2468</v>
      </c>
      <c r="I3883" s="473">
        <f>I3051</f>
        <v>3.3</v>
      </c>
      <c r="J3883" s="473" t="s">
        <v>1454</v>
      </c>
      <c r="K3883" s="473">
        <f t="shared" si="108"/>
        <v>33</v>
      </c>
      <c r="L3883" s="473"/>
      <c r="M3883" s="473"/>
    </row>
    <row r="3884" spans="5:13">
      <c r="E3884" s="473"/>
      <c r="F3884" s="473">
        <v>5</v>
      </c>
      <c r="G3884" s="473" t="s">
        <v>1454</v>
      </c>
      <c r="H3884" s="473" t="s">
        <v>3571</v>
      </c>
      <c r="I3884" s="473">
        <f>I3052</f>
        <v>1.37</v>
      </c>
      <c r="J3884" s="473" t="s">
        <v>1454</v>
      </c>
      <c r="K3884" s="473">
        <f t="shared" si="108"/>
        <v>6.85</v>
      </c>
      <c r="L3884" s="473"/>
      <c r="M3884" s="473"/>
    </row>
    <row r="3885" spans="5:13">
      <c r="E3885" s="473"/>
      <c r="F3885" s="473">
        <v>10</v>
      </c>
      <c r="G3885" s="473" t="s">
        <v>1454</v>
      </c>
      <c r="H3885" s="473" t="s">
        <v>2561</v>
      </c>
      <c r="I3885" s="473">
        <f>I3053</f>
        <v>21.08</v>
      </c>
      <c r="J3885" s="473" t="s">
        <v>1454</v>
      </c>
      <c r="K3885" s="473">
        <f t="shared" si="108"/>
        <v>210.8</v>
      </c>
      <c r="L3885" s="473"/>
      <c r="M3885" s="473"/>
    </row>
    <row r="3886" spans="5:13">
      <c r="E3886" s="473"/>
      <c r="F3886" s="473">
        <v>5</v>
      </c>
      <c r="G3886" s="473" t="s">
        <v>1454</v>
      </c>
      <c r="H3886" s="473" t="s">
        <v>3137</v>
      </c>
      <c r="I3886" s="473">
        <v>2.5</v>
      </c>
      <c r="J3886" s="473" t="s">
        <v>1458</v>
      </c>
      <c r="K3886" s="473">
        <f t="shared" si="108"/>
        <v>12.5</v>
      </c>
      <c r="L3886" s="473"/>
      <c r="M3886" s="473"/>
    </row>
    <row r="3887" spans="5:13">
      <c r="E3887" s="473"/>
      <c r="F3887" s="473">
        <v>5</v>
      </c>
      <c r="G3887" s="473" t="s">
        <v>1454</v>
      </c>
      <c r="H3887" s="473" t="s">
        <v>2755</v>
      </c>
      <c r="I3887" s="473">
        <f>I3054</f>
        <v>16.5</v>
      </c>
      <c r="J3887" s="473" t="s">
        <v>1454</v>
      </c>
      <c r="K3887" s="473">
        <f t="shared" si="108"/>
        <v>82.5</v>
      </c>
      <c r="L3887" s="473"/>
      <c r="M3887" s="473"/>
    </row>
    <row r="3888" spans="5:13">
      <c r="E3888" s="473"/>
      <c r="F3888" s="476">
        <v>0.09</v>
      </c>
      <c r="G3888" s="473" t="s">
        <v>2371</v>
      </c>
      <c r="H3888" s="473" t="s">
        <v>2675</v>
      </c>
      <c r="I3888" s="473">
        <f>I3057</f>
        <v>672</v>
      </c>
      <c r="J3888" s="473" t="s">
        <v>2371</v>
      </c>
      <c r="K3888" s="473">
        <f t="shared" si="108"/>
        <v>60.48</v>
      </c>
      <c r="L3888" s="473"/>
      <c r="M3888" s="473"/>
    </row>
    <row r="3889" spans="5:13">
      <c r="E3889" s="473"/>
      <c r="F3889" s="473">
        <v>1</v>
      </c>
      <c r="G3889" s="473" t="s">
        <v>2759</v>
      </c>
      <c r="H3889" s="473" t="s">
        <v>391</v>
      </c>
      <c r="I3889" s="623">
        <f>5500/20</f>
        <v>275</v>
      </c>
      <c r="J3889" s="473" t="s">
        <v>2759</v>
      </c>
      <c r="K3889" s="473">
        <f t="shared" si="108"/>
        <v>275</v>
      </c>
      <c r="L3889" s="473"/>
      <c r="M3889" s="473"/>
    </row>
    <row r="3890" spans="5:13">
      <c r="E3890" s="473"/>
      <c r="F3890" s="473">
        <v>6</v>
      </c>
      <c r="G3890" s="473" t="s">
        <v>1454</v>
      </c>
      <c r="H3890" s="473" t="s">
        <v>3138</v>
      </c>
      <c r="I3890" s="623">
        <v>19.8</v>
      </c>
      <c r="J3890" s="473" t="s">
        <v>1458</v>
      </c>
      <c r="K3890" s="473">
        <f t="shared" si="108"/>
        <v>118.8</v>
      </c>
      <c r="L3890" s="473"/>
      <c r="M3890" s="473"/>
    </row>
    <row r="3891" spans="5:13" ht="31.5">
      <c r="E3891" s="473"/>
      <c r="F3891" s="473">
        <v>30</v>
      </c>
      <c r="G3891" s="473" t="s">
        <v>840</v>
      </c>
      <c r="H3891" s="394" t="s">
        <v>2765</v>
      </c>
      <c r="I3891" s="473">
        <f>I3881</f>
        <v>14.05</v>
      </c>
      <c r="J3891" s="473" t="s">
        <v>2663</v>
      </c>
      <c r="K3891" s="473">
        <f t="shared" si="108"/>
        <v>421.5</v>
      </c>
      <c r="L3891" s="473"/>
      <c r="M3891" s="473"/>
    </row>
    <row r="3892" spans="5:13">
      <c r="E3892" s="473"/>
      <c r="F3892" s="473"/>
      <c r="G3892" s="473"/>
      <c r="H3892" s="473" t="s">
        <v>931</v>
      </c>
      <c r="I3892" s="473"/>
      <c r="J3892" s="473"/>
      <c r="K3892" s="473">
        <f>K3825</f>
        <v>2784</v>
      </c>
      <c r="L3892" s="473"/>
      <c r="M3892" s="473"/>
    </row>
    <row r="3893" spans="5:13">
      <c r="E3893" s="473"/>
      <c r="F3893" s="473"/>
      <c r="G3893" s="473"/>
      <c r="H3893" s="473" t="s">
        <v>2359</v>
      </c>
      <c r="I3893" s="473"/>
      <c r="J3893" s="473"/>
      <c r="K3893" s="473">
        <v>8.07</v>
      </c>
      <c r="L3893" s="473"/>
      <c r="M3893" s="473"/>
    </row>
    <row r="3894" spans="5:13">
      <c r="E3894" s="473"/>
      <c r="F3894" s="473"/>
      <c r="G3894" s="473"/>
      <c r="H3894" s="478" t="s">
        <v>2676</v>
      </c>
      <c r="I3894" s="473"/>
      <c r="J3894" s="473"/>
      <c r="K3894" s="479">
        <f>SUM(K3881:K3893)</f>
        <v>5890</v>
      </c>
      <c r="L3894" s="473">
        <f>924*5</f>
        <v>4620</v>
      </c>
      <c r="M3894" s="473"/>
    </row>
    <row r="3895" spans="5:13">
      <c r="E3895" s="473"/>
      <c r="F3895" s="473"/>
      <c r="G3895" s="473"/>
      <c r="H3895" s="480" t="s">
        <v>3338</v>
      </c>
      <c r="I3895" s="473"/>
      <c r="J3895" s="473"/>
      <c r="K3895" s="481">
        <f>K3894/5</f>
        <v>1178</v>
      </c>
      <c r="L3895" s="473">
        <f>L3894-K3894</f>
        <v>-1270</v>
      </c>
      <c r="M3895" s="473"/>
    </row>
    <row r="3896" spans="5:13">
      <c r="E3896" s="473"/>
      <c r="F3896" s="473"/>
      <c r="G3896" s="473"/>
      <c r="H3896" s="481"/>
      <c r="I3896" s="473"/>
      <c r="J3896" s="473"/>
      <c r="K3896" s="473"/>
      <c r="L3896" s="473"/>
      <c r="M3896" s="473"/>
    </row>
    <row r="3897" spans="5:13">
      <c r="E3897" s="473"/>
      <c r="F3897" s="473"/>
      <c r="G3897" s="473"/>
      <c r="H3897" s="481" t="s">
        <v>1581</v>
      </c>
      <c r="I3897" s="473"/>
      <c r="J3897" s="473"/>
      <c r="K3897" s="473"/>
      <c r="L3897" s="473"/>
      <c r="M3897" s="473"/>
    </row>
    <row r="3898" spans="5:13">
      <c r="E3898" s="473"/>
      <c r="F3898" s="473"/>
      <c r="G3898" s="473"/>
      <c r="H3898" s="473"/>
      <c r="I3898" s="473"/>
      <c r="J3898" s="473"/>
      <c r="K3898" s="473"/>
      <c r="L3898" s="473"/>
      <c r="M3898" s="473"/>
    </row>
    <row r="3899" spans="5:13" ht="173.25">
      <c r="E3899" s="473"/>
      <c r="F3899" s="473"/>
      <c r="G3899" s="473"/>
      <c r="H3899" s="472" t="s">
        <v>2852</v>
      </c>
      <c r="I3899" s="473"/>
      <c r="J3899" s="473"/>
      <c r="K3899" s="473"/>
      <c r="L3899" s="473"/>
      <c r="M3899" s="473"/>
    </row>
    <row r="3900" spans="5:13" ht="31.5">
      <c r="E3900" s="473"/>
      <c r="F3900" s="473">
        <v>90</v>
      </c>
      <c r="G3900" s="473" t="s">
        <v>840</v>
      </c>
      <c r="H3900" s="394" t="s">
        <v>2662</v>
      </c>
      <c r="I3900" s="473">
        <f>I2951</f>
        <v>14.05</v>
      </c>
      <c r="J3900" s="473" t="s">
        <v>3484</v>
      </c>
      <c r="K3900" s="473">
        <f>F3900*I3900</f>
        <v>1264.5</v>
      </c>
      <c r="L3900" s="473"/>
      <c r="M3900" s="473"/>
    </row>
    <row r="3901" spans="5:13" ht="31.5">
      <c r="E3901" s="473"/>
      <c r="F3901" s="473">
        <v>45</v>
      </c>
      <c r="G3901" s="473" t="s">
        <v>840</v>
      </c>
      <c r="H3901" s="472" t="s">
        <v>2466</v>
      </c>
      <c r="I3901" s="473">
        <f t="shared" ref="I3901:I3910" si="109">I2952</f>
        <v>20.399999999999999</v>
      </c>
      <c r="J3901" s="473" t="s">
        <v>840</v>
      </c>
      <c r="K3901" s="473">
        <f t="shared" ref="K3901:K3910" si="110">F3901*I3901</f>
        <v>918</v>
      </c>
      <c r="L3901" s="473"/>
      <c r="M3901" s="473"/>
    </row>
    <row r="3902" spans="5:13">
      <c r="E3902" s="473"/>
      <c r="F3902" s="473">
        <v>20</v>
      </c>
      <c r="G3902" s="473" t="s">
        <v>1454</v>
      </c>
      <c r="H3902" s="473" t="s">
        <v>2468</v>
      </c>
      <c r="I3902" s="473">
        <f t="shared" si="109"/>
        <v>3.3</v>
      </c>
      <c r="J3902" s="473" t="s">
        <v>3574</v>
      </c>
      <c r="K3902" s="473">
        <f t="shared" si="110"/>
        <v>66</v>
      </c>
      <c r="L3902" s="473"/>
      <c r="M3902" s="473"/>
    </row>
    <row r="3903" spans="5:13">
      <c r="E3903" s="473"/>
      <c r="F3903" s="473">
        <v>10</v>
      </c>
      <c r="G3903" s="473" t="s">
        <v>1454</v>
      </c>
      <c r="H3903" s="473" t="s">
        <v>3571</v>
      </c>
      <c r="I3903" s="473">
        <f t="shared" si="109"/>
        <v>1.37</v>
      </c>
      <c r="J3903" s="473" t="s">
        <v>3574</v>
      </c>
      <c r="K3903" s="473">
        <f t="shared" si="110"/>
        <v>13.7</v>
      </c>
      <c r="L3903" s="473"/>
      <c r="M3903" s="473"/>
    </row>
    <row r="3904" spans="5:13">
      <c r="E3904" s="473"/>
      <c r="F3904" s="473">
        <v>1</v>
      </c>
      <c r="G3904" s="473" t="s">
        <v>1454</v>
      </c>
      <c r="H3904" s="473" t="s">
        <v>2562</v>
      </c>
      <c r="I3904" s="473">
        <f t="shared" si="109"/>
        <v>67</v>
      </c>
      <c r="J3904" s="473" t="s">
        <v>1454</v>
      </c>
      <c r="K3904" s="473">
        <f t="shared" si="110"/>
        <v>67</v>
      </c>
      <c r="L3904" s="473"/>
      <c r="M3904" s="473"/>
    </row>
    <row r="3905" spans="5:13">
      <c r="E3905" s="473"/>
      <c r="F3905" s="476">
        <v>1.4999999999999999E-2</v>
      </c>
      <c r="G3905" s="473" t="s">
        <v>2371</v>
      </c>
      <c r="H3905" s="473" t="s">
        <v>2675</v>
      </c>
      <c r="I3905" s="473">
        <f t="shared" si="109"/>
        <v>672</v>
      </c>
      <c r="J3905" s="473" t="s">
        <v>2371</v>
      </c>
      <c r="K3905" s="473">
        <f t="shared" si="110"/>
        <v>10.08</v>
      </c>
      <c r="L3905" s="473"/>
      <c r="M3905" s="473"/>
    </row>
    <row r="3906" spans="5:13">
      <c r="E3906" s="473"/>
      <c r="F3906" s="473">
        <v>15</v>
      </c>
      <c r="G3906" s="473" t="s">
        <v>1454</v>
      </c>
      <c r="H3906" s="473" t="s">
        <v>2853</v>
      </c>
      <c r="I3906" s="473">
        <f t="shared" si="109"/>
        <v>44.62</v>
      </c>
      <c r="J3906" s="473" t="s">
        <v>1454</v>
      </c>
      <c r="K3906" s="473">
        <f t="shared" si="110"/>
        <v>669.3</v>
      </c>
      <c r="L3906" s="473"/>
      <c r="M3906" s="473"/>
    </row>
    <row r="3907" spans="5:13">
      <c r="E3907" s="473"/>
      <c r="F3907" s="473">
        <v>15</v>
      </c>
      <c r="G3907" s="473" t="s">
        <v>1454</v>
      </c>
      <c r="H3907" s="473" t="s">
        <v>2562</v>
      </c>
      <c r="I3907" s="473">
        <f t="shared" si="109"/>
        <v>67</v>
      </c>
      <c r="J3907" s="473" t="s">
        <v>1454</v>
      </c>
      <c r="K3907" s="473">
        <f t="shared" si="110"/>
        <v>1005</v>
      </c>
      <c r="L3907" s="473"/>
      <c r="M3907" s="473"/>
    </row>
    <row r="3908" spans="5:13">
      <c r="E3908" s="473"/>
      <c r="F3908" s="476">
        <v>0.22500000000000001</v>
      </c>
      <c r="G3908" s="473" t="s">
        <v>2371</v>
      </c>
      <c r="H3908" s="473" t="s">
        <v>2675</v>
      </c>
      <c r="I3908" s="473">
        <f t="shared" si="109"/>
        <v>672</v>
      </c>
      <c r="J3908" s="473" t="s">
        <v>2854</v>
      </c>
      <c r="K3908" s="473">
        <f t="shared" si="110"/>
        <v>151.19999999999999</v>
      </c>
      <c r="L3908" s="473"/>
      <c r="M3908" s="473"/>
    </row>
    <row r="3909" spans="5:13">
      <c r="E3909" s="473"/>
      <c r="F3909" s="473">
        <v>1.25</v>
      </c>
      <c r="G3909" s="473" t="s">
        <v>2759</v>
      </c>
      <c r="H3909" s="473" t="s">
        <v>391</v>
      </c>
      <c r="I3909" s="473">
        <f t="shared" si="109"/>
        <v>275</v>
      </c>
      <c r="J3909" s="473" t="s">
        <v>2759</v>
      </c>
      <c r="K3909" s="473">
        <f t="shared" si="110"/>
        <v>343.75</v>
      </c>
      <c r="L3909" s="473"/>
      <c r="M3909" s="473"/>
    </row>
    <row r="3910" spans="5:13" ht="31.5">
      <c r="E3910" s="473"/>
      <c r="F3910" s="473">
        <v>45</v>
      </c>
      <c r="G3910" s="473" t="s">
        <v>2371</v>
      </c>
      <c r="H3910" s="394" t="s">
        <v>2765</v>
      </c>
      <c r="I3910" s="473">
        <f t="shared" si="109"/>
        <v>14.05</v>
      </c>
      <c r="J3910" s="473" t="s">
        <v>3484</v>
      </c>
      <c r="K3910" s="473">
        <f t="shared" si="110"/>
        <v>632.25</v>
      </c>
      <c r="L3910" s="473">
        <f>SUM(K3900:K3910)</f>
        <v>5140.78</v>
      </c>
      <c r="M3910" s="473"/>
    </row>
    <row r="3911" spans="5:13">
      <c r="E3911" s="473"/>
      <c r="F3911" s="473"/>
      <c r="G3911" s="473"/>
      <c r="H3911" s="473" t="s">
        <v>931</v>
      </c>
      <c r="I3911" s="473"/>
      <c r="J3911" s="473"/>
      <c r="K3911" s="473">
        <f>K3827</f>
        <v>1856</v>
      </c>
      <c r="L3911" s="473">
        <f>L3910*1%</f>
        <v>51.41</v>
      </c>
      <c r="M3911" s="473"/>
    </row>
    <row r="3912" spans="5:13">
      <c r="E3912" s="473"/>
      <c r="F3912" s="473"/>
      <c r="G3912" s="473"/>
      <c r="H3912" s="473" t="s">
        <v>2359</v>
      </c>
      <c r="I3912" s="473"/>
      <c r="J3912" s="473"/>
      <c r="K3912" s="473">
        <v>17.45</v>
      </c>
      <c r="L3912" s="473"/>
      <c r="M3912" s="473"/>
    </row>
    <row r="3913" spans="5:13">
      <c r="E3913" s="473"/>
      <c r="F3913" s="473"/>
      <c r="G3913" s="473"/>
      <c r="H3913" s="478" t="s">
        <v>2855</v>
      </c>
      <c r="I3913" s="473"/>
      <c r="J3913" s="473"/>
      <c r="K3913" s="479">
        <f>SUM(K3900:K3912)</f>
        <v>7014.23</v>
      </c>
      <c r="L3913" s="473"/>
      <c r="M3913" s="473"/>
    </row>
    <row r="3914" spans="5:13">
      <c r="E3914" s="473"/>
      <c r="F3914" s="473"/>
      <c r="G3914" s="473"/>
      <c r="H3914" s="480" t="s">
        <v>3338</v>
      </c>
      <c r="I3914" s="473"/>
      <c r="J3914" s="473"/>
      <c r="K3914" s="481">
        <f>K3913/15</f>
        <v>467.62</v>
      </c>
      <c r="L3914" s="473"/>
      <c r="M3914" s="473"/>
    </row>
    <row r="3915" spans="5:13">
      <c r="E3915" s="473"/>
      <c r="F3915" s="473"/>
      <c r="G3915" s="473"/>
      <c r="H3915" s="481" t="s">
        <v>931</v>
      </c>
      <c r="I3915" s="473"/>
      <c r="J3915" s="473"/>
      <c r="K3915" s="481"/>
      <c r="L3915" s="473"/>
      <c r="M3915" s="473"/>
    </row>
    <row r="3916" spans="5:13">
      <c r="E3916" s="473"/>
      <c r="F3916" s="473">
        <v>1</v>
      </c>
      <c r="G3916" s="473" t="s">
        <v>1454</v>
      </c>
      <c r="H3916" s="473" t="s">
        <v>3493</v>
      </c>
      <c r="I3916" s="473">
        <f>I2866</f>
        <v>346</v>
      </c>
      <c r="J3916" s="473" t="s">
        <v>1454</v>
      </c>
      <c r="K3916" s="473">
        <f>F3916*I3916</f>
        <v>346</v>
      </c>
      <c r="L3916" s="473"/>
      <c r="M3916" s="473"/>
    </row>
    <row r="3917" spans="5:13">
      <c r="E3917" s="473"/>
      <c r="F3917" s="473">
        <v>2</v>
      </c>
      <c r="G3917" s="473" t="s">
        <v>1454</v>
      </c>
      <c r="H3917" s="473" t="s">
        <v>3494</v>
      </c>
      <c r="I3917" s="473">
        <f>I2867</f>
        <v>317</v>
      </c>
      <c r="J3917" s="473" t="s">
        <v>1454</v>
      </c>
      <c r="K3917" s="473">
        <f>F3917*I3917</f>
        <v>634</v>
      </c>
      <c r="L3917" s="473"/>
      <c r="M3917" s="473"/>
    </row>
    <row r="3918" spans="5:13">
      <c r="E3918" s="473"/>
      <c r="F3918" s="473">
        <v>3</v>
      </c>
      <c r="G3918" s="473" t="s">
        <v>1454</v>
      </c>
      <c r="H3918" s="473" t="s">
        <v>3495</v>
      </c>
      <c r="I3918" s="473">
        <f>I2868</f>
        <v>300</v>
      </c>
      <c r="J3918" s="473" t="s">
        <v>1454</v>
      </c>
      <c r="K3918" s="473">
        <f>F3918*I3918</f>
        <v>900</v>
      </c>
      <c r="L3918" s="473"/>
      <c r="M3918" s="473"/>
    </row>
    <row r="3919" spans="5:13">
      <c r="E3919" s="473"/>
      <c r="F3919" s="473">
        <v>4</v>
      </c>
      <c r="G3919" s="473" t="s">
        <v>1454</v>
      </c>
      <c r="H3919" s="473" t="s">
        <v>2430</v>
      </c>
      <c r="I3919" s="473">
        <f>I2869</f>
        <v>226</v>
      </c>
      <c r="J3919" s="473" t="s">
        <v>1454</v>
      </c>
      <c r="K3919" s="473">
        <f>F3919*I3919</f>
        <v>904</v>
      </c>
      <c r="L3919" s="473"/>
      <c r="M3919" s="473"/>
    </row>
    <row r="3920" spans="5:13">
      <c r="E3920" s="473"/>
      <c r="F3920" s="473"/>
      <c r="G3920" s="473"/>
      <c r="H3920" s="480"/>
      <c r="I3920" s="473"/>
      <c r="J3920" s="473"/>
      <c r="K3920" s="481">
        <f>SUM(K3916:K3919)</f>
        <v>2784</v>
      </c>
      <c r="L3920" s="473"/>
      <c r="M3920" s="473"/>
    </row>
    <row r="3921" spans="5:13">
      <c r="E3921" s="473"/>
      <c r="F3921" s="473"/>
      <c r="G3921" s="473"/>
      <c r="H3921" s="480"/>
      <c r="I3921" s="473"/>
      <c r="J3921" s="473"/>
      <c r="K3921" s="481"/>
      <c r="L3921" s="473"/>
      <c r="M3921" s="473"/>
    </row>
    <row r="3922" spans="5:13">
      <c r="E3922" s="473"/>
      <c r="F3922" s="473"/>
      <c r="G3922" s="473"/>
      <c r="H3922" s="480"/>
      <c r="I3922" s="473"/>
      <c r="J3922" s="473"/>
      <c r="K3922" s="481"/>
      <c r="L3922" s="473"/>
      <c r="M3922" s="473"/>
    </row>
    <row r="3923" spans="5:13">
      <c r="E3923" s="473"/>
      <c r="F3923" s="473"/>
      <c r="G3923" s="473"/>
      <c r="H3923" s="481" t="s">
        <v>2496</v>
      </c>
      <c r="I3923" s="473"/>
      <c r="J3923" s="473"/>
      <c r="K3923" s="473"/>
      <c r="L3923" s="473"/>
      <c r="M3923" s="473"/>
    </row>
    <row r="3924" spans="5:13">
      <c r="E3924" s="473"/>
      <c r="F3924" s="473"/>
      <c r="G3924" s="473"/>
      <c r="H3924" s="473"/>
      <c r="I3924" s="473"/>
      <c r="J3924" s="473"/>
      <c r="K3924" s="473"/>
      <c r="L3924" s="473"/>
      <c r="M3924" s="473"/>
    </row>
    <row r="3925" spans="5:13" ht="110.25">
      <c r="E3925" s="473"/>
      <c r="F3925" s="473"/>
      <c r="G3925" s="473"/>
      <c r="H3925" s="472" t="s">
        <v>2497</v>
      </c>
      <c r="I3925" s="473"/>
      <c r="J3925" s="473"/>
      <c r="K3925" s="473"/>
      <c r="L3925" s="473"/>
      <c r="M3925" s="473"/>
    </row>
    <row r="3926" spans="5:13">
      <c r="E3926" s="473"/>
      <c r="F3926" s="473"/>
      <c r="G3926" s="473"/>
      <c r="H3926" s="473"/>
      <c r="I3926" s="473"/>
      <c r="J3926" s="473"/>
      <c r="K3926" s="473"/>
      <c r="L3926" s="473"/>
      <c r="M3926" s="473"/>
    </row>
    <row r="3927" spans="5:13" ht="31.5">
      <c r="E3927" s="473"/>
      <c r="F3927" s="473">
        <v>180</v>
      </c>
      <c r="G3927" s="473" t="s">
        <v>840</v>
      </c>
      <c r="H3927" s="394" t="s">
        <v>2662</v>
      </c>
      <c r="I3927" s="473">
        <f>I3072</f>
        <v>14.05</v>
      </c>
      <c r="J3927" s="473" t="s">
        <v>840</v>
      </c>
      <c r="K3927" s="473">
        <f>I3927*F3927</f>
        <v>2529</v>
      </c>
      <c r="L3927" s="473"/>
      <c r="M3927" s="473"/>
    </row>
    <row r="3928" spans="5:13" ht="31.5">
      <c r="E3928" s="473"/>
      <c r="F3928" s="473">
        <v>90</v>
      </c>
      <c r="G3928" s="473" t="s">
        <v>840</v>
      </c>
      <c r="H3928" s="472" t="s">
        <v>2466</v>
      </c>
      <c r="I3928" s="473">
        <f>I3073</f>
        <v>20.399999999999999</v>
      </c>
      <c r="J3928" s="473" t="s">
        <v>840</v>
      </c>
      <c r="K3928" s="473">
        <f t="shared" ref="K3928:K3933" si="111">I3928*F3928</f>
        <v>1836</v>
      </c>
      <c r="L3928" s="473"/>
      <c r="M3928" s="473"/>
    </row>
    <row r="3929" spans="5:13">
      <c r="E3929" s="473"/>
      <c r="F3929" s="473">
        <v>1</v>
      </c>
      <c r="G3929" s="473" t="s">
        <v>3301</v>
      </c>
      <c r="H3929" s="472" t="s">
        <v>3302</v>
      </c>
      <c r="I3929" s="623">
        <v>46.8</v>
      </c>
      <c r="J3929" s="473" t="s">
        <v>3301</v>
      </c>
      <c r="K3929" s="473">
        <f t="shared" si="111"/>
        <v>46.8</v>
      </c>
      <c r="L3929" s="473"/>
      <c r="M3929" s="473"/>
    </row>
    <row r="3930" spans="5:13">
      <c r="E3930" s="473"/>
      <c r="F3930" s="473">
        <v>300</v>
      </c>
      <c r="G3930" s="473" t="s">
        <v>1492</v>
      </c>
      <c r="H3930" s="472" t="s">
        <v>3303</v>
      </c>
      <c r="I3930" s="623">
        <v>341</v>
      </c>
      <c r="J3930" s="473" t="s">
        <v>3305</v>
      </c>
      <c r="K3930" s="473">
        <f>(I3930*F3930)/1000</f>
        <v>102.3</v>
      </c>
      <c r="L3930" s="473"/>
      <c r="M3930" s="473"/>
    </row>
    <row r="3931" spans="5:13">
      <c r="E3931" s="473"/>
      <c r="F3931" s="473">
        <v>2</v>
      </c>
      <c r="G3931" s="473" t="s">
        <v>2763</v>
      </c>
      <c r="H3931" s="472" t="s">
        <v>3304</v>
      </c>
      <c r="I3931" s="473">
        <f>I3800</f>
        <v>82.5</v>
      </c>
      <c r="J3931" s="473" t="s">
        <v>3301</v>
      </c>
      <c r="K3931" s="473">
        <f t="shared" si="111"/>
        <v>165</v>
      </c>
      <c r="L3931" s="473"/>
      <c r="M3931" s="473"/>
    </row>
    <row r="3932" spans="5:13">
      <c r="E3932" s="473"/>
      <c r="F3932" s="473">
        <v>0.33</v>
      </c>
      <c r="G3932" s="473" t="s">
        <v>2759</v>
      </c>
      <c r="H3932" s="473" t="s">
        <v>391</v>
      </c>
      <c r="I3932" s="473">
        <f>I3074</f>
        <v>275</v>
      </c>
      <c r="J3932" s="473" t="s">
        <v>2759</v>
      </c>
      <c r="K3932" s="473">
        <f t="shared" si="111"/>
        <v>90.75</v>
      </c>
      <c r="L3932" s="473"/>
      <c r="M3932" s="473"/>
    </row>
    <row r="3933" spans="5:13" ht="31.5">
      <c r="E3933" s="473"/>
      <c r="F3933" s="473">
        <v>90</v>
      </c>
      <c r="G3933" s="473" t="s">
        <v>840</v>
      </c>
      <c r="H3933" s="394" t="s">
        <v>2765</v>
      </c>
      <c r="I3933" s="473">
        <f>I3075</f>
        <v>14.05</v>
      </c>
      <c r="J3933" s="473" t="s">
        <v>2663</v>
      </c>
      <c r="K3933" s="473">
        <f t="shared" si="111"/>
        <v>1264.5</v>
      </c>
      <c r="L3933" s="473"/>
      <c r="M3933" s="473"/>
    </row>
    <row r="3934" spans="5:13">
      <c r="E3934" s="473"/>
      <c r="F3934" s="535" t="s">
        <v>3308</v>
      </c>
      <c r="G3934" s="473"/>
      <c r="H3934" s="473" t="s">
        <v>931</v>
      </c>
      <c r="I3934" s="473">
        <f>K3920</f>
        <v>2784</v>
      </c>
      <c r="J3934" s="473"/>
      <c r="K3934" s="473">
        <f>2/3*I3934</f>
        <v>1856</v>
      </c>
      <c r="L3934" s="473"/>
      <c r="M3934" s="473"/>
    </row>
    <row r="3935" spans="5:13">
      <c r="E3935" s="473"/>
      <c r="F3935" s="473"/>
      <c r="G3935" s="473"/>
      <c r="H3935" s="473"/>
      <c r="I3935" s="473"/>
      <c r="J3935" s="473"/>
      <c r="K3935" s="473">
        <f>SUM(K3927:K3934)</f>
        <v>7890.35</v>
      </c>
      <c r="L3935" s="473"/>
      <c r="M3935" s="473"/>
    </row>
    <row r="3936" spans="5:13">
      <c r="E3936" s="473"/>
      <c r="F3936" s="473"/>
      <c r="G3936" s="473"/>
      <c r="H3936" s="473" t="s">
        <v>2359</v>
      </c>
      <c r="I3936" s="473"/>
      <c r="J3936" s="473"/>
      <c r="K3936" s="473">
        <v>29.7</v>
      </c>
      <c r="L3936" s="473"/>
      <c r="M3936" s="473"/>
    </row>
    <row r="3937" spans="5:13">
      <c r="E3937" s="473"/>
      <c r="F3937" s="473"/>
      <c r="G3937" s="473"/>
      <c r="H3937" s="478" t="s">
        <v>2498</v>
      </c>
      <c r="I3937" s="473"/>
      <c r="J3937" s="473"/>
      <c r="K3937" s="479">
        <f>SUM(K3935:K3936)</f>
        <v>7920.05</v>
      </c>
      <c r="L3937" s="473"/>
      <c r="M3937" s="473"/>
    </row>
    <row r="3938" spans="5:13">
      <c r="E3938" s="473"/>
      <c r="F3938" s="473"/>
      <c r="G3938" s="473"/>
      <c r="H3938" s="480" t="s">
        <v>2499</v>
      </c>
      <c r="I3938" s="473"/>
      <c r="J3938" s="473"/>
      <c r="K3938" s="481">
        <f>K3937/90</f>
        <v>88</v>
      </c>
      <c r="L3938" s="473"/>
      <c r="M3938" s="473"/>
    </row>
    <row r="3939" spans="5:13">
      <c r="E3939" s="473"/>
      <c r="F3939" s="473"/>
      <c r="G3939" s="473"/>
      <c r="H3939" s="473"/>
      <c r="I3939" s="473"/>
      <c r="J3939" s="473"/>
      <c r="K3939" s="473"/>
      <c r="L3939" s="473"/>
      <c r="M3939" s="473"/>
    </row>
    <row r="3940" spans="5:13">
      <c r="E3940" s="473"/>
      <c r="F3940" s="473"/>
      <c r="G3940" s="473"/>
      <c r="H3940" s="481" t="s">
        <v>3306</v>
      </c>
      <c r="I3940" s="473"/>
      <c r="J3940" s="473"/>
      <c r="K3940" s="473"/>
      <c r="L3940" s="473"/>
      <c r="M3940" s="473"/>
    </row>
    <row r="3941" spans="5:13">
      <c r="E3941" s="473"/>
      <c r="F3941" s="473"/>
      <c r="G3941" s="473"/>
      <c r="H3941" s="473"/>
      <c r="I3941" s="473"/>
      <c r="J3941" s="473"/>
      <c r="K3941" s="473"/>
      <c r="L3941" s="473"/>
      <c r="M3941" s="473"/>
    </row>
    <row r="3942" spans="5:13" ht="110.25">
      <c r="E3942" s="473"/>
      <c r="F3942" s="473"/>
      <c r="G3942" s="473"/>
      <c r="H3942" s="472" t="s">
        <v>3170</v>
      </c>
      <c r="I3942" s="473"/>
      <c r="J3942" s="473"/>
      <c r="K3942" s="473"/>
      <c r="L3942" s="473"/>
      <c r="M3942" s="473"/>
    </row>
    <row r="3943" spans="5:13">
      <c r="E3943" s="473"/>
      <c r="F3943" s="473"/>
      <c r="G3943" s="473"/>
      <c r="H3943" s="473"/>
      <c r="I3943" s="473"/>
      <c r="J3943" s="473"/>
      <c r="K3943" s="473"/>
      <c r="L3943" s="473"/>
      <c r="M3943" s="473"/>
    </row>
    <row r="3944" spans="5:13">
      <c r="E3944" s="473"/>
      <c r="F3944" s="473"/>
      <c r="G3944" s="473"/>
      <c r="H3944" s="473" t="s">
        <v>3307</v>
      </c>
      <c r="I3944" s="473"/>
      <c r="J3944" s="473"/>
      <c r="K3944" s="473">
        <f>K3937</f>
        <v>7920.05</v>
      </c>
      <c r="L3944" s="473"/>
      <c r="M3944" s="473"/>
    </row>
    <row r="3945" spans="5:13" ht="31.5">
      <c r="E3945" s="473"/>
      <c r="F3945" s="473">
        <v>180</v>
      </c>
      <c r="G3945" s="473" t="s">
        <v>840</v>
      </c>
      <c r="H3945" s="472" t="s">
        <v>3419</v>
      </c>
      <c r="I3945" s="473">
        <f>I3088</f>
        <v>21.8</v>
      </c>
      <c r="J3945" s="473" t="s">
        <v>840</v>
      </c>
      <c r="K3945" s="473">
        <f>F3945*I3945</f>
        <v>3924</v>
      </c>
      <c r="L3945" s="473"/>
      <c r="M3945" s="473"/>
    </row>
    <row r="3946" spans="5:13" ht="31.5">
      <c r="E3946" s="473"/>
      <c r="F3946" s="473">
        <v>180</v>
      </c>
      <c r="G3946" s="473" t="s">
        <v>840</v>
      </c>
      <c r="H3946" s="472" t="s">
        <v>3118</v>
      </c>
      <c r="I3946" s="473">
        <f>I3927</f>
        <v>14.05</v>
      </c>
      <c r="J3946" s="473" t="s">
        <v>2663</v>
      </c>
      <c r="K3946" s="473">
        <f>F3946*I3946</f>
        <v>2529</v>
      </c>
      <c r="L3946" s="473"/>
      <c r="M3946" s="473"/>
    </row>
    <row r="3947" spans="5:13">
      <c r="E3947" s="473"/>
      <c r="F3947" s="473"/>
      <c r="G3947" s="473"/>
      <c r="H3947" s="473" t="s">
        <v>2359</v>
      </c>
      <c r="I3947" s="473"/>
      <c r="J3947" s="473"/>
      <c r="K3947" s="473">
        <v>36</v>
      </c>
      <c r="L3947" s="473"/>
      <c r="M3947" s="473"/>
    </row>
    <row r="3948" spans="5:13">
      <c r="E3948" s="473"/>
      <c r="F3948" s="473"/>
      <c r="G3948" s="473"/>
      <c r="H3948" s="478" t="s">
        <v>3119</v>
      </c>
      <c r="I3948" s="473"/>
      <c r="J3948" s="473"/>
      <c r="K3948" s="479">
        <f>K3944+K3945-K3946+K3947</f>
        <v>9351.0499999999993</v>
      </c>
      <c r="L3948" s="473"/>
      <c r="M3948" s="473"/>
    </row>
    <row r="3949" spans="5:13">
      <c r="E3949" s="473"/>
      <c r="F3949" s="473"/>
      <c r="G3949" s="473"/>
      <c r="H3949" s="480" t="s">
        <v>2499</v>
      </c>
      <c r="I3949" s="473"/>
      <c r="J3949" s="473"/>
      <c r="K3949" s="481">
        <f>K3948/90</f>
        <v>103.9</v>
      </c>
      <c r="L3949" s="473"/>
      <c r="M3949" s="473"/>
    </row>
    <row r="3950" spans="5:13">
      <c r="E3950" s="473"/>
      <c r="F3950" s="473"/>
      <c r="G3950" s="473"/>
      <c r="H3950" s="473"/>
      <c r="I3950" s="473"/>
      <c r="J3950" s="473"/>
      <c r="K3950" s="473"/>
      <c r="L3950" s="473"/>
      <c r="M3950" s="473"/>
    </row>
    <row r="3951" spans="5:13">
      <c r="E3951" s="473"/>
      <c r="F3951" s="473"/>
      <c r="G3951" s="473"/>
      <c r="H3951" s="473"/>
      <c r="I3951" s="473"/>
      <c r="J3951" s="473"/>
      <c r="K3951" s="473"/>
      <c r="L3951" s="473"/>
      <c r="M3951" s="473"/>
    </row>
    <row r="3952" spans="5:13">
      <c r="E3952" s="473"/>
      <c r="F3952" s="473"/>
      <c r="G3952" s="473"/>
      <c r="H3952" s="481"/>
      <c r="I3952" s="473"/>
      <c r="J3952" s="473"/>
      <c r="K3952" s="473"/>
      <c r="L3952" s="473"/>
      <c r="M3952" s="473"/>
    </row>
    <row r="3953" spans="5:13">
      <c r="E3953" s="473"/>
      <c r="F3953" s="473"/>
      <c r="G3953" s="473"/>
      <c r="H3953" s="472"/>
      <c r="I3953" s="473"/>
      <c r="J3953" s="473"/>
      <c r="K3953" s="473"/>
      <c r="L3953" s="473"/>
      <c r="M3953" s="473"/>
    </row>
    <row r="3954" spans="5:13">
      <c r="E3954" s="473"/>
      <c r="F3954" s="473"/>
      <c r="G3954" s="473"/>
      <c r="H3954" s="394"/>
      <c r="I3954" s="473"/>
      <c r="J3954" s="473"/>
      <c r="K3954" s="473"/>
      <c r="L3954" s="473"/>
      <c r="M3954" s="473"/>
    </row>
    <row r="3955" spans="5:13">
      <c r="E3955" s="473"/>
      <c r="F3955" s="473"/>
      <c r="G3955" s="473"/>
      <c r="H3955" s="472"/>
      <c r="I3955" s="473"/>
      <c r="J3955" s="473"/>
      <c r="K3955" s="473"/>
      <c r="L3955" s="473"/>
      <c r="M3955" s="473"/>
    </row>
    <row r="3956" spans="5:13">
      <c r="E3956" s="473"/>
      <c r="F3956" s="473"/>
      <c r="G3956" s="473"/>
      <c r="H3956" s="473"/>
      <c r="I3956" s="473"/>
      <c r="J3956" s="473"/>
      <c r="K3956" s="473"/>
      <c r="L3956" s="473"/>
      <c r="M3956" s="473"/>
    </row>
    <row r="3957" spans="5:13">
      <c r="E3957" s="473"/>
      <c r="F3957" s="473"/>
      <c r="G3957" s="473"/>
      <c r="H3957" s="473"/>
      <c r="I3957" s="473"/>
      <c r="J3957" s="473"/>
      <c r="K3957" s="473"/>
      <c r="L3957" s="473"/>
      <c r="M3957" s="473"/>
    </row>
    <row r="3958" spans="5:13">
      <c r="E3958" s="473"/>
      <c r="F3958" s="473"/>
      <c r="G3958" s="473"/>
      <c r="H3958" s="473"/>
      <c r="I3958" s="473"/>
      <c r="J3958" s="473"/>
      <c r="K3958" s="473"/>
      <c r="L3958" s="473"/>
      <c r="M3958" s="473"/>
    </row>
    <row r="3959" spans="5:13">
      <c r="E3959" s="473"/>
      <c r="F3959" s="473"/>
      <c r="G3959" s="473"/>
      <c r="H3959" s="473"/>
      <c r="I3959" s="473"/>
      <c r="J3959" s="473"/>
      <c r="K3959" s="473"/>
      <c r="L3959" s="473"/>
      <c r="M3959" s="473"/>
    </row>
    <row r="3960" spans="5:13">
      <c r="E3960" s="473"/>
      <c r="F3960" s="473"/>
      <c r="G3960" s="473"/>
      <c r="H3960" s="473"/>
      <c r="I3960" s="473"/>
      <c r="J3960" s="473"/>
      <c r="K3960" s="473"/>
      <c r="L3960" s="473"/>
      <c r="M3960" s="473"/>
    </row>
    <row r="3961" spans="5:13">
      <c r="E3961" s="473"/>
      <c r="F3961" s="473"/>
      <c r="G3961" s="473"/>
      <c r="H3961" s="473"/>
      <c r="I3961" s="473"/>
      <c r="J3961" s="473"/>
      <c r="K3961" s="473"/>
      <c r="L3961" s="473"/>
      <c r="M3961" s="473"/>
    </row>
    <row r="3962" spans="5:13">
      <c r="E3962" s="473"/>
      <c r="F3962" s="473"/>
      <c r="G3962" s="473"/>
      <c r="H3962" s="473"/>
      <c r="I3962" s="473"/>
      <c r="J3962" s="473"/>
      <c r="K3962" s="473"/>
      <c r="L3962" s="473"/>
      <c r="M3962" s="473"/>
    </row>
    <row r="3963" spans="5:13">
      <c r="E3963" s="473"/>
      <c r="F3963" s="473"/>
      <c r="G3963" s="473"/>
      <c r="H3963" s="473"/>
      <c r="I3963" s="473"/>
      <c r="J3963" s="473"/>
      <c r="K3963" s="473"/>
      <c r="L3963" s="473"/>
      <c r="M3963" s="473"/>
    </row>
    <row r="3964" spans="5:13">
      <c r="E3964" s="473"/>
      <c r="F3964" s="473"/>
      <c r="G3964" s="473"/>
      <c r="H3964" s="394"/>
      <c r="I3964" s="473"/>
      <c r="J3964" s="473"/>
      <c r="K3964" s="473"/>
      <c r="L3964" s="473"/>
      <c r="M3964" s="473"/>
    </row>
    <row r="3965" spans="5:13">
      <c r="E3965" s="473"/>
      <c r="F3965" s="473"/>
      <c r="G3965" s="473"/>
      <c r="H3965" s="473"/>
      <c r="I3965" s="473"/>
      <c r="J3965" s="473"/>
      <c r="K3965" s="473"/>
      <c r="L3965" s="473"/>
      <c r="M3965" s="473"/>
    </row>
    <row r="3966" spans="5:13">
      <c r="E3966" s="473"/>
      <c r="F3966" s="473"/>
      <c r="G3966" s="473"/>
      <c r="H3966" s="473"/>
      <c r="I3966" s="473"/>
      <c r="J3966" s="473"/>
      <c r="K3966" s="482"/>
      <c r="L3966" s="473"/>
      <c r="M3966" s="473"/>
    </row>
    <row r="3967" spans="5:13">
      <c r="E3967" s="473"/>
      <c r="F3967" s="473"/>
      <c r="G3967" s="473"/>
      <c r="H3967" s="478"/>
      <c r="I3967" s="473"/>
      <c r="J3967" s="473"/>
      <c r="K3967" s="479"/>
      <c r="L3967" s="473"/>
      <c r="M3967" s="473"/>
    </row>
    <row r="3968" spans="5:13">
      <c r="E3968" s="473"/>
      <c r="F3968" s="473"/>
      <c r="G3968" s="473"/>
      <c r="H3968" s="480"/>
      <c r="I3968" s="473"/>
      <c r="J3968" s="473"/>
      <c r="K3968" s="481"/>
      <c r="L3968" s="473"/>
      <c r="M3968" s="473"/>
    </row>
    <row r="3969" spans="5:13">
      <c r="E3969" s="473"/>
      <c r="F3969" s="473"/>
      <c r="G3969" s="473"/>
      <c r="H3969" s="473"/>
      <c r="I3969" s="473"/>
      <c r="J3969" s="473"/>
      <c r="K3969" s="473"/>
      <c r="L3969" s="473"/>
      <c r="M3969" s="473"/>
    </row>
    <row r="3970" spans="5:13">
      <c r="E3970" s="473"/>
      <c r="F3970" s="473"/>
      <c r="G3970" s="473"/>
      <c r="H3970" s="473"/>
      <c r="I3970" s="473"/>
      <c r="J3970" s="473"/>
      <c r="K3970" s="473"/>
      <c r="L3970" s="473"/>
      <c r="M3970" s="473"/>
    </row>
    <row r="3971" spans="5:13">
      <c r="E3971" s="473"/>
      <c r="F3971" s="473"/>
      <c r="G3971" s="473"/>
      <c r="H3971" s="473"/>
      <c r="I3971" s="473"/>
      <c r="J3971" s="473"/>
      <c r="K3971" s="473"/>
      <c r="L3971" s="473"/>
      <c r="M3971" s="473"/>
    </row>
    <row r="3972" spans="5:13">
      <c r="E3972" s="473"/>
      <c r="F3972" s="473"/>
      <c r="G3972" s="473"/>
      <c r="H3972" s="473"/>
      <c r="I3972" s="473"/>
      <c r="J3972" s="473"/>
      <c r="K3972" s="473"/>
      <c r="L3972" s="473"/>
      <c r="M3972" s="473"/>
    </row>
    <row r="3973" spans="5:13">
      <c r="E3973" s="473"/>
      <c r="F3973" s="473"/>
      <c r="G3973" s="473"/>
      <c r="H3973" s="473"/>
      <c r="I3973" s="473"/>
      <c r="J3973" s="473"/>
      <c r="K3973" s="473"/>
      <c r="L3973" s="473"/>
      <c r="M3973" s="473"/>
    </row>
    <row r="3974" spans="5:13">
      <c r="E3974" s="473"/>
      <c r="F3974" s="473"/>
      <c r="G3974" s="473"/>
      <c r="H3974" s="473"/>
      <c r="I3974" s="473"/>
      <c r="J3974" s="473"/>
      <c r="K3974" s="473"/>
      <c r="L3974" s="473"/>
      <c r="M3974" s="473"/>
    </row>
    <row r="3975" spans="5:13">
      <c r="E3975" s="473"/>
      <c r="F3975" s="473"/>
      <c r="G3975" s="473"/>
      <c r="H3975" s="473"/>
      <c r="I3975" s="473"/>
      <c r="J3975" s="473"/>
      <c r="K3975" s="473"/>
      <c r="L3975" s="473"/>
      <c r="M3975" s="473"/>
    </row>
    <row r="3976" spans="5:13">
      <c r="E3976" s="473"/>
      <c r="F3976" s="473"/>
      <c r="G3976" s="473"/>
      <c r="H3976" s="473"/>
      <c r="I3976" s="473"/>
      <c r="J3976" s="473"/>
      <c r="K3976" s="473"/>
      <c r="L3976" s="473"/>
      <c r="M3976" s="473"/>
    </row>
    <row r="3977" spans="5:13">
      <c r="E3977" s="473"/>
      <c r="F3977" s="473"/>
      <c r="G3977" s="473"/>
      <c r="H3977" s="473"/>
      <c r="I3977" s="473"/>
      <c r="J3977" s="473"/>
      <c r="K3977" s="473"/>
      <c r="L3977" s="473"/>
      <c r="M3977" s="473"/>
    </row>
    <row r="3978" spans="5:13">
      <c r="E3978" s="473"/>
      <c r="F3978" s="473"/>
      <c r="G3978" s="473"/>
      <c r="H3978" s="473"/>
      <c r="I3978" s="473"/>
      <c r="J3978" s="473"/>
      <c r="K3978" s="473"/>
      <c r="L3978" s="473"/>
      <c r="M3978" s="473"/>
    </row>
    <row r="3979" spans="5:13">
      <c r="E3979" s="473"/>
      <c r="F3979" s="473"/>
      <c r="G3979" s="473"/>
      <c r="H3979" s="473"/>
      <c r="I3979" s="473"/>
      <c r="J3979" s="473"/>
      <c r="K3979" s="473"/>
      <c r="L3979" s="473"/>
      <c r="M3979" s="473"/>
    </row>
    <row r="3980" spans="5:13">
      <c r="E3980" s="473"/>
      <c r="F3980" s="473"/>
      <c r="G3980" s="473"/>
      <c r="H3980" s="473"/>
      <c r="I3980" s="473"/>
      <c r="J3980" s="473"/>
      <c r="K3980" s="473"/>
      <c r="L3980" s="473"/>
      <c r="M3980" s="473"/>
    </row>
    <row r="3981" spans="5:13">
      <c r="E3981" s="473"/>
      <c r="F3981" s="473"/>
      <c r="G3981" s="473"/>
      <c r="H3981" s="473"/>
      <c r="I3981" s="473"/>
      <c r="J3981" s="473"/>
      <c r="K3981" s="473"/>
      <c r="L3981" s="473"/>
      <c r="M3981" s="473"/>
    </row>
    <row r="3982" spans="5:13">
      <c r="E3982" s="473"/>
      <c r="F3982" s="473"/>
      <c r="G3982" s="473"/>
      <c r="H3982" s="473"/>
      <c r="I3982" s="473"/>
      <c r="J3982" s="473"/>
      <c r="K3982" s="473"/>
      <c r="L3982" s="473"/>
      <c r="M3982" s="473"/>
    </row>
    <row r="3983" spans="5:13">
      <c r="E3983" s="473"/>
      <c r="F3983" s="473"/>
      <c r="G3983" s="473"/>
      <c r="H3983" s="473"/>
      <c r="I3983" s="473"/>
      <c r="J3983" s="473"/>
      <c r="K3983" s="473"/>
      <c r="L3983" s="473"/>
      <c r="M3983" s="473"/>
    </row>
    <row r="3984" spans="5:13">
      <c r="E3984" s="473"/>
      <c r="F3984" s="473"/>
      <c r="G3984" s="473"/>
      <c r="H3984" s="473"/>
      <c r="I3984" s="473"/>
      <c r="J3984" s="473"/>
      <c r="K3984" s="473"/>
      <c r="L3984" s="473"/>
      <c r="M3984" s="473"/>
    </row>
    <row r="3985" spans="5:13">
      <c r="E3985" s="473"/>
      <c r="F3985" s="473"/>
      <c r="G3985" s="473"/>
      <c r="H3985" s="473"/>
      <c r="I3985" s="473"/>
      <c r="J3985" s="473"/>
      <c r="K3985" s="473"/>
      <c r="L3985" s="473"/>
      <c r="M3985" s="473"/>
    </row>
    <row r="3986" spans="5:13">
      <c r="E3986" s="473"/>
      <c r="F3986" s="473"/>
      <c r="G3986" s="473"/>
      <c r="H3986" s="473"/>
      <c r="I3986" s="473"/>
      <c r="J3986" s="473"/>
      <c r="K3986" s="473"/>
      <c r="L3986" s="473"/>
      <c r="M3986" s="473"/>
    </row>
    <row r="3987" spans="5:13">
      <c r="E3987" s="473"/>
      <c r="F3987" s="473"/>
      <c r="G3987" s="473"/>
      <c r="H3987" s="473"/>
      <c r="I3987" s="473"/>
      <c r="J3987" s="473"/>
      <c r="K3987" s="473"/>
      <c r="L3987" s="473"/>
      <c r="M3987" s="473"/>
    </row>
    <row r="3988" spans="5:13">
      <c r="E3988" s="473"/>
      <c r="F3988" s="473"/>
      <c r="G3988" s="473"/>
      <c r="H3988" s="473"/>
      <c r="I3988" s="473"/>
      <c r="J3988" s="473"/>
      <c r="K3988" s="473"/>
      <c r="L3988" s="473"/>
      <c r="M3988" s="473"/>
    </row>
    <row r="3989" spans="5:13">
      <c r="E3989" s="473"/>
      <c r="F3989" s="473"/>
      <c r="G3989" s="473"/>
      <c r="H3989" s="473"/>
      <c r="I3989" s="473"/>
      <c r="J3989" s="473"/>
      <c r="K3989" s="473"/>
      <c r="L3989" s="473"/>
      <c r="M3989" s="473"/>
    </row>
    <row r="3990" spans="5:13">
      <c r="E3990" s="473"/>
      <c r="F3990" s="473"/>
      <c r="G3990" s="473"/>
      <c r="H3990" s="473"/>
      <c r="I3990" s="473"/>
      <c r="J3990" s="473"/>
      <c r="K3990" s="473"/>
      <c r="L3990" s="473"/>
      <c r="M3990" s="473"/>
    </row>
    <row r="3991" spans="5:13">
      <c r="E3991" s="473"/>
      <c r="F3991" s="473"/>
      <c r="G3991" s="473"/>
      <c r="H3991" s="473"/>
      <c r="I3991" s="473"/>
      <c r="J3991" s="473"/>
      <c r="K3991" s="473"/>
      <c r="L3991" s="473"/>
      <c r="M3991" s="473"/>
    </row>
    <row r="3992" spans="5:13">
      <c r="E3992" s="473"/>
      <c r="F3992" s="473"/>
      <c r="G3992" s="473"/>
      <c r="H3992" s="473"/>
      <c r="I3992" s="473"/>
      <c r="J3992" s="473"/>
      <c r="K3992" s="473"/>
      <c r="L3992" s="473"/>
      <c r="M3992" s="473"/>
    </row>
    <row r="3993" spans="5:13">
      <c r="E3993" s="473"/>
      <c r="F3993" s="473"/>
      <c r="G3993" s="473"/>
      <c r="H3993" s="473"/>
      <c r="I3993" s="473"/>
      <c r="J3993" s="473"/>
      <c r="K3993" s="473"/>
      <c r="L3993" s="473"/>
      <c r="M3993" s="473"/>
    </row>
    <row r="3994" spans="5:13">
      <c r="E3994" s="473"/>
      <c r="F3994" s="473"/>
      <c r="G3994" s="473"/>
      <c r="H3994" s="473"/>
      <c r="I3994" s="473"/>
      <c r="J3994" s="473"/>
      <c r="K3994" s="473"/>
      <c r="L3994" s="473"/>
      <c r="M3994" s="473"/>
    </row>
    <row r="3995" spans="5:13">
      <c r="E3995" s="473"/>
      <c r="F3995" s="473"/>
      <c r="G3995" s="473"/>
      <c r="H3995" s="473"/>
      <c r="I3995" s="473"/>
      <c r="J3995" s="473"/>
      <c r="K3995" s="473"/>
      <c r="L3995" s="473"/>
      <c r="M3995" s="473"/>
    </row>
    <row r="3996" spans="5:13">
      <c r="E3996" s="473"/>
      <c r="F3996" s="473"/>
      <c r="G3996" s="473"/>
      <c r="H3996" s="473"/>
      <c r="I3996" s="473"/>
      <c r="J3996" s="473"/>
      <c r="K3996" s="473"/>
      <c r="L3996" s="473"/>
      <c r="M3996" s="473"/>
    </row>
    <row r="3997" spans="5:13">
      <c r="E3997" s="473"/>
      <c r="F3997" s="473"/>
      <c r="G3997" s="473"/>
      <c r="H3997" s="473"/>
      <c r="I3997" s="473"/>
      <c r="J3997" s="473"/>
      <c r="K3997" s="473"/>
      <c r="L3997" s="473"/>
      <c r="M3997" s="473"/>
    </row>
    <row r="3998" spans="5:13">
      <c r="E3998" s="473"/>
      <c r="F3998" s="473"/>
      <c r="G3998" s="473"/>
      <c r="H3998" s="473"/>
      <c r="I3998" s="473"/>
      <c r="J3998" s="473"/>
      <c r="K3998" s="473"/>
      <c r="L3998" s="473"/>
      <c r="M3998" s="473"/>
    </row>
    <row r="3999" spans="5:13">
      <c r="E3999" s="473"/>
      <c r="F3999" s="473"/>
      <c r="G3999" s="473"/>
      <c r="H3999" s="473"/>
      <c r="I3999" s="473"/>
      <c r="J3999" s="473"/>
      <c r="K3999" s="473"/>
      <c r="L3999" s="473"/>
      <c r="M3999" s="473"/>
    </row>
    <row r="4000" spans="5:13">
      <c r="E4000" s="473"/>
      <c r="F4000" s="473"/>
      <c r="G4000" s="473"/>
      <c r="H4000" s="473"/>
      <c r="I4000" s="473"/>
      <c r="J4000" s="473"/>
      <c r="K4000" s="473"/>
      <c r="L4000" s="473"/>
      <c r="M4000" s="473"/>
    </row>
    <row r="4001" spans="5:13">
      <c r="E4001" s="473"/>
      <c r="F4001" s="473"/>
      <c r="G4001" s="473"/>
      <c r="H4001" s="473"/>
      <c r="I4001" s="473"/>
      <c r="J4001" s="473"/>
      <c r="K4001" s="473"/>
      <c r="L4001" s="473"/>
      <c r="M4001" s="473"/>
    </row>
    <row r="4002" spans="5:13">
      <c r="E4002" s="473"/>
      <c r="F4002" s="473"/>
      <c r="G4002" s="473"/>
      <c r="H4002" s="473"/>
      <c r="I4002" s="473"/>
      <c r="J4002" s="473"/>
      <c r="K4002" s="473"/>
      <c r="L4002" s="473"/>
      <c r="M4002" s="473"/>
    </row>
    <row r="4003" spans="5:13">
      <c r="E4003" s="473"/>
      <c r="F4003" s="473"/>
      <c r="G4003" s="473"/>
      <c r="H4003" s="473"/>
      <c r="I4003" s="473"/>
      <c r="J4003" s="473"/>
      <c r="K4003" s="473"/>
      <c r="L4003" s="473"/>
      <c r="M4003" s="473"/>
    </row>
    <row r="4004" spans="5:13">
      <c r="E4004" s="473"/>
      <c r="F4004" s="473"/>
      <c r="G4004" s="473"/>
      <c r="H4004" s="473"/>
      <c r="I4004" s="473"/>
      <c r="J4004" s="473"/>
      <c r="K4004" s="473"/>
      <c r="L4004" s="473"/>
      <c r="M4004" s="473"/>
    </row>
    <row r="4005" spans="5:13">
      <c r="E4005" s="473"/>
      <c r="F4005" s="473"/>
      <c r="G4005" s="473"/>
      <c r="H4005" s="473"/>
      <c r="I4005" s="473"/>
      <c r="J4005" s="473"/>
      <c r="K4005" s="473"/>
      <c r="L4005" s="473"/>
      <c r="M4005" s="473"/>
    </row>
    <row r="4006" spans="5:13">
      <c r="E4006" s="473"/>
      <c r="F4006" s="473"/>
      <c r="G4006" s="473"/>
      <c r="H4006" s="473"/>
      <c r="I4006" s="473"/>
      <c r="J4006" s="473"/>
      <c r="K4006" s="473"/>
      <c r="L4006" s="473"/>
      <c r="M4006" s="473"/>
    </row>
    <row r="4007" spans="5:13">
      <c r="E4007" s="473"/>
      <c r="F4007" s="473"/>
      <c r="G4007" s="473"/>
      <c r="H4007" s="473"/>
      <c r="I4007" s="473"/>
      <c r="J4007" s="473"/>
      <c r="K4007" s="473"/>
      <c r="L4007" s="473"/>
      <c r="M4007" s="473"/>
    </row>
    <row r="4008" spans="5:13">
      <c r="E4008" s="473"/>
      <c r="F4008" s="473"/>
      <c r="G4008" s="473"/>
      <c r="H4008" s="473"/>
      <c r="I4008" s="473"/>
      <c r="J4008" s="473"/>
      <c r="K4008" s="473"/>
      <c r="L4008" s="473"/>
      <c r="M4008" s="473"/>
    </row>
    <row r="4009" spans="5:13">
      <c r="E4009" s="473"/>
      <c r="F4009" s="473"/>
      <c r="G4009" s="473"/>
      <c r="H4009" s="473"/>
      <c r="I4009" s="473"/>
      <c r="J4009" s="473"/>
      <c r="K4009" s="473"/>
      <c r="L4009" s="473"/>
      <c r="M4009" s="473"/>
    </row>
    <row r="4010" spans="5:13">
      <c r="E4010" s="473"/>
      <c r="F4010" s="473"/>
      <c r="G4010" s="473"/>
      <c r="H4010" s="473"/>
      <c r="I4010" s="473"/>
      <c r="J4010" s="473"/>
      <c r="K4010" s="473"/>
      <c r="L4010" s="473"/>
      <c r="M4010" s="473"/>
    </row>
    <row r="4011" spans="5:13">
      <c r="E4011" s="473"/>
      <c r="F4011" s="473"/>
      <c r="G4011" s="473"/>
      <c r="H4011" s="473"/>
      <c r="I4011" s="473"/>
      <c r="J4011" s="473"/>
      <c r="K4011" s="473"/>
      <c r="L4011" s="473"/>
      <c r="M4011" s="473"/>
    </row>
    <row r="4012" spans="5:13">
      <c r="E4012" s="473"/>
      <c r="F4012" s="473"/>
      <c r="G4012" s="473"/>
      <c r="H4012" s="473"/>
      <c r="I4012" s="473"/>
      <c r="J4012" s="473"/>
      <c r="K4012" s="473"/>
      <c r="L4012" s="473"/>
      <c r="M4012" s="473"/>
    </row>
    <row r="4013" spans="5:13">
      <c r="E4013" s="473"/>
      <c r="F4013" s="473"/>
      <c r="G4013" s="473"/>
      <c r="H4013" s="473"/>
      <c r="I4013" s="473"/>
      <c r="J4013" s="473"/>
      <c r="K4013" s="473"/>
      <c r="L4013" s="473"/>
      <c r="M4013" s="473"/>
    </row>
    <row r="4014" spans="5:13">
      <c r="E4014" s="473"/>
      <c r="F4014" s="473"/>
      <c r="G4014" s="473"/>
      <c r="H4014" s="473"/>
      <c r="I4014" s="473"/>
      <c r="J4014" s="473"/>
      <c r="K4014" s="473"/>
      <c r="L4014" s="473"/>
      <c r="M4014" s="473"/>
    </row>
    <row r="4015" spans="5:13">
      <c r="E4015" s="473"/>
      <c r="F4015" s="473"/>
      <c r="G4015" s="473"/>
      <c r="H4015" s="473"/>
      <c r="I4015" s="473"/>
      <c r="J4015" s="473"/>
      <c r="K4015" s="473"/>
      <c r="L4015" s="473"/>
      <c r="M4015" s="473"/>
    </row>
    <row r="4016" spans="5:13">
      <c r="E4016" s="473"/>
      <c r="F4016" s="473"/>
      <c r="G4016" s="473"/>
      <c r="H4016" s="473"/>
      <c r="I4016" s="473"/>
      <c r="J4016" s="473"/>
      <c r="K4016" s="473"/>
      <c r="L4016" s="473"/>
      <c r="M4016" s="473"/>
    </row>
    <row r="4017" spans="5:13">
      <c r="E4017" s="473"/>
      <c r="F4017" s="473"/>
      <c r="G4017" s="473"/>
      <c r="H4017" s="473"/>
      <c r="I4017" s="473"/>
      <c r="J4017" s="473"/>
      <c r="K4017" s="473"/>
      <c r="L4017" s="473"/>
      <c r="M4017" s="473"/>
    </row>
    <row r="4018" spans="5:13">
      <c r="E4018" s="473"/>
      <c r="F4018" s="473"/>
      <c r="G4018" s="473"/>
      <c r="H4018" s="473"/>
      <c r="I4018" s="473"/>
      <c r="J4018" s="473"/>
      <c r="K4018" s="473"/>
      <c r="L4018" s="473"/>
      <c r="M4018" s="473"/>
    </row>
    <row r="4019" spans="5:13">
      <c r="E4019" s="473"/>
      <c r="F4019" s="473"/>
      <c r="G4019" s="473"/>
      <c r="H4019" s="473"/>
      <c r="I4019" s="473"/>
      <c r="J4019" s="473"/>
      <c r="K4019" s="473"/>
      <c r="L4019" s="473"/>
      <c r="M4019" s="473"/>
    </row>
    <row r="4020" spans="5:13">
      <c r="E4020" s="473"/>
      <c r="F4020" s="473"/>
      <c r="G4020" s="473"/>
      <c r="H4020" s="473"/>
      <c r="I4020" s="473"/>
      <c r="J4020" s="473"/>
      <c r="K4020" s="473"/>
      <c r="L4020" s="473"/>
      <c r="M4020" s="473"/>
    </row>
    <row r="4021" spans="5:13">
      <c r="E4021" s="473"/>
      <c r="F4021" s="473"/>
      <c r="G4021" s="473"/>
      <c r="H4021" s="473"/>
      <c r="I4021" s="473"/>
      <c r="J4021" s="473"/>
      <c r="K4021" s="473"/>
      <c r="L4021" s="473"/>
      <c r="M4021" s="473"/>
    </row>
    <row r="4022" spans="5:13">
      <c r="E4022" s="473"/>
      <c r="F4022" s="473"/>
      <c r="G4022" s="473"/>
      <c r="H4022" s="473"/>
      <c r="I4022" s="473"/>
      <c r="J4022" s="473"/>
      <c r="K4022" s="473"/>
      <c r="L4022" s="473"/>
      <c r="M4022" s="473"/>
    </row>
    <row r="4023" spans="5:13">
      <c r="E4023" s="473"/>
      <c r="F4023" s="473"/>
      <c r="G4023" s="473"/>
      <c r="H4023" s="473"/>
      <c r="I4023" s="473"/>
      <c r="J4023" s="473"/>
      <c r="K4023" s="473"/>
      <c r="L4023" s="473"/>
      <c r="M4023" s="473"/>
    </row>
    <row r="4024" spans="5:13">
      <c r="E4024" s="473"/>
      <c r="F4024" s="473"/>
      <c r="G4024" s="473"/>
      <c r="H4024" s="473"/>
      <c r="I4024" s="473"/>
      <c r="J4024" s="473"/>
      <c r="K4024" s="473"/>
      <c r="L4024" s="473"/>
      <c r="M4024" s="473"/>
    </row>
    <row r="4025" spans="5:13">
      <c r="E4025" s="473"/>
      <c r="F4025" s="473"/>
      <c r="G4025" s="473"/>
      <c r="H4025" s="473"/>
      <c r="I4025" s="473"/>
      <c r="J4025" s="473"/>
      <c r="K4025" s="473"/>
      <c r="L4025" s="473"/>
      <c r="M4025" s="473"/>
    </row>
    <row r="4026" spans="5:13">
      <c r="E4026" s="473"/>
      <c r="F4026" s="473"/>
      <c r="G4026" s="473"/>
      <c r="H4026" s="473"/>
      <c r="I4026" s="473"/>
      <c r="J4026" s="473"/>
      <c r="K4026" s="473"/>
      <c r="L4026" s="473"/>
      <c r="M4026" s="473"/>
    </row>
    <row r="4027" spans="5:13">
      <c r="E4027" s="473"/>
      <c r="F4027" s="473"/>
      <c r="G4027" s="473"/>
      <c r="H4027" s="473"/>
      <c r="I4027" s="473"/>
      <c r="J4027" s="473"/>
      <c r="K4027" s="473"/>
      <c r="L4027" s="473"/>
      <c r="M4027" s="473"/>
    </row>
    <row r="4028" spans="5:13">
      <c r="E4028" s="473"/>
      <c r="F4028" s="473"/>
      <c r="G4028" s="473"/>
      <c r="H4028" s="473"/>
      <c r="I4028" s="473"/>
      <c r="J4028" s="473"/>
      <c r="K4028" s="473"/>
      <c r="L4028" s="473"/>
      <c r="M4028" s="473"/>
    </row>
    <row r="4029" spans="5:13">
      <c r="E4029" s="473"/>
      <c r="F4029" s="473"/>
      <c r="G4029" s="473"/>
      <c r="H4029" s="473"/>
      <c r="I4029" s="473"/>
      <c r="J4029" s="473"/>
      <c r="K4029" s="473"/>
      <c r="L4029" s="473"/>
      <c r="M4029" s="473"/>
    </row>
    <row r="4030" spans="5:13">
      <c r="E4030" s="473"/>
      <c r="F4030" s="473"/>
      <c r="G4030" s="473"/>
      <c r="H4030" s="473"/>
      <c r="I4030" s="473"/>
      <c r="J4030" s="473"/>
      <c r="K4030" s="473"/>
      <c r="L4030" s="473"/>
      <c r="M4030" s="473"/>
    </row>
    <row r="4031" spans="5:13">
      <c r="E4031" s="473"/>
      <c r="F4031" s="473"/>
      <c r="G4031" s="473"/>
      <c r="H4031" s="473"/>
      <c r="I4031" s="473"/>
      <c r="J4031" s="473"/>
      <c r="K4031" s="473"/>
      <c r="L4031" s="473"/>
      <c r="M4031" s="473"/>
    </row>
    <row r="4032" spans="5:13">
      <c r="E4032" s="473"/>
      <c r="F4032" s="473"/>
      <c r="G4032" s="473"/>
      <c r="H4032" s="473"/>
      <c r="I4032" s="473"/>
      <c r="J4032" s="473"/>
      <c r="K4032" s="473"/>
      <c r="L4032" s="473"/>
      <c r="M4032" s="473"/>
    </row>
    <row r="4033" spans="5:13">
      <c r="E4033" s="473"/>
      <c r="F4033" s="473"/>
      <c r="G4033" s="473"/>
      <c r="H4033" s="473"/>
      <c r="I4033" s="473"/>
      <c r="J4033" s="473"/>
      <c r="K4033" s="473"/>
      <c r="L4033" s="473"/>
      <c r="M4033" s="473"/>
    </row>
    <row r="4034" spans="5:13">
      <c r="E4034" s="473"/>
      <c r="F4034" s="473"/>
      <c r="G4034" s="473"/>
      <c r="H4034" s="473"/>
      <c r="I4034" s="473"/>
      <c r="J4034" s="473"/>
      <c r="K4034" s="473"/>
      <c r="L4034" s="473"/>
      <c r="M4034" s="473"/>
    </row>
    <row r="4035" spans="5:13">
      <c r="E4035" s="473"/>
      <c r="F4035" s="473"/>
      <c r="G4035" s="473"/>
      <c r="H4035" s="473"/>
      <c r="I4035" s="473"/>
      <c r="J4035" s="473"/>
      <c r="K4035" s="473"/>
      <c r="L4035" s="473"/>
      <c r="M4035" s="473"/>
    </row>
    <row r="4036" spans="5:13">
      <c r="E4036" s="473"/>
      <c r="F4036" s="473"/>
      <c r="G4036" s="473"/>
      <c r="H4036" s="473"/>
      <c r="I4036" s="473"/>
      <c r="J4036" s="473"/>
      <c r="K4036" s="473"/>
      <c r="L4036" s="473"/>
      <c r="M4036" s="473"/>
    </row>
    <row r="4037" spans="5:13">
      <c r="E4037" s="473"/>
      <c r="F4037" s="473"/>
      <c r="G4037" s="473"/>
      <c r="H4037" s="473"/>
      <c r="I4037" s="473"/>
      <c r="J4037" s="473"/>
      <c r="K4037" s="473"/>
      <c r="L4037" s="473"/>
      <c r="M4037" s="473"/>
    </row>
    <row r="4038" spans="5:13">
      <c r="E4038" s="473"/>
      <c r="F4038" s="473"/>
      <c r="G4038" s="473"/>
      <c r="H4038" s="473"/>
      <c r="I4038" s="473"/>
      <c r="J4038" s="473"/>
      <c r="K4038" s="473"/>
      <c r="L4038" s="473"/>
      <c r="M4038" s="473"/>
    </row>
    <row r="4039" spans="5:13">
      <c r="E4039" s="473"/>
      <c r="F4039" s="473"/>
      <c r="G4039" s="473"/>
      <c r="H4039" s="473"/>
      <c r="I4039" s="473"/>
      <c r="J4039" s="473"/>
      <c r="K4039" s="473"/>
      <c r="L4039" s="473"/>
      <c r="M4039" s="473"/>
    </row>
    <row r="4040" spans="5:13">
      <c r="E4040" s="473"/>
      <c r="F4040" s="473"/>
      <c r="G4040" s="473"/>
      <c r="H4040" s="473"/>
      <c r="I4040" s="473"/>
      <c r="J4040" s="473"/>
      <c r="K4040" s="473"/>
      <c r="L4040" s="473"/>
      <c r="M4040" s="473"/>
    </row>
    <row r="4041" spans="5:13">
      <c r="E4041" s="473"/>
      <c r="F4041" s="473"/>
      <c r="G4041" s="473"/>
      <c r="H4041" s="473"/>
      <c r="I4041" s="473"/>
      <c r="J4041" s="473"/>
      <c r="K4041" s="473"/>
      <c r="L4041" s="473"/>
      <c r="M4041" s="473"/>
    </row>
    <row r="4042" spans="5:13">
      <c r="E4042" s="473"/>
      <c r="F4042" s="473"/>
      <c r="G4042" s="473"/>
      <c r="H4042" s="473"/>
      <c r="I4042" s="473"/>
      <c r="J4042" s="473"/>
      <c r="K4042" s="473"/>
      <c r="L4042" s="473"/>
      <c r="M4042" s="473"/>
    </row>
    <row r="4043" spans="5:13">
      <c r="E4043" s="473"/>
      <c r="F4043" s="473"/>
      <c r="G4043" s="473"/>
      <c r="H4043" s="473"/>
      <c r="I4043" s="473"/>
      <c r="J4043" s="473"/>
      <c r="K4043" s="473"/>
      <c r="L4043" s="473"/>
      <c r="M4043" s="473"/>
    </row>
    <row r="4044" spans="5:13">
      <c r="E4044" s="473"/>
      <c r="F4044" s="473"/>
      <c r="G4044" s="473"/>
      <c r="H4044" s="473"/>
      <c r="I4044" s="473"/>
      <c r="J4044" s="473"/>
      <c r="K4044" s="473"/>
      <c r="L4044" s="473"/>
      <c r="M4044" s="473"/>
    </row>
    <row r="4045" spans="5:13">
      <c r="E4045" s="473"/>
      <c r="F4045" s="473"/>
      <c r="G4045" s="473"/>
      <c r="H4045" s="473"/>
      <c r="I4045" s="473"/>
      <c r="J4045" s="473"/>
      <c r="K4045" s="473"/>
      <c r="L4045" s="473"/>
      <c r="M4045" s="473"/>
    </row>
    <row r="4046" spans="5:13">
      <c r="E4046" s="473"/>
      <c r="F4046" s="473"/>
      <c r="G4046" s="473"/>
      <c r="H4046" s="473"/>
      <c r="I4046" s="473"/>
      <c r="J4046" s="473"/>
      <c r="K4046" s="473"/>
      <c r="L4046" s="473"/>
      <c r="M4046" s="473"/>
    </row>
    <row r="4047" spans="5:13">
      <c r="E4047" s="473"/>
      <c r="F4047" s="473"/>
      <c r="G4047" s="473"/>
      <c r="H4047" s="473"/>
      <c r="I4047" s="473"/>
      <c r="J4047" s="473"/>
      <c r="K4047" s="473"/>
      <c r="L4047" s="473"/>
      <c r="M4047" s="473"/>
    </row>
    <row r="4048" spans="5:13">
      <c r="E4048" s="473"/>
      <c r="F4048" s="473"/>
      <c r="G4048" s="473"/>
      <c r="H4048" s="473"/>
      <c r="I4048" s="473"/>
      <c r="J4048" s="473"/>
      <c r="K4048" s="473"/>
      <c r="L4048" s="473"/>
      <c r="M4048" s="473"/>
    </row>
    <row r="4049" spans="5:13">
      <c r="E4049" s="473"/>
      <c r="F4049" s="473"/>
      <c r="G4049" s="473"/>
      <c r="H4049" s="473"/>
      <c r="I4049" s="473"/>
      <c r="J4049" s="473"/>
      <c r="K4049" s="473"/>
      <c r="L4049" s="473"/>
      <c r="M4049" s="473"/>
    </row>
    <row r="4050" spans="5:13">
      <c r="E4050" s="473"/>
      <c r="F4050" s="473"/>
      <c r="G4050" s="473"/>
      <c r="H4050" s="473"/>
      <c r="I4050" s="473"/>
      <c r="J4050" s="473"/>
      <c r="K4050" s="473"/>
      <c r="L4050" s="473"/>
      <c r="M4050" s="473"/>
    </row>
    <row r="4051" spans="5:13">
      <c r="E4051" s="473"/>
      <c r="F4051" s="473"/>
      <c r="G4051" s="473"/>
      <c r="H4051" s="473"/>
      <c r="I4051" s="473"/>
      <c r="J4051" s="473"/>
      <c r="K4051" s="473"/>
      <c r="L4051" s="473"/>
      <c r="M4051" s="473"/>
    </row>
    <row r="4052" spans="5:13">
      <c r="E4052" s="473"/>
      <c r="F4052" s="473"/>
      <c r="G4052" s="473"/>
      <c r="H4052" s="473"/>
      <c r="I4052" s="473"/>
      <c r="J4052" s="473"/>
      <c r="K4052" s="473"/>
      <c r="L4052" s="473"/>
      <c r="M4052" s="473"/>
    </row>
    <row r="4053" spans="5:13">
      <c r="E4053" s="473"/>
      <c r="F4053" s="473"/>
      <c r="G4053" s="473"/>
      <c r="H4053" s="473"/>
      <c r="I4053" s="473"/>
      <c r="J4053" s="473"/>
      <c r="K4053" s="473"/>
      <c r="L4053" s="473"/>
      <c r="M4053" s="473"/>
    </row>
    <row r="4054" spans="5:13">
      <c r="E4054" s="473"/>
      <c r="F4054" s="473"/>
      <c r="G4054" s="473"/>
      <c r="H4054" s="473"/>
      <c r="I4054" s="473"/>
      <c r="J4054" s="473"/>
      <c r="K4054" s="473"/>
      <c r="L4054" s="473"/>
      <c r="M4054" s="473"/>
    </row>
    <row r="4055" spans="5:13">
      <c r="E4055" s="473"/>
      <c r="F4055" s="473"/>
      <c r="G4055" s="473"/>
      <c r="H4055" s="473"/>
      <c r="I4055" s="473"/>
      <c r="J4055" s="473"/>
      <c r="K4055" s="473"/>
      <c r="L4055" s="473"/>
      <c r="M4055" s="473"/>
    </row>
    <row r="4056" spans="5:13">
      <c r="E4056" s="473"/>
      <c r="F4056" s="473"/>
      <c r="G4056" s="473"/>
      <c r="H4056" s="473"/>
      <c r="I4056" s="473"/>
      <c r="J4056" s="473"/>
      <c r="K4056" s="473"/>
      <c r="L4056" s="473"/>
      <c r="M4056" s="473"/>
    </row>
    <row r="4057" spans="5:13">
      <c r="E4057" s="473"/>
      <c r="F4057" s="473"/>
      <c r="G4057" s="473"/>
      <c r="H4057" s="473"/>
      <c r="I4057" s="473"/>
      <c r="J4057" s="473"/>
      <c r="K4057" s="473"/>
      <c r="L4057" s="473"/>
      <c r="M4057" s="473"/>
    </row>
    <row r="4058" spans="5:13">
      <c r="E4058" s="473"/>
      <c r="F4058" s="473"/>
      <c r="G4058" s="473"/>
      <c r="H4058" s="473"/>
      <c r="I4058" s="473"/>
      <c r="J4058" s="473"/>
      <c r="K4058" s="473"/>
      <c r="L4058" s="473"/>
      <c r="M4058" s="473"/>
    </row>
    <row r="4059" spans="5:13">
      <c r="E4059" s="473"/>
      <c r="F4059" s="473"/>
      <c r="G4059" s="473"/>
      <c r="H4059" s="473"/>
      <c r="I4059" s="473"/>
      <c r="J4059" s="473"/>
      <c r="K4059" s="473"/>
      <c r="L4059" s="473"/>
      <c r="M4059" s="473"/>
    </row>
    <row r="4060" spans="5:13">
      <c r="E4060" s="473"/>
      <c r="F4060" s="473"/>
      <c r="G4060" s="473"/>
      <c r="H4060" s="473"/>
      <c r="I4060" s="473"/>
      <c r="J4060" s="473"/>
      <c r="K4060" s="473"/>
      <c r="L4060" s="473"/>
      <c r="M4060" s="473"/>
    </row>
    <row r="4061" spans="5:13">
      <c r="E4061" s="473"/>
      <c r="F4061" s="473"/>
      <c r="G4061" s="473"/>
      <c r="H4061" s="473"/>
      <c r="I4061" s="473"/>
      <c r="J4061" s="473"/>
      <c r="K4061" s="473"/>
      <c r="L4061" s="473"/>
      <c r="M4061" s="473"/>
    </row>
    <row r="4062" spans="5:13">
      <c r="E4062" s="473"/>
      <c r="F4062" s="473"/>
      <c r="G4062" s="473"/>
      <c r="H4062" s="473"/>
      <c r="I4062" s="473"/>
      <c r="J4062" s="473"/>
      <c r="K4062" s="473"/>
      <c r="L4062" s="473"/>
      <c r="M4062" s="473"/>
    </row>
    <row r="4063" spans="5:13">
      <c r="E4063" s="473"/>
      <c r="F4063" s="473"/>
      <c r="G4063" s="473"/>
      <c r="H4063" s="473"/>
      <c r="I4063" s="473"/>
      <c r="J4063" s="473"/>
      <c r="K4063" s="473"/>
      <c r="L4063" s="473"/>
      <c r="M4063" s="473"/>
    </row>
    <row r="4064" spans="5:13">
      <c r="E4064" s="473"/>
      <c r="F4064" s="473"/>
      <c r="G4064" s="473"/>
      <c r="H4064" s="473"/>
      <c r="I4064" s="473"/>
      <c r="J4064" s="473"/>
      <c r="K4064" s="473"/>
      <c r="L4064" s="473"/>
      <c r="M4064" s="473"/>
    </row>
    <row r="4065" spans="5:13">
      <c r="E4065" s="473"/>
      <c r="F4065" s="473"/>
      <c r="G4065" s="473"/>
      <c r="H4065" s="473"/>
      <c r="I4065" s="473"/>
      <c r="J4065" s="473"/>
      <c r="K4065" s="473"/>
      <c r="L4065" s="473"/>
      <c r="M4065" s="473"/>
    </row>
    <row r="4066" spans="5:13">
      <c r="E4066" s="473"/>
      <c r="F4066" s="473"/>
      <c r="G4066" s="473"/>
      <c r="H4066" s="473"/>
      <c r="I4066" s="473"/>
      <c r="J4066" s="473"/>
      <c r="K4066" s="473"/>
      <c r="L4066" s="473"/>
      <c r="M4066" s="473"/>
    </row>
    <row r="4067" spans="5:13">
      <c r="E4067" s="473"/>
      <c r="F4067" s="473"/>
      <c r="G4067" s="473"/>
      <c r="H4067" s="473"/>
      <c r="I4067" s="473"/>
      <c r="J4067" s="473"/>
      <c r="K4067" s="473"/>
      <c r="L4067" s="473"/>
      <c r="M4067" s="473"/>
    </row>
    <row r="4068" spans="5:13">
      <c r="E4068" s="473"/>
      <c r="F4068" s="473"/>
      <c r="G4068" s="473"/>
      <c r="H4068" s="473"/>
      <c r="I4068" s="473"/>
      <c r="J4068" s="473"/>
      <c r="K4068" s="473"/>
      <c r="L4068" s="473"/>
      <c r="M4068" s="473"/>
    </row>
    <row r="4069" spans="5:13">
      <c r="E4069" s="473"/>
      <c r="F4069" s="473"/>
      <c r="G4069" s="473"/>
      <c r="H4069" s="473"/>
      <c r="I4069" s="473"/>
      <c r="J4069" s="473"/>
      <c r="K4069" s="473"/>
      <c r="L4069" s="473"/>
      <c r="M4069" s="473"/>
    </row>
    <row r="4070" spans="5:13">
      <c r="E4070" s="473"/>
      <c r="F4070" s="473"/>
      <c r="G4070" s="473"/>
      <c r="H4070" s="473"/>
      <c r="I4070" s="473"/>
      <c r="J4070" s="473"/>
      <c r="K4070" s="473"/>
      <c r="L4070" s="473"/>
      <c r="M4070" s="473"/>
    </row>
    <row r="4071" spans="5:13">
      <c r="E4071" s="473"/>
      <c r="F4071" s="473"/>
      <c r="G4071" s="473"/>
      <c r="H4071" s="473"/>
      <c r="I4071" s="473"/>
      <c r="J4071" s="473"/>
      <c r="K4071" s="473"/>
      <c r="L4071" s="473"/>
      <c r="M4071" s="473"/>
    </row>
    <row r="4072" spans="5:13">
      <c r="E4072" s="473"/>
      <c r="F4072" s="473"/>
      <c r="G4072" s="473"/>
      <c r="H4072" s="473"/>
      <c r="I4072" s="473"/>
      <c r="J4072" s="473"/>
      <c r="K4072" s="473"/>
      <c r="L4072" s="473"/>
      <c r="M4072" s="473"/>
    </row>
    <row r="4073" spans="5:13">
      <c r="E4073" s="473"/>
      <c r="F4073" s="473"/>
      <c r="G4073" s="473"/>
      <c r="H4073" s="473"/>
      <c r="I4073" s="473"/>
      <c r="J4073" s="473"/>
      <c r="K4073" s="473"/>
      <c r="L4073" s="473"/>
      <c r="M4073" s="473"/>
    </row>
    <row r="4074" spans="5:13">
      <c r="E4074" s="473"/>
      <c r="F4074" s="473"/>
      <c r="G4074" s="473"/>
      <c r="H4074" s="473"/>
      <c r="I4074" s="473"/>
      <c r="J4074" s="473"/>
      <c r="K4074" s="473"/>
      <c r="L4074" s="473"/>
      <c r="M4074" s="473"/>
    </row>
    <row r="4075" spans="5:13">
      <c r="E4075" s="473"/>
      <c r="F4075" s="473"/>
      <c r="G4075" s="473"/>
      <c r="H4075" s="473"/>
      <c r="I4075" s="473"/>
      <c r="J4075" s="473"/>
      <c r="K4075" s="473"/>
      <c r="L4075" s="473"/>
      <c r="M4075" s="473"/>
    </row>
    <row r="4076" spans="5:13">
      <c r="E4076" s="473"/>
      <c r="F4076" s="473"/>
      <c r="G4076" s="473"/>
      <c r="H4076" s="473"/>
      <c r="I4076" s="473"/>
      <c r="J4076" s="473"/>
      <c r="K4076" s="473"/>
      <c r="L4076" s="473"/>
      <c r="M4076" s="473"/>
    </row>
    <row r="4077" spans="5:13">
      <c r="E4077" s="473"/>
      <c r="F4077" s="473"/>
      <c r="G4077" s="473"/>
      <c r="H4077" s="473"/>
      <c r="I4077" s="473"/>
      <c r="J4077" s="473"/>
      <c r="K4077" s="473"/>
      <c r="L4077" s="473"/>
      <c r="M4077" s="473"/>
    </row>
    <row r="4078" spans="5:13">
      <c r="E4078" s="473"/>
      <c r="F4078" s="473"/>
      <c r="G4078" s="473"/>
      <c r="H4078" s="473"/>
      <c r="I4078" s="473"/>
      <c r="J4078" s="473"/>
      <c r="K4078" s="473"/>
      <c r="L4078" s="473"/>
      <c r="M4078" s="473"/>
    </row>
    <row r="4079" spans="5:13">
      <c r="E4079" s="473"/>
      <c r="F4079" s="473"/>
      <c r="G4079" s="473"/>
      <c r="H4079" s="473"/>
      <c r="I4079" s="473"/>
      <c r="J4079" s="473"/>
      <c r="K4079" s="473"/>
      <c r="L4079" s="473"/>
      <c r="M4079" s="473"/>
    </row>
    <row r="4080" spans="5:13">
      <c r="E4080" s="473"/>
      <c r="F4080" s="473"/>
      <c r="G4080" s="473"/>
      <c r="H4080" s="473"/>
      <c r="I4080" s="473"/>
      <c r="J4080" s="473"/>
      <c r="K4080" s="473"/>
      <c r="L4080" s="473"/>
      <c r="M4080" s="473"/>
    </row>
    <row r="4081" spans="5:13">
      <c r="E4081" s="473"/>
      <c r="F4081" s="473"/>
      <c r="G4081" s="473"/>
      <c r="H4081" s="473"/>
      <c r="I4081" s="473"/>
      <c r="J4081" s="473"/>
      <c r="K4081" s="473"/>
      <c r="L4081" s="473"/>
      <c r="M4081" s="473"/>
    </row>
    <row r="4082" spans="5:13">
      <c r="E4082" s="473"/>
      <c r="F4082" s="473"/>
      <c r="G4082" s="473"/>
      <c r="H4082" s="473"/>
      <c r="I4082" s="473"/>
      <c r="J4082" s="473"/>
      <c r="K4082" s="473"/>
      <c r="L4082" s="473"/>
      <c r="M4082" s="473"/>
    </row>
    <row r="4083" spans="5:13">
      <c r="E4083" s="473"/>
      <c r="F4083" s="473"/>
      <c r="G4083" s="473"/>
      <c r="H4083" s="473"/>
      <c r="I4083" s="473"/>
      <c r="J4083" s="473"/>
      <c r="K4083" s="473"/>
      <c r="L4083" s="473"/>
      <c r="M4083" s="473"/>
    </row>
    <row r="4084" spans="5:13">
      <c r="E4084" s="473"/>
      <c r="F4084" s="473"/>
      <c r="G4084" s="473"/>
      <c r="H4084" s="473"/>
      <c r="I4084" s="473"/>
      <c r="J4084" s="473"/>
      <c r="K4084" s="473"/>
      <c r="L4084" s="473"/>
      <c r="M4084" s="473"/>
    </row>
    <row r="4085" spans="5:13">
      <c r="E4085" s="473"/>
      <c r="F4085" s="473"/>
      <c r="G4085" s="473"/>
      <c r="H4085" s="473"/>
      <c r="I4085" s="473"/>
      <c r="J4085" s="473"/>
      <c r="K4085" s="473"/>
      <c r="L4085" s="473"/>
      <c r="M4085" s="473"/>
    </row>
    <row r="4086" spans="5:13">
      <c r="E4086" s="473"/>
      <c r="F4086" s="473"/>
      <c r="G4086" s="473"/>
      <c r="H4086" s="473"/>
      <c r="I4086" s="473"/>
      <c r="J4086" s="473"/>
      <c r="K4086" s="473"/>
      <c r="L4086" s="473"/>
      <c r="M4086" s="473"/>
    </row>
    <row r="4087" spans="5:13">
      <c r="E4087" s="473"/>
      <c r="F4087" s="473"/>
      <c r="G4087" s="473"/>
      <c r="H4087" s="473"/>
      <c r="I4087" s="473"/>
      <c r="J4087" s="473"/>
      <c r="K4087" s="473"/>
      <c r="L4087" s="473"/>
      <c r="M4087" s="473"/>
    </row>
    <row r="4088" spans="5:13">
      <c r="E4088" s="473"/>
      <c r="F4088" s="473"/>
      <c r="G4088" s="473"/>
      <c r="H4088" s="473"/>
      <c r="I4088" s="473"/>
      <c r="J4088" s="473"/>
      <c r="K4088" s="473"/>
      <c r="L4088" s="473"/>
      <c r="M4088" s="473"/>
    </row>
    <row r="4089" spans="5:13">
      <c r="E4089" s="473"/>
      <c r="F4089" s="473"/>
      <c r="G4089" s="473"/>
      <c r="H4089" s="473"/>
      <c r="I4089" s="473"/>
      <c r="J4089" s="473"/>
      <c r="K4089" s="473"/>
      <c r="L4089" s="473"/>
      <c r="M4089" s="473"/>
    </row>
    <row r="4090" spans="5:13">
      <c r="E4090" s="473"/>
      <c r="F4090" s="473"/>
      <c r="G4090" s="473"/>
      <c r="H4090" s="473"/>
      <c r="I4090" s="473"/>
      <c r="J4090" s="473"/>
      <c r="K4090" s="473"/>
      <c r="L4090" s="473"/>
      <c r="M4090" s="473"/>
    </row>
    <row r="4091" spans="5:13">
      <c r="E4091" s="473"/>
      <c r="F4091" s="473"/>
      <c r="G4091" s="473"/>
      <c r="H4091" s="473"/>
      <c r="I4091" s="473"/>
      <c r="J4091" s="473"/>
      <c r="K4091" s="473"/>
      <c r="L4091" s="473"/>
      <c r="M4091" s="473"/>
    </row>
    <row r="4092" spans="5:13">
      <c r="E4092" s="473"/>
      <c r="F4092" s="473"/>
      <c r="G4092" s="473"/>
      <c r="H4092" s="473"/>
      <c r="I4092" s="473"/>
      <c r="J4092" s="473"/>
      <c r="K4092" s="473"/>
      <c r="L4092" s="473"/>
      <c r="M4092" s="473"/>
    </row>
    <row r="4093" spans="5:13">
      <c r="E4093" s="473"/>
      <c r="F4093" s="473"/>
      <c r="G4093" s="473"/>
      <c r="H4093" s="473"/>
      <c r="I4093" s="473"/>
      <c r="J4093" s="473"/>
      <c r="K4093" s="473"/>
      <c r="L4093" s="473"/>
      <c r="M4093" s="473"/>
    </row>
    <row r="4094" spans="5:13">
      <c r="E4094" s="473"/>
      <c r="F4094" s="473"/>
      <c r="G4094" s="473"/>
      <c r="H4094" s="473"/>
      <c r="I4094" s="473"/>
      <c r="J4094" s="473"/>
      <c r="K4094" s="473"/>
      <c r="L4094" s="473"/>
      <c r="M4094" s="473"/>
    </row>
    <row r="4095" spans="5:13">
      <c r="E4095" s="473"/>
      <c r="F4095" s="473"/>
      <c r="G4095" s="473"/>
      <c r="H4095" s="473"/>
      <c r="I4095" s="473"/>
      <c r="J4095" s="473"/>
      <c r="K4095" s="473"/>
      <c r="L4095" s="473"/>
      <c r="M4095" s="473"/>
    </row>
    <row r="4096" spans="5:13">
      <c r="E4096" s="473"/>
      <c r="F4096" s="473"/>
      <c r="G4096" s="473"/>
      <c r="H4096" s="473"/>
      <c r="I4096" s="473"/>
      <c r="J4096" s="473"/>
      <c r="K4096" s="473"/>
      <c r="L4096" s="473"/>
      <c r="M4096" s="473"/>
    </row>
    <row r="4097" spans="5:13">
      <c r="E4097" s="473"/>
      <c r="F4097" s="473"/>
      <c r="G4097" s="473"/>
      <c r="H4097" s="473"/>
      <c r="I4097" s="473"/>
      <c r="J4097" s="473"/>
      <c r="K4097" s="473"/>
      <c r="L4097" s="473"/>
      <c r="M4097" s="473"/>
    </row>
    <row r="4098" spans="5:13">
      <c r="E4098" s="473"/>
      <c r="F4098" s="473"/>
      <c r="G4098" s="473"/>
      <c r="H4098" s="473"/>
      <c r="I4098" s="473"/>
      <c r="J4098" s="473"/>
      <c r="K4098" s="473"/>
      <c r="L4098" s="473"/>
      <c r="M4098" s="473"/>
    </row>
    <row r="4099" spans="5:13">
      <c r="E4099" s="473"/>
      <c r="F4099" s="473"/>
      <c r="G4099" s="473"/>
      <c r="H4099" s="473"/>
      <c r="I4099" s="473"/>
      <c r="J4099" s="473"/>
      <c r="K4099" s="473"/>
      <c r="L4099" s="473"/>
      <c r="M4099" s="473"/>
    </row>
    <row r="4100" spans="5:13">
      <c r="E4100" s="473"/>
      <c r="F4100" s="473"/>
      <c r="G4100" s="473"/>
      <c r="H4100" s="473"/>
      <c r="I4100" s="473"/>
      <c r="J4100" s="473"/>
      <c r="K4100" s="473"/>
      <c r="L4100" s="473"/>
      <c r="M4100" s="473"/>
    </row>
    <row r="4101" spans="5:13">
      <c r="E4101" s="473"/>
      <c r="F4101" s="473"/>
      <c r="G4101" s="473"/>
      <c r="H4101" s="473"/>
      <c r="I4101" s="473"/>
      <c r="J4101" s="473"/>
      <c r="K4101" s="473"/>
      <c r="L4101" s="473"/>
      <c r="M4101" s="473"/>
    </row>
    <row r="4102" spans="5:13">
      <c r="E4102" s="473"/>
      <c r="F4102" s="473"/>
      <c r="G4102" s="473"/>
      <c r="H4102" s="473"/>
      <c r="I4102" s="473"/>
      <c r="J4102" s="473"/>
      <c r="K4102" s="473"/>
      <c r="L4102" s="473"/>
      <c r="M4102" s="473"/>
    </row>
    <row r="4103" spans="5:13">
      <c r="E4103" s="473"/>
      <c r="F4103" s="473"/>
      <c r="G4103" s="473"/>
      <c r="H4103" s="473"/>
      <c r="I4103" s="473"/>
      <c r="J4103" s="473"/>
      <c r="K4103" s="473"/>
      <c r="L4103" s="473"/>
      <c r="M4103" s="473"/>
    </row>
    <row r="4104" spans="5:13">
      <c r="E4104" s="473"/>
      <c r="F4104" s="473"/>
      <c r="G4104" s="473"/>
      <c r="H4104" s="473"/>
      <c r="I4104" s="473"/>
      <c r="J4104" s="473"/>
      <c r="K4104" s="473"/>
      <c r="L4104" s="473"/>
      <c r="M4104" s="473"/>
    </row>
    <row r="4105" spans="5:13">
      <c r="E4105" s="473"/>
      <c r="F4105" s="473"/>
      <c r="G4105" s="473"/>
      <c r="H4105" s="473"/>
      <c r="I4105" s="473"/>
      <c r="J4105" s="473"/>
      <c r="K4105" s="473"/>
      <c r="L4105" s="473"/>
      <c r="M4105" s="473"/>
    </row>
    <row r="4106" spans="5:13">
      <c r="E4106" s="473"/>
      <c r="F4106" s="473"/>
      <c r="G4106" s="473"/>
      <c r="H4106" s="473"/>
      <c r="I4106" s="473"/>
      <c r="J4106" s="473"/>
      <c r="K4106" s="473"/>
      <c r="L4106" s="473"/>
      <c r="M4106" s="473"/>
    </row>
    <row r="4107" spans="5:13">
      <c r="E4107" s="473"/>
      <c r="F4107" s="473"/>
      <c r="G4107" s="473"/>
      <c r="H4107" s="473"/>
      <c r="I4107" s="473"/>
      <c r="J4107" s="473"/>
      <c r="K4107" s="473"/>
      <c r="L4107" s="473"/>
      <c r="M4107" s="473"/>
    </row>
    <row r="4108" spans="5:13">
      <c r="E4108" s="473"/>
      <c r="F4108" s="473"/>
      <c r="G4108" s="473"/>
      <c r="H4108" s="473"/>
      <c r="I4108" s="473"/>
      <c r="J4108" s="473"/>
      <c r="K4108" s="473"/>
      <c r="L4108" s="473"/>
      <c r="M4108" s="473"/>
    </row>
    <row r="4109" spans="5:13">
      <c r="E4109" s="473"/>
      <c r="F4109" s="473"/>
      <c r="G4109" s="473"/>
      <c r="H4109" s="473"/>
      <c r="I4109" s="473"/>
      <c r="J4109" s="473"/>
      <c r="K4109" s="473"/>
      <c r="L4109" s="473"/>
      <c r="M4109" s="473"/>
    </row>
    <row r="4110" spans="5:13">
      <c r="E4110" s="473"/>
      <c r="F4110" s="473"/>
      <c r="G4110" s="473"/>
      <c r="H4110" s="473"/>
      <c r="I4110" s="473"/>
      <c r="J4110" s="473"/>
      <c r="K4110" s="473"/>
      <c r="L4110" s="473"/>
      <c r="M4110" s="473"/>
    </row>
    <row r="4111" spans="5:13">
      <c r="E4111" s="473"/>
      <c r="F4111" s="473"/>
      <c r="G4111" s="473"/>
      <c r="H4111" s="473"/>
      <c r="I4111" s="473"/>
      <c r="J4111" s="473"/>
      <c r="K4111" s="473"/>
      <c r="L4111" s="473"/>
      <c r="M4111" s="473"/>
    </row>
    <row r="4112" spans="5:13">
      <c r="E4112" s="473"/>
      <c r="F4112" s="473"/>
      <c r="G4112" s="473"/>
      <c r="H4112" s="473"/>
      <c r="I4112" s="473"/>
      <c r="J4112" s="473"/>
      <c r="K4112" s="473"/>
      <c r="L4112" s="473"/>
      <c r="M4112" s="473"/>
    </row>
    <row r="4113" spans="5:13">
      <c r="E4113" s="473"/>
      <c r="F4113" s="473"/>
      <c r="G4113" s="473"/>
      <c r="H4113" s="473"/>
      <c r="I4113" s="473"/>
      <c r="J4113" s="473"/>
      <c r="K4113" s="473"/>
      <c r="L4113" s="473"/>
      <c r="M4113" s="473"/>
    </row>
    <row r="4114" spans="5:13">
      <c r="E4114" s="473"/>
      <c r="F4114" s="473"/>
      <c r="G4114" s="473"/>
      <c r="H4114" s="473"/>
      <c r="I4114" s="473"/>
      <c r="J4114" s="473"/>
      <c r="K4114" s="473"/>
      <c r="L4114" s="473"/>
      <c r="M4114" s="473"/>
    </row>
    <row r="4115" spans="5:13">
      <c r="E4115" s="473"/>
      <c r="F4115" s="473"/>
      <c r="G4115" s="473"/>
      <c r="H4115" s="473"/>
      <c r="I4115" s="473"/>
      <c r="J4115" s="473"/>
      <c r="K4115" s="473"/>
      <c r="L4115" s="473"/>
      <c r="M4115" s="473"/>
    </row>
    <row r="4116" spans="5:13">
      <c r="E4116" s="473"/>
      <c r="F4116" s="473"/>
      <c r="G4116" s="473"/>
      <c r="H4116" s="473"/>
      <c r="I4116" s="473"/>
      <c r="J4116" s="473"/>
      <c r="K4116" s="473"/>
      <c r="L4116" s="473"/>
      <c r="M4116" s="473"/>
    </row>
    <row r="4117" spans="5:13">
      <c r="E4117" s="473"/>
      <c r="F4117" s="473"/>
      <c r="G4117" s="473"/>
      <c r="H4117" s="473"/>
      <c r="I4117" s="473"/>
      <c r="J4117" s="473"/>
      <c r="K4117" s="473"/>
      <c r="L4117" s="473"/>
      <c r="M4117" s="473"/>
    </row>
    <row r="4118" spans="5:13">
      <c r="E4118" s="473"/>
      <c r="F4118" s="473"/>
      <c r="G4118" s="473"/>
      <c r="H4118" s="473"/>
      <c r="I4118" s="473"/>
      <c r="J4118" s="473"/>
      <c r="K4118" s="473"/>
      <c r="L4118" s="473"/>
      <c r="M4118" s="473"/>
    </row>
    <row r="4119" spans="5:13">
      <c r="E4119" s="473"/>
      <c r="F4119" s="473"/>
      <c r="G4119" s="473"/>
      <c r="H4119" s="473"/>
      <c r="I4119" s="473"/>
      <c r="J4119" s="473"/>
      <c r="K4119" s="473"/>
      <c r="L4119" s="473"/>
      <c r="M4119" s="473"/>
    </row>
    <row r="4120" spans="5:13">
      <c r="E4120" s="473"/>
      <c r="F4120" s="473"/>
      <c r="G4120" s="473"/>
      <c r="H4120" s="473"/>
      <c r="I4120" s="473"/>
      <c r="J4120" s="473"/>
      <c r="K4120" s="473"/>
      <c r="L4120" s="473"/>
      <c r="M4120" s="473"/>
    </row>
    <row r="4121" spans="5:13">
      <c r="E4121" s="473"/>
      <c r="F4121" s="473"/>
      <c r="G4121" s="473"/>
      <c r="H4121" s="473"/>
      <c r="I4121" s="473"/>
      <c r="J4121" s="473"/>
      <c r="K4121" s="473"/>
      <c r="L4121" s="473"/>
      <c r="M4121" s="473"/>
    </row>
    <row r="4122" spans="5:13">
      <c r="E4122" s="473"/>
      <c r="F4122" s="473"/>
      <c r="G4122" s="473"/>
      <c r="H4122" s="473"/>
      <c r="I4122" s="473"/>
      <c r="J4122" s="473"/>
      <c r="K4122" s="473"/>
      <c r="L4122" s="473"/>
      <c r="M4122" s="473"/>
    </row>
    <row r="4123" spans="5:13">
      <c r="E4123" s="473"/>
      <c r="F4123" s="473"/>
      <c r="G4123" s="473"/>
      <c r="H4123" s="473"/>
      <c r="I4123" s="473"/>
      <c r="J4123" s="473"/>
      <c r="K4123" s="473"/>
      <c r="L4123" s="473"/>
      <c r="M4123" s="473"/>
    </row>
    <row r="4124" spans="5:13">
      <c r="E4124" s="473"/>
      <c r="F4124" s="473"/>
      <c r="G4124" s="473"/>
      <c r="H4124" s="473"/>
      <c r="I4124" s="473"/>
      <c r="J4124" s="473"/>
      <c r="K4124" s="473"/>
      <c r="L4124" s="473"/>
      <c r="M4124" s="473"/>
    </row>
    <row r="4125" spans="5:13">
      <c r="E4125" s="473"/>
      <c r="F4125" s="473"/>
      <c r="G4125" s="473"/>
      <c r="H4125" s="473"/>
      <c r="I4125" s="473"/>
      <c r="J4125" s="473"/>
      <c r="K4125" s="473"/>
      <c r="L4125" s="473"/>
      <c r="M4125" s="473"/>
    </row>
    <row r="4126" spans="5:13">
      <c r="E4126" s="473"/>
      <c r="F4126" s="473"/>
      <c r="G4126" s="473"/>
      <c r="H4126" s="473"/>
      <c r="I4126" s="473"/>
      <c r="J4126" s="473"/>
      <c r="K4126" s="473"/>
      <c r="L4126" s="473"/>
      <c r="M4126" s="473"/>
    </row>
    <row r="4127" spans="5:13">
      <c r="E4127" s="473"/>
      <c r="F4127" s="473"/>
      <c r="G4127" s="473"/>
      <c r="H4127" s="473"/>
      <c r="I4127" s="473"/>
      <c r="J4127" s="473"/>
      <c r="K4127" s="473"/>
      <c r="L4127" s="473"/>
      <c r="M4127" s="473"/>
    </row>
    <row r="4128" spans="5:13">
      <c r="E4128" s="473"/>
      <c r="F4128" s="473"/>
      <c r="G4128" s="473"/>
      <c r="H4128" s="473"/>
      <c r="I4128" s="473"/>
      <c r="J4128" s="473"/>
      <c r="K4128" s="473"/>
      <c r="L4128" s="473"/>
      <c r="M4128" s="473"/>
    </row>
    <row r="4129" spans="5:13">
      <c r="E4129" s="473"/>
      <c r="F4129" s="473"/>
      <c r="G4129" s="473"/>
      <c r="H4129" s="473"/>
      <c r="I4129" s="473"/>
      <c r="J4129" s="473"/>
      <c r="K4129" s="473"/>
      <c r="L4129" s="473"/>
      <c r="M4129" s="473"/>
    </row>
    <row r="4130" spans="5:13">
      <c r="E4130" s="473"/>
      <c r="F4130" s="473"/>
      <c r="G4130" s="473"/>
      <c r="H4130" s="473"/>
      <c r="I4130" s="473"/>
      <c r="J4130" s="473"/>
      <c r="K4130" s="473"/>
      <c r="L4130" s="473"/>
      <c r="M4130" s="473"/>
    </row>
    <row r="4131" spans="5:13">
      <c r="E4131" s="473"/>
      <c r="F4131" s="473"/>
      <c r="G4131" s="473"/>
      <c r="H4131" s="473"/>
      <c r="I4131" s="473"/>
      <c r="J4131" s="473"/>
      <c r="K4131" s="473"/>
      <c r="L4131" s="473"/>
      <c r="M4131" s="473"/>
    </row>
    <row r="4132" spans="5:13">
      <c r="E4132" s="473"/>
      <c r="F4132" s="473"/>
      <c r="G4132" s="473"/>
      <c r="H4132" s="473"/>
      <c r="I4132" s="473"/>
      <c r="J4132" s="473"/>
      <c r="K4132" s="473"/>
      <c r="L4132" s="473"/>
      <c r="M4132" s="473"/>
    </row>
    <row r="4133" spans="5:13">
      <c r="E4133" s="473"/>
      <c r="F4133" s="473"/>
      <c r="G4133" s="473"/>
      <c r="H4133" s="473"/>
      <c r="I4133" s="473"/>
      <c r="J4133" s="473"/>
      <c r="K4133" s="473"/>
      <c r="L4133" s="473"/>
      <c r="M4133" s="473"/>
    </row>
    <row r="4134" spans="5:13">
      <c r="E4134" s="473"/>
      <c r="F4134" s="473"/>
      <c r="G4134" s="473"/>
      <c r="H4134" s="473"/>
      <c r="I4134" s="473"/>
      <c r="J4134" s="473"/>
      <c r="K4134" s="473"/>
      <c r="L4134" s="473"/>
      <c r="M4134" s="473"/>
    </row>
    <row r="4135" spans="5:13">
      <c r="E4135" s="473"/>
      <c r="F4135" s="473"/>
      <c r="G4135" s="473"/>
      <c r="H4135" s="473"/>
      <c r="I4135" s="473"/>
      <c r="J4135" s="473"/>
      <c r="K4135" s="473"/>
      <c r="L4135" s="473"/>
      <c r="M4135" s="473"/>
    </row>
    <row r="4136" spans="5:13">
      <c r="E4136" s="473"/>
      <c r="F4136" s="473"/>
      <c r="G4136" s="473"/>
      <c r="H4136" s="473"/>
      <c r="I4136" s="473"/>
      <c r="J4136" s="473"/>
      <c r="K4136" s="473"/>
      <c r="L4136" s="473"/>
      <c r="M4136" s="473"/>
    </row>
    <row r="4137" spans="5:13">
      <c r="E4137" s="473"/>
      <c r="F4137" s="473"/>
      <c r="G4137" s="473"/>
      <c r="H4137" s="473"/>
      <c r="I4137" s="473"/>
      <c r="J4137" s="473"/>
      <c r="K4137" s="473"/>
      <c r="L4137" s="473"/>
      <c r="M4137" s="473"/>
    </row>
    <row r="4138" spans="5:13">
      <c r="E4138" s="473"/>
      <c r="F4138" s="473"/>
      <c r="G4138" s="473"/>
      <c r="H4138" s="473"/>
      <c r="I4138" s="473"/>
      <c r="J4138" s="473"/>
      <c r="K4138" s="473"/>
      <c r="L4138" s="473"/>
      <c r="M4138" s="473"/>
    </row>
    <row r="4139" spans="5:13">
      <c r="E4139" s="473"/>
      <c r="F4139" s="473"/>
      <c r="G4139" s="473"/>
      <c r="H4139" s="473"/>
      <c r="I4139" s="473"/>
      <c r="J4139" s="473"/>
      <c r="K4139" s="473"/>
      <c r="L4139" s="473"/>
      <c r="M4139" s="473"/>
    </row>
    <row r="4140" spans="5:13">
      <c r="E4140" s="473"/>
      <c r="F4140" s="473"/>
      <c r="G4140" s="473"/>
      <c r="H4140" s="473"/>
      <c r="I4140" s="473"/>
      <c r="J4140" s="473"/>
      <c r="K4140" s="473"/>
      <c r="L4140" s="473"/>
      <c r="M4140" s="473"/>
    </row>
    <row r="4141" spans="5:13">
      <c r="E4141" s="473"/>
      <c r="F4141" s="473"/>
      <c r="G4141" s="473"/>
      <c r="H4141" s="473"/>
      <c r="I4141" s="473"/>
      <c r="J4141" s="473"/>
      <c r="K4141" s="473"/>
      <c r="L4141" s="473"/>
      <c r="M4141" s="473"/>
    </row>
    <row r="4142" spans="5:13">
      <c r="E4142" s="473"/>
      <c r="F4142" s="473"/>
      <c r="G4142" s="473"/>
      <c r="H4142" s="473"/>
      <c r="I4142" s="473"/>
      <c r="J4142" s="473"/>
      <c r="K4142" s="473"/>
      <c r="L4142" s="473"/>
      <c r="M4142" s="473"/>
    </row>
    <row r="4143" spans="5:13">
      <c r="E4143" s="473"/>
      <c r="F4143" s="473"/>
      <c r="G4143" s="473"/>
      <c r="H4143" s="473"/>
      <c r="I4143" s="473"/>
      <c r="J4143" s="473"/>
      <c r="K4143" s="473"/>
      <c r="L4143" s="473"/>
      <c r="M4143" s="473"/>
    </row>
    <row r="4144" spans="5:13">
      <c r="E4144" s="473"/>
      <c r="F4144" s="473"/>
      <c r="G4144" s="473"/>
      <c r="H4144" s="473"/>
      <c r="I4144" s="473"/>
      <c r="J4144" s="473"/>
      <c r="K4144" s="473"/>
      <c r="L4144" s="473"/>
      <c r="M4144" s="473"/>
    </row>
    <row r="4145" spans="5:13">
      <c r="E4145" s="473"/>
      <c r="F4145" s="473"/>
      <c r="G4145" s="473"/>
      <c r="H4145" s="473"/>
      <c r="I4145" s="473"/>
      <c r="J4145" s="473"/>
      <c r="K4145" s="473"/>
      <c r="L4145" s="473"/>
      <c r="M4145" s="473"/>
    </row>
    <row r="4146" spans="5:13">
      <c r="E4146" s="473"/>
      <c r="F4146" s="473"/>
      <c r="G4146" s="473"/>
      <c r="H4146" s="473"/>
      <c r="I4146" s="473"/>
      <c r="J4146" s="473"/>
      <c r="K4146" s="473"/>
      <c r="L4146" s="473"/>
      <c r="M4146" s="473"/>
    </row>
    <row r="4147" spans="5:13">
      <c r="E4147" s="473"/>
      <c r="F4147" s="473"/>
      <c r="G4147" s="473"/>
      <c r="H4147" s="473"/>
      <c r="I4147" s="473"/>
      <c r="J4147" s="473"/>
      <c r="K4147" s="473"/>
      <c r="L4147" s="473"/>
      <c r="M4147" s="473"/>
    </row>
    <row r="4148" spans="5:13">
      <c r="E4148" s="473"/>
      <c r="F4148" s="473"/>
      <c r="G4148" s="473"/>
      <c r="H4148" s="473"/>
      <c r="I4148" s="473"/>
      <c r="J4148" s="473"/>
      <c r="K4148" s="473"/>
      <c r="L4148" s="473"/>
      <c r="M4148" s="473"/>
    </row>
    <row r="4149" spans="5:13">
      <c r="E4149" s="473"/>
      <c r="F4149" s="473"/>
      <c r="G4149" s="473"/>
      <c r="H4149" s="473"/>
      <c r="I4149" s="473"/>
      <c r="J4149" s="473"/>
      <c r="K4149" s="473"/>
      <c r="L4149" s="473"/>
      <c r="M4149" s="473"/>
    </row>
    <row r="4150" spans="5:13">
      <c r="E4150" s="473"/>
      <c r="F4150" s="473"/>
      <c r="G4150" s="473"/>
      <c r="H4150" s="473"/>
      <c r="I4150" s="473"/>
      <c r="J4150" s="473"/>
      <c r="K4150" s="473"/>
      <c r="L4150" s="473"/>
      <c r="M4150" s="473"/>
    </row>
    <row r="4151" spans="5:13">
      <c r="E4151" s="473"/>
      <c r="F4151" s="473"/>
      <c r="G4151" s="473"/>
      <c r="H4151" s="473"/>
      <c r="I4151" s="473"/>
      <c r="J4151" s="473"/>
      <c r="K4151" s="473"/>
      <c r="L4151" s="473"/>
      <c r="M4151" s="473"/>
    </row>
    <row r="4152" spans="5:13">
      <c r="E4152" s="473"/>
      <c r="F4152" s="473"/>
      <c r="G4152" s="473"/>
      <c r="H4152" s="473"/>
      <c r="I4152" s="473"/>
      <c r="J4152" s="473"/>
      <c r="K4152" s="473"/>
      <c r="L4152" s="473"/>
      <c r="M4152" s="473"/>
    </row>
    <row r="4153" spans="5:13">
      <c r="E4153" s="473"/>
      <c r="F4153" s="473"/>
      <c r="G4153" s="473"/>
      <c r="H4153" s="473"/>
      <c r="I4153" s="473"/>
      <c r="J4153" s="473"/>
      <c r="K4153" s="473"/>
      <c r="L4153" s="473"/>
      <c r="M4153" s="473"/>
    </row>
    <row r="4154" spans="5:13">
      <c r="E4154" s="473"/>
      <c r="F4154" s="473"/>
      <c r="G4154" s="473"/>
      <c r="H4154" s="473"/>
      <c r="I4154" s="473"/>
      <c r="J4154" s="473"/>
      <c r="K4154" s="473"/>
      <c r="L4154" s="473"/>
      <c r="M4154" s="473"/>
    </row>
    <row r="4155" spans="5:13">
      <c r="E4155" s="473"/>
      <c r="F4155" s="473"/>
      <c r="G4155" s="473"/>
      <c r="H4155" s="473"/>
      <c r="I4155" s="473"/>
      <c r="J4155" s="473"/>
      <c r="K4155" s="473"/>
      <c r="L4155" s="473"/>
      <c r="M4155" s="473"/>
    </row>
    <row r="4156" spans="5:13">
      <c r="E4156" s="473"/>
      <c r="F4156" s="473"/>
      <c r="G4156" s="473"/>
      <c r="H4156" s="473"/>
      <c r="I4156" s="473"/>
      <c r="J4156" s="473"/>
      <c r="K4156" s="473"/>
      <c r="L4156" s="473"/>
      <c r="M4156" s="473"/>
    </row>
    <row r="4157" spans="5:13">
      <c r="E4157" s="473"/>
      <c r="F4157" s="473"/>
      <c r="G4157" s="473"/>
      <c r="H4157" s="473"/>
      <c r="I4157" s="473"/>
      <c r="J4157" s="473"/>
      <c r="K4157" s="473"/>
      <c r="L4157" s="473"/>
      <c r="M4157" s="473"/>
    </row>
    <row r="4158" spans="5:13">
      <c r="E4158" s="473"/>
      <c r="F4158" s="473"/>
      <c r="G4158" s="473"/>
      <c r="H4158" s="473"/>
      <c r="I4158" s="473"/>
      <c r="J4158" s="473"/>
      <c r="K4158" s="473"/>
      <c r="L4158" s="473"/>
      <c r="M4158" s="473"/>
    </row>
    <row r="4159" spans="5:13">
      <c r="E4159" s="473"/>
      <c r="F4159" s="473"/>
      <c r="G4159" s="473"/>
      <c r="H4159" s="473"/>
      <c r="I4159" s="473"/>
      <c r="J4159" s="473"/>
      <c r="K4159" s="473"/>
      <c r="L4159" s="473"/>
      <c r="M4159" s="473"/>
    </row>
    <row r="4160" spans="5:13">
      <c r="E4160" s="473"/>
      <c r="F4160" s="473"/>
      <c r="G4160" s="473"/>
      <c r="H4160" s="473"/>
      <c r="I4160" s="473"/>
      <c r="J4160" s="473"/>
      <c r="K4160" s="473"/>
      <c r="L4160" s="473"/>
      <c r="M4160" s="473"/>
    </row>
    <row r="4161" spans="5:13">
      <c r="E4161" s="473"/>
      <c r="F4161" s="473"/>
      <c r="G4161" s="473"/>
      <c r="H4161" s="473"/>
      <c r="I4161" s="473"/>
      <c r="J4161" s="473"/>
      <c r="K4161" s="473"/>
      <c r="L4161" s="473"/>
      <c r="M4161" s="473"/>
    </row>
    <row r="4162" spans="5:13">
      <c r="E4162" s="473"/>
      <c r="F4162" s="473"/>
      <c r="G4162" s="473"/>
      <c r="H4162" s="473"/>
      <c r="I4162" s="473"/>
      <c r="J4162" s="473"/>
      <c r="K4162" s="473"/>
      <c r="L4162" s="473"/>
      <c r="M4162" s="473"/>
    </row>
    <row r="4163" spans="5:13">
      <c r="E4163" s="473"/>
      <c r="F4163" s="473"/>
      <c r="G4163" s="473"/>
      <c r="H4163" s="473"/>
      <c r="I4163" s="473"/>
      <c r="J4163" s="473"/>
      <c r="K4163" s="473"/>
      <c r="L4163" s="473"/>
      <c r="M4163" s="473"/>
    </row>
    <row r="4164" spans="5:13">
      <c r="E4164" s="473"/>
      <c r="F4164" s="473"/>
      <c r="G4164" s="473"/>
      <c r="H4164" s="473"/>
      <c r="I4164" s="473"/>
      <c r="J4164" s="473"/>
      <c r="K4164" s="473"/>
      <c r="L4164" s="473"/>
      <c r="M4164" s="473"/>
    </row>
    <row r="4165" spans="5:13">
      <c r="E4165" s="473"/>
      <c r="F4165" s="473"/>
      <c r="G4165" s="473"/>
      <c r="H4165" s="473"/>
      <c r="I4165" s="473"/>
      <c r="J4165" s="473"/>
      <c r="K4165" s="473"/>
      <c r="L4165" s="473"/>
      <c r="M4165" s="473"/>
    </row>
    <row r="4166" spans="5:13">
      <c r="E4166" s="473"/>
      <c r="F4166" s="473"/>
      <c r="G4166" s="473"/>
      <c r="H4166" s="473"/>
      <c r="I4166" s="473"/>
      <c r="J4166" s="473"/>
      <c r="K4166" s="473"/>
      <c r="L4166" s="473"/>
      <c r="M4166" s="473"/>
    </row>
    <row r="4167" spans="5:13">
      <c r="E4167" s="473"/>
      <c r="F4167" s="473"/>
      <c r="G4167" s="473"/>
      <c r="H4167" s="473"/>
      <c r="I4167" s="473"/>
      <c r="J4167" s="473"/>
      <c r="K4167" s="473"/>
      <c r="L4167" s="473"/>
      <c r="M4167" s="473"/>
    </row>
    <row r="4168" spans="5:13">
      <c r="E4168" s="473"/>
      <c r="F4168" s="473"/>
      <c r="G4168" s="473"/>
      <c r="H4168" s="473"/>
      <c r="I4168" s="473"/>
      <c r="J4168" s="473"/>
      <c r="K4168" s="473"/>
      <c r="L4168" s="473"/>
      <c r="M4168" s="473"/>
    </row>
    <row r="4169" spans="5:13">
      <c r="E4169" s="473"/>
      <c r="F4169" s="473"/>
      <c r="G4169" s="473"/>
      <c r="H4169" s="473"/>
      <c r="I4169" s="473"/>
      <c r="J4169" s="473"/>
      <c r="K4169" s="473"/>
      <c r="L4169" s="473"/>
      <c r="M4169" s="473"/>
    </row>
    <row r="4170" spans="5:13">
      <c r="E4170" s="473"/>
      <c r="F4170" s="473"/>
      <c r="G4170" s="473"/>
      <c r="H4170" s="473"/>
      <c r="I4170" s="473"/>
      <c r="J4170" s="473"/>
      <c r="K4170" s="473"/>
      <c r="L4170" s="473"/>
      <c r="M4170" s="473"/>
    </row>
    <row r="4171" spans="5:13">
      <c r="E4171" s="473"/>
      <c r="F4171" s="473"/>
      <c r="G4171" s="473"/>
      <c r="H4171" s="473"/>
      <c r="I4171" s="473"/>
      <c r="J4171" s="473"/>
      <c r="K4171" s="473"/>
      <c r="L4171" s="473"/>
      <c r="M4171" s="473"/>
    </row>
    <row r="4172" spans="5:13">
      <c r="E4172" s="473"/>
      <c r="F4172" s="473"/>
      <c r="G4172" s="473"/>
      <c r="H4172" s="473"/>
      <c r="I4172" s="473"/>
      <c r="J4172" s="473"/>
      <c r="K4172" s="473"/>
      <c r="L4172" s="473"/>
      <c r="M4172" s="473"/>
    </row>
    <row r="4173" spans="5:13">
      <c r="E4173" s="473"/>
      <c r="F4173" s="473"/>
      <c r="G4173" s="473"/>
      <c r="H4173" s="473"/>
      <c r="I4173" s="473"/>
      <c r="J4173" s="473"/>
      <c r="K4173" s="473"/>
      <c r="L4173" s="473"/>
      <c r="M4173" s="473"/>
    </row>
    <row r="4174" spans="5:13">
      <c r="E4174" s="473"/>
      <c r="F4174" s="473"/>
      <c r="G4174" s="473"/>
      <c r="H4174" s="473"/>
      <c r="I4174" s="473"/>
      <c r="J4174" s="473"/>
      <c r="K4174" s="473"/>
      <c r="L4174" s="473"/>
      <c r="M4174" s="473"/>
    </row>
    <row r="4175" spans="5:13">
      <c r="E4175" s="473"/>
      <c r="F4175" s="473"/>
      <c r="G4175" s="473"/>
      <c r="H4175" s="473"/>
      <c r="I4175" s="473"/>
      <c r="J4175" s="473"/>
      <c r="K4175" s="473"/>
      <c r="L4175" s="473"/>
      <c r="M4175" s="473"/>
    </row>
    <row r="4176" spans="5:13">
      <c r="E4176" s="473"/>
      <c r="F4176" s="473"/>
      <c r="G4176" s="473"/>
      <c r="H4176" s="473"/>
      <c r="I4176" s="473"/>
      <c r="J4176" s="473"/>
      <c r="K4176" s="473"/>
      <c r="L4176" s="473"/>
      <c r="M4176" s="473"/>
    </row>
    <row r="4177" spans="5:13">
      <c r="E4177" s="473"/>
      <c r="F4177" s="473"/>
      <c r="G4177" s="473"/>
      <c r="H4177" s="473"/>
      <c r="I4177" s="473"/>
      <c r="J4177" s="473"/>
      <c r="K4177" s="473"/>
      <c r="L4177" s="473"/>
      <c r="M4177" s="473"/>
    </row>
    <row r="4178" spans="5:13">
      <c r="E4178" s="473"/>
      <c r="F4178" s="473"/>
      <c r="G4178" s="473"/>
      <c r="H4178" s="473"/>
      <c r="I4178" s="473"/>
      <c r="J4178" s="473"/>
      <c r="K4178" s="473"/>
      <c r="L4178" s="473"/>
      <c r="M4178" s="473"/>
    </row>
    <row r="4179" spans="5:13">
      <c r="E4179" s="473"/>
      <c r="F4179" s="473"/>
      <c r="G4179" s="473"/>
      <c r="H4179" s="473"/>
      <c r="I4179" s="473"/>
      <c r="J4179" s="473"/>
      <c r="K4179" s="473"/>
      <c r="L4179" s="473"/>
      <c r="M4179" s="473"/>
    </row>
    <row r="4180" spans="5:13">
      <c r="E4180" s="473"/>
      <c r="F4180" s="473"/>
      <c r="G4180" s="473"/>
      <c r="H4180" s="473"/>
      <c r="I4180" s="473"/>
      <c r="J4180" s="473"/>
      <c r="K4180" s="473"/>
      <c r="L4180" s="473"/>
      <c r="M4180" s="473"/>
    </row>
    <row r="4181" spans="5:13">
      <c r="E4181" s="473"/>
      <c r="F4181" s="473"/>
      <c r="G4181" s="473"/>
      <c r="H4181" s="473"/>
      <c r="I4181" s="473"/>
      <c r="J4181" s="473"/>
      <c r="K4181" s="473"/>
      <c r="L4181" s="473"/>
      <c r="M4181" s="473"/>
    </row>
    <row r="4182" spans="5:13">
      <c r="E4182" s="473"/>
      <c r="F4182" s="473"/>
      <c r="G4182" s="473"/>
      <c r="H4182" s="473"/>
      <c r="I4182" s="473"/>
      <c r="J4182" s="473"/>
      <c r="K4182" s="473"/>
      <c r="L4182" s="473"/>
      <c r="M4182" s="473"/>
    </row>
    <row r="4183" spans="5:13">
      <c r="E4183" s="473"/>
      <c r="F4183" s="473"/>
      <c r="G4183" s="473"/>
      <c r="H4183" s="473"/>
      <c r="I4183" s="473"/>
      <c r="J4183" s="473"/>
      <c r="K4183" s="473"/>
      <c r="L4183" s="473"/>
      <c r="M4183" s="473"/>
    </row>
    <row r="4184" spans="5:13">
      <c r="E4184" s="473"/>
      <c r="F4184" s="473"/>
      <c r="G4184" s="473"/>
      <c r="H4184" s="473"/>
      <c r="I4184" s="473"/>
      <c r="J4184" s="473"/>
      <c r="K4184" s="473"/>
      <c r="L4184" s="473"/>
      <c r="M4184" s="473"/>
    </row>
    <row r="4185" spans="5:13">
      <c r="E4185" s="473"/>
      <c r="F4185" s="473"/>
      <c r="G4185" s="473"/>
      <c r="H4185" s="473"/>
      <c r="I4185" s="473"/>
      <c r="J4185" s="473"/>
      <c r="K4185" s="473"/>
      <c r="L4185" s="473"/>
      <c r="M4185" s="473"/>
    </row>
    <row r="4186" spans="5:13">
      <c r="E4186" s="473"/>
      <c r="F4186" s="473"/>
      <c r="G4186" s="473"/>
      <c r="H4186" s="473"/>
      <c r="I4186" s="473"/>
      <c r="J4186" s="473"/>
      <c r="K4186" s="473"/>
      <c r="L4186" s="473"/>
      <c r="M4186" s="473"/>
    </row>
    <row r="4187" spans="5:13">
      <c r="E4187" s="473"/>
      <c r="F4187" s="473"/>
      <c r="G4187" s="473"/>
      <c r="H4187" s="473"/>
      <c r="I4187" s="473"/>
      <c r="J4187" s="473"/>
      <c r="K4187" s="473"/>
      <c r="L4187" s="473"/>
      <c r="M4187" s="473"/>
    </row>
    <row r="4188" spans="5:13">
      <c r="E4188" s="473"/>
      <c r="F4188" s="473"/>
      <c r="G4188" s="473"/>
      <c r="H4188" s="473"/>
      <c r="I4188" s="473"/>
      <c r="J4188" s="473"/>
      <c r="K4188" s="473"/>
      <c r="L4188" s="473"/>
      <c r="M4188" s="473"/>
    </row>
    <row r="4189" spans="5:13">
      <c r="E4189" s="473"/>
      <c r="F4189" s="473"/>
      <c r="G4189" s="473"/>
      <c r="H4189" s="473"/>
      <c r="I4189" s="473"/>
      <c r="J4189" s="473"/>
      <c r="K4189" s="473"/>
      <c r="L4189" s="473"/>
      <c r="M4189" s="473"/>
    </row>
    <row r="4190" spans="5:13">
      <c r="E4190" s="473"/>
      <c r="F4190" s="473"/>
      <c r="G4190" s="473"/>
      <c r="H4190" s="473"/>
      <c r="I4190" s="473"/>
      <c r="J4190" s="473"/>
      <c r="K4190" s="473"/>
      <c r="L4190" s="473"/>
      <c r="M4190" s="473"/>
    </row>
    <row r="4191" spans="5:13">
      <c r="E4191" s="473"/>
      <c r="F4191" s="473"/>
      <c r="G4191" s="473"/>
      <c r="H4191" s="473"/>
      <c r="I4191" s="473"/>
      <c r="J4191" s="473"/>
      <c r="K4191" s="473"/>
      <c r="L4191" s="473"/>
      <c r="M4191" s="473"/>
    </row>
    <row r="4192" spans="5:13">
      <c r="E4192" s="473"/>
      <c r="F4192" s="473"/>
      <c r="G4192" s="473"/>
      <c r="H4192" s="473"/>
      <c r="I4192" s="473"/>
      <c r="J4192" s="473"/>
      <c r="K4192" s="473"/>
      <c r="L4192" s="473"/>
      <c r="M4192" s="473"/>
    </row>
    <row r="4193" spans="5:13">
      <c r="E4193" s="473"/>
      <c r="F4193" s="473"/>
      <c r="G4193" s="473"/>
      <c r="H4193" s="473"/>
      <c r="I4193" s="473"/>
      <c r="J4193" s="473"/>
      <c r="K4193" s="473"/>
      <c r="L4193" s="473"/>
      <c r="M4193" s="473"/>
    </row>
    <row r="4194" spans="5:13">
      <c r="E4194" s="473"/>
      <c r="F4194" s="473"/>
      <c r="G4194" s="473"/>
      <c r="H4194" s="473"/>
      <c r="I4194" s="473"/>
      <c r="J4194" s="473"/>
      <c r="K4194" s="473"/>
      <c r="L4194" s="473"/>
      <c r="M4194" s="473"/>
    </row>
    <row r="4195" spans="5:13">
      <c r="E4195" s="473"/>
      <c r="F4195" s="473"/>
      <c r="G4195" s="473"/>
      <c r="H4195" s="473"/>
      <c r="I4195" s="473"/>
      <c r="J4195" s="473"/>
      <c r="K4195" s="473"/>
      <c r="L4195" s="473"/>
      <c r="M4195" s="473"/>
    </row>
    <row r="4196" spans="5:13">
      <c r="E4196" s="473"/>
      <c r="F4196" s="473"/>
      <c r="G4196" s="473"/>
      <c r="H4196" s="473"/>
      <c r="I4196" s="473"/>
      <c r="J4196" s="473"/>
      <c r="K4196" s="473"/>
      <c r="L4196" s="473"/>
      <c r="M4196" s="473"/>
    </row>
    <row r="4197" spans="5:13">
      <c r="E4197" s="473"/>
      <c r="F4197" s="473"/>
      <c r="G4197" s="473"/>
      <c r="H4197" s="473"/>
      <c r="I4197" s="473"/>
      <c r="J4197" s="473"/>
      <c r="K4197" s="473"/>
      <c r="L4197" s="473"/>
      <c r="M4197" s="473"/>
    </row>
    <row r="4198" spans="5:13">
      <c r="E4198" s="473"/>
      <c r="F4198" s="473"/>
      <c r="G4198" s="473"/>
      <c r="H4198" s="473"/>
      <c r="I4198" s="473"/>
      <c r="J4198" s="473"/>
      <c r="K4198" s="473"/>
      <c r="L4198" s="473"/>
      <c r="M4198" s="473"/>
    </row>
    <row r="4199" spans="5:13">
      <c r="E4199" s="473"/>
      <c r="F4199" s="473"/>
      <c r="G4199" s="473"/>
      <c r="H4199" s="473"/>
      <c r="I4199" s="473"/>
      <c r="J4199" s="473"/>
      <c r="K4199" s="473"/>
      <c r="L4199" s="473"/>
      <c r="M4199" s="473"/>
    </row>
    <row r="4200" spans="5:13">
      <c r="E4200" s="473"/>
      <c r="F4200" s="473"/>
      <c r="G4200" s="473"/>
      <c r="H4200" s="473"/>
      <c r="I4200" s="473"/>
      <c r="J4200" s="473"/>
      <c r="K4200" s="473"/>
      <c r="L4200" s="473"/>
      <c r="M4200" s="473"/>
    </row>
    <row r="4201" spans="5:13">
      <c r="E4201" s="473"/>
      <c r="F4201" s="473"/>
      <c r="G4201" s="473"/>
      <c r="H4201" s="473"/>
      <c r="I4201" s="473"/>
      <c r="J4201" s="473"/>
      <c r="K4201" s="473"/>
      <c r="L4201" s="473"/>
      <c r="M4201" s="473"/>
    </row>
    <row r="4202" spans="5:13">
      <c r="E4202" s="473"/>
      <c r="F4202" s="473"/>
      <c r="G4202" s="473"/>
      <c r="H4202" s="473"/>
      <c r="I4202" s="473"/>
      <c r="J4202" s="473"/>
      <c r="K4202" s="473"/>
      <c r="L4202" s="473"/>
      <c r="M4202" s="473"/>
    </row>
    <row r="4203" spans="5:13">
      <c r="E4203" s="473"/>
      <c r="F4203" s="473"/>
      <c r="G4203" s="473"/>
      <c r="H4203" s="473"/>
      <c r="I4203" s="473"/>
      <c r="J4203" s="473"/>
      <c r="K4203" s="473"/>
      <c r="L4203" s="473"/>
      <c r="M4203" s="473"/>
    </row>
    <row r="4204" spans="5:13">
      <c r="E4204" s="473"/>
      <c r="F4204" s="473"/>
      <c r="G4204" s="473"/>
      <c r="H4204" s="473"/>
      <c r="I4204" s="473"/>
      <c r="J4204" s="473"/>
      <c r="K4204" s="473"/>
      <c r="L4204" s="473"/>
      <c r="M4204" s="473"/>
    </row>
    <row r="4205" spans="5:13">
      <c r="E4205" s="473"/>
      <c r="F4205" s="473"/>
      <c r="G4205" s="473"/>
      <c r="H4205" s="473"/>
      <c r="I4205" s="473"/>
      <c r="J4205" s="473"/>
      <c r="K4205" s="473"/>
      <c r="L4205" s="473"/>
      <c r="M4205" s="473"/>
    </row>
    <row r="4206" spans="5:13">
      <c r="E4206" s="473"/>
      <c r="F4206" s="473"/>
      <c r="G4206" s="473"/>
      <c r="H4206" s="473"/>
      <c r="I4206" s="473"/>
      <c r="J4206" s="473"/>
      <c r="K4206" s="473"/>
      <c r="L4206" s="473"/>
      <c r="M4206" s="473"/>
    </row>
    <row r="4207" spans="5:13">
      <c r="E4207" s="473"/>
      <c r="F4207" s="473"/>
      <c r="G4207" s="473"/>
      <c r="H4207" s="473"/>
      <c r="I4207" s="473"/>
      <c r="J4207" s="473"/>
      <c r="K4207" s="473"/>
      <c r="L4207" s="473"/>
      <c r="M4207" s="473"/>
    </row>
    <row r="4208" spans="5:13">
      <c r="E4208" s="473"/>
      <c r="F4208" s="473"/>
      <c r="G4208" s="473"/>
      <c r="H4208" s="473"/>
      <c r="I4208" s="473"/>
      <c r="J4208" s="473"/>
      <c r="K4208" s="473"/>
      <c r="L4208" s="473"/>
      <c r="M4208" s="473"/>
    </row>
    <row r="4209" spans="5:13">
      <c r="E4209" s="473"/>
      <c r="F4209" s="473"/>
      <c r="G4209" s="473"/>
      <c r="H4209" s="473"/>
      <c r="I4209" s="473"/>
      <c r="J4209" s="473"/>
      <c r="K4209" s="473"/>
      <c r="L4209" s="473"/>
      <c r="M4209" s="473"/>
    </row>
    <row r="4210" spans="5:13">
      <c r="E4210" s="473"/>
      <c r="F4210" s="473"/>
      <c r="G4210" s="473"/>
      <c r="H4210" s="473"/>
      <c r="I4210" s="473"/>
      <c r="J4210" s="473"/>
      <c r="K4210" s="473"/>
      <c r="L4210" s="473"/>
      <c r="M4210" s="473"/>
    </row>
    <row r="4211" spans="5:13">
      <c r="E4211" s="473"/>
      <c r="F4211" s="473"/>
      <c r="G4211" s="473"/>
      <c r="H4211" s="473"/>
      <c r="I4211" s="473"/>
      <c r="J4211" s="473"/>
      <c r="K4211" s="473"/>
      <c r="L4211" s="473"/>
      <c r="M4211" s="473"/>
    </row>
    <row r="4212" spans="5:13">
      <c r="E4212" s="473"/>
      <c r="F4212" s="473"/>
      <c r="G4212" s="473"/>
      <c r="H4212" s="473"/>
      <c r="I4212" s="473"/>
      <c r="J4212" s="473"/>
      <c r="K4212" s="473"/>
      <c r="L4212" s="473"/>
      <c r="M4212" s="473"/>
    </row>
    <row r="4213" spans="5:13">
      <c r="E4213" s="473"/>
      <c r="F4213" s="473"/>
      <c r="G4213" s="473"/>
      <c r="H4213" s="473"/>
      <c r="I4213" s="473"/>
      <c r="J4213" s="473"/>
      <c r="K4213" s="473"/>
      <c r="L4213" s="473"/>
      <c r="M4213" s="473"/>
    </row>
    <row r="4214" spans="5:13">
      <c r="E4214" s="473"/>
      <c r="F4214" s="473"/>
      <c r="G4214" s="473"/>
      <c r="H4214" s="473"/>
      <c r="I4214" s="473"/>
      <c r="J4214" s="473"/>
      <c r="K4214" s="473"/>
      <c r="L4214" s="473"/>
      <c r="M4214" s="473"/>
    </row>
    <row r="4215" spans="5:13">
      <c r="E4215" s="473"/>
      <c r="F4215" s="473"/>
      <c r="G4215" s="473"/>
      <c r="H4215" s="473"/>
      <c r="I4215" s="473"/>
      <c r="J4215" s="473"/>
      <c r="K4215" s="473"/>
      <c r="L4215" s="473"/>
      <c r="M4215" s="473"/>
    </row>
    <row r="4216" spans="5:13">
      <c r="E4216" s="473"/>
      <c r="F4216" s="473"/>
      <c r="G4216" s="473"/>
      <c r="H4216" s="473"/>
      <c r="I4216" s="473"/>
      <c r="J4216" s="473"/>
      <c r="K4216" s="473"/>
      <c r="L4216" s="473"/>
      <c r="M4216" s="473"/>
    </row>
    <row r="4217" spans="5:13">
      <c r="E4217" s="473"/>
      <c r="F4217" s="473"/>
      <c r="G4217" s="473"/>
      <c r="H4217" s="473"/>
      <c r="I4217" s="473"/>
      <c r="J4217" s="473"/>
      <c r="K4217" s="473"/>
      <c r="L4217" s="473"/>
      <c r="M4217" s="473"/>
    </row>
    <row r="4218" spans="5:13">
      <c r="E4218" s="473"/>
      <c r="F4218" s="473"/>
      <c r="G4218" s="473"/>
      <c r="H4218" s="473"/>
      <c r="I4218" s="473"/>
      <c r="J4218" s="473"/>
      <c r="K4218" s="473"/>
      <c r="L4218" s="473"/>
      <c r="M4218" s="473"/>
    </row>
    <row r="4219" spans="5:13">
      <c r="E4219" s="473"/>
      <c r="F4219" s="473"/>
      <c r="G4219" s="473"/>
      <c r="H4219" s="473"/>
      <c r="I4219" s="473"/>
      <c r="J4219" s="473"/>
      <c r="K4219" s="473"/>
      <c r="L4219" s="473"/>
      <c r="M4219" s="473"/>
    </row>
    <row r="4220" spans="5:13">
      <c r="E4220" s="473"/>
      <c r="F4220" s="473"/>
      <c r="G4220" s="473"/>
      <c r="H4220" s="473"/>
      <c r="I4220" s="473"/>
      <c r="J4220" s="473"/>
      <c r="K4220" s="473"/>
      <c r="L4220" s="473"/>
      <c r="M4220" s="473"/>
    </row>
    <row r="4221" spans="5:13">
      <c r="E4221" s="473"/>
      <c r="F4221" s="473"/>
      <c r="G4221" s="473"/>
      <c r="H4221" s="473"/>
      <c r="I4221" s="473"/>
      <c r="J4221" s="473"/>
      <c r="K4221" s="473"/>
      <c r="L4221" s="473"/>
      <c r="M4221" s="473"/>
    </row>
    <row r="4222" spans="5:13">
      <c r="E4222" s="473"/>
      <c r="F4222" s="473"/>
      <c r="G4222" s="473"/>
      <c r="H4222" s="473"/>
      <c r="I4222" s="473"/>
      <c r="J4222" s="473"/>
      <c r="K4222" s="473"/>
      <c r="L4222" s="473"/>
      <c r="M4222" s="473"/>
    </row>
    <row r="4223" spans="5:13">
      <c r="E4223" s="473"/>
      <c r="F4223" s="473"/>
      <c r="G4223" s="473"/>
      <c r="H4223" s="473"/>
      <c r="I4223" s="473"/>
      <c r="J4223" s="473"/>
      <c r="K4223" s="473"/>
      <c r="L4223" s="473"/>
      <c r="M4223" s="473"/>
    </row>
    <row r="4224" spans="5:13">
      <c r="E4224" s="473"/>
      <c r="F4224" s="473"/>
      <c r="G4224" s="473"/>
      <c r="H4224" s="473"/>
      <c r="I4224" s="473"/>
      <c r="J4224" s="473"/>
      <c r="K4224" s="473"/>
      <c r="L4224" s="473"/>
      <c r="M4224" s="473"/>
    </row>
    <row r="4225" spans="5:13">
      <c r="E4225" s="473"/>
      <c r="F4225" s="473"/>
      <c r="G4225" s="473"/>
      <c r="H4225" s="473"/>
      <c r="I4225" s="473"/>
      <c r="J4225" s="473"/>
      <c r="K4225" s="473"/>
      <c r="L4225" s="473"/>
      <c r="M4225" s="473"/>
    </row>
    <row r="4226" spans="5:13">
      <c r="E4226" s="473"/>
      <c r="F4226" s="473"/>
      <c r="G4226" s="473"/>
      <c r="H4226" s="473"/>
      <c r="I4226" s="473"/>
      <c r="J4226" s="473"/>
      <c r="K4226" s="473"/>
      <c r="L4226" s="473"/>
      <c r="M4226" s="473"/>
    </row>
    <row r="4227" spans="5:13">
      <c r="E4227" s="473"/>
      <c r="F4227" s="473"/>
      <c r="G4227" s="473"/>
      <c r="H4227" s="473"/>
      <c r="I4227" s="473"/>
      <c r="J4227" s="473"/>
      <c r="K4227" s="473"/>
      <c r="L4227" s="473"/>
      <c r="M4227" s="473"/>
    </row>
    <row r="4228" spans="5:13">
      <c r="E4228" s="473"/>
      <c r="F4228" s="473"/>
      <c r="G4228" s="473"/>
      <c r="H4228" s="473"/>
      <c r="I4228" s="473"/>
      <c r="J4228" s="473"/>
      <c r="K4228" s="473"/>
      <c r="L4228" s="473"/>
      <c r="M4228" s="473"/>
    </row>
    <row r="4229" spans="5:13">
      <c r="E4229" s="473"/>
      <c r="F4229" s="473"/>
      <c r="G4229" s="473"/>
      <c r="H4229" s="473"/>
      <c r="I4229" s="473"/>
      <c r="J4229" s="473"/>
      <c r="K4229" s="473"/>
      <c r="L4229" s="473"/>
      <c r="M4229" s="473"/>
    </row>
    <row r="4230" spans="5:13">
      <c r="E4230" s="473"/>
      <c r="F4230" s="473"/>
      <c r="G4230" s="473"/>
      <c r="H4230" s="473"/>
      <c r="I4230" s="473"/>
      <c r="J4230" s="473"/>
      <c r="K4230" s="473"/>
      <c r="L4230" s="473"/>
      <c r="M4230" s="473"/>
    </row>
    <row r="4231" spans="5:13">
      <c r="E4231" s="473"/>
      <c r="F4231" s="473"/>
      <c r="G4231" s="473"/>
      <c r="H4231" s="473"/>
      <c r="I4231" s="473"/>
      <c r="J4231" s="473"/>
      <c r="K4231" s="473"/>
      <c r="L4231" s="473"/>
      <c r="M4231" s="473"/>
    </row>
    <row r="4232" spans="5:13">
      <c r="E4232" s="473"/>
      <c r="F4232" s="473"/>
      <c r="G4232" s="473"/>
      <c r="H4232" s="473"/>
      <c r="I4232" s="473"/>
      <c r="J4232" s="473"/>
      <c r="K4232" s="473"/>
      <c r="L4232" s="473"/>
      <c r="M4232" s="473"/>
    </row>
    <row r="4233" spans="5:13">
      <c r="E4233" s="473"/>
      <c r="F4233" s="473"/>
      <c r="G4233" s="473"/>
      <c r="H4233" s="473"/>
      <c r="I4233" s="473"/>
      <c r="J4233" s="473"/>
      <c r="K4233" s="473"/>
      <c r="L4233" s="473"/>
      <c r="M4233" s="473"/>
    </row>
    <row r="4234" spans="5:13">
      <c r="E4234" s="473"/>
      <c r="F4234" s="473"/>
      <c r="G4234" s="473"/>
      <c r="H4234" s="473"/>
      <c r="I4234" s="473"/>
      <c r="J4234" s="473"/>
      <c r="K4234" s="473"/>
      <c r="L4234" s="473"/>
      <c r="M4234" s="473"/>
    </row>
    <row r="4235" spans="5:13">
      <c r="E4235" s="473"/>
      <c r="F4235" s="473"/>
      <c r="G4235" s="473"/>
      <c r="H4235" s="473"/>
      <c r="I4235" s="473"/>
      <c r="J4235" s="473"/>
      <c r="K4235" s="473"/>
      <c r="L4235" s="473"/>
      <c r="M4235" s="473"/>
    </row>
    <row r="4236" spans="5:13">
      <c r="E4236" s="473"/>
      <c r="F4236" s="473"/>
      <c r="G4236" s="473"/>
      <c r="H4236" s="473"/>
      <c r="I4236" s="473"/>
      <c r="J4236" s="473"/>
      <c r="K4236" s="473"/>
      <c r="L4236" s="473"/>
      <c r="M4236" s="473"/>
    </row>
    <row r="4237" spans="5:13">
      <c r="E4237" s="473"/>
      <c r="F4237" s="473"/>
      <c r="G4237" s="473"/>
      <c r="H4237" s="473"/>
      <c r="I4237" s="473"/>
      <c r="J4237" s="473"/>
      <c r="K4237" s="473"/>
      <c r="L4237" s="473"/>
      <c r="M4237" s="473"/>
    </row>
    <row r="4238" spans="5:13">
      <c r="E4238" s="473"/>
      <c r="F4238" s="473"/>
      <c r="G4238" s="473"/>
      <c r="H4238" s="473"/>
      <c r="I4238" s="473"/>
      <c r="J4238" s="473"/>
      <c r="K4238" s="473"/>
      <c r="L4238" s="473"/>
      <c r="M4238" s="473"/>
    </row>
    <row r="4239" spans="5:13">
      <c r="E4239" s="473"/>
      <c r="F4239" s="473"/>
      <c r="G4239" s="473"/>
      <c r="H4239" s="473"/>
      <c r="I4239" s="473"/>
      <c r="J4239" s="473"/>
      <c r="K4239" s="473"/>
      <c r="L4239" s="473"/>
      <c r="M4239" s="473"/>
    </row>
    <row r="4240" spans="5:13">
      <c r="E4240" s="473"/>
      <c r="F4240" s="473"/>
      <c r="G4240" s="473"/>
      <c r="H4240" s="473"/>
      <c r="I4240" s="473"/>
      <c r="J4240" s="473"/>
      <c r="K4240" s="473"/>
      <c r="L4240" s="473"/>
      <c r="M4240" s="473"/>
    </row>
    <row r="4241" spans="5:13">
      <c r="E4241" s="473"/>
      <c r="F4241" s="473"/>
      <c r="G4241" s="473"/>
      <c r="H4241" s="473"/>
      <c r="I4241" s="473"/>
      <c r="J4241" s="473"/>
      <c r="K4241" s="473"/>
      <c r="L4241" s="473"/>
      <c r="M4241" s="473"/>
    </row>
    <row r="4242" spans="5:13">
      <c r="E4242" s="473"/>
      <c r="F4242" s="473"/>
      <c r="G4242" s="473"/>
      <c r="H4242" s="473"/>
      <c r="I4242" s="473"/>
      <c r="J4242" s="473"/>
      <c r="K4242" s="473"/>
      <c r="L4242" s="473"/>
      <c r="M4242" s="473"/>
    </row>
    <row r="4243" spans="5:13">
      <c r="E4243" s="473"/>
      <c r="F4243" s="473"/>
      <c r="G4243" s="473"/>
      <c r="H4243" s="473"/>
      <c r="I4243" s="473"/>
      <c r="J4243" s="473"/>
      <c r="K4243" s="473"/>
      <c r="L4243" s="473"/>
      <c r="M4243" s="473"/>
    </row>
    <row r="4244" spans="5:13">
      <c r="E4244" s="473"/>
      <c r="F4244" s="473"/>
      <c r="G4244" s="473"/>
      <c r="H4244" s="473"/>
      <c r="I4244" s="473"/>
      <c r="J4244" s="473"/>
      <c r="K4244" s="473"/>
      <c r="L4244" s="473"/>
      <c r="M4244" s="473"/>
    </row>
    <row r="4245" spans="5:13">
      <c r="E4245" s="473"/>
      <c r="F4245" s="473"/>
      <c r="G4245" s="473"/>
      <c r="H4245" s="473"/>
      <c r="I4245" s="473"/>
      <c r="J4245" s="473"/>
      <c r="K4245" s="473"/>
      <c r="L4245" s="473"/>
      <c r="M4245" s="473"/>
    </row>
    <row r="4246" spans="5:13">
      <c r="E4246" s="473"/>
      <c r="F4246" s="473"/>
      <c r="G4246" s="473"/>
      <c r="H4246" s="473"/>
      <c r="I4246" s="473"/>
      <c r="J4246" s="473"/>
      <c r="K4246" s="473"/>
      <c r="L4246" s="473"/>
      <c r="M4246" s="473"/>
    </row>
    <row r="4247" spans="5:13">
      <c r="E4247" s="473"/>
      <c r="F4247" s="473"/>
      <c r="G4247" s="473"/>
      <c r="H4247" s="473"/>
      <c r="I4247" s="473"/>
      <c r="J4247" s="473"/>
      <c r="K4247" s="473"/>
      <c r="L4247" s="473"/>
      <c r="M4247" s="473"/>
    </row>
    <row r="4248" spans="5:13">
      <c r="E4248" s="473"/>
      <c r="F4248" s="473"/>
      <c r="G4248" s="473"/>
      <c r="H4248" s="473"/>
      <c r="I4248" s="473"/>
      <c r="J4248" s="473"/>
      <c r="K4248" s="473"/>
      <c r="L4248" s="473"/>
      <c r="M4248" s="473"/>
    </row>
    <row r="4249" spans="5:13">
      <c r="E4249" s="473"/>
      <c r="F4249" s="473"/>
      <c r="G4249" s="473"/>
      <c r="H4249" s="473"/>
      <c r="I4249" s="473"/>
      <c r="J4249" s="473"/>
      <c r="K4249" s="473"/>
      <c r="L4249" s="473"/>
      <c r="M4249" s="473"/>
    </row>
    <row r="4250" spans="5:13">
      <c r="E4250" s="473"/>
      <c r="F4250" s="473"/>
      <c r="G4250" s="473"/>
      <c r="H4250" s="473"/>
      <c r="I4250" s="473"/>
      <c r="J4250" s="473"/>
      <c r="K4250" s="473"/>
      <c r="L4250" s="473"/>
      <c r="M4250" s="473"/>
    </row>
    <row r="4251" spans="5:13">
      <c r="E4251" s="473"/>
      <c r="F4251" s="473"/>
      <c r="G4251" s="473"/>
      <c r="H4251" s="473"/>
      <c r="I4251" s="473"/>
      <c r="J4251" s="473"/>
      <c r="K4251" s="473"/>
      <c r="L4251" s="473"/>
      <c r="M4251" s="473"/>
    </row>
    <row r="4252" spans="5:13">
      <c r="E4252" s="473"/>
      <c r="F4252" s="473"/>
      <c r="G4252" s="473"/>
      <c r="H4252" s="473"/>
      <c r="I4252" s="473"/>
      <c r="J4252" s="473"/>
      <c r="K4252" s="473"/>
      <c r="L4252" s="473"/>
      <c r="M4252" s="473"/>
    </row>
    <row r="4253" spans="5:13">
      <c r="E4253" s="473"/>
      <c r="F4253" s="473"/>
      <c r="G4253" s="473"/>
      <c r="H4253" s="473"/>
      <c r="I4253" s="473"/>
      <c r="J4253" s="473"/>
      <c r="K4253" s="473"/>
      <c r="L4253" s="473"/>
      <c r="M4253" s="473"/>
    </row>
    <row r="4254" spans="5:13">
      <c r="E4254" s="473"/>
      <c r="F4254" s="473"/>
      <c r="G4254" s="473"/>
      <c r="H4254" s="473"/>
      <c r="I4254" s="473"/>
      <c r="J4254" s="473"/>
      <c r="K4254" s="473"/>
      <c r="L4254" s="473"/>
      <c r="M4254" s="473"/>
    </row>
    <row r="4255" spans="5:13">
      <c r="E4255" s="473"/>
      <c r="F4255" s="473"/>
      <c r="G4255" s="473"/>
      <c r="H4255" s="473"/>
      <c r="I4255" s="473"/>
      <c r="J4255" s="473"/>
      <c r="K4255" s="473"/>
      <c r="L4255" s="473"/>
      <c r="M4255" s="473"/>
    </row>
    <row r="4256" spans="5:13">
      <c r="E4256" s="473"/>
      <c r="F4256" s="473"/>
      <c r="G4256" s="473"/>
      <c r="H4256" s="473"/>
      <c r="I4256" s="473"/>
      <c r="J4256" s="473"/>
      <c r="K4256" s="473"/>
      <c r="L4256" s="473"/>
      <c r="M4256" s="473"/>
    </row>
    <row r="4257" spans="5:13">
      <c r="E4257" s="473"/>
      <c r="F4257" s="473"/>
      <c r="G4257" s="473"/>
      <c r="H4257" s="473"/>
      <c r="I4257" s="473"/>
      <c r="J4257" s="473"/>
      <c r="K4257" s="473"/>
      <c r="L4257" s="473"/>
      <c r="M4257" s="473"/>
    </row>
    <row r="4258" spans="5:13">
      <c r="E4258" s="473"/>
      <c r="F4258" s="473"/>
      <c r="G4258" s="473"/>
      <c r="H4258" s="473"/>
      <c r="I4258" s="473"/>
      <c r="J4258" s="473"/>
      <c r="K4258" s="473"/>
      <c r="L4258" s="473"/>
      <c r="M4258" s="473"/>
    </row>
    <row r="4259" spans="5:13">
      <c r="E4259" s="473"/>
      <c r="F4259" s="473"/>
      <c r="G4259" s="473"/>
      <c r="H4259" s="473"/>
      <c r="I4259" s="473"/>
      <c r="J4259" s="473"/>
      <c r="K4259" s="473"/>
      <c r="L4259" s="473"/>
      <c r="M4259" s="473"/>
    </row>
    <row r="4260" spans="5:13">
      <c r="E4260" s="473"/>
      <c r="F4260" s="473"/>
      <c r="G4260" s="473"/>
      <c r="H4260" s="473"/>
      <c r="I4260" s="473"/>
      <c r="J4260" s="473"/>
      <c r="K4260" s="473"/>
      <c r="L4260" s="473"/>
      <c r="M4260" s="473"/>
    </row>
    <row r="4261" spans="5:13">
      <c r="E4261" s="473"/>
      <c r="F4261" s="473"/>
      <c r="G4261" s="473"/>
      <c r="H4261" s="473"/>
      <c r="I4261" s="473"/>
      <c r="J4261" s="473"/>
      <c r="K4261" s="473"/>
      <c r="L4261" s="473"/>
      <c r="M4261" s="473"/>
    </row>
    <row r="4262" spans="5:13">
      <c r="E4262" s="473"/>
      <c r="F4262" s="473"/>
      <c r="G4262" s="473"/>
      <c r="H4262" s="473"/>
      <c r="I4262" s="473"/>
      <c r="J4262" s="473"/>
      <c r="K4262" s="473"/>
      <c r="L4262" s="473"/>
      <c r="M4262" s="473"/>
    </row>
    <row r="4263" spans="5:13">
      <c r="E4263" s="473"/>
      <c r="F4263" s="473"/>
      <c r="G4263" s="473"/>
      <c r="H4263" s="473"/>
      <c r="I4263" s="473"/>
      <c r="J4263" s="473"/>
      <c r="K4263" s="473"/>
      <c r="L4263" s="473"/>
      <c r="M4263" s="473"/>
    </row>
    <row r="4264" spans="5:13">
      <c r="E4264" s="473"/>
      <c r="F4264" s="473"/>
      <c r="G4264" s="473"/>
      <c r="H4264" s="473"/>
      <c r="I4264" s="473"/>
      <c r="J4264" s="473"/>
      <c r="K4264" s="473"/>
      <c r="L4264" s="473"/>
      <c r="M4264" s="473"/>
    </row>
    <row r="4265" spans="5:13">
      <c r="E4265" s="473"/>
      <c r="F4265" s="473"/>
      <c r="G4265" s="473"/>
      <c r="H4265" s="473"/>
      <c r="I4265" s="473"/>
      <c r="J4265" s="473"/>
      <c r="K4265" s="473"/>
      <c r="L4265" s="473"/>
      <c r="M4265" s="473"/>
    </row>
    <row r="4266" spans="5:13">
      <c r="E4266" s="473"/>
      <c r="F4266" s="473"/>
      <c r="G4266" s="473"/>
      <c r="H4266" s="473"/>
      <c r="I4266" s="473"/>
      <c r="J4266" s="473"/>
      <c r="K4266" s="473"/>
      <c r="L4266" s="473"/>
      <c r="M4266" s="473"/>
    </row>
    <row r="4267" spans="5:13">
      <c r="E4267" s="473"/>
      <c r="F4267" s="473"/>
      <c r="G4267" s="473"/>
      <c r="H4267" s="473"/>
      <c r="I4267" s="473"/>
      <c r="J4267" s="473"/>
      <c r="K4267" s="473"/>
      <c r="L4267" s="473"/>
      <c r="M4267" s="473"/>
    </row>
    <row r="4268" spans="5:13">
      <c r="E4268" s="473"/>
      <c r="F4268" s="473"/>
      <c r="G4268" s="473"/>
      <c r="H4268" s="473"/>
      <c r="I4268" s="473"/>
      <c r="J4268" s="473"/>
      <c r="K4268" s="473"/>
      <c r="L4268" s="473"/>
      <c r="M4268" s="473"/>
    </row>
    <row r="4269" spans="5:13">
      <c r="E4269" s="473"/>
      <c r="F4269" s="473"/>
      <c r="G4269" s="473"/>
      <c r="H4269" s="473"/>
      <c r="I4269" s="473"/>
      <c r="J4269" s="473"/>
      <c r="K4269" s="473"/>
      <c r="L4269" s="473"/>
      <c r="M4269" s="473"/>
    </row>
    <row r="4270" spans="5:13">
      <c r="E4270" s="473"/>
      <c r="F4270" s="473"/>
      <c r="G4270" s="473"/>
      <c r="H4270" s="473"/>
      <c r="I4270" s="473"/>
      <c r="J4270" s="473"/>
      <c r="K4270" s="473"/>
      <c r="L4270" s="473"/>
      <c r="M4270" s="473"/>
    </row>
    <row r="4271" spans="5:13">
      <c r="E4271" s="473"/>
      <c r="F4271" s="473"/>
      <c r="G4271" s="473"/>
      <c r="H4271" s="473"/>
      <c r="I4271" s="473"/>
      <c r="J4271" s="473"/>
      <c r="K4271" s="473"/>
      <c r="L4271" s="473"/>
      <c r="M4271" s="473"/>
    </row>
    <row r="4272" spans="5:13">
      <c r="E4272" s="473"/>
      <c r="F4272" s="473"/>
      <c r="G4272" s="473"/>
      <c r="H4272" s="473"/>
      <c r="I4272" s="473"/>
      <c r="J4272" s="473"/>
      <c r="K4272" s="473"/>
      <c r="L4272" s="473"/>
      <c r="M4272" s="473"/>
    </row>
    <row r="4273" spans="5:13">
      <c r="E4273" s="473"/>
      <c r="F4273" s="473"/>
      <c r="G4273" s="473"/>
      <c r="H4273" s="473"/>
      <c r="I4273" s="473"/>
      <c r="J4273" s="473"/>
      <c r="K4273" s="473"/>
      <c r="L4273" s="473"/>
      <c r="M4273" s="473"/>
    </row>
    <row r="4274" spans="5:13">
      <c r="E4274" s="473"/>
      <c r="F4274" s="473"/>
      <c r="G4274" s="473"/>
      <c r="H4274" s="473"/>
      <c r="I4274" s="473"/>
      <c r="J4274" s="473"/>
      <c r="K4274" s="473"/>
      <c r="L4274" s="473"/>
      <c r="M4274" s="473"/>
    </row>
    <row r="4275" spans="5:13">
      <c r="E4275" s="473"/>
      <c r="F4275" s="473"/>
      <c r="G4275" s="473"/>
      <c r="H4275" s="473"/>
      <c r="I4275" s="473"/>
      <c r="J4275" s="473"/>
      <c r="K4275" s="473"/>
      <c r="L4275" s="473"/>
      <c r="M4275" s="473"/>
    </row>
    <row r="4276" spans="5:13">
      <c r="E4276" s="473"/>
      <c r="F4276" s="473"/>
      <c r="G4276" s="473"/>
      <c r="H4276" s="473"/>
      <c r="I4276" s="473"/>
      <c r="J4276" s="473"/>
      <c r="K4276" s="473"/>
      <c r="L4276" s="473"/>
      <c r="M4276" s="473"/>
    </row>
    <row r="4277" spans="5:13">
      <c r="E4277" s="473"/>
      <c r="F4277" s="473"/>
      <c r="G4277" s="473"/>
      <c r="H4277" s="473"/>
      <c r="I4277" s="473"/>
      <c r="J4277" s="473"/>
      <c r="K4277" s="473"/>
      <c r="L4277" s="473"/>
      <c r="M4277" s="473"/>
    </row>
    <row r="4278" spans="5:13">
      <c r="E4278" s="473"/>
      <c r="F4278" s="473"/>
      <c r="G4278" s="473"/>
      <c r="H4278" s="473"/>
      <c r="I4278" s="473"/>
      <c r="J4278" s="473"/>
      <c r="K4278" s="473"/>
      <c r="L4278" s="473"/>
      <c r="M4278" s="473"/>
    </row>
    <row r="4279" spans="5:13">
      <c r="E4279" s="473"/>
      <c r="F4279" s="473"/>
      <c r="G4279" s="473"/>
      <c r="H4279" s="473"/>
      <c r="I4279" s="473"/>
      <c r="J4279" s="473"/>
      <c r="K4279" s="473"/>
      <c r="L4279" s="473"/>
      <c r="M4279" s="473"/>
    </row>
    <row r="4280" spans="5:13">
      <c r="E4280" s="473"/>
      <c r="F4280" s="473"/>
      <c r="G4280" s="473"/>
      <c r="H4280" s="473"/>
      <c r="I4280" s="473"/>
      <c r="J4280" s="473"/>
      <c r="K4280" s="473"/>
      <c r="L4280" s="473"/>
      <c r="M4280" s="473"/>
    </row>
    <row r="4281" spans="5:13">
      <c r="E4281" s="473"/>
      <c r="F4281" s="473"/>
      <c r="G4281" s="473"/>
      <c r="H4281" s="473"/>
      <c r="I4281" s="473"/>
      <c r="J4281" s="473"/>
      <c r="K4281" s="473"/>
      <c r="L4281" s="473"/>
      <c r="M4281" s="473"/>
    </row>
    <row r="4282" spans="5:13">
      <c r="E4282" s="473"/>
      <c r="F4282" s="473"/>
      <c r="G4282" s="473"/>
      <c r="H4282" s="473"/>
      <c r="I4282" s="473"/>
      <c r="J4282" s="473"/>
      <c r="K4282" s="473"/>
      <c r="L4282" s="473"/>
      <c r="M4282" s="473"/>
    </row>
    <row r="4283" spans="5:13">
      <c r="E4283" s="473"/>
      <c r="F4283" s="473"/>
      <c r="G4283" s="473"/>
      <c r="H4283" s="473"/>
      <c r="I4283" s="473"/>
      <c r="J4283" s="473"/>
      <c r="K4283" s="473"/>
      <c r="L4283" s="473"/>
      <c r="M4283" s="473"/>
    </row>
    <row r="4284" spans="5:13">
      <c r="E4284" s="473"/>
      <c r="F4284" s="473"/>
      <c r="G4284" s="473"/>
      <c r="H4284" s="473"/>
      <c r="I4284" s="473"/>
      <c r="J4284" s="473"/>
      <c r="K4284" s="473"/>
      <c r="L4284" s="473"/>
      <c r="M4284" s="473"/>
    </row>
    <row r="4285" spans="5:13">
      <c r="E4285" s="473"/>
      <c r="F4285" s="473"/>
      <c r="G4285" s="473"/>
      <c r="H4285" s="473"/>
      <c r="I4285" s="473"/>
      <c r="J4285" s="473"/>
      <c r="K4285" s="473"/>
      <c r="L4285" s="473"/>
      <c r="M4285" s="473"/>
    </row>
    <row r="4286" spans="5:13">
      <c r="E4286" s="473"/>
      <c r="F4286" s="473"/>
      <c r="G4286" s="473"/>
      <c r="H4286" s="473"/>
      <c r="I4286" s="473"/>
      <c r="J4286" s="473"/>
      <c r="K4286" s="473"/>
      <c r="L4286" s="473"/>
      <c r="M4286" s="473"/>
    </row>
    <row r="4287" spans="5:13">
      <c r="E4287" s="473"/>
      <c r="F4287" s="473"/>
      <c r="G4287" s="473"/>
      <c r="H4287" s="473"/>
      <c r="I4287" s="473"/>
      <c r="J4287" s="473"/>
      <c r="K4287" s="473"/>
      <c r="L4287" s="473"/>
      <c r="M4287" s="473"/>
    </row>
    <row r="4288" spans="5:13">
      <c r="E4288" s="473"/>
      <c r="F4288" s="473"/>
      <c r="G4288" s="473"/>
      <c r="H4288" s="473"/>
      <c r="I4288" s="473"/>
      <c r="J4288" s="473"/>
      <c r="K4288" s="473"/>
      <c r="L4288" s="473"/>
      <c r="M4288" s="473"/>
    </row>
    <row r="4289" spans="5:13">
      <c r="E4289" s="473"/>
      <c r="F4289" s="473"/>
      <c r="G4289" s="473"/>
      <c r="H4289" s="473"/>
      <c r="I4289" s="473"/>
      <c r="J4289" s="473"/>
      <c r="K4289" s="473"/>
      <c r="L4289" s="473"/>
      <c r="M4289" s="473"/>
    </row>
    <row r="4290" spans="5:13">
      <c r="E4290" s="473"/>
      <c r="F4290" s="473"/>
      <c r="G4290" s="473"/>
      <c r="H4290" s="473"/>
      <c r="I4290" s="473"/>
      <c r="J4290" s="473"/>
      <c r="K4290" s="473"/>
      <c r="L4290" s="473"/>
      <c r="M4290" s="473"/>
    </row>
    <row r="4291" spans="5:13">
      <c r="E4291" s="473"/>
      <c r="F4291" s="473"/>
      <c r="G4291" s="473"/>
      <c r="H4291" s="473"/>
      <c r="I4291" s="473"/>
      <c r="J4291" s="473"/>
      <c r="K4291" s="473"/>
      <c r="L4291" s="473"/>
      <c r="M4291" s="473"/>
    </row>
    <row r="4292" spans="5:13">
      <c r="E4292" s="473"/>
      <c r="F4292" s="473"/>
      <c r="G4292" s="473"/>
      <c r="H4292" s="473"/>
      <c r="I4292" s="473"/>
      <c r="J4292" s="473"/>
      <c r="K4292" s="473"/>
      <c r="L4292" s="473"/>
      <c r="M4292" s="473"/>
    </row>
    <row r="4293" spans="5:13">
      <c r="E4293" s="473"/>
      <c r="F4293" s="473"/>
      <c r="G4293" s="473"/>
      <c r="H4293" s="473"/>
      <c r="I4293" s="473"/>
      <c r="J4293" s="473"/>
      <c r="K4293" s="473"/>
      <c r="L4293" s="473"/>
      <c r="M4293" s="473"/>
    </row>
    <row r="4294" spans="5:13">
      <c r="E4294" s="473"/>
      <c r="F4294" s="473"/>
      <c r="G4294" s="473"/>
      <c r="H4294" s="473"/>
      <c r="I4294" s="473"/>
      <c r="J4294" s="473"/>
      <c r="K4294" s="473"/>
      <c r="L4294" s="473"/>
      <c r="M4294" s="473"/>
    </row>
    <row r="4295" spans="5:13">
      <c r="E4295" s="473"/>
      <c r="F4295" s="473"/>
      <c r="G4295" s="473"/>
      <c r="H4295" s="473"/>
      <c r="I4295" s="473"/>
      <c r="J4295" s="473"/>
      <c r="K4295" s="473"/>
      <c r="L4295" s="473"/>
      <c r="M4295" s="473"/>
    </row>
    <row r="4296" spans="5:13">
      <c r="E4296" s="473"/>
      <c r="F4296" s="473"/>
      <c r="G4296" s="473"/>
      <c r="H4296" s="473"/>
      <c r="I4296" s="473"/>
      <c r="J4296" s="473"/>
      <c r="K4296" s="473"/>
      <c r="L4296" s="473"/>
      <c r="M4296" s="473"/>
    </row>
    <row r="4297" spans="5:13">
      <c r="E4297" s="473"/>
      <c r="F4297" s="473"/>
      <c r="G4297" s="473"/>
      <c r="H4297" s="473"/>
      <c r="I4297" s="473"/>
      <c r="J4297" s="473"/>
      <c r="K4297" s="473"/>
      <c r="L4297" s="473"/>
      <c r="M4297" s="473"/>
    </row>
    <row r="4298" spans="5:13">
      <c r="E4298" s="473"/>
      <c r="F4298" s="473"/>
      <c r="G4298" s="473"/>
      <c r="H4298" s="473"/>
      <c r="I4298" s="473"/>
      <c r="J4298" s="473"/>
      <c r="K4298" s="473"/>
      <c r="L4298" s="473"/>
      <c r="M4298" s="473"/>
    </row>
    <row r="4299" spans="5:13">
      <c r="E4299" s="473"/>
      <c r="F4299" s="473"/>
      <c r="G4299" s="473"/>
      <c r="H4299" s="473"/>
      <c r="I4299" s="473"/>
      <c r="J4299" s="473"/>
      <c r="K4299" s="473"/>
      <c r="L4299" s="473"/>
      <c r="M4299" s="473"/>
    </row>
    <row r="4300" spans="5:13">
      <c r="E4300" s="473"/>
      <c r="F4300" s="473"/>
      <c r="G4300" s="473"/>
      <c r="H4300" s="473"/>
      <c r="I4300" s="473"/>
      <c r="J4300" s="473"/>
      <c r="K4300" s="473"/>
      <c r="L4300" s="473"/>
      <c r="M4300" s="473"/>
    </row>
    <row r="4301" spans="5:13">
      <c r="E4301" s="473"/>
      <c r="F4301" s="473"/>
      <c r="G4301" s="473"/>
      <c r="H4301" s="473"/>
      <c r="I4301" s="473"/>
      <c r="J4301" s="473"/>
      <c r="K4301" s="473"/>
      <c r="L4301" s="473"/>
      <c r="M4301" s="473"/>
    </row>
    <row r="4302" spans="5:13">
      <c r="E4302" s="473"/>
      <c r="F4302" s="473"/>
      <c r="G4302" s="473"/>
      <c r="H4302" s="473"/>
      <c r="I4302" s="473"/>
      <c r="J4302" s="473"/>
      <c r="K4302" s="473"/>
      <c r="L4302" s="473"/>
      <c r="M4302" s="473"/>
    </row>
    <row r="4303" spans="5:13">
      <c r="E4303" s="473"/>
      <c r="F4303" s="473"/>
      <c r="G4303" s="473"/>
      <c r="H4303" s="473"/>
      <c r="I4303" s="473"/>
      <c r="J4303" s="473"/>
      <c r="K4303" s="473"/>
      <c r="L4303" s="473"/>
      <c r="M4303" s="473"/>
    </row>
    <row r="4304" spans="5:13">
      <c r="E4304" s="473"/>
      <c r="F4304" s="473"/>
      <c r="G4304" s="473"/>
      <c r="H4304" s="473"/>
      <c r="I4304" s="473"/>
      <c r="J4304" s="473"/>
      <c r="K4304" s="473"/>
      <c r="L4304" s="473"/>
      <c r="M4304" s="473"/>
    </row>
    <row r="4305" spans="5:13">
      <c r="E4305" s="473"/>
      <c r="F4305" s="473"/>
      <c r="G4305" s="473"/>
      <c r="H4305" s="473"/>
      <c r="I4305" s="473"/>
      <c r="J4305" s="473"/>
      <c r="K4305" s="473"/>
      <c r="L4305" s="473"/>
      <c r="M4305" s="473"/>
    </row>
    <row r="4306" spans="5:13">
      <c r="E4306" s="473"/>
      <c r="F4306" s="473"/>
      <c r="G4306" s="473"/>
      <c r="H4306" s="473"/>
      <c r="I4306" s="473"/>
      <c r="J4306" s="473"/>
      <c r="K4306" s="473"/>
      <c r="L4306" s="473"/>
      <c r="M4306" s="473"/>
    </row>
    <row r="4307" spans="5:13">
      <c r="E4307" s="473"/>
      <c r="F4307" s="473"/>
      <c r="G4307" s="473"/>
      <c r="H4307" s="473"/>
      <c r="I4307" s="473"/>
      <c r="J4307" s="473"/>
      <c r="K4307" s="473"/>
      <c r="L4307" s="473"/>
      <c r="M4307" s="473"/>
    </row>
    <row r="4308" spans="5:13">
      <c r="E4308" s="473"/>
      <c r="F4308" s="473"/>
      <c r="G4308" s="473"/>
      <c r="H4308" s="473"/>
      <c r="I4308" s="473"/>
      <c r="J4308" s="473"/>
      <c r="K4308" s="473"/>
      <c r="L4308" s="473"/>
      <c r="M4308" s="473"/>
    </row>
    <row r="4309" spans="5:13">
      <c r="E4309" s="473"/>
      <c r="F4309" s="473"/>
      <c r="G4309" s="473"/>
      <c r="H4309" s="473"/>
      <c r="I4309" s="473"/>
      <c r="J4309" s="473"/>
      <c r="K4309" s="473"/>
      <c r="L4309" s="473"/>
      <c r="M4309" s="473"/>
    </row>
    <row r="4310" spans="5:13">
      <c r="E4310" s="473"/>
      <c r="F4310" s="473"/>
      <c r="G4310" s="473"/>
      <c r="H4310" s="473"/>
      <c r="I4310" s="473"/>
      <c r="J4310" s="473"/>
      <c r="K4310" s="473"/>
      <c r="L4310" s="473"/>
      <c r="M4310" s="473"/>
    </row>
    <row r="4311" spans="5:13">
      <c r="E4311" s="473"/>
      <c r="F4311" s="473"/>
      <c r="G4311" s="473"/>
      <c r="H4311" s="473"/>
      <c r="I4311" s="473"/>
      <c r="J4311" s="473"/>
      <c r="K4311" s="473"/>
      <c r="L4311" s="473"/>
      <c r="M4311" s="473"/>
    </row>
    <row r="4312" spans="5:13">
      <c r="E4312" s="473"/>
      <c r="F4312" s="473"/>
      <c r="G4312" s="473"/>
      <c r="H4312" s="473"/>
      <c r="I4312" s="473"/>
      <c r="J4312" s="473"/>
      <c r="K4312" s="473"/>
      <c r="L4312" s="473"/>
      <c r="M4312" s="473"/>
    </row>
    <row r="4313" spans="5:13">
      <c r="E4313" s="473"/>
      <c r="F4313" s="473"/>
      <c r="G4313" s="473"/>
      <c r="H4313" s="473"/>
      <c r="I4313" s="473"/>
      <c r="J4313" s="473"/>
      <c r="K4313" s="473"/>
      <c r="L4313" s="473"/>
      <c r="M4313" s="473"/>
    </row>
    <row r="4314" spans="5:13">
      <c r="E4314" s="473"/>
      <c r="F4314" s="473"/>
      <c r="G4314" s="473"/>
      <c r="H4314" s="473"/>
      <c r="I4314" s="473"/>
      <c r="J4314" s="473"/>
      <c r="K4314" s="473"/>
      <c r="L4314" s="473"/>
      <c r="M4314" s="473"/>
    </row>
    <row r="4315" spans="5:13">
      <c r="E4315" s="473"/>
      <c r="F4315" s="473"/>
      <c r="G4315" s="473"/>
      <c r="H4315" s="473"/>
      <c r="I4315" s="473"/>
      <c r="J4315" s="473"/>
      <c r="K4315" s="473"/>
      <c r="L4315" s="473"/>
      <c r="M4315" s="473"/>
    </row>
    <row r="4316" spans="5:13">
      <c r="E4316" s="473"/>
      <c r="F4316" s="473"/>
      <c r="G4316" s="473"/>
      <c r="H4316" s="473"/>
      <c r="I4316" s="473"/>
      <c r="J4316" s="473"/>
      <c r="K4316" s="473"/>
      <c r="L4316" s="473"/>
      <c r="M4316" s="473"/>
    </row>
    <row r="4317" spans="5:13">
      <c r="E4317" s="473"/>
      <c r="F4317" s="473"/>
      <c r="G4317" s="473"/>
      <c r="H4317" s="473"/>
      <c r="I4317" s="473"/>
      <c r="J4317" s="473"/>
      <c r="K4317" s="473"/>
      <c r="L4317" s="473"/>
      <c r="M4317" s="473"/>
    </row>
    <row r="4318" spans="5:13">
      <c r="E4318" s="473"/>
      <c r="F4318" s="473"/>
      <c r="G4318" s="473"/>
      <c r="H4318" s="473"/>
      <c r="I4318" s="473"/>
      <c r="J4318" s="473"/>
      <c r="K4318" s="473"/>
      <c r="L4318" s="473"/>
      <c r="M4318" s="473"/>
    </row>
    <row r="4319" spans="5:13">
      <c r="E4319" s="473"/>
      <c r="F4319" s="473"/>
      <c r="G4319" s="473"/>
      <c r="H4319" s="473"/>
      <c r="I4319" s="473"/>
      <c r="J4319" s="473"/>
      <c r="K4319" s="473"/>
      <c r="L4319" s="473"/>
      <c r="M4319" s="473"/>
    </row>
    <row r="4320" spans="5:13">
      <c r="E4320" s="473"/>
      <c r="F4320" s="473"/>
      <c r="G4320" s="473"/>
      <c r="H4320" s="473"/>
      <c r="I4320" s="473"/>
      <c r="J4320" s="473"/>
      <c r="K4320" s="473"/>
      <c r="L4320" s="473"/>
      <c r="M4320" s="473"/>
    </row>
    <row r="4321" spans="5:13">
      <c r="E4321" s="473"/>
      <c r="F4321" s="473"/>
      <c r="G4321" s="473"/>
      <c r="H4321" s="473"/>
      <c r="I4321" s="473"/>
      <c r="J4321" s="473"/>
      <c r="K4321" s="473"/>
      <c r="L4321" s="473"/>
      <c r="M4321" s="473"/>
    </row>
    <row r="4322" spans="5:13">
      <c r="E4322" s="473"/>
      <c r="F4322" s="473"/>
      <c r="G4322" s="473"/>
      <c r="H4322" s="473"/>
      <c r="I4322" s="473"/>
      <c r="J4322" s="473"/>
      <c r="K4322" s="473"/>
      <c r="L4322" s="473"/>
      <c r="M4322" s="473"/>
    </row>
    <row r="4323" spans="5:13">
      <c r="E4323" s="473"/>
      <c r="F4323" s="473"/>
      <c r="G4323" s="473"/>
      <c r="H4323" s="473"/>
      <c r="I4323" s="473"/>
      <c r="J4323" s="473"/>
      <c r="K4323" s="473"/>
      <c r="L4323" s="473"/>
      <c r="M4323" s="473"/>
    </row>
    <row r="4324" spans="5:13">
      <c r="E4324" s="473"/>
      <c r="F4324" s="473"/>
      <c r="G4324" s="473"/>
      <c r="H4324" s="473"/>
      <c r="I4324" s="473"/>
      <c r="J4324" s="473"/>
      <c r="K4324" s="473"/>
      <c r="L4324" s="473"/>
      <c r="M4324" s="473"/>
    </row>
    <row r="4325" spans="5:13">
      <c r="E4325" s="473"/>
      <c r="F4325" s="473"/>
      <c r="G4325" s="473"/>
      <c r="H4325" s="473"/>
      <c r="I4325" s="473"/>
      <c r="J4325" s="473"/>
      <c r="K4325" s="473"/>
      <c r="L4325" s="473"/>
      <c r="M4325" s="473"/>
    </row>
    <row r="4326" spans="5:13">
      <c r="E4326" s="473"/>
      <c r="F4326" s="473"/>
      <c r="G4326" s="473"/>
      <c r="H4326" s="473"/>
      <c r="I4326" s="473"/>
      <c r="J4326" s="473"/>
      <c r="K4326" s="473"/>
      <c r="L4326" s="473"/>
      <c r="M4326" s="473"/>
    </row>
    <row r="4327" spans="5:13">
      <c r="E4327" s="473"/>
      <c r="F4327" s="473"/>
      <c r="G4327" s="473"/>
      <c r="H4327" s="473"/>
      <c r="I4327" s="473"/>
      <c r="J4327" s="473"/>
      <c r="K4327" s="473"/>
      <c r="L4327" s="473"/>
      <c r="M4327" s="473"/>
    </row>
    <row r="4328" spans="5:13">
      <c r="E4328" s="473"/>
      <c r="F4328" s="473"/>
      <c r="G4328" s="473"/>
      <c r="H4328" s="473"/>
      <c r="I4328" s="473"/>
      <c r="J4328" s="473"/>
      <c r="K4328" s="473"/>
      <c r="L4328" s="473"/>
      <c r="M4328" s="473"/>
    </row>
    <row r="4329" spans="5:13">
      <c r="E4329" s="473"/>
      <c r="F4329" s="473"/>
      <c r="G4329" s="473"/>
      <c r="H4329" s="473"/>
      <c r="I4329" s="473"/>
      <c r="J4329" s="473"/>
      <c r="K4329" s="473"/>
      <c r="L4329" s="473"/>
      <c r="M4329" s="473"/>
    </row>
    <row r="4330" spans="5:13">
      <c r="E4330" s="473"/>
      <c r="F4330" s="473"/>
      <c r="G4330" s="473"/>
      <c r="H4330" s="473"/>
      <c r="I4330" s="473"/>
      <c r="J4330" s="473"/>
      <c r="K4330" s="473"/>
      <c r="L4330" s="473"/>
      <c r="M4330" s="473"/>
    </row>
    <row r="4331" spans="5:13">
      <c r="E4331" s="473"/>
      <c r="F4331" s="473"/>
      <c r="G4331" s="473"/>
      <c r="H4331" s="473"/>
      <c r="I4331" s="473"/>
      <c r="J4331" s="473"/>
      <c r="K4331" s="473"/>
      <c r="L4331" s="473"/>
      <c r="M4331" s="473"/>
    </row>
    <row r="4332" spans="5:13">
      <c r="E4332" s="473"/>
      <c r="F4332" s="473"/>
      <c r="G4332" s="473"/>
      <c r="H4332" s="473"/>
      <c r="I4332" s="473"/>
      <c r="J4332" s="473"/>
      <c r="K4332" s="473"/>
      <c r="L4332" s="473"/>
      <c r="M4332" s="473"/>
    </row>
    <row r="4333" spans="5:13">
      <c r="E4333" s="473"/>
      <c r="F4333" s="473"/>
      <c r="G4333" s="473"/>
      <c r="H4333" s="473"/>
      <c r="I4333" s="473"/>
      <c r="J4333" s="473"/>
      <c r="K4333" s="473"/>
      <c r="L4333" s="473"/>
      <c r="M4333" s="473"/>
    </row>
    <row r="4334" spans="5:13">
      <c r="E4334" s="473"/>
      <c r="F4334" s="473"/>
      <c r="G4334" s="473"/>
      <c r="H4334" s="473"/>
      <c r="I4334" s="473"/>
      <c r="J4334" s="473"/>
      <c r="K4334" s="473"/>
      <c r="L4334" s="473"/>
      <c r="M4334" s="473"/>
    </row>
    <row r="4335" spans="5:13">
      <c r="E4335" s="473"/>
      <c r="F4335" s="473"/>
      <c r="G4335" s="473"/>
      <c r="H4335" s="473"/>
      <c r="I4335" s="473"/>
      <c r="J4335" s="473"/>
      <c r="K4335" s="473"/>
      <c r="L4335" s="473"/>
      <c r="M4335" s="473"/>
    </row>
    <row r="4336" spans="5:13">
      <c r="E4336" s="473"/>
      <c r="F4336" s="473"/>
      <c r="G4336" s="473"/>
      <c r="H4336" s="473"/>
      <c r="I4336" s="473"/>
      <c r="J4336" s="473"/>
      <c r="K4336" s="473"/>
      <c r="L4336" s="473"/>
      <c r="M4336" s="473"/>
    </row>
    <row r="4337" spans="5:13">
      <c r="E4337" s="473"/>
      <c r="F4337" s="473"/>
      <c r="G4337" s="473"/>
      <c r="H4337" s="473"/>
      <c r="I4337" s="473"/>
      <c r="J4337" s="473"/>
      <c r="K4337" s="473"/>
      <c r="L4337" s="473"/>
      <c r="M4337" s="473"/>
    </row>
    <row r="4338" spans="5:13">
      <c r="E4338" s="473"/>
      <c r="F4338" s="473"/>
      <c r="G4338" s="473"/>
      <c r="H4338" s="473"/>
      <c r="I4338" s="473"/>
      <c r="J4338" s="473"/>
      <c r="K4338" s="473"/>
      <c r="L4338" s="473"/>
      <c r="M4338" s="473"/>
    </row>
    <row r="4339" spans="5:13">
      <c r="E4339" s="473"/>
      <c r="F4339" s="473"/>
      <c r="G4339" s="473"/>
      <c r="H4339" s="473"/>
      <c r="I4339" s="473"/>
      <c r="J4339" s="473"/>
      <c r="K4339" s="473"/>
      <c r="L4339" s="473"/>
      <c r="M4339" s="473"/>
    </row>
    <row r="4340" spans="5:13">
      <c r="E4340" s="473"/>
      <c r="F4340" s="473"/>
      <c r="G4340" s="473"/>
      <c r="H4340" s="473"/>
      <c r="I4340" s="473"/>
      <c r="J4340" s="473"/>
      <c r="K4340" s="473"/>
      <c r="L4340" s="473"/>
      <c r="M4340" s="473"/>
    </row>
    <row r="4341" spans="5:13">
      <c r="E4341" s="473"/>
      <c r="F4341" s="473"/>
      <c r="G4341" s="473"/>
      <c r="H4341" s="473"/>
      <c r="I4341" s="473"/>
      <c r="J4341" s="473"/>
      <c r="K4341" s="473"/>
      <c r="L4341" s="473"/>
      <c r="M4341" s="473"/>
    </row>
    <row r="4342" spans="5:13">
      <c r="E4342" s="473"/>
      <c r="F4342" s="473"/>
      <c r="G4342" s="473"/>
      <c r="H4342" s="473"/>
      <c r="I4342" s="473"/>
      <c r="J4342" s="473"/>
      <c r="K4342" s="473"/>
      <c r="L4342" s="473"/>
      <c r="M4342" s="473"/>
    </row>
    <row r="4343" spans="5:13">
      <c r="E4343" s="473"/>
      <c r="F4343" s="473"/>
      <c r="G4343" s="473"/>
      <c r="H4343" s="473"/>
      <c r="I4343" s="473"/>
      <c r="J4343" s="473"/>
      <c r="K4343" s="473"/>
      <c r="L4343" s="473"/>
      <c r="M4343" s="473"/>
    </row>
    <row r="4344" spans="5:13">
      <c r="E4344" s="473"/>
      <c r="F4344" s="473"/>
      <c r="G4344" s="473"/>
      <c r="H4344" s="473"/>
      <c r="I4344" s="473"/>
      <c r="J4344" s="473"/>
      <c r="K4344" s="473"/>
      <c r="L4344" s="473"/>
      <c r="M4344" s="473"/>
    </row>
    <row r="4345" spans="5:13">
      <c r="E4345" s="473"/>
      <c r="F4345" s="473"/>
      <c r="G4345" s="473"/>
      <c r="H4345" s="473"/>
      <c r="I4345" s="473"/>
      <c r="J4345" s="473"/>
      <c r="K4345" s="473"/>
      <c r="L4345" s="473"/>
      <c r="M4345" s="473"/>
    </row>
    <row r="4346" spans="5:13">
      <c r="E4346" s="473"/>
      <c r="F4346" s="473"/>
      <c r="G4346" s="473"/>
      <c r="H4346" s="473"/>
      <c r="I4346" s="473"/>
      <c r="J4346" s="473"/>
      <c r="K4346" s="473"/>
      <c r="L4346" s="473"/>
      <c r="M4346" s="473"/>
    </row>
    <row r="4347" spans="5:13">
      <c r="E4347" s="473"/>
      <c r="F4347" s="473"/>
      <c r="G4347" s="473"/>
      <c r="H4347" s="473"/>
      <c r="I4347" s="473"/>
      <c r="J4347" s="473"/>
      <c r="K4347" s="473"/>
      <c r="L4347" s="473"/>
      <c r="M4347" s="473"/>
    </row>
    <row r="4348" spans="5:13">
      <c r="E4348" s="473"/>
      <c r="F4348" s="473"/>
      <c r="G4348" s="473"/>
      <c r="H4348" s="473"/>
      <c r="I4348" s="473"/>
      <c r="J4348" s="473"/>
      <c r="K4348" s="473"/>
      <c r="L4348" s="473"/>
      <c r="M4348" s="473"/>
    </row>
    <row r="4349" spans="5:13">
      <c r="E4349" s="473"/>
      <c r="F4349" s="473"/>
      <c r="G4349" s="473"/>
      <c r="H4349" s="473"/>
      <c r="I4349" s="473"/>
      <c r="J4349" s="473"/>
      <c r="K4349" s="473"/>
      <c r="L4349" s="473"/>
      <c r="M4349" s="473"/>
    </row>
    <row r="4350" spans="5:13">
      <c r="E4350" s="473"/>
      <c r="F4350" s="473"/>
      <c r="G4350" s="473"/>
      <c r="H4350" s="473"/>
      <c r="I4350" s="473"/>
      <c r="J4350" s="473"/>
      <c r="K4350" s="473"/>
      <c r="L4350" s="473"/>
      <c r="M4350" s="473"/>
    </row>
    <row r="4351" spans="5:13">
      <c r="E4351" s="473"/>
      <c r="F4351" s="473"/>
      <c r="G4351" s="473"/>
      <c r="H4351" s="473"/>
      <c r="I4351" s="473"/>
      <c r="J4351" s="473"/>
      <c r="K4351" s="473"/>
      <c r="L4351" s="473"/>
      <c r="M4351" s="473"/>
    </row>
    <row r="4352" spans="5:13">
      <c r="E4352" s="473"/>
      <c r="F4352" s="473"/>
      <c r="G4352" s="473"/>
      <c r="H4352" s="473"/>
      <c r="I4352" s="473"/>
      <c r="J4352" s="473"/>
      <c r="K4352" s="473"/>
      <c r="L4352" s="473"/>
      <c r="M4352" s="473"/>
    </row>
    <row r="4353" spans="5:13">
      <c r="E4353" s="473"/>
      <c r="F4353" s="473"/>
      <c r="G4353" s="473"/>
      <c r="H4353" s="473"/>
      <c r="I4353" s="473"/>
      <c r="J4353" s="473"/>
      <c r="K4353" s="473"/>
      <c r="L4353" s="473"/>
      <c r="M4353" s="473"/>
    </row>
    <row r="4354" spans="5:13">
      <c r="E4354" s="473"/>
      <c r="F4354" s="473"/>
      <c r="G4354" s="473"/>
      <c r="H4354" s="473"/>
      <c r="I4354" s="473"/>
      <c r="J4354" s="473"/>
      <c r="K4354" s="473"/>
      <c r="L4354" s="473"/>
      <c r="M4354" s="473"/>
    </row>
    <row r="4355" spans="5:13">
      <c r="E4355" s="473"/>
      <c r="F4355" s="473"/>
      <c r="G4355" s="473"/>
      <c r="H4355" s="473"/>
      <c r="I4355" s="473"/>
      <c r="J4355" s="473"/>
      <c r="K4355" s="473"/>
      <c r="L4355" s="473"/>
      <c r="M4355" s="473"/>
    </row>
    <row r="4356" spans="5:13">
      <c r="E4356" s="473"/>
      <c r="F4356" s="473"/>
      <c r="G4356" s="473"/>
      <c r="H4356" s="473"/>
      <c r="I4356" s="473"/>
      <c r="J4356" s="473"/>
      <c r="K4356" s="473"/>
      <c r="L4356" s="473"/>
      <c r="M4356" s="473"/>
    </row>
    <row r="4357" spans="5:13">
      <c r="E4357" s="473"/>
      <c r="F4357" s="473"/>
      <c r="G4357" s="473"/>
      <c r="H4357" s="473"/>
      <c r="I4357" s="473"/>
      <c r="J4357" s="473"/>
      <c r="K4357" s="473"/>
      <c r="L4357" s="473"/>
      <c r="M4357" s="473"/>
    </row>
    <row r="4358" spans="5:13">
      <c r="E4358" s="473"/>
      <c r="F4358" s="473"/>
      <c r="G4358" s="473"/>
      <c r="H4358" s="473"/>
      <c r="I4358" s="473"/>
      <c r="J4358" s="473"/>
      <c r="K4358" s="473"/>
      <c r="L4358" s="473"/>
      <c r="M4358" s="473"/>
    </row>
    <row r="4359" spans="5:13">
      <c r="E4359" s="473"/>
      <c r="F4359" s="473"/>
      <c r="G4359" s="473"/>
      <c r="H4359" s="473"/>
      <c r="I4359" s="473"/>
      <c r="J4359" s="473"/>
      <c r="K4359" s="473"/>
      <c r="L4359" s="473"/>
      <c r="M4359" s="473"/>
    </row>
    <row r="4360" spans="5:13">
      <c r="E4360" s="473"/>
      <c r="F4360" s="473"/>
      <c r="G4360" s="473"/>
      <c r="H4360" s="473"/>
      <c r="I4360" s="473"/>
      <c r="J4360" s="473"/>
      <c r="K4360" s="473"/>
      <c r="L4360" s="473"/>
      <c r="M4360" s="473"/>
    </row>
    <row r="4361" spans="5:13">
      <c r="E4361" s="473"/>
      <c r="F4361" s="473"/>
      <c r="G4361" s="473"/>
      <c r="H4361" s="473"/>
      <c r="I4361" s="473"/>
      <c r="J4361" s="473"/>
      <c r="K4361" s="473"/>
      <c r="L4361" s="473"/>
      <c r="M4361" s="473"/>
    </row>
    <row r="4362" spans="5:13">
      <c r="E4362" s="473"/>
      <c r="F4362" s="473"/>
      <c r="G4362" s="473"/>
      <c r="H4362" s="473"/>
      <c r="I4362" s="473"/>
      <c r="J4362" s="473"/>
      <c r="K4362" s="473"/>
      <c r="L4362" s="473"/>
      <c r="M4362" s="473"/>
    </row>
    <row r="4363" spans="5:13">
      <c r="E4363" s="473"/>
      <c r="F4363" s="473"/>
      <c r="G4363" s="473"/>
      <c r="H4363" s="473"/>
      <c r="I4363" s="473"/>
      <c r="J4363" s="473"/>
      <c r="K4363" s="473"/>
      <c r="L4363" s="473"/>
      <c r="M4363" s="473"/>
    </row>
    <row r="4364" spans="5:13">
      <c r="E4364" s="473"/>
      <c r="F4364" s="473"/>
      <c r="G4364" s="473"/>
      <c r="H4364" s="473"/>
      <c r="I4364" s="473"/>
      <c r="J4364" s="473"/>
      <c r="K4364" s="473"/>
      <c r="L4364" s="473"/>
      <c r="M4364" s="473"/>
    </row>
    <row r="4365" spans="5:13">
      <c r="E4365" s="473"/>
      <c r="F4365" s="473"/>
      <c r="G4365" s="473"/>
      <c r="H4365" s="473"/>
      <c r="I4365" s="473"/>
      <c r="J4365" s="473"/>
      <c r="K4365" s="473"/>
      <c r="L4365" s="473"/>
      <c r="M4365" s="473"/>
    </row>
    <row r="4366" spans="5:13">
      <c r="E4366" s="473"/>
      <c r="F4366" s="473"/>
      <c r="G4366" s="473"/>
      <c r="H4366" s="473"/>
      <c r="I4366" s="473"/>
      <c r="J4366" s="473"/>
      <c r="K4366" s="473"/>
      <c r="L4366" s="473"/>
      <c r="M4366" s="473"/>
    </row>
    <row r="4367" spans="5:13">
      <c r="E4367" s="473"/>
      <c r="F4367" s="473"/>
      <c r="G4367" s="473"/>
      <c r="H4367" s="473"/>
      <c r="I4367" s="473"/>
      <c r="J4367" s="473"/>
      <c r="K4367" s="473"/>
      <c r="L4367" s="473"/>
      <c r="M4367" s="473"/>
    </row>
    <row r="4368" spans="5:13">
      <c r="E4368" s="473"/>
      <c r="F4368" s="473"/>
      <c r="G4368" s="473"/>
      <c r="H4368" s="473"/>
      <c r="I4368" s="473"/>
      <c r="J4368" s="473"/>
      <c r="K4368" s="473"/>
      <c r="L4368" s="473"/>
      <c r="M4368" s="473"/>
    </row>
    <row r="4369" spans="5:13">
      <c r="E4369" s="473"/>
      <c r="F4369" s="473"/>
      <c r="G4369" s="473"/>
      <c r="H4369" s="473"/>
      <c r="I4369" s="473"/>
      <c r="J4369" s="473"/>
      <c r="K4369" s="473"/>
      <c r="L4369" s="473"/>
      <c r="M4369" s="473"/>
    </row>
    <row r="4370" spans="5:13">
      <c r="E4370" s="473"/>
      <c r="F4370" s="473"/>
      <c r="G4370" s="473"/>
      <c r="H4370" s="473"/>
      <c r="I4370" s="473"/>
      <c r="J4370" s="473"/>
      <c r="K4370" s="473"/>
      <c r="L4370" s="473"/>
      <c r="M4370" s="473"/>
    </row>
    <row r="4371" spans="5:13">
      <c r="E4371" s="473"/>
      <c r="F4371" s="473"/>
      <c r="G4371" s="473"/>
      <c r="H4371" s="473"/>
      <c r="I4371" s="473"/>
      <c r="J4371" s="473"/>
      <c r="K4371" s="473"/>
      <c r="L4371" s="473"/>
      <c r="M4371" s="473"/>
    </row>
    <row r="4372" spans="5:13">
      <c r="E4372" s="473"/>
      <c r="F4372" s="473"/>
      <c r="G4372" s="473"/>
      <c r="H4372" s="473"/>
      <c r="I4372" s="473"/>
      <c r="J4372" s="473"/>
      <c r="K4372" s="473"/>
      <c r="L4372" s="473"/>
      <c r="M4372" s="473"/>
    </row>
    <row r="4373" spans="5:13">
      <c r="E4373" s="473"/>
      <c r="F4373" s="473"/>
      <c r="G4373" s="473"/>
      <c r="H4373" s="473"/>
      <c r="I4373" s="473"/>
      <c r="J4373" s="473"/>
      <c r="K4373" s="473"/>
      <c r="L4373" s="473"/>
      <c r="M4373" s="473"/>
    </row>
    <row r="4374" spans="5:13">
      <c r="E4374" s="473"/>
      <c r="F4374" s="473"/>
      <c r="G4374" s="473"/>
      <c r="H4374" s="473"/>
      <c r="I4374" s="473"/>
      <c r="J4374" s="473"/>
      <c r="K4374" s="473"/>
      <c r="L4374" s="473"/>
      <c r="M4374" s="473"/>
    </row>
    <row r="4375" spans="5:13">
      <c r="E4375" s="473"/>
      <c r="F4375" s="473"/>
      <c r="G4375" s="473"/>
      <c r="H4375" s="473"/>
      <c r="I4375" s="473"/>
      <c r="J4375" s="473"/>
      <c r="K4375" s="473"/>
      <c r="L4375" s="473"/>
      <c r="M4375" s="473"/>
    </row>
    <row r="4376" spans="5:13">
      <c r="E4376" s="473"/>
      <c r="F4376" s="473"/>
      <c r="G4376" s="473"/>
      <c r="H4376" s="473"/>
      <c r="I4376" s="473"/>
      <c r="J4376" s="473"/>
      <c r="K4376" s="473"/>
      <c r="L4376" s="473"/>
      <c r="M4376" s="473"/>
    </row>
    <row r="4377" spans="5:13">
      <c r="E4377" s="473"/>
      <c r="F4377" s="473"/>
      <c r="G4377" s="473"/>
      <c r="H4377" s="473"/>
      <c r="I4377" s="473"/>
      <c r="J4377" s="473"/>
      <c r="K4377" s="473"/>
      <c r="L4377" s="473"/>
      <c r="M4377" s="473"/>
    </row>
    <row r="4378" spans="5:13">
      <c r="E4378" s="473"/>
      <c r="F4378" s="473"/>
      <c r="G4378" s="473"/>
      <c r="H4378" s="473"/>
      <c r="I4378" s="473"/>
      <c r="J4378" s="473"/>
      <c r="K4378" s="473"/>
      <c r="L4378" s="473"/>
      <c r="M4378" s="473"/>
    </row>
    <row r="4379" spans="5:13">
      <c r="E4379" s="473"/>
      <c r="F4379" s="473"/>
      <c r="G4379" s="473"/>
      <c r="H4379" s="473"/>
      <c r="I4379" s="473"/>
      <c r="J4379" s="473"/>
      <c r="K4379" s="473"/>
      <c r="L4379" s="473"/>
      <c r="M4379" s="473"/>
    </row>
    <row r="4380" spans="5:13">
      <c r="E4380" s="473"/>
      <c r="F4380" s="473"/>
      <c r="G4380" s="473"/>
      <c r="H4380" s="473"/>
      <c r="I4380" s="473"/>
      <c r="J4380" s="473"/>
      <c r="K4380" s="473"/>
      <c r="L4380" s="473"/>
      <c r="M4380" s="473"/>
    </row>
    <row r="4381" spans="5:13">
      <c r="E4381" s="473"/>
      <c r="F4381" s="473"/>
      <c r="G4381" s="473"/>
      <c r="H4381" s="473"/>
      <c r="I4381" s="473"/>
      <c r="J4381" s="473"/>
      <c r="K4381" s="473"/>
      <c r="L4381" s="473"/>
      <c r="M4381" s="473"/>
    </row>
    <row r="4382" spans="5:13">
      <c r="E4382" s="473"/>
      <c r="F4382" s="473"/>
      <c r="G4382" s="473"/>
      <c r="H4382" s="473"/>
      <c r="I4382" s="473"/>
      <c r="J4382" s="473"/>
      <c r="K4382" s="473"/>
      <c r="L4382" s="473"/>
      <c r="M4382" s="473"/>
    </row>
    <row r="4383" spans="5:13">
      <c r="E4383" s="473"/>
      <c r="F4383" s="473"/>
      <c r="G4383" s="473"/>
      <c r="H4383" s="473"/>
      <c r="I4383" s="473"/>
      <c r="J4383" s="473"/>
      <c r="K4383" s="473"/>
      <c r="L4383" s="473"/>
      <c r="M4383" s="473"/>
    </row>
    <row r="4384" spans="5:13">
      <c r="E4384" s="473"/>
      <c r="F4384" s="473"/>
      <c r="G4384" s="473"/>
      <c r="H4384" s="473"/>
      <c r="I4384" s="473"/>
      <c r="J4384" s="473"/>
      <c r="K4384" s="473"/>
      <c r="L4384" s="473"/>
      <c r="M4384" s="473"/>
    </row>
    <row r="4385" spans="5:13">
      <c r="E4385" s="473"/>
      <c r="F4385" s="473"/>
      <c r="G4385" s="473"/>
      <c r="H4385" s="473"/>
      <c r="I4385" s="473"/>
      <c r="J4385" s="473"/>
      <c r="K4385" s="473"/>
      <c r="L4385" s="473"/>
      <c r="M4385" s="473"/>
    </row>
    <row r="4386" spans="5:13">
      <c r="E4386" s="473"/>
      <c r="F4386" s="473"/>
      <c r="G4386" s="473"/>
      <c r="H4386" s="473"/>
      <c r="I4386" s="473"/>
      <c r="J4386" s="473"/>
      <c r="K4386" s="473"/>
      <c r="L4386" s="473"/>
      <c r="M4386" s="473"/>
    </row>
    <row r="4387" spans="5:13">
      <c r="E4387" s="473"/>
      <c r="F4387" s="473"/>
      <c r="G4387" s="473"/>
      <c r="H4387" s="473"/>
      <c r="I4387" s="473"/>
      <c r="J4387" s="473"/>
      <c r="K4387" s="473"/>
      <c r="L4387" s="473"/>
      <c r="M4387" s="473"/>
    </row>
    <row r="4388" spans="5:13">
      <c r="E4388" s="473"/>
      <c r="F4388" s="473"/>
      <c r="G4388" s="473"/>
      <c r="H4388" s="473"/>
      <c r="I4388" s="473"/>
      <c r="J4388" s="473"/>
      <c r="K4388" s="473"/>
      <c r="L4388" s="473"/>
      <c r="M4388" s="473"/>
    </row>
    <row r="4389" spans="5:13">
      <c r="E4389" s="473"/>
      <c r="F4389" s="473"/>
      <c r="G4389" s="473"/>
      <c r="H4389" s="473"/>
      <c r="I4389" s="473"/>
      <c r="J4389" s="473"/>
      <c r="K4389" s="473"/>
      <c r="L4389" s="473"/>
      <c r="M4389" s="473"/>
    </row>
    <row r="4390" spans="5:13">
      <c r="E4390" s="473"/>
      <c r="F4390" s="473"/>
      <c r="G4390" s="473"/>
      <c r="H4390" s="473"/>
      <c r="I4390" s="473"/>
      <c r="J4390" s="473"/>
      <c r="K4390" s="473"/>
      <c r="L4390" s="473"/>
      <c r="M4390" s="473"/>
    </row>
    <row r="4391" spans="5:13">
      <c r="E4391" s="473"/>
      <c r="F4391" s="473"/>
      <c r="G4391" s="473"/>
      <c r="H4391" s="473"/>
      <c r="I4391" s="473"/>
      <c r="J4391" s="473"/>
      <c r="K4391" s="473"/>
      <c r="L4391" s="473"/>
      <c r="M4391" s="473"/>
    </row>
    <row r="4392" spans="5:13">
      <c r="E4392" s="473"/>
      <c r="F4392" s="473"/>
      <c r="G4392" s="473"/>
      <c r="H4392" s="473"/>
      <c r="I4392" s="473"/>
      <c r="J4392" s="473"/>
      <c r="K4392" s="473"/>
      <c r="L4392" s="473"/>
      <c r="M4392" s="473"/>
    </row>
    <row r="4393" spans="5:13">
      <c r="E4393" s="473"/>
      <c r="F4393" s="473"/>
      <c r="G4393" s="473"/>
      <c r="H4393" s="473"/>
      <c r="I4393" s="473"/>
      <c r="J4393" s="473"/>
      <c r="K4393" s="473"/>
      <c r="L4393" s="473"/>
      <c r="M4393" s="473"/>
    </row>
    <row r="4394" spans="5:13">
      <c r="E4394" s="473"/>
      <c r="F4394" s="473"/>
      <c r="G4394" s="473"/>
      <c r="H4394" s="473"/>
      <c r="I4394" s="473"/>
      <c r="J4394" s="473"/>
      <c r="K4394" s="473"/>
      <c r="L4394" s="473"/>
      <c r="M4394" s="473"/>
    </row>
    <row r="4395" spans="5:13">
      <c r="E4395" s="473"/>
      <c r="F4395" s="473"/>
      <c r="G4395" s="473"/>
      <c r="H4395" s="473"/>
      <c r="I4395" s="473"/>
      <c r="J4395" s="473"/>
      <c r="K4395" s="473"/>
      <c r="L4395" s="473"/>
      <c r="M4395" s="473"/>
    </row>
    <row r="4396" spans="5:13">
      <c r="E4396" s="473"/>
      <c r="F4396" s="473"/>
      <c r="G4396" s="473"/>
      <c r="H4396" s="473"/>
      <c r="I4396" s="473"/>
      <c r="J4396" s="473"/>
      <c r="K4396" s="473"/>
      <c r="L4396" s="473"/>
      <c r="M4396" s="473"/>
    </row>
    <row r="4397" spans="5:13">
      <c r="E4397" s="473"/>
      <c r="F4397" s="473"/>
      <c r="G4397" s="473"/>
      <c r="H4397" s="473"/>
      <c r="I4397" s="473"/>
      <c r="J4397" s="473"/>
      <c r="K4397" s="473"/>
      <c r="L4397" s="473"/>
      <c r="M4397" s="473"/>
    </row>
    <row r="4398" spans="5:13">
      <c r="E4398" s="473"/>
      <c r="F4398" s="473"/>
      <c r="G4398" s="473"/>
      <c r="H4398" s="473"/>
      <c r="I4398" s="473"/>
      <c r="J4398" s="473"/>
      <c r="K4398" s="473"/>
      <c r="L4398" s="473"/>
      <c r="M4398" s="473"/>
    </row>
    <row r="4399" spans="5:13">
      <c r="E4399" s="473"/>
      <c r="F4399" s="473"/>
      <c r="G4399" s="473"/>
      <c r="H4399" s="473"/>
      <c r="I4399" s="473"/>
      <c r="J4399" s="473"/>
      <c r="K4399" s="473"/>
      <c r="L4399" s="473"/>
      <c r="M4399" s="473"/>
    </row>
    <row r="4400" spans="5:13">
      <c r="E4400" s="473"/>
      <c r="F4400" s="473"/>
      <c r="G4400" s="473"/>
      <c r="H4400" s="473"/>
      <c r="I4400" s="473"/>
      <c r="J4400" s="473"/>
      <c r="K4400" s="473"/>
      <c r="L4400" s="473"/>
      <c r="M4400" s="473"/>
    </row>
    <row r="4401" spans="5:13">
      <c r="E4401" s="473"/>
      <c r="F4401" s="473"/>
      <c r="G4401" s="473"/>
      <c r="H4401" s="473"/>
      <c r="I4401" s="473"/>
      <c r="J4401" s="473"/>
      <c r="K4401" s="473"/>
      <c r="L4401" s="473"/>
      <c r="M4401" s="473"/>
    </row>
    <row r="4402" spans="5:13">
      <c r="E4402" s="473"/>
      <c r="F4402" s="473"/>
      <c r="G4402" s="473"/>
      <c r="H4402" s="473"/>
      <c r="I4402" s="473"/>
      <c r="J4402" s="473"/>
      <c r="K4402" s="473"/>
      <c r="L4402" s="473"/>
      <c r="M4402" s="473"/>
    </row>
    <row r="4403" spans="5:13">
      <c r="E4403" s="473"/>
      <c r="F4403" s="473"/>
      <c r="G4403" s="473"/>
      <c r="H4403" s="473"/>
      <c r="I4403" s="473"/>
      <c r="J4403" s="473"/>
      <c r="K4403" s="473"/>
      <c r="L4403" s="473"/>
      <c r="M4403" s="473"/>
    </row>
    <row r="4404" spans="5:13">
      <c r="E4404" s="473"/>
      <c r="F4404" s="473"/>
      <c r="G4404" s="473"/>
      <c r="H4404" s="473"/>
      <c r="I4404" s="473"/>
      <c r="J4404" s="473"/>
      <c r="K4404" s="473"/>
      <c r="L4404" s="473"/>
      <c r="M4404" s="473"/>
    </row>
    <row r="4405" spans="5:13">
      <c r="E4405" s="473"/>
      <c r="F4405" s="473"/>
      <c r="G4405" s="473"/>
      <c r="H4405" s="473"/>
      <c r="I4405" s="473"/>
      <c r="J4405" s="473"/>
      <c r="K4405" s="473"/>
      <c r="L4405" s="473"/>
      <c r="M4405" s="473"/>
    </row>
    <row r="4406" spans="5:13">
      <c r="E4406" s="473"/>
      <c r="F4406" s="473"/>
      <c r="G4406" s="473"/>
      <c r="H4406" s="473"/>
      <c r="I4406" s="473"/>
      <c r="J4406" s="473"/>
      <c r="K4406" s="473"/>
      <c r="L4406" s="473"/>
      <c r="M4406" s="473"/>
    </row>
    <row r="4407" spans="5:13">
      <c r="E4407" s="473"/>
      <c r="F4407" s="473"/>
      <c r="G4407" s="473"/>
      <c r="H4407" s="473"/>
      <c r="I4407" s="473"/>
      <c r="J4407" s="473"/>
      <c r="K4407" s="473"/>
      <c r="L4407" s="473"/>
      <c r="M4407" s="473"/>
    </row>
    <row r="4408" spans="5:13">
      <c r="E4408" s="473"/>
      <c r="F4408" s="473"/>
      <c r="G4408" s="473"/>
      <c r="H4408" s="473"/>
      <c r="I4408" s="473"/>
      <c r="J4408" s="473"/>
      <c r="K4408" s="473"/>
      <c r="L4408" s="473"/>
      <c r="M4408" s="473"/>
    </row>
    <row r="4409" spans="5:13">
      <c r="E4409" s="473"/>
      <c r="F4409" s="473"/>
      <c r="G4409" s="473"/>
      <c r="H4409" s="473"/>
      <c r="I4409" s="473"/>
      <c r="J4409" s="473"/>
      <c r="K4409" s="473"/>
      <c r="L4409" s="473"/>
      <c r="M4409" s="473"/>
    </row>
    <row r="4410" spans="5:13">
      <c r="E4410" s="473"/>
      <c r="F4410" s="473"/>
      <c r="G4410" s="473"/>
      <c r="H4410" s="473"/>
      <c r="I4410" s="473"/>
      <c r="J4410" s="473"/>
      <c r="K4410" s="473"/>
      <c r="L4410" s="473"/>
      <c r="M4410" s="473"/>
    </row>
    <row r="4411" spans="5:13">
      <c r="E4411" s="473"/>
      <c r="F4411" s="473"/>
      <c r="G4411" s="473"/>
      <c r="H4411" s="473"/>
      <c r="I4411" s="473"/>
      <c r="J4411" s="473"/>
      <c r="K4411" s="473"/>
      <c r="L4411" s="473"/>
      <c r="M4411" s="473"/>
    </row>
    <row r="4412" spans="5:13">
      <c r="E4412" s="473"/>
      <c r="F4412" s="473"/>
      <c r="G4412" s="473"/>
      <c r="H4412" s="473"/>
      <c r="I4412" s="473"/>
      <c r="J4412" s="473"/>
      <c r="K4412" s="473"/>
      <c r="L4412" s="473"/>
      <c r="M4412" s="473"/>
    </row>
    <row r="4413" spans="5:13">
      <c r="E4413" s="473"/>
      <c r="F4413" s="473"/>
      <c r="G4413" s="473"/>
      <c r="H4413" s="473"/>
      <c r="I4413" s="473"/>
      <c r="J4413" s="473"/>
      <c r="K4413" s="473"/>
      <c r="L4413" s="473"/>
      <c r="M4413" s="473"/>
    </row>
    <row r="4414" spans="5:13">
      <c r="E4414" s="473"/>
      <c r="F4414" s="473"/>
      <c r="G4414" s="473"/>
      <c r="H4414" s="473"/>
      <c r="I4414" s="473"/>
      <c r="J4414" s="473"/>
      <c r="K4414" s="473"/>
      <c r="L4414" s="473"/>
      <c r="M4414" s="473"/>
    </row>
    <row r="4415" spans="5:13">
      <c r="E4415" s="473"/>
      <c r="F4415" s="473"/>
      <c r="G4415" s="473"/>
      <c r="H4415" s="473"/>
      <c r="I4415" s="473"/>
      <c r="J4415" s="473"/>
      <c r="K4415" s="473"/>
      <c r="L4415" s="473"/>
      <c r="M4415" s="473"/>
    </row>
    <row r="4416" spans="5:13">
      <c r="E4416" s="473"/>
      <c r="F4416" s="473"/>
      <c r="G4416" s="473"/>
      <c r="H4416" s="473"/>
      <c r="I4416" s="473"/>
      <c r="J4416" s="473"/>
      <c r="K4416" s="473"/>
      <c r="L4416" s="473"/>
      <c r="M4416" s="473"/>
    </row>
    <row r="4417" spans="5:13">
      <c r="E4417" s="473"/>
      <c r="F4417" s="473"/>
      <c r="G4417" s="473"/>
      <c r="H4417" s="473"/>
      <c r="I4417" s="473"/>
      <c r="J4417" s="473"/>
      <c r="K4417" s="473"/>
      <c r="L4417" s="473"/>
      <c r="M4417" s="473"/>
    </row>
    <row r="4418" spans="5:13">
      <c r="E4418" s="473"/>
      <c r="F4418" s="473"/>
      <c r="G4418" s="473"/>
      <c r="H4418" s="473"/>
      <c r="I4418" s="473"/>
      <c r="J4418" s="473"/>
      <c r="K4418" s="473"/>
      <c r="L4418" s="473"/>
      <c r="M4418" s="473"/>
    </row>
    <row r="4419" spans="5:13">
      <c r="E4419" s="473"/>
      <c r="F4419" s="473"/>
      <c r="G4419" s="473"/>
      <c r="H4419" s="473"/>
      <c r="I4419" s="473"/>
      <c r="J4419" s="473"/>
      <c r="K4419" s="473"/>
      <c r="L4419" s="473"/>
      <c r="M4419" s="473"/>
    </row>
    <row r="4420" spans="5:13">
      <c r="E4420" s="473"/>
      <c r="F4420" s="473"/>
      <c r="G4420" s="473"/>
      <c r="H4420" s="473"/>
      <c r="I4420" s="473"/>
      <c r="J4420" s="473"/>
      <c r="K4420" s="473"/>
      <c r="L4420" s="473"/>
      <c r="M4420" s="473"/>
    </row>
    <row r="4421" spans="5:13">
      <c r="E4421" s="473"/>
      <c r="F4421" s="473"/>
      <c r="G4421" s="473"/>
      <c r="H4421" s="473"/>
      <c r="I4421" s="473"/>
      <c r="J4421" s="473"/>
      <c r="K4421" s="473"/>
      <c r="L4421" s="473"/>
      <c r="M4421" s="473"/>
    </row>
    <row r="4422" spans="5:13">
      <c r="E4422" s="473"/>
      <c r="F4422" s="473"/>
      <c r="G4422" s="473"/>
      <c r="H4422" s="473"/>
      <c r="I4422" s="473"/>
      <c r="J4422" s="473"/>
      <c r="K4422" s="473"/>
      <c r="L4422" s="473"/>
      <c r="M4422" s="473"/>
    </row>
    <row r="4423" spans="5:13">
      <c r="E4423" s="473"/>
      <c r="F4423" s="473"/>
      <c r="G4423" s="473"/>
      <c r="H4423" s="473"/>
      <c r="I4423" s="473"/>
      <c r="J4423" s="473"/>
      <c r="K4423" s="473"/>
      <c r="L4423" s="473"/>
      <c r="M4423" s="473"/>
    </row>
    <row r="4424" spans="5:13">
      <c r="E4424" s="473"/>
      <c r="F4424" s="473"/>
      <c r="G4424" s="473"/>
      <c r="H4424" s="473"/>
      <c r="I4424" s="473"/>
      <c r="J4424" s="473"/>
      <c r="K4424" s="473"/>
      <c r="L4424" s="473"/>
      <c r="M4424" s="473"/>
    </row>
    <row r="4425" spans="5:13">
      <c r="E4425" s="473"/>
      <c r="F4425" s="473"/>
      <c r="G4425" s="473"/>
      <c r="H4425" s="473"/>
      <c r="I4425" s="473"/>
      <c r="J4425" s="473"/>
      <c r="K4425" s="473"/>
      <c r="L4425" s="473"/>
      <c r="M4425" s="473"/>
    </row>
    <row r="4426" spans="5:13">
      <c r="E4426" s="473"/>
      <c r="F4426" s="473"/>
      <c r="G4426" s="473"/>
      <c r="H4426" s="473"/>
      <c r="I4426" s="473"/>
      <c r="J4426" s="473"/>
      <c r="K4426" s="473"/>
      <c r="L4426" s="473"/>
      <c r="M4426" s="473"/>
    </row>
    <row r="4427" spans="5:13">
      <c r="E4427" s="473"/>
      <c r="F4427" s="473"/>
      <c r="G4427" s="473"/>
      <c r="H4427" s="473"/>
      <c r="I4427" s="473"/>
      <c r="J4427" s="473"/>
      <c r="K4427" s="473"/>
      <c r="L4427" s="473"/>
      <c r="M4427" s="473"/>
    </row>
    <row r="4428" spans="5:13">
      <c r="E4428" s="473"/>
      <c r="F4428" s="473"/>
      <c r="G4428" s="473"/>
      <c r="H4428" s="473"/>
      <c r="I4428" s="473"/>
      <c r="J4428" s="473"/>
      <c r="K4428" s="473"/>
      <c r="L4428" s="473"/>
      <c r="M4428" s="473"/>
    </row>
    <row r="4429" spans="5:13">
      <c r="E4429" s="473"/>
      <c r="F4429" s="473"/>
      <c r="G4429" s="473"/>
      <c r="H4429" s="473"/>
      <c r="I4429" s="473"/>
      <c r="J4429" s="473"/>
      <c r="K4429" s="473"/>
      <c r="L4429" s="473"/>
      <c r="M4429" s="473"/>
    </row>
    <row r="4430" spans="5:13">
      <c r="E4430" s="473"/>
      <c r="F4430" s="473"/>
      <c r="G4430" s="473"/>
      <c r="H4430" s="473"/>
      <c r="I4430" s="473"/>
      <c r="J4430" s="473"/>
      <c r="K4430" s="473"/>
      <c r="L4430" s="473"/>
      <c r="M4430" s="473"/>
    </row>
    <row r="4431" spans="5:13">
      <c r="E4431" s="473"/>
      <c r="F4431" s="473"/>
      <c r="G4431" s="473"/>
      <c r="H4431" s="473"/>
      <c r="I4431" s="473"/>
      <c r="J4431" s="473"/>
      <c r="K4431" s="473"/>
      <c r="L4431" s="473"/>
      <c r="M4431" s="473"/>
    </row>
    <row r="4432" spans="5:13">
      <c r="E4432" s="473"/>
      <c r="F4432" s="473"/>
      <c r="G4432" s="473"/>
      <c r="H4432" s="473"/>
      <c r="I4432" s="473"/>
      <c r="J4432" s="473"/>
      <c r="K4432" s="473"/>
      <c r="L4432" s="473"/>
      <c r="M4432" s="473"/>
    </row>
    <row r="4433" spans="5:13">
      <c r="E4433" s="473"/>
      <c r="F4433" s="473"/>
      <c r="G4433" s="473"/>
      <c r="H4433" s="473"/>
      <c r="I4433" s="473"/>
      <c r="J4433" s="473"/>
      <c r="K4433" s="473"/>
      <c r="L4433" s="473"/>
      <c r="M4433" s="473"/>
    </row>
    <row r="4434" spans="5:13">
      <c r="E4434" s="473"/>
      <c r="F4434" s="473"/>
      <c r="G4434" s="473"/>
      <c r="H4434" s="473"/>
      <c r="I4434" s="473"/>
      <c r="J4434" s="473"/>
      <c r="K4434" s="473"/>
      <c r="L4434" s="473"/>
      <c r="M4434" s="473"/>
    </row>
    <row r="4435" spans="5:13">
      <c r="E4435" s="473"/>
      <c r="F4435" s="473"/>
      <c r="G4435" s="473"/>
      <c r="H4435" s="473"/>
      <c r="I4435" s="473"/>
      <c r="J4435" s="473"/>
      <c r="K4435" s="473"/>
      <c r="L4435" s="473"/>
      <c r="M4435" s="473"/>
    </row>
    <row r="4436" spans="5:13">
      <c r="E4436" s="473"/>
      <c r="F4436" s="473"/>
      <c r="G4436" s="473"/>
      <c r="H4436" s="473"/>
      <c r="I4436" s="473"/>
      <c r="J4436" s="473"/>
      <c r="K4436" s="473"/>
      <c r="L4436" s="473"/>
      <c r="M4436" s="473"/>
    </row>
    <row r="4437" spans="5:13">
      <c r="E4437" s="473"/>
      <c r="F4437" s="473"/>
      <c r="G4437" s="473"/>
      <c r="H4437" s="473"/>
      <c r="I4437" s="473"/>
      <c r="J4437" s="473"/>
      <c r="K4437" s="473"/>
      <c r="L4437" s="473"/>
      <c r="M4437" s="473"/>
    </row>
    <row r="4438" spans="5:13">
      <c r="E4438" s="473"/>
      <c r="F4438" s="473"/>
      <c r="G4438" s="473"/>
      <c r="H4438" s="473"/>
      <c r="I4438" s="473"/>
      <c r="J4438" s="473"/>
      <c r="K4438" s="473"/>
      <c r="L4438" s="473"/>
      <c r="M4438" s="473"/>
    </row>
    <row r="4439" spans="5:13">
      <c r="E4439" s="473"/>
      <c r="F4439" s="473"/>
      <c r="G4439" s="473"/>
      <c r="H4439" s="473"/>
      <c r="I4439" s="473"/>
      <c r="J4439" s="473"/>
      <c r="K4439" s="473"/>
      <c r="L4439" s="473"/>
      <c r="M4439" s="473"/>
    </row>
    <row r="4440" spans="5:13">
      <c r="E4440" s="473"/>
      <c r="F4440" s="473"/>
      <c r="G4440" s="473"/>
      <c r="H4440" s="473"/>
      <c r="I4440" s="473"/>
      <c r="J4440" s="473"/>
      <c r="K4440" s="473"/>
      <c r="L4440" s="473"/>
      <c r="M4440" s="473"/>
    </row>
    <row r="4441" spans="5:13">
      <c r="E4441" s="473"/>
      <c r="F4441" s="473"/>
      <c r="G4441" s="473"/>
      <c r="H4441" s="473"/>
      <c r="I4441" s="473"/>
      <c r="J4441" s="473"/>
      <c r="K4441" s="473"/>
      <c r="L4441" s="473"/>
      <c r="M4441" s="473"/>
    </row>
    <row r="4442" spans="5:13">
      <c r="E4442" s="473"/>
      <c r="F4442" s="473"/>
      <c r="G4442" s="473"/>
      <c r="H4442" s="473"/>
      <c r="I4442" s="473"/>
      <c r="J4442" s="473"/>
      <c r="K4442" s="473"/>
      <c r="L4442" s="473"/>
      <c r="M4442" s="473"/>
    </row>
    <row r="4443" spans="5:13">
      <c r="E4443" s="473"/>
      <c r="F4443" s="473"/>
      <c r="G4443" s="473"/>
      <c r="H4443" s="473"/>
      <c r="I4443" s="473"/>
      <c r="J4443" s="473"/>
      <c r="K4443" s="473"/>
      <c r="L4443" s="473"/>
      <c r="M4443" s="473"/>
    </row>
    <row r="4444" spans="5:13">
      <c r="E4444" s="473"/>
      <c r="F4444" s="473"/>
      <c r="G4444" s="473"/>
      <c r="H4444" s="473"/>
      <c r="I4444" s="473"/>
      <c r="J4444" s="473"/>
      <c r="K4444" s="473"/>
      <c r="L4444" s="473"/>
      <c r="M4444" s="473"/>
    </row>
    <row r="4445" spans="5:13">
      <c r="E4445" s="473"/>
      <c r="F4445" s="473"/>
      <c r="G4445" s="473"/>
      <c r="H4445" s="473"/>
      <c r="I4445" s="473"/>
      <c r="J4445" s="473"/>
      <c r="K4445" s="473"/>
      <c r="L4445" s="473"/>
      <c r="M4445" s="473"/>
    </row>
    <row r="4446" spans="5:13">
      <c r="E4446" s="473"/>
      <c r="F4446" s="473"/>
      <c r="G4446" s="473"/>
      <c r="H4446" s="473"/>
      <c r="I4446" s="473"/>
      <c r="J4446" s="473"/>
      <c r="K4446" s="473"/>
      <c r="L4446" s="473"/>
      <c r="M4446" s="473"/>
    </row>
    <row r="4447" spans="5:13">
      <c r="E4447" s="473"/>
      <c r="F4447" s="473"/>
      <c r="G4447" s="473"/>
      <c r="H4447" s="473"/>
      <c r="I4447" s="473"/>
      <c r="J4447" s="473"/>
      <c r="K4447" s="473"/>
      <c r="L4447" s="473"/>
      <c r="M4447" s="473"/>
    </row>
    <row r="4448" spans="5:13">
      <c r="E4448" s="473"/>
      <c r="F4448" s="473"/>
      <c r="G4448" s="473"/>
      <c r="H4448" s="473"/>
      <c r="I4448" s="473"/>
      <c r="J4448" s="473"/>
      <c r="K4448" s="473"/>
      <c r="L4448" s="473"/>
      <c r="M4448" s="473"/>
    </row>
    <row r="4449" spans="5:13">
      <c r="E4449" s="473"/>
      <c r="F4449" s="473"/>
      <c r="G4449" s="473"/>
      <c r="H4449" s="473"/>
      <c r="I4449" s="473"/>
      <c r="J4449" s="473"/>
      <c r="K4449" s="473"/>
      <c r="L4449" s="473"/>
      <c r="M4449" s="473"/>
    </row>
    <row r="4450" spans="5:13">
      <c r="E4450" s="473"/>
      <c r="F4450" s="473"/>
      <c r="G4450" s="473"/>
      <c r="H4450" s="473"/>
      <c r="I4450" s="473"/>
      <c r="J4450" s="473"/>
      <c r="K4450" s="473"/>
      <c r="L4450" s="473"/>
      <c r="M4450" s="473"/>
    </row>
    <row r="4451" spans="5:13">
      <c r="E4451" s="473"/>
      <c r="F4451" s="473"/>
      <c r="G4451" s="473"/>
      <c r="H4451" s="473"/>
      <c r="I4451" s="473"/>
      <c r="J4451" s="473"/>
      <c r="K4451" s="473"/>
      <c r="L4451" s="473"/>
      <c r="M4451" s="473"/>
    </row>
    <row r="4452" spans="5:13">
      <c r="E4452" s="473"/>
      <c r="F4452" s="473"/>
      <c r="G4452" s="473"/>
      <c r="H4452" s="473"/>
      <c r="I4452" s="473"/>
      <c r="J4452" s="473"/>
      <c r="K4452" s="473"/>
      <c r="L4452" s="473"/>
      <c r="M4452" s="473"/>
    </row>
    <row r="4453" spans="5:13">
      <c r="E4453" s="473"/>
      <c r="F4453" s="473"/>
      <c r="G4453" s="473"/>
      <c r="H4453" s="473"/>
      <c r="I4453" s="473"/>
      <c r="J4453" s="473"/>
      <c r="K4453" s="473"/>
      <c r="L4453" s="473"/>
      <c r="M4453" s="473"/>
    </row>
    <row r="4454" spans="5:13">
      <c r="E4454" s="473"/>
      <c r="F4454" s="473"/>
      <c r="G4454" s="473"/>
      <c r="H4454" s="473"/>
      <c r="I4454" s="473"/>
      <c r="J4454" s="473"/>
      <c r="K4454" s="473"/>
      <c r="L4454" s="473"/>
      <c r="M4454" s="473"/>
    </row>
    <row r="4455" spans="5:13">
      <c r="E4455" s="473"/>
      <c r="F4455" s="473"/>
      <c r="G4455" s="473"/>
      <c r="H4455" s="473"/>
      <c r="I4455" s="473"/>
      <c r="J4455" s="473"/>
      <c r="K4455" s="473"/>
      <c r="L4455" s="473"/>
      <c r="M4455" s="473"/>
    </row>
    <row r="4456" spans="5:13">
      <c r="E4456" s="473"/>
      <c r="F4456" s="473"/>
      <c r="G4456" s="473"/>
      <c r="H4456" s="473"/>
      <c r="I4456" s="473"/>
      <c r="J4456" s="473"/>
      <c r="K4456" s="473"/>
      <c r="L4456" s="473"/>
      <c r="M4456" s="473"/>
    </row>
    <row r="4457" spans="5:13">
      <c r="E4457" s="473"/>
      <c r="F4457" s="473"/>
      <c r="G4457" s="473"/>
      <c r="H4457" s="473"/>
      <c r="I4457" s="473"/>
      <c r="J4457" s="473"/>
      <c r="K4457" s="473"/>
      <c r="L4457" s="473"/>
      <c r="M4457" s="473"/>
    </row>
    <row r="4458" spans="5:13">
      <c r="E4458" s="473"/>
      <c r="F4458" s="473"/>
      <c r="G4458" s="473"/>
      <c r="H4458" s="473"/>
      <c r="I4458" s="473"/>
      <c r="J4458" s="473"/>
      <c r="K4458" s="473"/>
      <c r="L4458" s="473"/>
      <c r="M4458" s="473"/>
    </row>
    <row r="4459" spans="5:13">
      <c r="E4459" s="473"/>
      <c r="F4459" s="473"/>
      <c r="G4459" s="473"/>
      <c r="H4459" s="473"/>
      <c r="I4459" s="473"/>
      <c r="J4459" s="473"/>
      <c r="K4459" s="473"/>
      <c r="L4459" s="473"/>
      <c r="M4459" s="473"/>
    </row>
    <row r="4460" spans="5:13">
      <c r="E4460" s="473"/>
      <c r="F4460" s="473"/>
      <c r="G4460" s="473"/>
      <c r="H4460" s="473"/>
      <c r="I4460" s="473"/>
      <c r="J4460" s="473"/>
      <c r="K4460" s="473"/>
      <c r="L4460" s="473"/>
      <c r="M4460" s="473"/>
    </row>
    <row r="4461" spans="5:13">
      <c r="E4461" s="473"/>
      <c r="F4461" s="473"/>
      <c r="G4461" s="473"/>
      <c r="H4461" s="473"/>
      <c r="I4461" s="473"/>
      <c r="J4461" s="473"/>
      <c r="K4461" s="473"/>
      <c r="L4461" s="473"/>
      <c r="M4461" s="473"/>
    </row>
    <row r="4462" spans="5:13">
      <c r="E4462" s="473"/>
      <c r="F4462" s="473"/>
      <c r="G4462" s="473"/>
      <c r="H4462" s="473"/>
      <c r="I4462" s="473"/>
      <c r="J4462" s="473"/>
      <c r="K4462" s="473"/>
      <c r="L4462" s="473"/>
      <c r="M4462" s="473"/>
    </row>
    <row r="4463" spans="5:13">
      <c r="E4463" s="473"/>
      <c r="F4463" s="473"/>
      <c r="G4463" s="473"/>
      <c r="H4463" s="473"/>
      <c r="I4463" s="473"/>
      <c r="J4463" s="473"/>
      <c r="K4463" s="473"/>
      <c r="L4463" s="473"/>
      <c r="M4463" s="473"/>
    </row>
    <row r="4464" spans="5:13">
      <c r="E4464" s="473"/>
      <c r="F4464" s="473"/>
      <c r="G4464" s="473"/>
      <c r="H4464" s="473"/>
      <c r="I4464" s="473"/>
      <c r="J4464" s="473"/>
      <c r="K4464" s="473"/>
      <c r="L4464" s="473"/>
      <c r="M4464" s="473"/>
    </row>
    <row r="4465" spans="5:13">
      <c r="E4465" s="473"/>
      <c r="F4465" s="473"/>
      <c r="G4465" s="473"/>
      <c r="H4465" s="473"/>
      <c r="I4465" s="473"/>
      <c r="J4465" s="473"/>
      <c r="K4465" s="473"/>
      <c r="L4465" s="473"/>
      <c r="M4465" s="473"/>
    </row>
    <row r="4466" spans="5:13">
      <c r="E4466" s="473"/>
      <c r="F4466" s="473"/>
      <c r="G4466" s="473"/>
      <c r="H4466" s="473"/>
      <c r="I4466" s="473"/>
      <c r="J4466" s="473"/>
      <c r="K4466" s="473"/>
      <c r="L4466" s="473"/>
      <c r="M4466" s="473"/>
    </row>
    <row r="4467" spans="5:13">
      <c r="E4467" s="473"/>
      <c r="F4467" s="473"/>
      <c r="G4467" s="473"/>
      <c r="H4467" s="473"/>
      <c r="I4467" s="473"/>
      <c r="J4467" s="473"/>
      <c r="K4467" s="473"/>
      <c r="L4467" s="473"/>
      <c r="M4467" s="473"/>
    </row>
    <row r="4468" spans="5:13">
      <c r="E4468" s="473"/>
      <c r="F4468" s="473"/>
      <c r="G4468" s="473"/>
      <c r="H4468" s="473"/>
      <c r="I4468" s="473"/>
      <c r="J4468" s="473"/>
      <c r="K4468" s="473"/>
      <c r="L4468" s="473"/>
      <c r="M4468" s="473"/>
    </row>
    <row r="4469" spans="5:13">
      <c r="E4469" s="473"/>
      <c r="F4469" s="473"/>
      <c r="G4469" s="473"/>
      <c r="H4469" s="473"/>
      <c r="I4469" s="473"/>
      <c r="J4469" s="473"/>
      <c r="K4469" s="473"/>
      <c r="L4469" s="473"/>
      <c r="M4469" s="473"/>
    </row>
    <row r="4470" spans="5:13">
      <c r="E4470" s="473"/>
      <c r="F4470" s="473"/>
      <c r="G4470" s="473"/>
      <c r="H4470" s="473"/>
      <c r="I4470" s="473"/>
      <c r="J4470" s="473"/>
      <c r="K4470" s="473"/>
      <c r="L4470" s="473"/>
      <c r="M4470" s="473"/>
    </row>
    <row r="4471" spans="5:13">
      <c r="E4471" s="473"/>
      <c r="F4471" s="473"/>
      <c r="G4471" s="473"/>
      <c r="H4471" s="473"/>
      <c r="I4471" s="473"/>
      <c r="J4471" s="473"/>
      <c r="K4471" s="473"/>
      <c r="L4471" s="473"/>
      <c r="M4471" s="473"/>
    </row>
    <row r="4472" spans="5:13">
      <c r="E4472" s="473"/>
      <c r="F4472" s="473"/>
      <c r="G4472" s="473"/>
      <c r="H4472" s="473"/>
      <c r="I4472" s="473"/>
      <c r="J4472" s="473"/>
      <c r="K4472" s="473"/>
      <c r="L4472" s="473"/>
      <c r="M4472" s="473"/>
    </row>
    <row r="4473" spans="5:13">
      <c r="E4473" s="473"/>
      <c r="F4473" s="473"/>
      <c r="G4473" s="473"/>
      <c r="H4473" s="473"/>
      <c r="I4473" s="473"/>
      <c r="J4473" s="473"/>
      <c r="K4473" s="473"/>
      <c r="L4473" s="473"/>
      <c r="M4473" s="473"/>
    </row>
    <row r="4474" spans="5:13">
      <c r="E4474" s="473"/>
      <c r="F4474" s="473"/>
      <c r="G4474" s="473"/>
      <c r="H4474" s="473"/>
      <c r="I4474" s="473"/>
      <c r="J4474" s="473"/>
      <c r="K4474" s="473"/>
      <c r="L4474" s="473"/>
      <c r="M4474" s="473"/>
    </row>
    <row r="4475" spans="5:13">
      <c r="E4475" s="473"/>
      <c r="F4475" s="473"/>
      <c r="G4475" s="473"/>
      <c r="H4475" s="473"/>
      <c r="I4475" s="473"/>
      <c r="J4475" s="473"/>
      <c r="K4475" s="473"/>
      <c r="L4475" s="473"/>
      <c r="M4475" s="473"/>
    </row>
    <row r="4476" spans="5:13">
      <c r="E4476" s="473"/>
      <c r="F4476" s="473"/>
      <c r="G4476" s="473"/>
      <c r="H4476" s="473"/>
      <c r="I4476" s="473"/>
      <c r="J4476" s="473"/>
      <c r="K4476" s="473"/>
      <c r="L4476" s="473"/>
      <c r="M4476" s="473"/>
    </row>
    <row r="4477" spans="5:13">
      <c r="E4477" s="473"/>
      <c r="F4477" s="473"/>
      <c r="G4477" s="473"/>
      <c r="H4477" s="473"/>
      <c r="I4477" s="473"/>
      <c r="J4477" s="473"/>
      <c r="K4477" s="473"/>
      <c r="L4477" s="473"/>
      <c r="M4477" s="473"/>
    </row>
    <row r="4478" spans="5:13">
      <c r="E4478" s="473"/>
      <c r="F4478" s="473"/>
      <c r="G4478" s="473"/>
      <c r="H4478" s="473"/>
      <c r="I4478" s="473"/>
      <c r="J4478" s="473"/>
      <c r="K4478" s="473"/>
      <c r="L4478" s="473"/>
      <c r="M4478" s="473"/>
    </row>
    <row r="4479" spans="5:13">
      <c r="E4479" s="473"/>
      <c r="F4479" s="473"/>
      <c r="G4479" s="473"/>
      <c r="H4479" s="473"/>
      <c r="I4479" s="473"/>
      <c r="J4479" s="473"/>
      <c r="K4479" s="473"/>
      <c r="L4479" s="473"/>
      <c r="M4479" s="473"/>
    </row>
    <row r="4480" spans="5:13">
      <c r="E4480" s="473"/>
      <c r="F4480" s="473"/>
      <c r="G4480" s="473"/>
      <c r="H4480" s="473"/>
      <c r="I4480" s="473"/>
      <c r="J4480" s="473"/>
      <c r="K4480" s="473"/>
      <c r="L4480" s="473"/>
      <c r="M4480" s="473"/>
    </row>
    <row r="4481" spans="5:13">
      <c r="E4481" s="473"/>
      <c r="F4481" s="473"/>
      <c r="G4481" s="473"/>
      <c r="H4481" s="473"/>
      <c r="I4481" s="473"/>
      <c r="J4481" s="473"/>
      <c r="K4481" s="473"/>
      <c r="L4481" s="473"/>
      <c r="M4481" s="473"/>
    </row>
    <row r="4482" spans="5:13">
      <c r="E4482" s="473"/>
      <c r="F4482" s="473"/>
      <c r="G4482" s="473"/>
      <c r="H4482" s="473"/>
      <c r="I4482" s="473"/>
      <c r="J4482" s="473"/>
      <c r="K4482" s="473"/>
      <c r="L4482" s="473"/>
      <c r="M4482" s="473"/>
    </row>
    <row r="4483" spans="5:13">
      <c r="E4483" s="473"/>
      <c r="F4483" s="473"/>
      <c r="G4483" s="473"/>
      <c r="H4483" s="473"/>
      <c r="I4483" s="473"/>
      <c r="J4483" s="473"/>
      <c r="K4483" s="473"/>
      <c r="L4483" s="473"/>
      <c r="M4483" s="473"/>
    </row>
    <row r="4484" spans="5:13">
      <c r="E4484" s="473"/>
      <c r="F4484" s="473"/>
      <c r="G4484" s="473"/>
      <c r="H4484" s="473"/>
      <c r="I4484" s="473"/>
      <c r="J4484" s="473"/>
      <c r="K4484" s="473"/>
      <c r="L4484" s="473"/>
      <c r="M4484" s="473"/>
    </row>
    <row r="4485" spans="5:13">
      <c r="E4485" s="473"/>
      <c r="F4485" s="473"/>
      <c r="G4485" s="473"/>
      <c r="H4485" s="473"/>
      <c r="I4485" s="473"/>
      <c r="J4485" s="473"/>
      <c r="K4485" s="473"/>
      <c r="L4485" s="473"/>
      <c r="M4485" s="473"/>
    </row>
    <row r="4486" spans="5:13">
      <c r="E4486" s="473"/>
      <c r="F4486" s="473"/>
      <c r="G4486" s="473"/>
      <c r="H4486" s="473"/>
      <c r="I4486" s="473"/>
      <c r="J4486" s="473"/>
      <c r="K4486" s="473"/>
      <c r="L4486" s="473"/>
      <c r="M4486" s="473"/>
    </row>
    <row r="4487" spans="5:13">
      <c r="E4487" s="473"/>
      <c r="F4487" s="473"/>
      <c r="G4487" s="473"/>
      <c r="H4487" s="473"/>
      <c r="I4487" s="473"/>
      <c r="J4487" s="473"/>
      <c r="K4487" s="473"/>
      <c r="L4487" s="473"/>
      <c r="M4487" s="473"/>
    </row>
    <row r="4488" spans="5:13">
      <c r="E4488" s="473"/>
      <c r="F4488" s="473"/>
      <c r="G4488" s="473"/>
      <c r="H4488" s="473"/>
      <c r="I4488" s="473"/>
      <c r="J4488" s="473"/>
      <c r="K4488" s="473"/>
      <c r="L4488" s="473"/>
      <c r="M4488" s="473"/>
    </row>
    <row r="4489" spans="5:13">
      <c r="E4489" s="473"/>
      <c r="F4489" s="473"/>
      <c r="G4489" s="473"/>
      <c r="H4489" s="473"/>
      <c r="I4489" s="473"/>
      <c r="J4489" s="473"/>
      <c r="K4489" s="473"/>
      <c r="L4489" s="473"/>
      <c r="M4489" s="473"/>
    </row>
    <row r="4490" spans="5:13">
      <c r="E4490" s="473"/>
      <c r="F4490" s="473"/>
      <c r="G4490" s="473"/>
      <c r="H4490" s="473"/>
      <c r="I4490" s="473"/>
      <c r="J4490" s="473"/>
      <c r="K4490" s="473"/>
      <c r="L4490" s="473"/>
      <c r="M4490" s="473"/>
    </row>
    <row r="4491" spans="5:13">
      <c r="E4491" s="473"/>
      <c r="F4491" s="473"/>
      <c r="G4491" s="473"/>
      <c r="H4491" s="473"/>
      <c r="I4491" s="473"/>
      <c r="J4491" s="473"/>
      <c r="K4491" s="473"/>
      <c r="L4491" s="473"/>
      <c r="M4491" s="473"/>
    </row>
    <row r="4492" spans="5:13">
      <c r="E4492" s="473"/>
      <c r="F4492" s="473"/>
      <c r="G4492" s="473"/>
      <c r="H4492" s="473"/>
      <c r="I4492" s="473"/>
      <c r="J4492" s="473"/>
      <c r="K4492" s="473"/>
      <c r="L4492" s="473"/>
      <c r="M4492" s="473"/>
    </row>
    <row r="4493" spans="5:13">
      <c r="E4493" s="473"/>
      <c r="F4493" s="473"/>
      <c r="G4493" s="473"/>
      <c r="H4493" s="473"/>
      <c r="I4493" s="473"/>
      <c r="J4493" s="473"/>
      <c r="K4493" s="473"/>
      <c r="L4493" s="473"/>
      <c r="M4493" s="473"/>
    </row>
    <row r="4494" spans="5:13">
      <c r="E4494" s="473"/>
      <c r="F4494" s="473"/>
      <c r="G4494" s="473"/>
      <c r="H4494" s="473"/>
      <c r="I4494" s="473"/>
      <c r="J4494" s="473"/>
      <c r="K4494" s="473"/>
      <c r="L4494" s="473"/>
      <c r="M4494" s="473"/>
    </row>
    <row r="4495" spans="5:13">
      <c r="E4495" s="473"/>
      <c r="F4495" s="473"/>
      <c r="G4495" s="473"/>
      <c r="H4495" s="473"/>
      <c r="I4495" s="473"/>
      <c r="J4495" s="473"/>
      <c r="K4495" s="473"/>
      <c r="L4495" s="473"/>
      <c r="M4495" s="473"/>
    </row>
    <row r="4496" spans="5:13">
      <c r="E4496" s="473"/>
      <c r="F4496" s="473"/>
      <c r="G4496" s="473"/>
      <c r="H4496" s="473"/>
      <c r="I4496" s="473"/>
      <c r="J4496" s="473"/>
      <c r="K4496" s="473"/>
      <c r="L4496" s="473"/>
      <c r="M4496" s="473"/>
    </row>
    <row r="4497" spans="5:13">
      <c r="E4497" s="473"/>
      <c r="F4497" s="473"/>
      <c r="G4497" s="473"/>
      <c r="H4497" s="473"/>
      <c r="I4497" s="473"/>
      <c r="J4497" s="473"/>
      <c r="K4497" s="473"/>
      <c r="L4497" s="473"/>
      <c r="M4497" s="473"/>
    </row>
    <row r="4498" spans="5:13">
      <c r="E4498" s="473"/>
      <c r="F4498" s="473"/>
      <c r="G4498" s="473"/>
      <c r="H4498" s="473"/>
      <c r="I4498" s="473"/>
      <c r="J4498" s="473"/>
      <c r="K4498" s="473"/>
      <c r="L4498" s="473"/>
      <c r="M4498" s="473"/>
    </row>
    <row r="4499" spans="5:13">
      <c r="E4499" s="473"/>
      <c r="F4499" s="473"/>
      <c r="G4499" s="473"/>
      <c r="H4499" s="473"/>
      <c r="I4499" s="473"/>
      <c r="J4499" s="473"/>
      <c r="K4499" s="473"/>
      <c r="L4499" s="473"/>
      <c r="M4499" s="473"/>
    </row>
    <row r="4500" spans="5:13">
      <c r="E4500" s="473"/>
      <c r="F4500" s="473"/>
      <c r="G4500" s="473"/>
      <c r="H4500" s="473"/>
      <c r="I4500" s="473"/>
      <c r="J4500" s="473"/>
      <c r="K4500" s="473"/>
      <c r="L4500" s="473"/>
      <c r="M4500" s="473"/>
    </row>
    <row r="4501" spans="5:13">
      <c r="E4501" s="473"/>
      <c r="F4501" s="473"/>
      <c r="G4501" s="473"/>
      <c r="H4501" s="473"/>
      <c r="I4501" s="473"/>
      <c r="J4501" s="473"/>
      <c r="K4501" s="473"/>
      <c r="L4501" s="473"/>
      <c r="M4501" s="473"/>
    </row>
    <row r="4502" spans="5:13">
      <c r="E4502" s="473"/>
      <c r="F4502" s="473"/>
      <c r="G4502" s="473"/>
      <c r="H4502" s="473"/>
      <c r="I4502" s="473"/>
      <c r="J4502" s="473"/>
      <c r="K4502" s="473"/>
      <c r="L4502" s="473"/>
      <c r="M4502" s="473"/>
    </row>
    <row r="4503" spans="5:13">
      <c r="E4503" s="473"/>
      <c r="F4503" s="473"/>
      <c r="G4503" s="473"/>
      <c r="H4503" s="473"/>
      <c r="I4503" s="473"/>
      <c r="J4503" s="473"/>
      <c r="K4503" s="473"/>
      <c r="L4503" s="473"/>
      <c r="M4503" s="473"/>
    </row>
    <row r="4504" spans="5:13">
      <c r="E4504" s="473"/>
      <c r="F4504" s="473"/>
      <c r="G4504" s="473"/>
      <c r="H4504" s="473"/>
      <c r="I4504" s="473"/>
      <c r="J4504" s="473"/>
      <c r="K4504" s="473"/>
      <c r="L4504" s="473"/>
      <c r="M4504" s="473"/>
    </row>
    <row r="4505" spans="5:13">
      <c r="E4505" s="473"/>
      <c r="F4505" s="473"/>
      <c r="G4505" s="473"/>
      <c r="H4505" s="473"/>
      <c r="I4505" s="473"/>
      <c r="J4505" s="473"/>
      <c r="K4505" s="473"/>
      <c r="L4505" s="473"/>
      <c r="M4505" s="473"/>
    </row>
    <row r="4506" spans="5:13">
      <c r="E4506" s="473"/>
      <c r="F4506" s="473"/>
      <c r="G4506" s="473"/>
      <c r="H4506" s="473"/>
      <c r="I4506" s="473"/>
      <c r="J4506" s="473"/>
      <c r="K4506" s="473"/>
      <c r="L4506" s="473"/>
      <c r="M4506" s="473"/>
    </row>
    <row r="4507" spans="5:13">
      <c r="E4507" s="473"/>
      <c r="F4507" s="473"/>
      <c r="G4507" s="473"/>
      <c r="H4507" s="473"/>
      <c r="I4507" s="473"/>
      <c r="J4507" s="473"/>
      <c r="K4507" s="473"/>
      <c r="L4507" s="473"/>
      <c r="M4507" s="473"/>
    </row>
    <row r="4508" spans="5:13">
      <c r="E4508" s="473"/>
      <c r="F4508" s="473"/>
      <c r="G4508" s="473"/>
      <c r="H4508" s="473"/>
      <c r="I4508" s="473"/>
      <c r="J4508" s="473"/>
      <c r="K4508" s="473"/>
      <c r="L4508" s="473"/>
      <c r="M4508" s="473"/>
    </row>
    <row r="4509" spans="5:13">
      <c r="E4509" s="473"/>
      <c r="F4509" s="473"/>
      <c r="G4509" s="473"/>
      <c r="H4509" s="473"/>
      <c r="I4509" s="473"/>
      <c r="J4509" s="473"/>
      <c r="K4509" s="473"/>
      <c r="L4509" s="473"/>
      <c r="M4509" s="473"/>
    </row>
    <row r="4510" spans="5:13">
      <c r="E4510" s="473"/>
      <c r="F4510" s="473"/>
      <c r="G4510" s="473"/>
      <c r="H4510" s="473"/>
      <c r="I4510" s="473"/>
      <c r="J4510" s="473"/>
      <c r="K4510" s="473"/>
      <c r="L4510" s="473"/>
      <c r="M4510" s="473"/>
    </row>
    <row r="4511" spans="5:13">
      <c r="E4511" s="473"/>
      <c r="F4511" s="473"/>
      <c r="G4511" s="473"/>
      <c r="H4511" s="473"/>
      <c r="I4511" s="473"/>
      <c r="J4511" s="473"/>
      <c r="K4511" s="473"/>
      <c r="L4511" s="473"/>
      <c r="M4511" s="473"/>
    </row>
    <row r="4512" spans="5:13">
      <c r="E4512" s="473"/>
      <c r="F4512" s="473"/>
      <c r="G4512" s="473"/>
      <c r="H4512" s="473"/>
      <c r="I4512" s="473"/>
      <c r="J4512" s="473"/>
      <c r="K4512" s="473"/>
      <c r="L4512" s="473"/>
      <c r="M4512" s="473"/>
    </row>
    <row r="4513" spans="5:13">
      <c r="E4513" s="473"/>
      <c r="F4513" s="473"/>
      <c r="G4513" s="473"/>
      <c r="H4513" s="473"/>
      <c r="I4513" s="473"/>
      <c r="J4513" s="473"/>
      <c r="K4513" s="473"/>
      <c r="L4513" s="473"/>
      <c r="M4513" s="473"/>
    </row>
    <row r="4514" spans="5:13">
      <c r="E4514" s="473"/>
      <c r="F4514" s="473"/>
      <c r="G4514" s="473"/>
      <c r="H4514" s="473"/>
      <c r="I4514" s="473"/>
      <c r="J4514" s="473"/>
      <c r="K4514" s="473"/>
      <c r="L4514" s="473"/>
      <c r="M4514" s="473"/>
    </row>
    <row r="4515" spans="5:13">
      <c r="E4515" s="473"/>
      <c r="F4515" s="473"/>
      <c r="G4515" s="473"/>
      <c r="H4515" s="473"/>
      <c r="I4515" s="473"/>
      <c r="J4515" s="473"/>
      <c r="K4515" s="473"/>
      <c r="L4515" s="473"/>
      <c r="M4515" s="473"/>
    </row>
    <row r="4516" spans="5:13">
      <c r="E4516" s="473"/>
      <c r="F4516" s="473"/>
      <c r="G4516" s="473"/>
      <c r="H4516" s="473"/>
      <c r="I4516" s="473"/>
      <c r="J4516" s="473"/>
      <c r="K4516" s="473"/>
      <c r="L4516" s="473"/>
      <c r="M4516" s="473"/>
    </row>
    <row r="4517" spans="5:13">
      <c r="E4517" s="473"/>
      <c r="F4517" s="473"/>
      <c r="G4517" s="473"/>
      <c r="H4517" s="473"/>
      <c r="I4517" s="473"/>
      <c r="J4517" s="473"/>
      <c r="K4517" s="473"/>
      <c r="L4517" s="473"/>
      <c r="M4517" s="473"/>
    </row>
    <row r="4518" spans="5:13">
      <c r="E4518" s="473"/>
      <c r="F4518" s="473"/>
      <c r="G4518" s="473"/>
      <c r="H4518" s="473"/>
      <c r="I4518" s="473"/>
      <c r="J4518" s="473"/>
      <c r="K4518" s="473"/>
      <c r="L4518" s="473"/>
      <c r="M4518" s="473"/>
    </row>
    <row r="4519" spans="5:13">
      <c r="E4519" s="473"/>
      <c r="F4519" s="473"/>
      <c r="G4519" s="473"/>
      <c r="H4519" s="473"/>
      <c r="I4519" s="473"/>
      <c r="J4519" s="473"/>
      <c r="K4519" s="473"/>
      <c r="L4519" s="473"/>
      <c r="M4519" s="473"/>
    </row>
    <row r="4520" spans="5:13">
      <c r="E4520" s="473"/>
      <c r="F4520" s="473"/>
      <c r="G4520" s="473"/>
      <c r="H4520" s="473"/>
      <c r="I4520" s="473"/>
      <c r="J4520" s="473"/>
      <c r="K4520" s="473"/>
      <c r="L4520" s="473"/>
      <c r="M4520" s="473"/>
    </row>
    <row r="4521" spans="5:13">
      <c r="E4521" s="473"/>
      <c r="F4521" s="473"/>
      <c r="G4521" s="473"/>
      <c r="H4521" s="473"/>
      <c r="I4521" s="473"/>
      <c r="J4521" s="473"/>
      <c r="K4521" s="473"/>
      <c r="L4521" s="473"/>
      <c r="M4521" s="473"/>
    </row>
    <row r="4522" spans="5:13">
      <c r="E4522" s="473"/>
      <c r="F4522" s="473"/>
      <c r="G4522" s="473"/>
      <c r="H4522" s="473"/>
      <c r="I4522" s="473"/>
      <c r="J4522" s="473"/>
      <c r="K4522" s="473"/>
      <c r="L4522" s="473"/>
      <c r="M4522" s="473"/>
    </row>
    <row r="4523" spans="5:13">
      <c r="E4523" s="473"/>
      <c r="F4523" s="473"/>
      <c r="G4523" s="473"/>
      <c r="H4523" s="473"/>
      <c r="I4523" s="473"/>
      <c r="J4523" s="473"/>
      <c r="K4523" s="473"/>
      <c r="L4523" s="473"/>
      <c r="M4523" s="473"/>
    </row>
    <row r="4524" spans="5:13">
      <c r="E4524" s="473"/>
      <c r="F4524" s="473"/>
      <c r="G4524" s="473"/>
      <c r="H4524" s="473"/>
      <c r="I4524" s="473"/>
      <c r="J4524" s="473"/>
      <c r="K4524" s="473"/>
      <c r="L4524" s="473"/>
      <c r="M4524" s="473"/>
    </row>
    <row r="4525" spans="5:13">
      <c r="E4525" s="473"/>
      <c r="F4525" s="473"/>
      <c r="G4525" s="473"/>
      <c r="H4525" s="473"/>
      <c r="I4525" s="473"/>
      <c r="J4525" s="473"/>
      <c r="K4525" s="473"/>
      <c r="L4525" s="473"/>
      <c r="M4525" s="473"/>
    </row>
    <row r="4526" spans="5:13">
      <c r="E4526" s="473"/>
      <c r="F4526" s="473"/>
      <c r="G4526" s="473"/>
      <c r="H4526" s="473"/>
      <c r="I4526" s="473"/>
      <c r="J4526" s="473"/>
      <c r="K4526" s="473"/>
      <c r="L4526" s="473"/>
      <c r="M4526" s="473"/>
    </row>
    <row r="4527" spans="5:13">
      <c r="E4527" s="473"/>
      <c r="F4527" s="473"/>
      <c r="G4527" s="473"/>
      <c r="H4527" s="473"/>
      <c r="I4527" s="473"/>
      <c r="J4527" s="473"/>
      <c r="K4527" s="473"/>
      <c r="L4527" s="473"/>
      <c r="M4527" s="473"/>
    </row>
    <row r="4528" spans="5:13">
      <c r="E4528" s="473"/>
      <c r="F4528" s="473"/>
      <c r="G4528" s="473"/>
      <c r="H4528" s="473"/>
      <c r="I4528" s="473"/>
      <c r="J4528" s="473"/>
      <c r="K4528" s="473"/>
      <c r="L4528" s="473"/>
      <c r="M4528" s="473"/>
    </row>
    <row r="4529" spans="5:13">
      <c r="E4529" s="473"/>
      <c r="F4529" s="473"/>
      <c r="G4529" s="473"/>
      <c r="H4529" s="473"/>
      <c r="I4529" s="473"/>
      <c r="J4529" s="473"/>
      <c r="K4529" s="473"/>
      <c r="L4529" s="473"/>
      <c r="M4529" s="473"/>
    </row>
    <row r="4530" spans="5:13">
      <c r="E4530" s="473"/>
      <c r="F4530" s="473"/>
      <c r="G4530" s="473"/>
      <c r="H4530" s="473"/>
      <c r="I4530" s="473"/>
      <c r="J4530" s="473"/>
      <c r="K4530" s="473"/>
      <c r="L4530" s="473"/>
      <c r="M4530" s="473"/>
    </row>
    <row r="4531" spans="5:13">
      <c r="E4531" s="473"/>
      <c r="F4531" s="473"/>
      <c r="G4531" s="473"/>
      <c r="H4531" s="473"/>
      <c r="I4531" s="473"/>
      <c r="J4531" s="473"/>
      <c r="K4531" s="473"/>
      <c r="L4531" s="473"/>
      <c r="M4531" s="473"/>
    </row>
    <row r="4532" spans="5:13">
      <c r="E4532" s="473"/>
      <c r="F4532" s="473"/>
      <c r="G4532" s="473"/>
      <c r="H4532" s="473"/>
      <c r="I4532" s="473"/>
      <c r="J4532" s="473"/>
      <c r="K4532" s="473"/>
      <c r="L4532" s="473"/>
      <c r="M4532" s="473"/>
    </row>
    <row r="4533" spans="5:13">
      <c r="E4533" s="473"/>
      <c r="F4533" s="473"/>
      <c r="G4533" s="473"/>
      <c r="H4533" s="473"/>
      <c r="I4533" s="473"/>
      <c r="J4533" s="473"/>
      <c r="K4533" s="473"/>
      <c r="L4533" s="473"/>
      <c r="M4533" s="473"/>
    </row>
    <row r="4534" spans="5:13">
      <c r="E4534" s="473"/>
      <c r="F4534" s="473"/>
      <c r="G4534" s="473"/>
      <c r="H4534" s="473"/>
      <c r="I4534" s="473"/>
      <c r="J4534" s="473"/>
      <c r="K4534" s="473"/>
      <c r="L4534" s="473"/>
      <c r="M4534" s="473"/>
    </row>
    <row r="4535" spans="5:13">
      <c r="E4535" s="473"/>
      <c r="F4535" s="473"/>
      <c r="G4535" s="473"/>
      <c r="H4535" s="473"/>
      <c r="I4535" s="473"/>
      <c r="J4535" s="473"/>
      <c r="K4535" s="473"/>
      <c r="L4535" s="473"/>
      <c r="M4535" s="473"/>
    </row>
    <row r="4536" spans="5:13">
      <c r="E4536" s="473"/>
      <c r="F4536" s="473"/>
      <c r="G4536" s="473"/>
      <c r="H4536" s="473"/>
      <c r="I4536" s="473"/>
      <c r="J4536" s="473"/>
      <c r="K4536" s="473"/>
      <c r="L4536" s="473"/>
      <c r="M4536" s="473"/>
    </row>
    <row r="4537" spans="5:13">
      <c r="E4537" s="473"/>
      <c r="F4537" s="473"/>
      <c r="G4537" s="473"/>
      <c r="H4537" s="473"/>
      <c r="I4537" s="473"/>
      <c r="J4537" s="473"/>
      <c r="K4537" s="473"/>
      <c r="L4537" s="473"/>
      <c r="M4537" s="473"/>
    </row>
    <row r="4538" spans="5:13">
      <c r="E4538" s="473"/>
      <c r="F4538" s="473"/>
      <c r="G4538" s="473"/>
      <c r="H4538" s="473"/>
      <c r="I4538" s="473"/>
      <c r="J4538" s="473"/>
      <c r="K4538" s="473"/>
      <c r="L4538" s="473"/>
      <c r="M4538" s="473"/>
    </row>
    <row r="4539" spans="5:13">
      <c r="E4539" s="473"/>
      <c r="F4539" s="473"/>
      <c r="G4539" s="473"/>
      <c r="H4539" s="473"/>
      <c r="I4539" s="473"/>
      <c r="J4539" s="473"/>
      <c r="K4539" s="473"/>
      <c r="L4539" s="473"/>
      <c r="M4539" s="473"/>
    </row>
    <row r="4540" spans="5:13">
      <c r="E4540" s="473"/>
      <c r="F4540" s="473"/>
      <c r="G4540" s="473"/>
      <c r="H4540" s="473"/>
      <c r="I4540" s="473"/>
      <c r="J4540" s="473"/>
      <c r="K4540" s="473"/>
      <c r="L4540" s="473"/>
      <c r="M4540" s="473"/>
    </row>
    <row r="4541" spans="5:13">
      <c r="E4541" s="473"/>
      <c r="F4541" s="473"/>
      <c r="G4541" s="473"/>
      <c r="H4541" s="473"/>
      <c r="I4541" s="473"/>
      <c r="J4541" s="473"/>
      <c r="K4541" s="473"/>
      <c r="L4541" s="473"/>
      <c r="M4541" s="473"/>
    </row>
    <row r="4542" spans="5:13">
      <c r="E4542" s="473"/>
      <c r="F4542" s="473"/>
      <c r="G4542" s="473"/>
      <c r="H4542" s="473"/>
      <c r="I4542" s="473"/>
      <c r="J4542" s="473"/>
      <c r="K4542" s="473"/>
      <c r="L4542" s="473"/>
      <c r="M4542" s="473"/>
    </row>
    <row r="4543" spans="5:13">
      <c r="E4543" s="473"/>
      <c r="F4543" s="473"/>
      <c r="G4543" s="473"/>
      <c r="H4543" s="473"/>
      <c r="I4543" s="473"/>
      <c r="J4543" s="473"/>
      <c r="K4543" s="473"/>
      <c r="L4543" s="473"/>
      <c r="M4543" s="473"/>
    </row>
    <row r="4544" spans="5:13">
      <c r="E4544" s="473"/>
      <c r="F4544" s="473"/>
      <c r="G4544" s="473"/>
      <c r="H4544" s="473"/>
      <c r="I4544" s="473"/>
      <c r="J4544" s="473"/>
      <c r="K4544" s="473"/>
      <c r="L4544" s="473"/>
      <c r="M4544" s="473"/>
    </row>
    <row r="4545" spans="5:13">
      <c r="E4545" s="473"/>
      <c r="F4545" s="473"/>
      <c r="G4545" s="473"/>
      <c r="H4545" s="473"/>
      <c r="I4545" s="473"/>
      <c r="J4545" s="473"/>
      <c r="K4545" s="473"/>
      <c r="L4545" s="473"/>
      <c r="M4545" s="473"/>
    </row>
    <row r="4546" spans="5:13">
      <c r="E4546" s="473"/>
      <c r="F4546" s="473"/>
      <c r="G4546" s="473"/>
      <c r="H4546" s="473"/>
      <c r="I4546" s="473"/>
      <c r="J4546" s="473"/>
      <c r="K4546" s="473"/>
      <c r="L4546" s="473"/>
      <c r="M4546" s="473"/>
    </row>
    <row r="4547" spans="5:13">
      <c r="E4547" s="473"/>
      <c r="F4547" s="473"/>
      <c r="G4547" s="473"/>
      <c r="H4547" s="473"/>
      <c r="I4547" s="473"/>
      <c r="J4547" s="473"/>
      <c r="K4547" s="473"/>
      <c r="L4547" s="473"/>
      <c r="M4547" s="473"/>
    </row>
    <row r="4548" spans="5:13">
      <c r="E4548" s="473"/>
      <c r="F4548" s="473"/>
      <c r="G4548" s="473"/>
      <c r="H4548" s="473"/>
      <c r="I4548" s="473"/>
      <c r="J4548" s="473"/>
      <c r="K4548" s="473"/>
      <c r="L4548" s="473"/>
      <c r="M4548" s="473"/>
    </row>
    <row r="4549" spans="5:13">
      <c r="E4549" s="473"/>
      <c r="F4549" s="473"/>
      <c r="G4549" s="473"/>
      <c r="H4549" s="473"/>
      <c r="I4549" s="473"/>
      <c r="J4549" s="473"/>
      <c r="K4549" s="473"/>
      <c r="L4549" s="473"/>
      <c r="M4549" s="473"/>
    </row>
    <row r="4550" spans="5:13">
      <c r="E4550" s="473"/>
      <c r="F4550" s="473"/>
      <c r="G4550" s="473"/>
      <c r="H4550" s="473"/>
      <c r="I4550" s="473"/>
      <c r="J4550" s="473"/>
      <c r="K4550" s="473"/>
      <c r="L4550" s="473"/>
      <c r="M4550" s="473"/>
    </row>
    <row r="4551" spans="5:13">
      <c r="E4551" s="473"/>
      <c r="F4551" s="473"/>
      <c r="G4551" s="473"/>
      <c r="H4551" s="473"/>
      <c r="I4551" s="473"/>
      <c r="J4551" s="473"/>
      <c r="K4551" s="473"/>
      <c r="L4551" s="473"/>
      <c r="M4551" s="473"/>
    </row>
    <row r="4552" spans="5:13">
      <c r="E4552" s="473"/>
      <c r="F4552" s="473"/>
      <c r="G4552" s="473"/>
      <c r="H4552" s="473"/>
      <c r="I4552" s="473"/>
      <c r="J4552" s="473"/>
      <c r="K4552" s="473"/>
      <c r="L4552" s="473"/>
      <c r="M4552" s="473"/>
    </row>
    <row r="4553" spans="5:13">
      <c r="E4553" s="473"/>
      <c r="F4553" s="473"/>
      <c r="G4553" s="473"/>
      <c r="H4553" s="473"/>
      <c r="I4553" s="473"/>
      <c r="J4553" s="473"/>
      <c r="K4553" s="473"/>
      <c r="L4553" s="473"/>
      <c r="M4553" s="473"/>
    </row>
    <row r="4554" spans="5:13">
      <c r="E4554" s="473"/>
      <c r="F4554" s="473"/>
      <c r="G4554" s="473"/>
      <c r="H4554" s="473"/>
      <c r="I4554" s="473"/>
      <c r="J4554" s="473"/>
      <c r="K4554" s="473"/>
      <c r="L4554" s="473"/>
      <c r="M4554" s="473"/>
    </row>
    <row r="4555" spans="5:13">
      <c r="E4555" s="473"/>
      <c r="F4555" s="473"/>
      <c r="G4555" s="473"/>
      <c r="H4555" s="473"/>
      <c r="I4555" s="473"/>
      <c r="J4555" s="473"/>
      <c r="K4555" s="473"/>
      <c r="L4555" s="473"/>
      <c r="M4555" s="473"/>
    </row>
    <row r="4556" spans="5:13">
      <c r="E4556" s="473"/>
      <c r="F4556" s="473"/>
      <c r="G4556" s="473"/>
      <c r="H4556" s="473"/>
      <c r="I4556" s="473"/>
      <c r="J4556" s="473"/>
      <c r="K4556" s="473"/>
      <c r="L4556" s="473"/>
      <c r="M4556" s="473"/>
    </row>
    <row r="4557" spans="5:13">
      <c r="E4557" s="473"/>
      <c r="F4557" s="473"/>
      <c r="G4557" s="473"/>
      <c r="H4557" s="473"/>
      <c r="I4557" s="473"/>
      <c r="J4557" s="473"/>
      <c r="K4557" s="473"/>
      <c r="L4557" s="473"/>
      <c r="M4557" s="473"/>
    </row>
    <row r="4558" spans="5:13">
      <c r="E4558" s="473"/>
      <c r="F4558" s="473"/>
      <c r="G4558" s="473"/>
      <c r="H4558" s="473"/>
      <c r="I4558" s="473"/>
      <c r="J4558" s="473"/>
      <c r="K4558" s="473"/>
      <c r="L4558" s="473"/>
      <c r="M4558" s="473"/>
    </row>
    <row r="4559" spans="5:13">
      <c r="E4559" s="473"/>
      <c r="F4559" s="473"/>
      <c r="G4559" s="473"/>
      <c r="H4559" s="473"/>
      <c r="I4559" s="473"/>
      <c r="J4559" s="473"/>
      <c r="K4559" s="473"/>
      <c r="L4559" s="473"/>
      <c r="M4559" s="473"/>
    </row>
    <row r="4560" spans="5:13">
      <c r="E4560" s="473"/>
      <c r="F4560" s="473"/>
      <c r="G4560" s="473"/>
      <c r="H4560" s="473"/>
      <c r="I4560" s="473"/>
      <c r="J4560" s="473"/>
      <c r="K4560" s="473"/>
      <c r="L4560" s="473"/>
      <c r="M4560" s="473"/>
    </row>
    <row r="4561" spans="5:13">
      <c r="E4561" s="473"/>
      <c r="F4561" s="473"/>
      <c r="G4561" s="473"/>
      <c r="H4561" s="473"/>
      <c r="I4561" s="473"/>
      <c r="J4561" s="473"/>
      <c r="K4561" s="473"/>
      <c r="L4561" s="473"/>
      <c r="M4561" s="473"/>
    </row>
    <row r="4562" spans="5:13">
      <c r="E4562" s="473"/>
      <c r="F4562" s="473"/>
      <c r="G4562" s="473"/>
      <c r="H4562" s="473"/>
      <c r="I4562" s="473"/>
      <c r="J4562" s="473"/>
      <c r="K4562" s="473"/>
      <c r="L4562" s="473"/>
      <c r="M4562" s="473"/>
    </row>
    <row r="4563" spans="5:13">
      <c r="E4563" s="473"/>
      <c r="F4563" s="473"/>
      <c r="G4563" s="473"/>
      <c r="H4563" s="473"/>
      <c r="I4563" s="473"/>
      <c r="J4563" s="473"/>
      <c r="K4563" s="473"/>
      <c r="L4563" s="473"/>
      <c r="M4563" s="473"/>
    </row>
    <row r="4564" spans="5:13">
      <c r="E4564" s="473"/>
      <c r="F4564" s="473"/>
      <c r="G4564" s="473"/>
      <c r="H4564" s="473"/>
      <c r="I4564" s="473"/>
      <c r="J4564" s="473"/>
      <c r="K4564" s="473"/>
      <c r="L4564" s="473"/>
      <c r="M4564" s="473"/>
    </row>
    <row r="4565" spans="5:13">
      <c r="E4565" s="473"/>
      <c r="F4565" s="473"/>
      <c r="G4565" s="473"/>
      <c r="H4565" s="473"/>
      <c r="I4565" s="473"/>
      <c r="J4565" s="473"/>
      <c r="K4565" s="473"/>
      <c r="L4565" s="473"/>
      <c r="M4565" s="473"/>
    </row>
    <row r="4566" spans="5:13">
      <c r="E4566" s="473"/>
      <c r="F4566" s="473"/>
      <c r="G4566" s="473"/>
      <c r="H4566" s="473"/>
      <c r="I4566" s="473"/>
      <c r="J4566" s="473"/>
      <c r="K4566" s="473"/>
      <c r="L4566" s="473"/>
      <c r="M4566" s="473"/>
    </row>
    <row r="4567" spans="5:13">
      <c r="E4567" s="473"/>
      <c r="F4567" s="473"/>
      <c r="G4567" s="473"/>
      <c r="H4567" s="473"/>
      <c r="I4567" s="473"/>
      <c r="J4567" s="473"/>
      <c r="K4567" s="473"/>
      <c r="L4567" s="473"/>
      <c r="M4567" s="473"/>
    </row>
    <row r="4568" spans="5:13">
      <c r="E4568" s="473"/>
      <c r="F4568" s="473"/>
      <c r="G4568" s="473"/>
      <c r="H4568" s="473"/>
      <c r="I4568" s="473"/>
      <c r="J4568" s="473"/>
      <c r="K4568" s="473"/>
      <c r="L4568" s="473"/>
      <c r="M4568" s="473"/>
    </row>
    <row r="4569" spans="5:13">
      <c r="E4569" s="473"/>
      <c r="F4569" s="473"/>
      <c r="G4569" s="473"/>
      <c r="H4569" s="473"/>
      <c r="I4569" s="473"/>
      <c r="J4569" s="473"/>
      <c r="K4569" s="473"/>
      <c r="L4569" s="473"/>
      <c r="M4569" s="473"/>
    </row>
    <row r="4570" spans="5:13">
      <c r="E4570" s="473"/>
      <c r="F4570" s="473"/>
      <c r="G4570" s="473"/>
      <c r="H4570" s="473"/>
      <c r="I4570" s="473"/>
      <c r="J4570" s="473"/>
      <c r="K4570" s="473"/>
      <c r="L4570" s="473"/>
      <c r="M4570" s="473"/>
    </row>
    <row r="4571" spans="5:13">
      <c r="E4571" s="473"/>
      <c r="F4571" s="473"/>
      <c r="G4571" s="473"/>
      <c r="H4571" s="473"/>
      <c r="I4571" s="473"/>
      <c r="J4571" s="473"/>
      <c r="K4571" s="473"/>
      <c r="L4571" s="473"/>
      <c r="M4571" s="473"/>
    </row>
    <row r="4572" spans="5:13">
      <c r="E4572" s="473"/>
      <c r="F4572" s="473"/>
      <c r="G4572" s="473"/>
      <c r="H4572" s="473"/>
      <c r="I4572" s="473"/>
      <c r="J4572" s="473"/>
      <c r="K4572" s="473"/>
      <c r="L4572" s="473"/>
      <c r="M4572" s="473"/>
    </row>
    <row r="4573" spans="5:13">
      <c r="E4573" s="473"/>
      <c r="F4573" s="473"/>
      <c r="G4573" s="473"/>
      <c r="H4573" s="473"/>
      <c r="I4573" s="473"/>
      <c r="J4573" s="473"/>
      <c r="K4573" s="473"/>
      <c r="L4573" s="473"/>
      <c r="M4573" s="473"/>
    </row>
    <row r="4574" spans="5:13">
      <c r="E4574" s="473"/>
      <c r="F4574" s="473"/>
      <c r="G4574" s="473"/>
      <c r="H4574" s="473"/>
      <c r="I4574" s="473"/>
      <c r="J4574" s="473"/>
      <c r="K4574" s="473"/>
      <c r="L4574" s="473"/>
      <c r="M4574" s="473"/>
    </row>
    <row r="4575" spans="5:13">
      <c r="E4575" s="473"/>
      <c r="F4575" s="473"/>
      <c r="G4575" s="473"/>
      <c r="H4575" s="473"/>
      <c r="I4575" s="473"/>
      <c r="J4575" s="473"/>
      <c r="K4575" s="473"/>
      <c r="L4575" s="473"/>
      <c r="M4575" s="473"/>
    </row>
    <row r="4576" spans="5:13">
      <c r="E4576" s="473"/>
      <c r="F4576" s="473"/>
      <c r="G4576" s="473"/>
      <c r="H4576" s="473"/>
      <c r="I4576" s="473"/>
      <c r="J4576" s="473"/>
      <c r="K4576" s="473"/>
      <c r="L4576" s="473"/>
      <c r="M4576" s="473"/>
    </row>
    <row r="4577" spans="5:13">
      <c r="E4577" s="473"/>
      <c r="F4577" s="473"/>
      <c r="G4577" s="473"/>
      <c r="H4577" s="473"/>
      <c r="I4577" s="473"/>
      <c r="J4577" s="473"/>
      <c r="K4577" s="473"/>
      <c r="L4577" s="473"/>
      <c r="M4577" s="473"/>
    </row>
    <row r="4578" spans="5:13">
      <c r="E4578" s="473"/>
      <c r="F4578" s="473"/>
      <c r="G4578" s="473"/>
      <c r="H4578" s="473"/>
      <c r="I4578" s="473"/>
      <c r="J4578" s="473"/>
      <c r="K4578" s="473"/>
      <c r="L4578" s="473"/>
      <c r="M4578" s="473"/>
    </row>
    <row r="4579" spans="5:13">
      <c r="E4579" s="473"/>
      <c r="F4579" s="473"/>
      <c r="G4579" s="473"/>
      <c r="H4579" s="473"/>
      <c r="I4579" s="473"/>
      <c r="J4579" s="473"/>
      <c r="K4579" s="473"/>
      <c r="L4579" s="473"/>
      <c r="M4579" s="473"/>
    </row>
    <row r="4580" spans="5:13">
      <c r="E4580" s="473"/>
      <c r="F4580" s="473"/>
      <c r="G4580" s="473"/>
      <c r="H4580" s="473"/>
      <c r="I4580" s="473"/>
      <c r="J4580" s="473"/>
      <c r="K4580" s="473"/>
      <c r="L4580" s="473"/>
      <c r="M4580" s="473"/>
    </row>
    <row r="4581" spans="5:13">
      <c r="E4581" s="473"/>
      <c r="F4581" s="473"/>
      <c r="G4581" s="473"/>
      <c r="H4581" s="473"/>
      <c r="I4581" s="473"/>
      <c r="J4581" s="473"/>
      <c r="K4581" s="473"/>
      <c r="L4581" s="473"/>
      <c r="M4581" s="473"/>
    </row>
    <row r="4582" spans="5:13">
      <c r="E4582" s="473"/>
      <c r="F4582" s="473"/>
      <c r="G4582" s="473"/>
      <c r="H4582" s="473"/>
      <c r="I4582" s="473"/>
      <c r="J4582" s="473"/>
      <c r="K4582" s="473"/>
      <c r="L4582" s="473"/>
      <c r="M4582" s="473"/>
    </row>
    <row r="4583" spans="5:13">
      <c r="E4583" s="473"/>
      <c r="F4583" s="473"/>
      <c r="G4583" s="473"/>
      <c r="H4583" s="473"/>
      <c r="I4583" s="473"/>
      <c r="J4583" s="473"/>
      <c r="K4583" s="473"/>
      <c r="L4583" s="473"/>
      <c r="M4583" s="473"/>
    </row>
    <row r="4584" spans="5:13">
      <c r="E4584" s="473"/>
      <c r="F4584" s="473"/>
      <c r="G4584" s="473"/>
      <c r="H4584" s="473"/>
      <c r="I4584" s="473"/>
      <c r="J4584" s="473"/>
      <c r="K4584" s="473"/>
      <c r="L4584" s="473"/>
      <c r="M4584" s="473"/>
    </row>
    <row r="4585" spans="5:13">
      <c r="E4585" s="473"/>
      <c r="F4585" s="473"/>
      <c r="G4585" s="473"/>
      <c r="H4585" s="473"/>
      <c r="I4585" s="473"/>
      <c r="J4585" s="473"/>
      <c r="K4585" s="473"/>
      <c r="L4585" s="473"/>
      <c r="M4585" s="473"/>
    </row>
    <row r="4586" spans="5:13">
      <c r="E4586" s="473"/>
      <c r="F4586" s="473"/>
      <c r="G4586" s="473"/>
      <c r="H4586" s="473"/>
      <c r="I4586" s="473"/>
      <c r="J4586" s="473"/>
      <c r="K4586" s="473"/>
      <c r="L4586" s="473"/>
      <c r="M4586" s="473"/>
    </row>
    <row r="4587" spans="5:13">
      <c r="E4587" s="473"/>
      <c r="F4587" s="473"/>
      <c r="G4587" s="473"/>
      <c r="H4587" s="473"/>
      <c r="I4587" s="473"/>
      <c r="J4587" s="473"/>
      <c r="K4587" s="473"/>
      <c r="L4587" s="473"/>
      <c r="M4587" s="473"/>
    </row>
    <row r="4588" spans="5:13">
      <c r="E4588" s="473"/>
      <c r="F4588" s="473"/>
      <c r="G4588" s="473"/>
      <c r="H4588" s="473"/>
      <c r="I4588" s="473"/>
      <c r="J4588" s="473"/>
      <c r="K4588" s="473"/>
      <c r="L4588" s="473"/>
      <c r="M4588" s="473"/>
    </row>
    <row r="4589" spans="5:13">
      <c r="E4589" s="473"/>
      <c r="F4589" s="473"/>
      <c r="G4589" s="473"/>
      <c r="H4589" s="473"/>
      <c r="I4589" s="473"/>
      <c r="J4589" s="473"/>
      <c r="K4589" s="473"/>
      <c r="L4589" s="473"/>
      <c r="M4589" s="473"/>
    </row>
    <row r="4590" spans="5:13">
      <c r="E4590" s="473"/>
      <c r="F4590" s="473"/>
      <c r="G4590" s="473"/>
      <c r="H4590" s="473"/>
      <c r="I4590" s="473"/>
      <c r="J4590" s="473"/>
      <c r="K4590" s="473"/>
      <c r="L4590" s="473"/>
      <c r="M4590" s="473"/>
    </row>
    <row r="4591" spans="5:13">
      <c r="E4591" s="473"/>
      <c r="F4591" s="473"/>
      <c r="G4591" s="473"/>
      <c r="H4591" s="473"/>
      <c r="I4591" s="473"/>
      <c r="J4591" s="473"/>
      <c r="K4591" s="473"/>
      <c r="L4591" s="473"/>
      <c r="M4591" s="473"/>
    </row>
    <row r="4592" spans="5:13">
      <c r="E4592" s="473"/>
      <c r="F4592" s="473"/>
      <c r="G4592" s="473"/>
      <c r="H4592" s="473"/>
      <c r="I4592" s="473"/>
      <c r="J4592" s="473"/>
      <c r="K4592" s="473"/>
      <c r="L4592" s="473"/>
      <c r="M4592" s="473"/>
    </row>
    <row r="4593" spans="5:13">
      <c r="E4593" s="473"/>
      <c r="F4593" s="473"/>
      <c r="G4593" s="473"/>
      <c r="H4593" s="473"/>
      <c r="I4593" s="473"/>
      <c r="J4593" s="473"/>
      <c r="K4593" s="473"/>
      <c r="L4593" s="473"/>
      <c r="M4593" s="473"/>
    </row>
    <row r="4594" spans="5:13">
      <c r="E4594" s="473"/>
      <c r="F4594" s="473"/>
      <c r="G4594" s="473"/>
      <c r="H4594" s="473"/>
      <c r="I4594" s="473"/>
      <c r="J4594" s="473"/>
      <c r="K4594" s="473"/>
      <c r="L4594" s="473"/>
      <c r="M4594" s="473"/>
    </row>
    <row r="4595" spans="5:13">
      <c r="E4595" s="473"/>
      <c r="F4595" s="473"/>
      <c r="G4595" s="473"/>
      <c r="H4595" s="473"/>
      <c r="I4595" s="473"/>
      <c r="J4595" s="473"/>
      <c r="K4595" s="473"/>
      <c r="L4595" s="473"/>
      <c r="M4595" s="473"/>
    </row>
    <row r="4596" spans="5:13">
      <c r="E4596" s="473"/>
      <c r="F4596" s="473"/>
      <c r="G4596" s="473"/>
      <c r="H4596" s="473"/>
      <c r="I4596" s="473"/>
      <c r="J4596" s="473"/>
      <c r="K4596" s="473"/>
      <c r="L4596" s="473"/>
      <c r="M4596" s="473"/>
    </row>
    <row r="4597" spans="5:13">
      <c r="E4597" s="473"/>
      <c r="F4597" s="473"/>
      <c r="G4597" s="473"/>
      <c r="H4597" s="473"/>
      <c r="I4597" s="473"/>
      <c r="J4597" s="473"/>
      <c r="K4597" s="473"/>
      <c r="L4597" s="473"/>
      <c r="M4597" s="473"/>
    </row>
    <row r="4598" spans="5:13">
      <c r="E4598" s="473"/>
      <c r="F4598" s="473"/>
      <c r="G4598" s="473"/>
      <c r="H4598" s="473"/>
      <c r="I4598" s="473"/>
      <c r="J4598" s="473"/>
      <c r="K4598" s="473"/>
      <c r="L4598" s="473"/>
      <c r="M4598" s="473"/>
    </row>
    <row r="4599" spans="5:13">
      <c r="E4599" s="473"/>
      <c r="F4599" s="473"/>
      <c r="G4599" s="473"/>
      <c r="H4599" s="473"/>
      <c r="I4599" s="473"/>
      <c r="J4599" s="473"/>
      <c r="K4599" s="473"/>
      <c r="L4599" s="473"/>
      <c r="M4599" s="473"/>
    </row>
    <row r="4600" spans="5:13">
      <c r="E4600" s="473"/>
      <c r="F4600" s="473"/>
      <c r="G4600" s="473"/>
      <c r="H4600" s="473"/>
      <c r="I4600" s="473"/>
      <c r="J4600" s="473"/>
      <c r="K4600" s="473"/>
      <c r="L4600" s="473"/>
      <c r="M4600" s="473"/>
    </row>
    <row r="4601" spans="5:13">
      <c r="E4601" s="473"/>
      <c r="F4601" s="473"/>
      <c r="G4601" s="473"/>
      <c r="H4601" s="473"/>
      <c r="I4601" s="473"/>
      <c r="J4601" s="473"/>
      <c r="K4601" s="473"/>
      <c r="L4601" s="473"/>
      <c r="M4601" s="473"/>
    </row>
    <row r="4602" spans="5:13">
      <c r="E4602" s="473"/>
      <c r="F4602" s="473"/>
      <c r="G4602" s="473"/>
      <c r="H4602" s="473"/>
      <c r="I4602" s="473"/>
      <c r="J4602" s="473"/>
      <c r="K4602" s="473"/>
      <c r="L4602" s="473"/>
      <c r="M4602" s="473"/>
    </row>
    <row r="4603" spans="5:13">
      <c r="E4603" s="473"/>
      <c r="F4603" s="473"/>
      <c r="G4603" s="473"/>
      <c r="H4603" s="473"/>
      <c r="I4603" s="473"/>
      <c r="J4603" s="473"/>
      <c r="K4603" s="473"/>
      <c r="L4603" s="473"/>
      <c r="M4603" s="473"/>
    </row>
    <row r="4604" spans="5:13">
      <c r="E4604" s="473"/>
      <c r="F4604" s="473"/>
      <c r="G4604" s="473"/>
      <c r="H4604" s="473"/>
      <c r="I4604" s="473"/>
      <c r="J4604" s="473"/>
      <c r="K4604" s="473"/>
      <c r="L4604" s="473"/>
      <c r="M4604" s="473"/>
    </row>
    <row r="4605" spans="5:13">
      <c r="E4605" s="473"/>
      <c r="F4605" s="473"/>
      <c r="G4605" s="473"/>
      <c r="H4605" s="473"/>
      <c r="I4605" s="473"/>
      <c r="J4605" s="473"/>
      <c r="K4605" s="473"/>
      <c r="L4605" s="473"/>
      <c r="M4605" s="473"/>
    </row>
    <row r="4606" spans="5:13">
      <c r="E4606" s="473"/>
      <c r="F4606" s="473"/>
      <c r="G4606" s="473"/>
      <c r="H4606" s="473"/>
      <c r="I4606" s="473"/>
      <c r="J4606" s="473"/>
      <c r="K4606" s="473"/>
      <c r="L4606" s="473"/>
      <c r="M4606" s="473"/>
    </row>
    <row r="4607" spans="5:13">
      <c r="E4607" s="473"/>
      <c r="F4607" s="473"/>
      <c r="G4607" s="473"/>
      <c r="H4607" s="473"/>
      <c r="I4607" s="473"/>
      <c r="J4607" s="473"/>
      <c r="K4607" s="473"/>
      <c r="L4607" s="473"/>
      <c r="M4607" s="473"/>
    </row>
    <row r="4608" spans="5:13">
      <c r="E4608" s="473"/>
      <c r="F4608" s="473"/>
      <c r="G4608" s="473"/>
      <c r="H4608" s="473"/>
      <c r="I4608" s="473"/>
      <c r="J4608" s="473"/>
      <c r="K4608" s="473"/>
      <c r="L4608" s="473"/>
      <c r="M4608" s="473"/>
    </row>
    <row r="4609" spans="5:13">
      <c r="E4609" s="473"/>
      <c r="F4609" s="473"/>
      <c r="G4609" s="473"/>
      <c r="H4609" s="473"/>
      <c r="I4609" s="473"/>
      <c r="J4609" s="473"/>
      <c r="K4609" s="473"/>
      <c r="L4609" s="473"/>
      <c r="M4609" s="473"/>
    </row>
    <row r="4610" spans="5:13">
      <c r="E4610" s="473"/>
      <c r="F4610" s="473"/>
      <c r="G4610" s="473"/>
      <c r="H4610" s="473"/>
      <c r="I4610" s="473"/>
      <c r="J4610" s="473"/>
      <c r="K4610" s="473"/>
      <c r="L4610" s="473"/>
      <c r="M4610" s="473"/>
    </row>
    <row r="4611" spans="5:13">
      <c r="E4611" s="473"/>
      <c r="F4611" s="473"/>
      <c r="G4611" s="473"/>
      <c r="H4611" s="473"/>
      <c r="I4611" s="473"/>
      <c r="J4611" s="473"/>
      <c r="K4611" s="473"/>
      <c r="L4611" s="473"/>
      <c r="M4611" s="473"/>
    </row>
    <row r="4612" spans="5:13">
      <c r="E4612" s="473"/>
      <c r="F4612" s="473"/>
      <c r="G4612" s="473"/>
      <c r="H4612" s="473"/>
      <c r="I4612" s="473"/>
      <c r="J4612" s="473"/>
      <c r="K4612" s="473"/>
      <c r="L4612" s="473"/>
      <c r="M4612" s="473"/>
    </row>
    <row r="4613" spans="5:13">
      <c r="E4613" s="473"/>
      <c r="F4613" s="473"/>
      <c r="G4613" s="473"/>
      <c r="H4613" s="473"/>
      <c r="I4613" s="473"/>
      <c r="J4613" s="473"/>
      <c r="K4613" s="473"/>
      <c r="L4613" s="473"/>
      <c r="M4613" s="473"/>
    </row>
    <row r="4614" spans="5:13">
      <c r="E4614" s="473"/>
      <c r="F4614" s="473"/>
      <c r="G4614" s="473"/>
      <c r="H4614" s="473"/>
      <c r="I4614" s="473"/>
      <c r="J4614" s="473"/>
      <c r="K4614" s="473"/>
      <c r="L4614" s="473"/>
      <c r="M4614" s="473"/>
    </row>
    <row r="4615" spans="5:13">
      <c r="E4615" s="473"/>
      <c r="F4615" s="473"/>
      <c r="G4615" s="473"/>
      <c r="H4615" s="473"/>
      <c r="I4615" s="473"/>
      <c r="J4615" s="473"/>
      <c r="K4615" s="473"/>
      <c r="L4615" s="473"/>
      <c r="M4615" s="473"/>
    </row>
    <row r="4616" spans="5:13">
      <c r="E4616" s="473"/>
      <c r="F4616" s="473"/>
      <c r="G4616" s="473"/>
      <c r="H4616" s="473"/>
      <c r="I4616" s="473"/>
      <c r="J4616" s="473"/>
      <c r="K4616" s="473"/>
      <c r="L4616" s="473"/>
      <c r="M4616" s="473"/>
    </row>
    <row r="4617" spans="5:13">
      <c r="E4617" s="473"/>
      <c r="F4617" s="473"/>
      <c r="G4617" s="473"/>
      <c r="H4617" s="473"/>
      <c r="I4617" s="473"/>
      <c r="J4617" s="473"/>
      <c r="K4617" s="473"/>
      <c r="L4617" s="473"/>
      <c r="M4617" s="473"/>
    </row>
    <row r="4618" spans="5:13">
      <c r="E4618" s="473"/>
      <c r="F4618" s="473"/>
      <c r="G4618" s="473"/>
      <c r="H4618" s="473"/>
      <c r="I4618" s="473"/>
      <c r="J4618" s="473"/>
      <c r="K4618" s="473"/>
      <c r="L4618" s="473"/>
      <c r="M4618" s="473"/>
    </row>
    <row r="4619" spans="5:13">
      <c r="E4619" s="473"/>
      <c r="F4619" s="473"/>
      <c r="G4619" s="473"/>
      <c r="H4619" s="473"/>
      <c r="I4619" s="473"/>
      <c r="J4619" s="473"/>
      <c r="K4619" s="473"/>
      <c r="L4619" s="473"/>
      <c r="M4619" s="473"/>
    </row>
    <row r="4620" spans="5:13">
      <c r="E4620" s="473"/>
      <c r="F4620" s="473"/>
      <c r="G4620" s="473"/>
      <c r="H4620" s="473"/>
      <c r="I4620" s="473"/>
      <c r="J4620" s="473"/>
      <c r="K4620" s="473"/>
      <c r="L4620" s="473"/>
      <c r="M4620" s="473"/>
    </row>
    <row r="4621" spans="5:13">
      <c r="E4621" s="473"/>
      <c r="F4621" s="473"/>
      <c r="G4621" s="473"/>
      <c r="H4621" s="473"/>
      <c r="I4621" s="473"/>
      <c r="J4621" s="473"/>
      <c r="K4621" s="473"/>
      <c r="L4621" s="473"/>
      <c r="M4621" s="473"/>
    </row>
    <row r="4622" spans="5:13">
      <c r="E4622" s="473"/>
      <c r="F4622" s="473"/>
      <c r="G4622" s="473"/>
      <c r="H4622" s="473"/>
      <c r="I4622" s="473"/>
      <c r="J4622" s="473"/>
      <c r="K4622" s="473"/>
      <c r="L4622" s="473"/>
      <c r="M4622" s="473"/>
    </row>
    <row r="4623" spans="5:13">
      <c r="E4623" s="473"/>
      <c r="F4623" s="473"/>
      <c r="G4623" s="473"/>
      <c r="H4623" s="473"/>
      <c r="I4623" s="473"/>
      <c r="J4623" s="473"/>
      <c r="K4623" s="473"/>
      <c r="L4623" s="473"/>
      <c r="M4623" s="473"/>
    </row>
    <row r="4624" spans="5:13">
      <c r="E4624" s="473"/>
      <c r="F4624" s="473"/>
      <c r="G4624" s="473"/>
      <c r="H4624" s="473"/>
      <c r="I4624" s="473"/>
      <c r="J4624" s="473"/>
      <c r="K4624" s="473"/>
      <c r="L4624" s="473"/>
      <c r="M4624" s="473"/>
    </row>
    <row r="4625" spans="5:13">
      <c r="E4625" s="473"/>
      <c r="F4625" s="473"/>
      <c r="G4625" s="473"/>
      <c r="H4625" s="473"/>
      <c r="I4625" s="473"/>
      <c r="J4625" s="473"/>
      <c r="K4625" s="473"/>
      <c r="L4625" s="473"/>
      <c r="M4625" s="473"/>
    </row>
    <row r="4626" spans="5:13">
      <c r="E4626" s="473"/>
      <c r="F4626" s="473"/>
      <c r="G4626" s="473"/>
      <c r="H4626" s="473"/>
      <c r="I4626" s="473"/>
      <c r="J4626" s="473"/>
      <c r="K4626" s="473"/>
      <c r="L4626" s="473"/>
      <c r="M4626" s="473"/>
    </row>
    <row r="4627" spans="5:13">
      <c r="E4627" s="473"/>
      <c r="F4627" s="473"/>
      <c r="G4627" s="473"/>
      <c r="H4627" s="473"/>
      <c r="I4627" s="473"/>
      <c r="J4627" s="473"/>
      <c r="K4627" s="473"/>
      <c r="L4627" s="473"/>
      <c r="M4627" s="473"/>
    </row>
    <row r="4628" spans="5:13">
      <c r="E4628" s="473"/>
      <c r="F4628" s="473"/>
      <c r="G4628" s="473"/>
      <c r="H4628" s="473"/>
      <c r="I4628" s="473"/>
      <c r="J4628" s="473"/>
      <c r="K4628" s="473"/>
      <c r="L4628" s="473"/>
      <c r="M4628" s="473"/>
    </row>
    <row r="4629" spans="5:13">
      <c r="E4629" s="473"/>
      <c r="F4629" s="473"/>
      <c r="G4629" s="473"/>
      <c r="H4629" s="473"/>
      <c r="I4629" s="473"/>
      <c r="J4629" s="473"/>
      <c r="K4629" s="473"/>
      <c r="L4629" s="473"/>
      <c r="M4629" s="473"/>
    </row>
    <row r="4630" spans="5:13">
      <c r="E4630" s="473"/>
      <c r="F4630" s="473"/>
      <c r="G4630" s="473"/>
      <c r="H4630" s="473"/>
      <c r="I4630" s="473"/>
      <c r="J4630" s="473"/>
      <c r="K4630" s="473"/>
      <c r="L4630" s="473"/>
      <c r="M4630" s="473"/>
    </row>
    <row r="4631" spans="5:13">
      <c r="E4631" s="473"/>
      <c r="F4631" s="473"/>
      <c r="G4631" s="473"/>
      <c r="H4631" s="473"/>
      <c r="I4631" s="473"/>
      <c r="J4631" s="473"/>
      <c r="K4631" s="473"/>
      <c r="L4631" s="473"/>
      <c r="M4631" s="473"/>
    </row>
    <row r="4632" spans="5:13">
      <c r="E4632" s="473"/>
      <c r="F4632" s="473"/>
      <c r="G4632" s="473"/>
      <c r="H4632" s="473"/>
      <c r="I4632" s="473"/>
      <c r="J4632" s="473"/>
      <c r="K4632" s="473"/>
      <c r="L4632" s="473"/>
      <c r="M4632" s="473"/>
    </row>
    <row r="4633" spans="5:13">
      <c r="E4633" s="473"/>
      <c r="F4633" s="473"/>
      <c r="G4633" s="473"/>
      <c r="H4633" s="473"/>
      <c r="I4633" s="473"/>
      <c r="J4633" s="473"/>
      <c r="K4633" s="473"/>
      <c r="L4633" s="473"/>
      <c r="M4633" s="473"/>
    </row>
    <row r="4634" spans="5:13">
      <c r="E4634" s="473"/>
      <c r="F4634" s="473"/>
      <c r="G4634" s="473"/>
      <c r="H4634" s="473"/>
      <c r="I4634" s="473"/>
      <c r="J4634" s="473"/>
      <c r="K4634" s="473"/>
      <c r="L4634" s="473"/>
      <c r="M4634" s="473"/>
    </row>
    <row r="4635" spans="5:13">
      <c r="E4635" s="473"/>
      <c r="F4635" s="473"/>
      <c r="G4635" s="473"/>
      <c r="H4635" s="473"/>
      <c r="I4635" s="473"/>
      <c r="J4635" s="473"/>
      <c r="K4635" s="473"/>
      <c r="L4635" s="473"/>
      <c r="M4635" s="473"/>
    </row>
    <row r="4636" spans="5:13">
      <c r="E4636" s="473"/>
      <c r="F4636" s="473"/>
      <c r="G4636" s="473"/>
      <c r="H4636" s="473"/>
      <c r="I4636" s="473"/>
      <c r="J4636" s="473"/>
      <c r="K4636" s="473"/>
      <c r="L4636" s="473"/>
      <c r="M4636" s="473"/>
    </row>
    <row r="4637" spans="5:13">
      <c r="E4637" s="473"/>
      <c r="F4637" s="473"/>
      <c r="G4637" s="473"/>
      <c r="H4637" s="473"/>
      <c r="I4637" s="473"/>
      <c r="J4637" s="473"/>
      <c r="K4637" s="473"/>
      <c r="L4637" s="473"/>
      <c r="M4637" s="473"/>
    </row>
    <row r="4638" spans="5:13">
      <c r="E4638" s="473"/>
      <c r="F4638" s="473"/>
      <c r="G4638" s="473"/>
      <c r="H4638" s="473"/>
      <c r="I4638" s="473"/>
      <c r="J4638" s="473"/>
      <c r="K4638" s="473"/>
      <c r="L4638" s="473"/>
      <c r="M4638" s="473"/>
    </row>
    <row r="4639" spans="5:13">
      <c r="E4639" s="473"/>
      <c r="F4639" s="473"/>
      <c r="G4639" s="473"/>
      <c r="H4639" s="473"/>
      <c r="I4639" s="473"/>
      <c r="J4639" s="473"/>
      <c r="K4639" s="473"/>
      <c r="L4639" s="473"/>
      <c r="M4639" s="473"/>
    </row>
    <row r="4640" spans="5:13">
      <c r="E4640" s="473"/>
      <c r="F4640" s="473"/>
      <c r="G4640" s="473"/>
      <c r="H4640" s="473"/>
      <c r="I4640" s="473"/>
      <c r="J4640" s="473"/>
      <c r="K4640" s="473"/>
      <c r="L4640" s="473"/>
      <c r="M4640" s="473"/>
    </row>
    <row r="4641" spans="5:13">
      <c r="E4641" s="473"/>
      <c r="F4641" s="473"/>
      <c r="G4641" s="473"/>
      <c r="H4641" s="473"/>
      <c r="I4641" s="473"/>
      <c r="J4641" s="473"/>
      <c r="K4641" s="473"/>
      <c r="L4641" s="473"/>
      <c r="M4641" s="473"/>
    </row>
    <row r="4642" spans="5:13">
      <c r="E4642" s="473"/>
      <c r="F4642" s="473"/>
      <c r="G4642" s="473"/>
      <c r="H4642" s="473"/>
      <c r="I4642" s="473"/>
      <c r="J4642" s="473"/>
      <c r="K4642" s="473"/>
      <c r="L4642" s="473"/>
      <c r="M4642" s="473"/>
    </row>
    <row r="4643" spans="5:13">
      <c r="E4643" s="473"/>
      <c r="F4643" s="473"/>
      <c r="G4643" s="473"/>
      <c r="H4643" s="473"/>
      <c r="I4643" s="473"/>
      <c r="J4643" s="473"/>
      <c r="K4643" s="473"/>
      <c r="L4643" s="473"/>
      <c r="M4643" s="473"/>
    </row>
    <row r="4644" spans="5:13">
      <c r="E4644" s="473"/>
      <c r="F4644" s="473"/>
      <c r="G4644" s="473"/>
      <c r="H4644" s="473"/>
      <c r="I4644" s="473"/>
      <c r="J4644" s="473"/>
      <c r="K4644" s="473"/>
      <c r="L4644" s="473"/>
      <c r="M4644" s="473"/>
    </row>
    <row r="4645" spans="5:13">
      <c r="E4645" s="473"/>
      <c r="F4645" s="473"/>
      <c r="G4645" s="473"/>
      <c r="H4645" s="473"/>
      <c r="I4645" s="473"/>
      <c r="J4645" s="473"/>
      <c r="K4645" s="473"/>
      <c r="L4645" s="473"/>
      <c r="M4645" s="473"/>
    </row>
    <row r="4646" spans="5:13">
      <c r="E4646" s="473"/>
      <c r="F4646" s="473"/>
      <c r="G4646" s="473"/>
      <c r="H4646" s="473"/>
      <c r="I4646" s="473"/>
      <c r="J4646" s="473"/>
      <c r="K4646" s="473"/>
      <c r="L4646" s="473"/>
      <c r="M4646" s="473"/>
    </row>
    <row r="4647" spans="5:13">
      <c r="E4647" s="473"/>
      <c r="F4647" s="473"/>
      <c r="G4647" s="473"/>
      <c r="H4647" s="473"/>
      <c r="I4647" s="473"/>
      <c r="J4647" s="473"/>
      <c r="K4647" s="473"/>
      <c r="L4647" s="473"/>
      <c r="M4647" s="473"/>
    </row>
    <row r="4648" spans="5:13">
      <c r="E4648" s="473"/>
      <c r="F4648" s="473"/>
      <c r="G4648" s="473"/>
      <c r="H4648" s="473"/>
      <c r="I4648" s="473"/>
      <c r="J4648" s="473"/>
      <c r="K4648" s="473"/>
      <c r="L4648" s="473"/>
      <c r="M4648" s="473"/>
    </row>
    <row r="4649" spans="5:13">
      <c r="E4649" s="473"/>
      <c r="F4649" s="473"/>
      <c r="G4649" s="473"/>
      <c r="H4649" s="473"/>
      <c r="I4649" s="473"/>
      <c r="J4649" s="473"/>
      <c r="K4649" s="473"/>
      <c r="L4649" s="473"/>
      <c r="M4649" s="473"/>
    </row>
    <row r="4650" spans="5:13">
      <c r="E4650" s="473"/>
      <c r="F4650" s="473"/>
      <c r="G4650" s="473"/>
      <c r="H4650" s="473"/>
      <c r="I4650" s="473"/>
      <c r="J4650" s="473"/>
      <c r="K4650" s="473"/>
      <c r="L4650" s="473"/>
      <c r="M4650" s="473"/>
    </row>
    <row r="4651" spans="5:13">
      <c r="E4651" s="473"/>
      <c r="F4651" s="473"/>
      <c r="G4651" s="473"/>
      <c r="H4651" s="473"/>
      <c r="I4651" s="473"/>
      <c r="J4651" s="473"/>
      <c r="K4651" s="473"/>
      <c r="L4651" s="473"/>
      <c r="M4651" s="473"/>
    </row>
    <row r="4652" spans="5:13">
      <c r="E4652" s="473"/>
      <c r="F4652" s="473"/>
      <c r="G4652" s="473"/>
      <c r="H4652" s="473"/>
      <c r="I4652" s="473"/>
      <c r="J4652" s="473"/>
      <c r="K4652" s="473"/>
      <c r="L4652" s="473"/>
      <c r="M4652" s="473"/>
    </row>
    <row r="4653" spans="5:13">
      <c r="E4653" s="473"/>
      <c r="F4653" s="473"/>
      <c r="G4653" s="473"/>
      <c r="H4653" s="473"/>
      <c r="I4653" s="473"/>
      <c r="J4653" s="473"/>
      <c r="K4653" s="473"/>
      <c r="L4653" s="473"/>
      <c r="M4653" s="473"/>
    </row>
    <row r="4654" spans="5:13">
      <c r="E4654" s="473"/>
      <c r="F4654" s="473"/>
      <c r="G4654" s="473"/>
      <c r="H4654" s="473"/>
      <c r="I4654" s="473"/>
      <c r="J4654" s="473"/>
      <c r="K4654" s="473"/>
      <c r="L4654" s="473"/>
      <c r="M4654" s="473"/>
    </row>
    <row r="4655" spans="5:13">
      <c r="E4655" s="473"/>
      <c r="F4655" s="473"/>
      <c r="G4655" s="473"/>
      <c r="H4655" s="473"/>
      <c r="I4655" s="473"/>
      <c r="J4655" s="473"/>
      <c r="K4655" s="473"/>
      <c r="L4655" s="473"/>
      <c r="M4655" s="473"/>
    </row>
    <row r="4656" spans="5:13">
      <c r="E4656" s="473"/>
      <c r="F4656" s="473"/>
      <c r="G4656" s="473"/>
      <c r="H4656" s="473"/>
      <c r="I4656" s="473"/>
      <c r="J4656" s="473"/>
      <c r="K4656" s="473"/>
      <c r="L4656" s="473"/>
      <c r="M4656" s="473"/>
    </row>
    <row r="4657" spans="5:13">
      <c r="E4657" s="473"/>
      <c r="F4657" s="473"/>
      <c r="G4657" s="473"/>
      <c r="H4657" s="473"/>
      <c r="I4657" s="473"/>
      <c r="J4657" s="473"/>
      <c r="K4657" s="473"/>
      <c r="L4657" s="473"/>
      <c r="M4657" s="473"/>
    </row>
    <row r="4658" spans="5:13">
      <c r="E4658" s="473"/>
      <c r="F4658" s="473"/>
      <c r="G4658" s="473"/>
      <c r="H4658" s="473"/>
      <c r="I4658" s="473"/>
      <c r="J4658" s="473"/>
      <c r="K4658" s="473"/>
      <c r="L4658" s="473"/>
      <c r="M4658" s="473"/>
    </row>
    <row r="4659" spans="5:13">
      <c r="E4659" s="473"/>
      <c r="F4659" s="473"/>
      <c r="G4659" s="473"/>
      <c r="H4659" s="473"/>
      <c r="I4659" s="473"/>
      <c r="J4659" s="473"/>
      <c r="K4659" s="473"/>
      <c r="L4659" s="473"/>
      <c r="M4659" s="473"/>
    </row>
    <row r="4660" spans="5:13">
      <c r="E4660" s="473"/>
      <c r="F4660" s="473"/>
      <c r="G4660" s="473"/>
      <c r="H4660" s="473"/>
      <c r="I4660" s="473"/>
      <c r="J4660" s="473"/>
      <c r="K4660" s="473"/>
      <c r="L4660" s="473"/>
      <c r="M4660" s="473"/>
    </row>
    <row r="4661" spans="5:13">
      <c r="E4661" s="473"/>
      <c r="F4661" s="473"/>
      <c r="G4661" s="473"/>
      <c r="H4661" s="473"/>
      <c r="I4661" s="473"/>
      <c r="J4661" s="473"/>
      <c r="K4661" s="473"/>
      <c r="L4661" s="473"/>
      <c r="M4661" s="473"/>
    </row>
    <row r="4662" spans="5:13">
      <c r="E4662" s="473"/>
      <c r="F4662" s="473"/>
      <c r="G4662" s="473"/>
      <c r="H4662" s="473"/>
      <c r="I4662" s="473"/>
      <c r="J4662" s="473"/>
      <c r="K4662" s="473"/>
      <c r="L4662" s="473"/>
      <c r="M4662" s="473"/>
    </row>
    <row r="4663" spans="5:13">
      <c r="E4663" s="473"/>
      <c r="F4663" s="473"/>
      <c r="G4663" s="473"/>
      <c r="H4663" s="473"/>
      <c r="I4663" s="473"/>
      <c r="J4663" s="473"/>
      <c r="K4663" s="473"/>
      <c r="L4663" s="473"/>
      <c r="M4663" s="473"/>
    </row>
    <row r="4664" spans="5:13">
      <c r="E4664" s="473"/>
      <c r="F4664" s="473"/>
      <c r="G4664" s="473"/>
      <c r="H4664" s="473"/>
      <c r="I4664" s="473"/>
      <c r="J4664" s="473"/>
      <c r="K4664" s="473"/>
      <c r="L4664" s="473"/>
      <c r="M4664" s="473"/>
    </row>
    <row r="4665" spans="5:13">
      <c r="E4665" s="473"/>
      <c r="F4665" s="473"/>
      <c r="G4665" s="473"/>
      <c r="H4665" s="473"/>
      <c r="I4665" s="473"/>
      <c r="J4665" s="473"/>
      <c r="K4665" s="473"/>
      <c r="L4665" s="473"/>
      <c r="M4665" s="473"/>
    </row>
    <row r="4666" spans="5:13">
      <c r="E4666" s="473"/>
      <c r="F4666" s="473"/>
      <c r="G4666" s="473"/>
      <c r="H4666" s="473"/>
      <c r="I4666" s="473"/>
      <c r="J4666" s="473"/>
      <c r="K4666" s="473"/>
      <c r="L4666" s="473"/>
      <c r="M4666" s="473"/>
    </row>
    <row r="4667" spans="5:13">
      <c r="E4667" s="473"/>
      <c r="F4667" s="473"/>
      <c r="G4667" s="473"/>
      <c r="H4667" s="473"/>
      <c r="I4667" s="473"/>
      <c r="J4667" s="473"/>
      <c r="K4667" s="473"/>
      <c r="L4667" s="473"/>
      <c r="M4667" s="473"/>
    </row>
    <row r="4668" spans="5:13">
      <c r="E4668" s="473"/>
      <c r="F4668" s="473"/>
      <c r="G4668" s="473"/>
      <c r="H4668" s="473"/>
      <c r="I4668" s="473"/>
      <c r="J4668" s="473"/>
      <c r="K4668" s="473"/>
      <c r="L4668" s="473"/>
      <c r="M4668" s="473"/>
    </row>
    <row r="4669" spans="5:13">
      <c r="E4669" s="473"/>
      <c r="F4669" s="473"/>
      <c r="G4669" s="473"/>
      <c r="H4669" s="473"/>
      <c r="I4669" s="473"/>
      <c r="J4669" s="473"/>
      <c r="K4669" s="473"/>
      <c r="L4669" s="473"/>
      <c r="M4669" s="473"/>
    </row>
    <row r="4670" spans="5:13">
      <c r="E4670" s="473"/>
      <c r="F4670" s="473"/>
      <c r="G4670" s="473"/>
      <c r="H4670" s="473"/>
      <c r="I4670" s="473"/>
      <c r="J4670" s="473"/>
      <c r="K4670" s="473"/>
      <c r="L4670" s="473"/>
      <c r="M4670" s="473"/>
    </row>
    <row r="4671" spans="5:13">
      <c r="E4671" s="473"/>
      <c r="F4671" s="473"/>
      <c r="G4671" s="473"/>
      <c r="H4671" s="473"/>
      <c r="I4671" s="473"/>
      <c r="J4671" s="473"/>
      <c r="K4671" s="473"/>
      <c r="L4671" s="473"/>
      <c r="M4671" s="473"/>
    </row>
    <row r="4672" spans="5:13">
      <c r="E4672" s="473"/>
      <c r="F4672" s="473"/>
      <c r="G4672" s="473"/>
      <c r="H4672" s="473"/>
      <c r="I4672" s="473"/>
      <c r="J4672" s="473"/>
      <c r="K4672" s="473"/>
      <c r="L4672" s="473"/>
      <c r="M4672" s="473"/>
    </row>
    <row r="4673" spans="5:13">
      <c r="E4673" s="473"/>
      <c r="F4673" s="473"/>
      <c r="G4673" s="473"/>
      <c r="H4673" s="473"/>
      <c r="I4673" s="473"/>
      <c r="J4673" s="473"/>
      <c r="K4673" s="473"/>
      <c r="L4673" s="473"/>
      <c r="M4673" s="473"/>
    </row>
    <row r="4674" spans="5:13">
      <c r="E4674" s="473"/>
      <c r="F4674" s="473"/>
      <c r="G4674" s="473"/>
      <c r="H4674" s="473"/>
      <c r="I4674" s="473"/>
      <c r="J4674" s="473"/>
      <c r="K4674" s="473"/>
      <c r="L4674" s="473"/>
      <c r="M4674" s="473"/>
    </row>
    <row r="4675" spans="5:13">
      <c r="E4675" s="473"/>
      <c r="F4675" s="473"/>
      <c r="G4675" s="473"/>
      <c r="H4675" s="473"/>
      <c r="I4675" s="473"/>
      <c r="J4675" s="473"/>
      <c r="K4675" s="473"/>
      <c r="L4675" s="473"/>
      <c r="M4675" s="473"/>
    </row>
    <row r="4676" spans="5:13">
      <c r="E4676" s="473"/>
      <c r="F4676" s="473"/>
      <c r="G4676" s="473"/>
      <c r="H4676" s="473"/>
      <c r="I4676" s="473"/>
      <c r="J4676" s="473"/>
      <c r="K4676" s="473"/>
      <c r="L4676" s="473"/>
      <c r="M4676" s="473"/>
    </row>
    <row r="4677" spans="5:13">
      <c r="E4677" s="473"/>
      <c r="F4677" s="473"/>
      <c r="G4677" s="473"/>
      <c r="H4677" s="473"/>
      <c r="I4677" s="473"/>
      <c r="J4677" s="473"/>
      <c r="K4677" s="473"/>
      <c r="L4677" s="473"/>
      <c r="M4677" s="473"/>
    </row>
    <row r="4678" spans="5:13">
      <c r="E4678" s="473"/>
      <c r="F4678" s="473"/>
      <c r="G4678" s="473"/>
      <c r="H4678" s="473"/>
      <c r="I4678" s="473"/>
      <c r="J4678" s="473"/>
      <c r="K4678" s="473"/>
      <c r="L4678" s="473"/>
      <c r="M4678" s="473"/>
    </row>
    <row r="4679" spans="5:13">
      <c r="E4679" s="473"/>
      <c r="F4679" s="473"/>
      <c r="G4679" s="473"/>
      <c r="H4679" s="473"/>
      <c r="I4679" s="473"/>
      <c r="J4679" s="473"/>
      <c r="K4679" s="473"/>
      <c r="L4679" s="473"/>
      <c r="M4679" s="473"/>
    </row>
    <row r="4680" spans="5:13">
      <c r="E4680" s="473"/>
      <c r="F4680" s="473"/>
      <c r="G4680" s="473"/>
      <c r="H4680" s="473"/>
      <c r="I4680" s="473"/>
      <c r="J4680" s="473"/>
      <c r="K4680" s="473"/>
      <c r="L4680" s="473"/>
      <c r="M4680" s="473"/>
    </row>
    <row r="4681" spans="5:13">
      <c r="E4681" s="473"/>
      <c r="F4681" s="473"/>
      <c r="G4681" s="473"/>
      <c r="H4681" s="473"/>
      <c r="I4681" s="473"/>
      <c r="J4681" s="473"/>
      <c r="K4681" s="473"/>
      <c r="L4681" s="473"/>
      <c r="M4681" s="473"/>
    </row>
    <row r="4682" spans="5:13">
      <c r="E4682" s="473"/>
      <c r="F4682" s="473"/>
      <c r="G4682" s="473"/>
      <c r="H4682" s="473"/>
      <c r="I4682" s="473"/>
      <c r="J4682" s="473"/>
      <c r="K4682" s="473"/>
      <c r="L4682" s="473"/>
      <c r="M4682" s="473"/>
    </row>
    <row r="4683" spans="5:13">
      <c r="E4683" s="473"/>
      <c r="F4683" s="473"/>
      <c r="G4683" s="473"/>
      <c r="H4683" s="473"/>
      <c r="I4683" s="473"/>
      <c r="J4683" s="473"/>
      <c r="K4683" s="473"/>
      <c r="L4683" s="473"/>
      <c r="M4683" s="473"/>
    </row>
    <row r="4684" spans="5:13">
      <c r="E4684" s="473"/>
      <c r="F4684" s="473"/>
      <c r="G4684" s="473"/>
      <c r="H4684" s="473"/>
      <c r="I4684" s="473"/>
      <c r="J4684" s="473"/>
      <c r="K4684" s="473"/>
      <c r="L4684" s="473"/>
      <c r="M4684" s="473"/>
    </row>
    <row r="4685" spans="5:13">
      <c r="E4685" s="473"/>
      <c r="F4685" s="473"/>
      <c r="G4685" s="473"/>
      <c r="H4685" s="473"/>
      <c r="I4685" s="473"/>
      <c r="J4685" s="473"/>
      <c r="K4685" s="473"/>
      <c r="L4685" s="473"/>
      <c r="M4685" s="473"/>
    </row>
    <row r="4686" spans="5:13">
      <c r="E4686" s="473"/>
      <c r="F4686" s="473"/>
      <c r="G4686" s="473"/>
      <c r="H4686" s="473"/>
      <c r="I4686" s="473"/>
      <c r="J4686" s="473"/>
      <c r="K4686" s="473"/>
      <c r="L4686" s="473"/>
      <c r="M4686" s="473"/>
    </row>
    <row r="4687" spans="5:13">
      <c r="E4687" s="473"/>
      <c r="F4687" s="473"/>
      <c r="G4687" s="473"/>
      <c r="H4687" s="473"/>
      <c r="I4687" s="473"/>
      <c r="J4687" s="473"/>
      <c r="K4687" s="473"/>
      <c r="L4687" s="473"/>
      <c r="M4687" s="473"/>
    </row>
    <row r="4688" spans="5:13">
      <c r="E4688" s="473"/>
      <c r="F4688" s="473"/>
      <c r="G4688" s="473"/>
      <c r="H4688" s="473"/>
      <c r="I4688" s="473"/>
      <c r="J4688" s="473"/>
      <c r="K4688" s="473"/>
      <c r="L4688" s="473"/>
      <c r="M4688" s="473"/>
    </row>
    <row r="4689" spans="5:13">
      <c r="E4689" s="473"/>
      <c r="F4689" s="473"/>
      <c r="G4689" s="473"/>
      <c r="H4689" s="473"/>
      <c r="I4689" s="473"/>
      <c r="J4689" s="473"/>
      <c r="K4689" s="473"/>
      <c r="L4689" s="473"/>
      <c r="M4689" s="473"/>
    </row>
    <row r="4690" spans="5:13">
      <c r="E4690" s="473"/>
      <c r="F4690" s="473"/>
      <c r="G4690" s="473"/>
      <c r="H4690" s="473"/>
      <c r="I4690" s="473"/>
      <c r="J4690" s="473"/>
      <c r="K4690" s="473"/>
      <c r="L4690" s="473"/>
      <c r="M4690" s="473"/>
    </row>
    <row r="4691" spans="5:13">
      <c r="E4691" s="473"/>
      <c r="F4691" s="473"/>
      <c r="G4691" s="473"/>
      <c r="H4691" s="473"/>
      <c r="I4691" s="473"/>
      <c r="J4691" s="473"/>
      <c r="K4691" s="473"/>
      <c r="L4691" s="473"/>
      <c r="M4691" s="473"/>
    </row>
    <row r="4692" spans="5:13">
      <c r="E4692" s="473"/>
      <c r="F4692" s="473"/>
      <c r="G4692" s="473"/>
      <c r="H4692" s="473"/>
      <c r="I4692" s="473"/>
      <c r="J4692" s="473"/>
      <c r="K4692" s="473"/>
      <c r="L4692" s="473"/>
      <c r="M4692" s="473"/>
    </row>
    <row r="4693" spans="5:13">
      <c r="E4693" s="473"/>
      <c r="F4693" s="473"/>
      <c r="G4693" s="473"/>
      <c r="H4693" s="473"/>
      <c r="I4693" s="473"/>
      <c r="J4693" s="473"/>
      <c r="K4693" s="473"/>
      <c r="L4693" s="473"/>
      <c r="M4693" s="473"/>
    </row>
    <row r="4694" spans="5:13">
      <c r="E4694" s="473"/>
      <c r="F4694" s="473"/>
      <c r="G4694" s="473"/>
      <c r="H4694" s="473"/>
      <c r="I4694" s="473"/>
      <c r="J4694" s="473"/>
      <c r="K4694" s="473"/>
      <c r="L4694" s="473"/>
      <c r="M4694" s="473"/>
    </row>
    <row r="4695" spans="5:13">
      <c r="E4695" s="473"/>
      <c r="F4695" s="473"/>
      <c r="G4695" s="473"/>
      <c r="H4695" s="473"/>
      <c r="I4695" s="473"/>
      <c r="J4695" s="473"/>
      <c r="K4695" s="473"/>
      <c r="L4695" s="473"/>
      <c r="M4695" s="473"/>
    </row>
    <row r="4696" spans="5:13">
      <c r="E4696" s="473"/>
      <c r="F4696" s="473"/>
      <c r="G4696" s="473"/>
      <c r="H4696" s="473"/>
      <c r="I4696" s="473"/>
      <c r="J4696" s="473"/>
      <c r="K4696" s="473"/>
      <c r="L4696" s="473"/>
      <c r="M4696" s="473"/>
    </row>
    <row r="4697" spans="5:13">
      <c r="E4697" s="473"/>
      <c r="F4697" s="473"/>
      <c r="G4697" s="473"/>
      <c r="H4697" s="473"/>
      <c r="I4697" s="473"/>
      <c r="J4697" s="473"/>
      <c r="K4697" s="473"/>
      <c r="L4697" s="473"/>
      <c r="M4697" s="473"/>
    </row>
    <row r="4698" spans="5:13">
      <c r="E4698" s="473"/>
      <c r="F4698" s="473"/>
      <c r="G4698" s="473"/>
      <c r="H4698" s="473"/>
      <c r="I4698" s="473"/>
      <c r="J4698" s="473"/>
      <c r="K4698" s="473"/>
      <c r="L4698" s="473"/>
      <c r="M4698" s="473"/>
    </row>
    <row r="4699" spans="5:13">
      <c r="E4699" s="473"/>
      <c r="F4699" s="473"/>
      <c r="G4699" s="473"/>
      <c r="H4699" s="473"/>
      <c r="I4699" s="473"/>
      <c r="J4699" s="473"/>
      <c r="K4699" s="473"/>
      <c r="L4699" s="473"/>
      <c r="M4699" s="473"/>
    </row>
    <row r="4700" spans="5:13">
      <c r="E4700" s="473"/>
      <c r="F4700" s="473"/>
      <c r="G4700" s="473"/>
      <c r="H4700" s="473"/>
      <c r="I4700" s="473"/>
      <c r="J4700" s="473"/>
      <c r="K4700" s="473"/>
      <c r="L4700" s="473"/>
      <c r="M4700" s="473"/>
    </row>
    <row r="4701" spans="5:13">
      <c r="E4701" s="473"/>
      <c r="F4701" s="473"/>
      <c r="G4701" s="473"/>
      <c r="H4701" s="473"/>
      <c r="I4701" s="473"/>
      <c r="J4701" s="473"/>
      <c r="K4701" s="473"/>
      <c r="L4701" s="473"/>
      <c r="M4701" s="473"/>
    </row>
    <row r="4702" spans="5:13">
      <c r="E4702" s="473"/>
      <c r="F4702" s="473"/>
      <c r="G4702" s="473"/>
      <c r="H4702" s="473"/>
      <c r="I4702" s="473"/>
      <c r="J4702" s="473"/>
      <c r="K4702" s="473"/>
      <c r="L4702" s="473"/>
      <c r="M4702" s="473"/>
    </row>
    <row r="4703" spans="5:13">
      <c r="E4703" s="473"/>
      <c r="F4703" s="473"/>
      <c r="G4703" s="473"/>
      <c r="H4703" s="473"/>
      <c r="I4703" s="473"/>
      <c r="J4703" s="473"/>
      <c r="K4703" s="473"/>
      <c r="L4703" s="473"/>
      <c r="M4703" s="473"/>
    </row>
    <row r="4704" spans="5:13">
      <c r="E4704" s="473"/>
      <c r="F4704" s="473"/>
      <c r="G4704" s="473"/>
      <c r="H4704" s="473"/>
      <c r="I4704" s="473"/>
      <c r="J4704" s="473"/>
      <c r="K4704" s="473"/>
      <c r="L4704" s="473"/>
      <c r="M4704" s="473"/>
    </row>
    <row r="4705" spans="5:13">
      <c r="E4705" s="473"/>
      <c r="F4705" s="473"/>
      <c r="G4705" s="473"/>
      <c r="H4705" s="473"/>
      <c r="I4705" s="473"/>
      <c r="J4705" s="473"/>
      <c r="K4705" s="473"/>
      <c r="L4705" s="473"/>
      <c r="M4705" s="473"/>
    </row>
    <row r="4706" spans="5:13">
      <c r="E4706" s="473"/>
      <c r="F4706" s="473"/>
      <c r="G4706" s="473"/>
      <c r="H4706" s="473"/>
      <c r="I4706" s="473"/>
      <c r="J4706" s="473"/>
      <c r="K4706" s="473"/>
      <c r="L4706" s="473"/>
      <c r="M4706" s="473"/>
    </row>
    <row r="4707" spans="5:13">
      <c r="E4707" s="473"/>
      <c r="F4707" s="473"/>
      <c r="G4707" s="473"/>
      <c r="H4707" s="473"/>
      <c r="I4707" s="473"/>
      <c r="J4707" s="473"/>
      <c r="K4707" s="473"/>
      <c r="L4707" s="473"/>
      <c r="M4707" s="473"/>
    </row>
    <row r="4708" spans="5:13">
      <c r="E4708" s="473"/>
      <c r="F4708" s="473"/>
      <c r="G4708" s="473"/>
      <c r="H4708" s="473"/>
      <c r="I4708" s="473"/>
      <c r="J4708" s="473"/>
      <c r="K4708" s="473"/>
      <c r="L4708" s="473"/>
      <c r="M4708" s="473"/>
    </row>
    <row r="4709" spans="5:13">
      <c r="E4709" s="473"/>
      <c r="F4709" s="473"/>
      <c r="G4709" s="473"/>
      <c r="H4709" s="473"/>
      <c r="I4709" s="473"/>
      <c r="J4709" s="473"/>
      <c r="K4709" s="473"/>
      <c r="L4709" s="473"/>
      <c r="M4709" s="473"/>
    </row>
    <row r="4710" spans="5:13">
      <c r="E4710" s="473"/>
      <c r="F4710" s="473"/>
      <c r="G4710" s="473"/>
      <c r="H4710" s="473"/>
      <c r="I4710" s="473"/>
      <c r="J4710" s="473"/>
      <c r="K4710" s="473"/>
      <c r="L4710" s="473"/>
      <c r="M4710" s="473"/>
    </row>
    <row r="4711" spans="5:13">
      <c r="E4711" s="473"/>
      <c r="F4711" s="473"/>
      <c r="G4711" s="473"/>
      <c r="H4711" s="473"/>
      <c r="I4711" s="473"/>
      <c r="J4711" s="473"/>
      <c r="K4711" s="473"/>
      <c r="L4711" s="473"/>
      <c r="M4711" s="473"/>
    </row>
    <row r="4712" spans="5:13">
      <c r="E4712" s="473"/>
      <c r="F4712" s="473"/>
      <c r="G4712" s="473"/>
      <c r="H4712" s="473"/>
      <c r="I4712" s="473"/>
      <c r="J4712" s="473"/>
      <c r="K4712" s="473"/>
      <c r="L4712" s="473"/>
      <c r="M4712" s="473"/>
    </row>
    <row r="4713" spans="5:13">
      <c r="E4713" s="473"/>
      <c r="F4713" s="473"/>
      <c r="G4713" s="473"/>
      <c r="H4713" s="473"/>
      <c r="I4713" s="473"/>
      <c r="J4713" s="473"/>
      <c r="K4713" s="473"/>
      <c r="L4713" s="473"/>
      <c r="M4713" s="473"/>
    </row>
    <row r="4714" spans="5:13">
      <c r="E4714" s="473"/>
      <c r="F4714" s="473"/>
      <c r="G4714" s="473"/>
      <c r="H4714" s="473"/>
      <c r="I4714" s="473"/>
      <c r="J4714" s="473"/>
      <c r="K4714" s="473"/>
      <c r="L4714" s="473"/>
      <c r="M4714" s="473"/>
    </row>
    <row r="4715" spans="5:13">
      <c r="E4715" s="473"/>
      <c r="F4715" s="473"/>
      <c r="G4715" s="473"/>
      <c r="H4715" s="473"/>
      <c r="I4715" s="473"/>
      <c r="J4715" s="473"/>
      <c r="K4715" s="473"/>
      <c r="L4715" s="473"/>
      <c r="M4715" s="473"/>
    </row>
    <row r="4716" spans="5:13">
      <c r="E4716" s="473"/>
      <c r="F4716" s="473"/>
      <c r="G4716" s="473"/>
      <c r="H4716" s="473"/>
      <c r="I4716" s="473"/>
      <c r="J4716" s="473"/>
      <c r="K4716" s="473"/>
      <c r="L4716" s="473"/>
      <c r="M4716" s="473"/>
    </row>
    <row r="4717" spans="5:13">
      <c r="E4717" s="473"/>
      <c r="F4717" s="473"/>
      <c r="G4717" s="473"/>
      <c r="H4717" s="473"/>
      <c r="I4717" s="473"/>
      <c r="J4717" s="473"/>
      <c r="K4717" s="473"/>
      <c r="L4717" s="473"/>
      <c r="M4717" s="473"/>
    </row>
    <row r="4718" spans="5:13">
      <c r="E4718" s="473"/>
      <c r="F4718" s="473"/>
      <c r="G4718" s="473"/>
      <c r="H4718" s="473"/>
      <c r="I4718" s="473"/>
      <c r="J4718" s="473"/>
      <c r="K4718" s="473"/>
      <c r="L4718" s="473"/>
      <c r="M4718" s="473"/>
    </row>
    <row r="4719" spans="5:13">
      <c r="E4719" s="473"/>
      <c r="F4719" s="473"/>
      <c r="G4719" s="473"/>
      <c r="H4719" s="473"/>
      <c r="I4719" s="473"/>
      <c r="J4719" s="473"/>
      <c r="K4719" s="473"/>
      <c r="L4719" s="473"/>
      <c r="M4719" s="473"/>
    </row>
    <row r="4720" spans="5:13">
      <c r="E4720" s="473"/>
      <c r="F4720" s="473"/>
      <c r="G4720" s="473"/>
      <c r="H4720" s="473"/>
      <c r="I4720" s="473"/>
      <c r="J4720" s="473"/>
      <c r="K4720" s="473"/>
      <c r="L4720" s="473"/>
      <c r="M4720" s="473"/>
    </row>
    <row r="4721" spans="5:13">
      <c r="E4721" s="473"/>
      <c r="F4721" s="473"/>
      <c r="G4721" s="473"/>
      <c r="H4721" s="473"/>
      <c r="I4721" s="473"/>
      <c r="J4721" s="473"/>
      <c r="K4721" s="473"/>
      <c r="L4721" s="473"/>
      <c r="M4721" s="473"/>
    </row>
    <row r="4722" spans="5:13">
      <c r="E4722" s="473"/>
      <c r="F4722" s="473"/>
      <c r="G4722" s="473"/>
      <c r="H4722" s="473"/>
      <c r="I4722" s="473"/>
      <c r="J4722" s="473"/>
      <c r="K4722" s="473"/>
      <c r="L4722" s="473"/>
      <c r="M4722" s="473"/>
    </row>
    <row r="4723" spans="5:13">
      <c r="E4723" s="473"/>
      <c r="F4723" s="473"/>
      <c r="G4723" s="473"/>
      <c r="H4723" s="473"/>
      <c r="I4723" s="473"/>
      <c r="J4723" s="473"/>
      <c r="K4723" s="473"/>
      <c r="L4723" s="473"/>
      <c r="M4723" s="473"/>
    </row>
    <row r="4724" spans="5:13">
      <c r="E4724" s="473"/>
      <c r="F4724" s="473"/>
      <c r="G4724" s="473"/>
      <c r="H4724" s="473"/>
      <c r="I4724" s="473"/>
      <c r="J4724" s="473"/>
      <c r="K4724" s="473"/>
      <c r="L4724" s="473"/>
      <c r="M4724" s="473"/>
    </row>
    <row r="4725" spans="5:13">
      <c r="E4725" s="473"/>
      <c r="F4725" s="473"/>
      <c r="G4725" s="473"/>
      <c r="H4725" s="473"/>
      <c r="I4725" s="473"/>
      <c r="J4725" s="473"/>
      <c r="K4725" s="473"/>
      <c r="L4725" s="473"/>
      <c r="M4725" s="473"/>
    </row>
    <row r="4726" spans="5:13">
      <c r="E4726" s="473"/>
      <c r="F4726" s="473"/>
      <c r="G4726" s="473"/>
      <c r="H4726" s="473"/>
      <c r="I4726" s="473"/>
      <c r="J4726" s="473"/>
      <c r="K4726" s="473"/>
      <c r="L4726" s="473"/>
      <c r="M4726" s="473"/>
    </row>
    <row r="4727" spans="5:13">
      <c r="E4727" s="473"/>
      <c r="F4727" s="473"/>
      <c r="G4727" s="473"/>
      <c r="H4727" s="473"/>
      <c r="I4727" s="473"/>
      <c r="J4727" s="473"/>
      <c r="K4727" s="473"/>
      <c r="L4727" s="473"/>
      <c r="M4727" s="473"/>
    </row>
    <row r="4728" spans="5:13">
      <c r="E4728" s="473"/>
      <c r="F4728" s="473"/>
      <c r="G4728" s="473"/>
      <c r="H4728" s="473"/>
      <c r="I4728" s="473"/>
      <c r="J4728" s="473"/>
      <c r="K4728" s="473"/>
      <c r="L4728" s="473"/>
      <c r="M4728" s="473"/>
    </row>
    <row r="4729" spans="5:13">
      <c r="E4729" s="473"/>
      <c r="F4729" s="473"/>
      <c r="G4729" s="473"/>
      <c r="H4729" s="473"/>
      <c r="I4729" s="473"/>
      <c r="J4729" s="473"/>
      <c r="K4729" s="473"/>
      <c r="L4729" s="473"/>
      <c r="M4729" s="473"/>
    </row>
    <row r="4730" spans="5:13">
      <c r="E4730" s="473"/>
      <c r="F4730" s="473"/>
      <c r="G4730" s="473"/>
      <c r="H4730" s="473"/>
      <c r="I4730" s="473"/>
      <c r="J4730" s="473"/>
      <c r="K4730" s="473"/>
      <c r="L4730" s="473"/>
      <c r="M4730" s="473"/>
    </row>
    <row r="4731" spans="5:13">
      <c r="E4731" s="473"/>
      <c r="F4731" s="473"/>
      <c r="G4731" s="473"/>
      <c r="H4731" s="473"/>
      <c r="I4731" s="473"/>
      <c r="J4731" s="473"/>
      <c r="K4731" s="473"/>
      <c r="L4731" s="473"/>
      <c r="M4731" s="473"/>
    </row>
    <row r="4732" spans="5:13">
      <c r="E4732" s="473"/>
      <c r="F4732" s="473"/>
      <c r="G4732" s="473"/>
      <c r="H4732" s="473"/>
      <c r="I4732" s="473"/>
      <c r="J4732" s="473"/>
      <c r="K4732" s="473"/>
      <c r="L4732" s="473"/>
      <c r="M4732" s="473"/>
    </row>
    <row r="4733" spans="5:13">
      <c r="E4733" s="473"/>
      <c r="F4733" s="473"/>
      <c r="G4733" s="473"/>
      <c r="H4733" s="473"/>
      <c r="I4733" s="473"/>
      <c r="J4733" s="473"/>
      <c r="K4733" s="473"/>
      <c r="L4733" s="473"/>
      <c r="M4733" s="473"/>
    </row>
    <row r="4734" spans="5:13">
      <c r="E4734" s="473"/>
      <c r="F4734" s="473"/>
      <c r="G4734" s="473"/>
      <c r="H4734" s="473"/>
      <c r="I4734" s="473"/>
      <c r="J4734" s="473"/>
      <c r="K4734" s="473"/>
      <c r="L4734" s="473"/>
      <c r="M4734" s="473"/>
    </row>
    <row r="4735" spans="5:13">
      <c r="E4735" s="473"/>
      <c r="F4735" s="473"/>
      <c r="G4735" s="473"/>
      <c r="H4735" s="473"/>
      <c r="I4735" s="473"/>
      <c r="J4735" s="473"/>
      <c r="K4735" s="473"/>
      <c r="L4735" s="473"/>
      <c r="M4735" s="473"/>
    </row>
    <row r="4736" spans="5:13">
      <c r="E4736" s="473"/>
      <c r="F4736" s="473"/>
      <c r="G4736" s="473"/>
      <c r="H4736" s="473"/>
      <c r="I4736" s="473"/>
      <c r="J4736" s="473"/>
      <c r="K4736" s="473"/>
      <c r="L4736" s="473"/>
      <c r="M4736" s="473"/>
    </row>
    <row r="4737" spans="5:13">
      <c r="E4737" s="473"/>
      <c r="F4737" s="473"/>
      <c r="G4737" s="473"/>
      <c r="H4737" s="473"/>
      <c r="I4737" s="473"/>
      <c r="J4737" s="473"/>
      <c r="K4737" s="473"/>
      <c r="L4737" s="473"/>
      <c r="M4737" s="473"/>
    </row>
    <row r="4738" spans="5:13">
      <c r="E4738" s="473"/>
      <c r="F4738" s="473"/>
      <c r="G4738" s="473"/>
      <c r="H4738" s="473"/>
      <c r="I4738" s="473"/>
      <c r="J4738" s="473"/>
      <c r="K4738" s="473"/>
      <c r="L4738" s="473"/>
      <c r="M4738" s="473"/>
    </row>
    <row r="4739" spans="5:13">
      <c r="E4739" s="473"/>
      <c r="F4739" s="473"/>
      <c r="G4739" s="473"/>
      <c r="H4739" s="473"/>
      <c r="I4739" s="473"/>
      <c r="J4739" s="473"/>
      <c r="K4739" s="473"/>
      <c r="L4739" s="473"/>
      <c r="M4739" s="473"/>
    </row>
    <row r="4740" spans="5:13">
      <c r="E4740" s="473"/>
      <c r="F4740" s="473"/>
      <c r="G4740" s="473"/>
      <c r="H4740" s="473"/>
      <c r="I4740" s="473"/>
      <c r="J4740" s="473"/>
      <c r="K4740" s="473"/>
      <c r="L4740" s="473"/>
      <c r="M4740" s="473"/>
    </row>
    <row r="4741" spans="5:13">
      <c r="E4741" s="473"/>
      <c r="F4741" s="473"/>
      <c r="G4741" s="473"/>
      <c r="H4741" s="473"/>
      <c r="I4741" s="473"/>
      <c r="J4741" s="473"/>
      <c r="K4741" s="473"/>
      <c r="L4741" s="473"/>
      <c r="M4741" s="473"/>
    </row>
    <row r="4742" spans="5:13">
      <c r="E4742" s="473"/>
      <c r="F4742" s="473"/>
      <c r="G4742" s="473"/>
      <c r="H4742" s="473"/>
      <c r="I4742" s="473"/>
      <c r="J4742" s="473"/>
      <c r="K4742" s="473"/>
      <c r="L4742" s="473"/>
      <c r="M4742" s="473"/>
    </row>
    <row r="4743" spans="5:13">
      <c r="E4743" s="473"/>
      <c r="F4743" s="473"/>
      <c r="G4743" s="473"/>
      <c r="H4743" s="473"/>
      <c r="I4743" s="473"/>
      <c r="J4743" s="473"/>
      <c r="K4743" s="473"/>
      <c r="L4743" s="473"/>
      <c r="M4743" s="473"/>
    </row>
    <row r="4744" spans="5:13">
      <c r="E4744" s="473"/>
      <c r="F4744" s="473"/>
      <c r="G4744" s="473"/>
      <c r="H4744" s="473"/>
      <c r="I4744" s="473"/>
      <c r="J4744" s="473"/>
      <c r="K4744" s="473"/>
      <c r="L4744" s="473"/>
      <c r="M4744" s="473"/>
    </row>
    <row r="4745" spans="5:13">
      <c r="E4745" s="473"/>
      <c r="F4745" s="473"/>
      <c r="G4745" s="473"/>
      <c r="H4745" s="473"/>
      <c r="I4745" s="473"/>
      <c r="J4745" s="473"/>
      <c r="K4745" s="473"/>
      <c r="L4745" s="473"/>
      <c r="M4745" s="473"/>
    </row>
    <row r="4746" spans="5:13">
      <c r="E4746" s="473"/>
      <c r="F4746" s="473"/>
      <c r="G4746" s="473"/>
      <c r="H4746" s="473"/>
      <c r="I4746" s="473"/>
      <c r="J4746" s="473"/>
      <c r="K4746" s="473"/>
      <c r="L4746" s="473"/>
      <c r="M4746" s="473"/>
    </row>
    <row r="4747" spans="5:13">
      <c r="E4747" s="473"/>
      <c r="F4747" s="473"/>
      <c r="G4747" s="473"/>
      <c r="H4747" s="473"/>
      <c r="I4747" s="473"/>
      <c r="J4747" s="473"/>
      <c r="K4747" s="473"/>
      <c r="L4747" s="473"/>
      <c r="M4747" s="473"/>
    </row>
    <row r="4748" spans="5:13">
      <c r="E4748" s="473"/>
      <c r="F4748" s="473"/>
      <c r="G4748" s="473"/>
      <c r="H4748" s="473"/>
      <c r="I4748" s="473"/>
      <c r="J4748" s="473"/>
      <c r="K4748" s="473"/>
      <c r="L4748" s="473"/>
      <c r="M4748" s="473"/>
    </row>
    <row r="4749" spans="5:13">
      <c r="E4749" s="473"/>
      <c r="F4749" s="473"/>
      <c r="G4749" s="473"/>
      <c r="H4749" s="473"/>
      <c r="I4749" s="473"/>
      <c r="J4749" s="473"/>
      <c r="K4749" s="473"/>
      <c r="L4749" s="473"/>
      <c r="M4749" s="473"/>
    </row>
    <row r="4750" spans="5:13">
      <c r="E4750" s="473"/>
      <c r="F4750" s="473"/>
      <c r="G4750" s="473"/>
      <c r="H4750" s="473"/>
      <c r="I4750" s="473"/>
      <c r="J4750" s="473"/>
      <c r="K4750" s="473"/>
      <c r="L4750" s="473"/>
      <c r="M4750" s="473"/>
    </row>
    <row r="4751" spans="5:13">
      <c r="E4751" s="473"/>
      <c r="F4751" s="473"/>
      <c r="G4751" s="473"/>
      <c r="H4751" s="473"/>
      <c r="I4751" s="473"/>
      <c r="J4751" s="473"/>
      <c r="K4751" s="473"/>
      <c r="L4751" s="473"/>
      <c r="M4751" s="473"/>
    </row>
    <row r="4752" spans="5:13">
      <c r="E4752" s="473"/>
      <c r="F4752" s="473"/>
      <c r="G4752" s="473"/>
      <c r="H4752" s="473"/>
      <c r="I4752" s="473"/>
      <c r="J4752" s="473"/>
      <c r="K4752" s="473"/>
      <c r="L4752" s="473"/>
      <c r="M4752" s="473"/>
    </row>
    <row r="4753" spans="5:13">
      <c r="E4753" s="473"/>
      <c r="F4753" s="473"/>
      <c r="G4753" s="473"/>
      <c r="H4753" s="473"/>
      <c r="I4753" s="473"/>
      <c r="J4753" s="473"/>
      <c r="K4753" s="473"/>
      <c r="L4753" s="473"/>
      <c r="M4753" s="473"/>
    </row>
    <row r="4754" spans="5:13">
      <c r="E4754" s="473"/>
      <c r="F4754" s="473"/>
      <c r="G4754" s="473"/>
      <c r="H4754" s="473"/>
      <c r="I4754" s="473"/>
      <c r="J4754" s="473"/>
      <c r="K4754" s="473"/>
      <c r="L4754" s="473"/>
      <c r="M4754" s="473"/>
    </row>
    <row r="4755" spans="5:13">
      <c r="E4755" s="473"/>
      <c r="F4755" s="473"/>
      <c r="G4755" s="473"/>
      <c r="H4755" s="473"/>
      <c r="I4755" s="473"/>
      <c r="J4755" s="473"/>
      <c r="K4755" s="473"/>
      <c r="L4755" s="473"/>
      <c r="M4755" s="473"/>
    </row>
    <row r="4756" spans="5:13">
      <c r="E4756" s="473"/>
      <c r="F4756" s="473"/>
      <c r="G4756" s="473"/>
      <c r="H4756" s="473"/>
      <c r="I4756" s="473"/>
      <c r="J4756" s="473"/>
      <c r="K4756" s="473"/>
      <c r="L4756" s="473"/>
      <c r="M4756" s="473"/>
    </row>
    <row r="4757" spans="5:13">
      <c r="E4757" s="473"/>
      <c r="F4757" s="473"/>
      <c r="G4757" s="473"/>
      <c r="H4757" s="473"/>
      <c r="I4757" s="473"/>
      <c r="J4757" s="473"/>
      <c r="K4757" s="473"/>
      <c r="L4757" s="473"/>
      <c r="M4757" s="473"/>
    </row>
    <row r="4758" spans="5:13">
      <c r="E4758" s="473"/>
      <c r="F4758" s="473"/>
      <c r="G4758" s="473"/>
      <c r="H4758" s="473"/>
      <c r="I4758" s="473"/>
      <c r="J4758" s="473"/>
      <c r="K4758" s="473"/>
      <c r="L4758" s="473"/>
      <c r="M4758" s="473"/>
    </row>
    <row r="4759" spans="5:13">
      <c r="E4759" s="473"/>
      <c r="F4759" s="473"/>
      <c r="G4759" s="473"/>
      <c r="H4759" s="473"/>
      <c r="I4759" s="473"/>
      <c r="J4759" s="473"/>
      <c r="K4759" s="473"/>
      <c r="L4759" s="473"/>
      <c r="M4759" s="473"/>
    </row>
    <row r="4760" spans="5:13">
      <c r="E4760" s="473"/>
      <c r="F4760" s="473"/>
      <c r="G4760" s="473"/>
      <c r="H4760" s="473"/>
      <c r="I4760" s="473"/>
      <c r="J4760" s="473"/>
      <c r="K4760" s="473"/>
      <c r="L4760" s="473"/>
      <c r="M4760" s="473"/>
    </row>
    <row r="4761" spans="5:13">
      <c r="E4761" s="473"/>
      <c r="F4761" s="473"/>
      <c r="G4761" s="473"/>
      <c r="H4761" s="473"/>
      <c r="I4761" s="473"/>
      <c r="J4761" s="473"/>
      <c r="K4761" s="473"/>
      <c r="L4761" s="473"/>
      <c r="M4761" s="473"/>
    </row>
    <row r="4762" spans="5:13">
      <c r="E4762" s="473"/>
      <c r="F4762" s="473"/>
      <c r="G4762" s="473"/>
      <c r="H4762" s="473"/>
      <c r="I4762" s="473"/>
      <c r="J4762" s="473"/>
      <c r="K4762" s="473"/>
      <c r="L4762" s="473"/>
      <c r="M4762" s="473"/>
    </row>
    <row r="4763" spans="5:13">
      <c r="E4763" s="473"/>
      <c r="F4763" s="473"/>
      <c r="G4763" s="473"/>
      <c r="H4763" s="473"/>
      <c r="I4763" s="473"/>
      <c r="J4763" s="473"/>
      <c r="K4763" s="473"/>
      <c r="L4763" s="473"/>
      <c r="M4763" s="473"/>
    </row>
    <row r="4764" spans="5:13">
      <c r="E4764" s="473"/>
      <c r="F4764" s="473"/>
      <c r="G4764" s="473"/>
      <c r="H4764" s="473"/>
      <c r="I4764" s="473"/>
      <c r="J4764" s="473"/>
      <c r="K4764" s="473"/>
      <c r="L4764" s="473"/>
      <c r="M4764" s="473"/>
    </row>
    <row r="4765" spans="5:13">
      <c r="E4765" s="473"/>
      <c r="F4765" s="473"/>
      <c r="G4765" s="473"/>
      <c r="H4765" s="473"/>
      <c r="I4765" s="473"/>
      <c r="J4765" s="473"/>
      <c r="K4765" s="473"/>
      <c r="L4765" s="473"/>
      <c r="M4765" s="473"/>
    </row>
    <row r="4766" spans="5:13">
      <c r="E4766" s="473"/>
      <c r="F4766" s="473"/>
      <c r="G4766" s="473"/>
      <c r="H4766" s="473"/>
      <c r="I4766" s="473"/>
      <c r="J4766" s="473"/>
      <c r="K4766" s="473"/>
      <c r="L4766" s="473"/>
      <c r="M4766" s="473"/>
    </row>
    <row r="4767" spans="5:13">
      <c r="E4767" s="473"/>
      <c r="F4767" s="473"/>
      <c r="G4767" s="473"/>
      <c r="H4767" s="473"/>
      <c r="I4767" s="473"/>
      <c r="J4767" s="473"/>
      <c r="K4767" s="473"/>
      <c r="L4767" s="473"/>
      <c r="M4767" s="473"/>
    </row>
    <row r="4768" spans="5:13">
      <c r="E4768" s="473"/>
      <c r="F4768" s="473"/>
      <c r="G4768" s="473"/>
      <c r="H4768" s="473"/>
      <c r="I4768" s="473"/>
      <c r="J4768" s="473"/>
      <c r="K4768" s="473"/>
      <c r="L4768" s="473"/>
      <c r="M4768" s="473"/>
    </row>
    <row r="4769" spans="5:13">
      <c r="E4769" s="473"/>
      <c r="F4769" s="473"/>
      <c r="G4769" s="473"/>
      <c r="H4769" s="473"/>
      <c r="I4769" s="473"/>
      <c r="J4769" s="473"/>
      <c r="K4769" s="473"/>
      <c r="L4769" s="473"/>
      <c r="M4769" s="473"/>
    </row>
    <row r="4770" spans="5:13">
      <c r="E4770" s="473"/>
      <c r="F4770" s="473"/>
      <c r="G4770" s="473"/>
      <c r="H4770" s="473"/>
      <c r="I4770" s="473"/>
      <c r="J4770" s="473"/>
      <c r="K4770" s="473"/>
      <c r="L4770" s="473"/>
      <c r="M4770" s="473"/>
    </row>
    <row r="4771" spans="5:13">
      <c r="E4771" s="473"/>
      <c r="F4771" s="473"/>
      <c r="G4771" s="473"/>
      <c r="H4771" s="473"/>
      <c r="I4771" s="473"/>
      <c r="J4771" s="473"/>
      <c r="K4771" s="473"/>
      <c r="L4771" s="473"/>
      <c r="M4771" s="473"/>
    </row>
    <row r="4772" spans="5:13">
      <c r="E4772" s="473"/>
      <c r="F4772" s="473"/>
      <c r="G4772" s="473"/>
      <c r="H4772" s="473"/>
      <c r="I4772" s="473"/>
      <c r="J4772" s="473"/>
      <c r="K4772" s="473"/>
      <c r="L4772" s="473"/>
      <c r="M4772" s="473"/>
    </row>
    <row r="4773" spans="5:13">
      <c r="E4773" s="473"/>
      <c r="F4773" s="473"/>
      <c r="G4773" s="473"/>
      <c r="H4773" s="473"/>
      <c r="I4773" s="473"/>
      <c r="J4773" s="473"/>
      <c r="K4773" s="473"/>
      <c r="L4773" s="473"/>
      <c r="M4773" s="473"/>
    </row>
    <row r="4774" spans="5:13">
      <c r="E4774" s="473"/>
      <c r="F4774" s="473"/>
      <c r="G4774" s="473"/>
      <c r="H4774" s="473"/>
      <c r="I4774" s="473"/>
      <c r="J4774" s="473"/>
      <c r="K4774" s="473"/>
      <c r="L4774" s="473"/>
      <c r="M4774" s="473"/>
    </row>
    <row r="4775" spans="5:13">
      <c r="E4775" s="473"/>
      <c r="F4775" s="473"/>
      <c r="G4775" s="473"/>
      <c r="H4775" s="473"/>
      <c r="I4775" s="473"/>
      <c r="J4775" s="473"/>
      <c r="K4775" s="473"/>
      <c r="L4775" s="473"/>
      <c r="M4775" s="473"/>
    </row>
    <row r="4776" spans="5:13">
      <c r="E4776" s="473"/>
      <c r="F4776" s="473"/>
      <c r="G4776" s="473"/>
      <c r="H4776" s="473"/>
      <c r="I4776" s="473"/>
      <c r="J4776" s="473"/>
      <c r="K4776" s="473"/>
      <c r="L4776" s="473"/>
      <c r="M4776" s="473"/>
    </row>
    <row r="4777" spans="5:13">
      <c r="E4777" s="473"/>
      <c r="F4777" s="473"/>
      <c r="G4777" s="473"/>
      <c r="H4777" s="473"/>
      <c r="I4777" s="473"/>
      <c r="J4777" s="473"/>
      <c r="K4777" s="473"/>
      <c r="L4777" s="473"/>
      <c r="M4777" s="473"/>
    </row>
    <row r="4778" spans="5:13">
      <c r="E4778" s="473"/>
      <c r="F4778" s="473"/>
      <c r="G4778" s="473"/>
      <c r="H4778" s="473"/>
      <c r="I4778" s="473"/>
      <c r="J4778" s="473"/>
      <c r="K4778" s="473"/>
      <c r="L4778" s="473"/>
      <c r="M4778" s="473"/>
    </row>
    <row r="4779" spans="5:13">
      <c r="E4779" s="473"/>
      <c r="F4779" s="473"/>
      <c r="G4779" s="473"/>
      <c r="H4779" s="473"/>
      <c r="I4779" s="473"/>
      <c r="J4779" s="473"/>
      <c r="K4779" s="473"/>
      <c r="L4779" s="473"/>
      <c r="M4779" s="473"/>
    </row>
    <row r="4780" spans="5:13">
      <c r="E4780" s="473"/>
      <c r="F4780" s="473"/>
      <c r="G4780" s="473"/>
      <c r="H4780" s="473"/>
      <c r="I4780" s="473"/>
      <c r="J4780" s="473"/>
      <c r="K4780" s="473"/>
      <c r="L4780" s="473"/>
      <c r="M4780" s="473"/>
    </row>
    <row r="4781" spans="5:13">
      <c r="E4781" s="473"/>
      <c r="F4781" s="473"/>
      <c r="G4781" s="473"/>
      <c r="H4781" s="473"/>
      <c r="I4781" s="473"/>
      <c r="J4781" s="473"/>
      <c r="K4781" s="473"/>
      <c r="L4781" s="473"/>
      <c r="M4781" s="473"/>
    </row>
    <row r="4782" spans="5:13">
      <c r="E4782" s="473"/>
      <c r="F4782" s="473"/>
      <c r="G4782" s="473"/>
      <c r="H4782" s="473"/>
      <c r="I4782" s="473"/>
      <c r="J4782" s="473"/>
      <c r="K4782" s="473"/>
      <c r="L4782" s="473"/>
      <c r="M4782" s="473"/>
    </row>
    <row r="4783" spans="5:13">
      <c r="E4783" s="473"/>
      <c r="F4783" s="473"/>
      <c r="G4783" s="473"/>
      <c r="H4783" s="473"/>
      <c r="I4783" s="473"/>
      <c r="J4783" s="473"/>
      <c r="K4783" s="473"/>
      <c r="L4783" s="473"/>
      <c r="M4783" s="473"/>
    </row>
    <row r="4784" spans="5:13">
      <c r="E4784" s="473"/>
      <c r="F4784" s="473"/>
      <c r="G4784" s="473"/>
      <c r="H4784" s="473"/>
      <c r="I4784" s="473"/>
      <c r="J4784" s="473"/>
      <c r="K4784" s="473"/>
      <c r="L4784" s="473"/>
      <c r="M4784" s="473"/>
    </row>
    <row r="4785" spans="5:13">
      <c r="E4785" s="473"/>
      <c r="F4785" s="473"/>
      <c r="G4785" s="473"/>
      <c r="H4785" s="473"/>
      <c r="I4785" s="473"/>
      <c r="J4785" s="473"/>
      <c r="K4785" s="473"/>
      <c r="L4785" s="473"/>
      <c r="M4785" s="473"/>
    </row>
    <row r="4786" spans="5:13">
      <c r="E4786" s="473"/>
      <c r="F4786" s="473"/>
      <c r="G4786" s="473"/>
      <c r="H4786" s="473"/>
      <c r="I4786" s="473"/>
      <c r="J4786" s="473"/>
      <c r="K4786" s="473"/>
      <c r="L4786" s="473"/>
      <c r="M4786" s="473"/>
    </row>
    <row r="4787" spans="5:13">
      <c r="E4787" s="473"/>
      <c r="F4787" s="473"/>
      <c r="G4787" s="473"/>
      <c r="H4787" s="473"/>
      <c r="I4787" s="473"/>
      <c r="J4787" s="473"/>
      <c r="K4787" s="473"/>
      <c r="L4787" s="473"/>
      <c r="M4787" s="473"/>
    </row>
    <row r="4788" spans="5:13">
      <c r="E4788" s="473"/>
      <c r="F4788" s="473"/>
      <c r="G4788" s="473"/>
      <c r="H4788" s="473"/>
      <c r="I4788" s="473"/>
      <c r="J4788" s="473"/>
      <c r="K4788" s="473"/>
      <c r="L4788" s="473"/>
      <c r="M4788" s="473"/>
    </row>
    <row r="4789" spans="5:13">
      <c r="E4789" s="473"/>
      <c r="F4789" s="473"/>
      <c r="G4789" s="473"/>
      <c r="H4789" s="473"/>
      <c r="I4789" s="473"/>
      <c r="J4789" s="473"/>
      <c r="K4789" s="473"/>
      <c r="L4789" s="473"/>
      <c r="M4789" s="473"/>
    </row>
    <row r="4790" spans="5:13">
      <c r="E4790" s="473"/>
      <c r="F4790" s="473"/>
      <c r="G4790" s="473"/>
      <c r="H4790" s="473"/>
      <c r="I4790" s="473"/>
      <c r="J4790" s="473"/>
      <c r="K4790" s="473"/>
      <c r="L4790" s="473"/>
      <c r="M4790" s="473"/>
    </row>
    <row r="4791" spans="5:13">
      <c r="E4791" s="473"/>
      <c r="F4791" s="473"/>
      <c r="G4791" s="473"/>
      <c r="H4791" s="473"/>
      <c r="I4791" s="473"/>
      <c r="J4791" s="473"/>
      <c r="K4791" s="473"/>
      <c r="L4791" s="473"/>
      <c r="M4791" s="473"/>
    </row>
    <row r="4792" spans="5:13">
      <c r="E4792" s="473"/>
      <c r="F4792" s="473"/>
      <c r="G4792" s="473"/>
      <c r="H4792" s="473"/>
      <c r="I4792" s="473"/>
      <c r="J4792" s="473"/>
      <c r="K4792" s="473"/>
      <c r="L4792" s="473"/>
      <c r="M4792" s="473"/>
    </row>
    <row r="4793" spans="5:13">
      <c r="E4793" s="473"/>
      <c r="F4793" s="473"/>
      <c r="G4793" s="473"/>
      <c r="H4793" s="473"/>
      <c r="I4793" s="473"/>
      <c r="J4793" s="473"/>
      <c r="K4793" s="473"/>
      <c r="L4793" s="473"/>
      <c r="M4793" s="473"/>
    </row>
    <row r="4794" spans="5:13">
      <c r="E4794" s="473"/>
      <c r="F4794" s="473"/>
      <c r="G4794" s="473"/>
      <c r="H4794" s="473"/>
      <c r="I4794" s="473"/>
      <c r="J4794" s="473"/>
      <c r="K4794" s="473"/>
      <c r="L4794" s="473"/>
      <c r="M4794" s="473"/>
    </row>
    <row r="4795" spans="5:13">
      <c r="E4795" s="473"/>
      <c r="F4795" s="473"/>
      <c r="G4795" s="473"/>
      <c r="H4795" s="473"/>
      <c r="I4795" s="473"/>
      <c r="J4795" s="473"/>
      <c r="K4795" s="473"/>
      <c r="L4795" s="473"/>
      <c r="M4795" s="473"/>
    </row>
    <row r="4796" spans="5:13">
      <c r="E4796" s="473"/>
      <c r="F4796" s="473"/>
      <c r="G4796" s="473"/>
      <c r="H4796" s="473"/>
      <c r="I4796" s="473"/>
      <c r="J4796" s="473"/>
      <c r="K4796" s="473"/>
      <c r="L4796" s="473"/>
      <c r="M4796" s="473"/>
    </row>
    <row r="4797" spans="5:13">
      <c r="E4797" s="473"/>
      <c r="F4797" s="473"/>
      <c r="G4797" s="473"/>
      <c r="H4797" s="473"/>
      <c r="I4797" s="473"/>
      <c r="J4797" s="473"/>
      <c r="K4797" s="473"/>
      <c r="L4797" s="473"/>
      <c r="M4797" s="473"/>
    </row>
    <row r="4798" spans="5:13">
      <c r="E4798" s="473"/>
      <c r="F4798" s="473"/>
      <c r="G4798" s="473"/>
      <c r="H4798" s="473"/>
      <c r="I4798" s="473"/>
      <c r="J4798" s="473"/>
      <c r="K4798" s="473"/>
      <c r="L4798" s="473"/>
      <c r="M4798" s="473"/>
    </row>
    <row r="4799" spans="5:13">
      <c r="E4799" s="473"/>
      <c r="F4799" s="473"/>
      <c r="G4799" s="473"/>
      <c r="H4799" s="473"/>
      <c r="I4799" s="473"/>
      <c r="J4799" s="473"/>
      <c r="K4799" s="473"/>
      <c r="L4799" s="473"/>
      <c r="M4799" s="473"/>
    </row>
    <row r="4800" spans="5:13">
      <c r="E4800" s="473"/>
      <c r="F4800" s="473"/>
      <c r="G4800" s="473"/>
      <c r="H4800" s="473"/>
      <c r="I4800" s="473"/>
      <c r="J4800" s="473"/>
      <c r="K4800" s="473"/>
      <c r="L4800" s="473"/>
      <c r="M4800" s="473"/>
    </row>
    <row r="4801" spans="5:13">
      <c r="E4801" s="473"/>
      <c r="F4801" s="473"/>
      <c r="G4801" s="473"/>
      <c r="H4801" s="473"/>
      <c r="I4801" s="473"/>
      <c r="J4801" s="473"/>
      <c r="K4801" s="473"/>
      <c r="L4801" s="473"/>
      <c r="M4801" s="473"/>
    </row>
    <row r="4802" spans="5:13">
      <c r="E4802" s="473"/>
      <c r="F4802" s="473"/>
      <c r="G4802" s="473"/>
      <c r="H4802" s="473"/>
      <c r="I4802" s="473"/>
      <c r="J4802" s="473"/>
      <c r="K4802" s="473"/>
      <c r="L4802" s="473"/>
      <c r="M4802" s="473"/>
    </row>
    <row r="4803" spans="5:13">
      <c r="E4803" s="473"/>
      <c r="F4803" s="473"/>
      <c r="G4803" s="473"/>
      <c r="H4803" s="473"/>
      <c r="I4803" s="473"/>
      <c r="J4803" s="473"/>
      <c r="K4803" s="473"/>
      <c r="L4803" s="473"/>
      <c r="M4803" s="473"/>
    </row>
    <row r="4804" spans="5:13">
      <c r="E4804" s="473"/>
      <c r="F4804" s="473"/>
      <c r="G4804" s="473"/>
      <c r="H4804" s="473"/>
      <c r="I4804" s="473"/>
      <c r="J4804" s="473"/>
      <c r="K4804" s="473"/>
      <c r="L4804" s="473"/>
      <c r="M4804" s="473"/>
    </row>
    <row r="4805" spans="5:13">
      <c r="E4805" s="473"/>
      <c r="F4805" s="473"/>
      <c r="G4805" s="473"/>
      <c r="H4805" s="473"/>
      <c r="I4805" s="473"/>
      <c r="J4805" s="473"/>
      <c r="K4805" s="473"/>
      <c r="L4805" s="473"/>
      <c r="M4805" s="473"/>
    </row>
    <row r="4806" spans="5:13">
      <c r="E4806" s="473"/>
      <c r="F4806" s="473"/>
      <c r="G4806" s="473"/>
      <c r="H4806" s="473"/>
      <c r="I4806" s="473"/>
      <c r="J4806" s="473"/>
      <c r="K4806" s="473"/>
      <c r="L4806" s="473"/>
      <c r="M4806" s="473"/>
    </row>
    <row r="4807" spans="5:13">
      <c r="E4807" s="473"/>
      <c r="F4807" s="473"/>
      <c r="G4807" s="473"/>
      <c r="H4807" s="473"/>
      <c r="I4807" s="473"/>
      <c r="J4807" s="473"/>
      <c r="K4807" s="473"/>
      <c r="L4807" s="473"/>
      <c r="M4807" s="473"/>
    </row>
    <row r="4808" spans="5:13">
      <c r="E4808" s="473"/>
      <c r="F4808" s="473"/>
      <c r="G4808" s="473"/>
      <c r="H4808" s="473"/>
      <c r="I4808" s="473"/>
      <c r="J4808" s="473"/>
      <c r="K4808" s="473"/>
      <c r="L4808" s="473"/>
      <c r="M4808" s="473"/>
    </row>
    <row r="4809" spans="5:13">
      <c r="E4809" s="473"/>
      <c r="F4809" s="473"/>
      <c r="G4809" s="473"/>
      <c r="H4809" s="473"/>
      <c r="I4809" s="473"/>
      <c r="J4809" s="473"/>
      <c r="K4809" s="473"/>
      <c r="L4809" s="473"/>
      <c r="M4809" s="473"/>
    </row>
    <row r="4810" spans="5:13">
      <c r="E4810" s="473"/>
      <c r="F4810" s="473"/>
      <c r="G4810" s="473"/>
      <c r="H4810" s="473"/>
      <c r="I4810" s="473"/>
      <c r="J4810" s="473"/>
      <c r="K4810" s="473"/>
      <c r="L4810" s="473"/>
      <c r="M4810" s="473"/>
    </row>
    <row r="4811" spans="5:13">
      <c r="E4811" s="473"/>
      <c r="F4811" s="473"/>
      <c r="G4811" s="473"/>
      <c r="H4811" s="473"/>
      <c r="I4811" s="473"/>
      <c r="J4811" s="473"/>
      <c r="K4811" s="473"/>
      <c r="L4811" s="473"/>
      <c r="M4811" s="473"/>
    </row>
    <row r="4812" spans="5:13">
      <c r="E4812" s="473"/>
      <c r="F4812" s="473"/>
      <c r="G4812" s="473"/>
      <c r="H4812" s="473"/>
      <c r="I4812" s="473"/>
      <c r="J4812" s="473"/>
      <c r="K4812" s="473"/>
      <c r="L4812" s="473"/>
      <c r="M4812" s="473"/>
    </row>
    <row r="4813" spans="5:13">
      <c r="E4813" s="473"/>
      <c r="F4813" s="473"/>
      <c r="G4813" s="473"/>
      <c r="H4813" s="473"/>
      <c r="I4813" s="473"/>
      <c r="J4813" s="473"/>
      <c r="K4813" s="473"/>
      <c r="L4813" s="473"/>
      <c r="M4813" s="473"/>
    </row>
    <row r="4814" spans="5:13">
      <c r="E4814" s="473"/>
      <c r="F4814" s="473"/>
      <c r="G4814" s="473"/>
      <c r="H4814" s="473"/>
      <c r="I4814" s="473"/>
      <c r="J4814" s="473"/>
      <c r="K4814" s="473"/>
      <c r="L4814" s="473"/>
      <c r="M4814" s="473"/>
    </row>
    <row r="4815" spans="5:13">
      <c r="E4815" s="473"/>
      <c r="F4815" s="473"/>
      <c r="G4815" s="473"/>
      <c r="H4815" s="473"/>
      <c r="I4815" s="473"/>
      <c r="J4815" s="473"/>
      <c r="K4815" s="473"/>
      <c r="L4815" s="473"/>
      <c r="M4815" s="473"/>
    </row>
    <row r="4816" spans="5:13">
      <c r="E4816" s="473"/>
      <c r="F4816" s="473"/>
      <c r="G4816" s="473"/>
      <c r="H4816" s="473"/>
      <c r="I4816" s="473"/>
      <c r="J4816" s="473"/>
      <c r="K4816" s="473"/>
      <c r="L4816" s="473"/>
      <c r="M4816" s="473"/>
    </row>
    <row r="4817" spans="5:13">
      <c r="E4817" s="473"/>
      <c r="F4817" s="473"/>
      <c r="G4817" s="473"/>
      <c r="H4817" s="473"/>
      <c r="I4817" s="473"/>
      <c r="J4817" s="473"/>
      <c r="K4817" s="473"/>
      <c r="L4817" s="473"/>
      <c r="M4817" s="473"/>
    </row>
    <row r="4818" spans="5:13">
      <c r="E4818" s="473"/>
      <c r="F4818" s="473"/>
      <c r="G4818" s="473"/>
      <c r="H4818" s="473"/>
      <c r="I4818" s="473"/>
      <c r="J4818" s="473"/>
      <c r="K4818" s="473"/>
      <c r="L4818" s="473"/>
      <c r="M4818" s="473"/>
    </row>
    <row r="4819" spans="5:13">
      <c r="E4819" s="473"/>
      <c r="F4819" s="473"/>
      <c r="G4819" s="473"/>
      <c r="H4819" s="473"/>
      <c r="I4819" s="473"/>
      <c r="J4819" s="473"/>
      <c r="K4819" s="473"/>
      <c r="L4819" s="473"/>
      <c r="M4819" s="473"/>
    </row>
    <row r="4820" spans="5:13">
      <c r="E4820" s="473"/>
      <c r="F4820" s="473"/>
      <c r="G4820" s="473"/>
      <c r="H4820" s="473"/>
      <c r="I4820" s="473"/>
      <c r="J4820" s="473"/>
      <c r="K4820" s="473"/>
      <c r="L4820" s="473"/>
      <c r="M4820" s="473"/>
    </row>
    <row r="4821" spans="5:13">
      <c r="E4821" s="473"/>
      <c r="F4821" s="473"/>
      <c r="G4821" s="473"/>
      <c r="H4821" s="473"/>
      <c r="I4821" s="473"/>
      <c r="J4821" s="473"/>
      <c r="K4821" s="473"/>
      <c r="L4821" s="473"/>
      <c r="M4821" s="473"/>
    </row>
    <row r="4822" spans="5:13">
      <c r="E4822" s="473"/>
      <c r="F4822" s="473"/>
      <c r="G4822" s="473"/>
      <c r="H4822" s="473"/>
      <c r="I4822" s="473"/>
      <c r="J4822" s="473"/>
      <c r="K4822" s="473"/>
      <c r="L4822" s="473"/>
      <c r="M4822" s="473"/>
    </row>
    <row r="4823" spans="5:13">
      <c r="E4823" s="473"/>
      <c r="F4823" s="473"/>
      <c r="G4823" s="473"/>
      <c r="H4823" s="473"/>
      <c r="I4823" s="473"/>
      <c r="J4823" s="473"/>
      <c r="K4823" s="473"/>
      <c r="L4823" s="473"/>
      <c r="M4823" s="473"/>
    </row>
    <row r="4824" spans="5:13">
      <c r="E4824" s="473"/>
      <c r="F4824" s="473"/>
      <c r="G4824" s="473"/>
      <c r="H4824" s="473"/>
      <c r="I4824" s="473"/>
      <c r="J4824" s="473"/>
      <c r="K4824" s="473"/>
      <c r="L4824" s="473"/>
      <c r="M4824" s="473"/>
    </row>
    <row r="4825" spans="5:13">
      <c r="E4825" s="473"/>
      <c r="F4825" s="473"/>
      <c r="G4825" s="473"/>
      <c r="H4825" s="473"/>
      <c r="I4825" s="473"/>
      <c r="J4825" s="473"/>
      <c r="K4825" s="473"/>
      <c r="L4825" s="473"/>
      <c r="M4825" s="473"/>
    </row>
    <row r="4826" spans="5:13">
      <c r="E4826" s="473"/>
      <c r="F4826" s="473"/>
      <c r="G4826" s="473"/>
      <c r="H4826" s="473"/>
      <c r="I4826" s="473"/>
      <c r="J4826" s="473"/>
      <c r="K4826" s="473"/>
      <c r="L4826" s="473"/>
      <c r="M4826" s="473"/>
    </row>
    <row r="4827" spans="5:13">
      <c r="E4827" s="473"/>
      <c r="F4827" s="473"/>
      <c r="G4827" s="473"/>
      <c r="H4827" s="473"/>
      <c r="I4827" s="473"/>
      <c r="J4827" s="473"/>
      <c r="K4827" s="473"/>
      <c r="L4827" s="473"/>
      <c r="M4827" s="473"/>
    </row>
    <row r="4828" spans="5:13">
      <c r="E4828" s="473"/>
      <c r="F4828" s="473"/>
      <c r="G4828" s="473"/>
      <c r="H4828" s="473"/>
      <c r="I4828" s="473"/>
      <c r="J4828" s="473"/>
      <c r="K4828" s="473"/>
      <c r="L4828" s="473"/>
      <c r="M4828" s="473"/>
    </row>
    <row r="4829" spans="5:13">
      <c r="E4829" s="473"/>
      <c r="F4829" s="473"/>
      <c r="G4829" s="473"/>
      <c r="H4829" s="473"/>
      <c r="I4829" s="473"/>
      <c r="J4829" s="473"/>
      <c r="K4829" s="473"/>
      <c r="L4829" s="473"/>
      <c r="M4829" s="473"/>
    </row>
    <row r="4830" spans="5:13">
      <c r="E4830" s="473"/>
      <c r="F4830" s="473"/>
      <c r="G4830" s="473"/>
      <c r="H4830" s="473"/>
      <c r="I4830" s="473"/>
      <c r="J4830" s="473"/>
      <c r="K4830" s="473"/>
      <c r="L4830" s="473"/>
      <c r="M4830" s="473"/>
    </row>
    <row r="4831" spans="5:13">
      <c r="E4831" s="473"/>
      <c r="F4831" s="473"/>
      <c r="G4831" s="473"/>
      <c r="H4831" s="473"/>
      <c r="I4831" s="473"/>
      <c r="J4831" s="473"/>
      <c r="K4831" s="473"/>
      <c r="L4831" s="473"/>
      <c r="M4831" s="473"/>
    </row>
    <row r="4832" spans="5:13">
      <c r="E4832" s="473"/>
      <c r="F4832" s="473"/>
      <c r="G4832" s="473"/>
      <c r="H4832" s="473"/>
      <c r="I4832" s="473"/>
      <c r="J4832" s="473"/>
      <c r="K4832" s="473"/>
      <c r="L4832" s="473"/>
      <c r="M4832" s="473"/>
    </row>
    <row r="4833" spans="5:13">
      <c r="E4833" s="473"/>
      <c r="F4833" s="473"/>
      <c r="G4833" s="473"/>
      <c r="H4833" s="473"/>
      <c r="I4833" s="473"/>
      <c r="J4833" s="473"/>
      <c r="K4833" s="473"/>
      <c r="L4833" s="473"/>
      <c r="M4833" s="473"/>
    </row>
    <row r="4834" spans="5:13">
      <c r="E4834" s="473"/>
      <c r="F4834" s="473"/>
      <c r="G4834" s="473"/>
      <c r="H4834" s="473"/>
      <c r="I4834" s="473"/>
      <c r="J4834" s="473"/>
      <c r="K4834" s="473"/>
      <c r="L4834" s="473"/>
      <c r="M4834" s="473"/>
    </row>
    <row r="4835" spans="5:13">
      <c r="E4835" s="473"/>
      <c r="F4835" s="473"/>
      <c r="G4835" s="473"/>
      <c r="H4835" s="473"/>
      <c r="I4835" s="473"/>
      <c r="J4835" s="473"/>
      <c r="K4835" s="473"/>
      <c r="L4835" s="473"/>
      <c r="M4835" s="473"/>
    </row>
    <row r="4836" spans="5:13">
      <c r="E4836" s="473"/>
      <c r="F4836" s="473"/>
      <c r="G4836" s="473"/>
      <c r="H4836" s="473"/>
      <c r="I4836" s="473"/>
      <c r="J4836" s="473"/>
      <c r="K4836" s="473"/>
      <c r="L4836" s="473"/>
      <c r="M4836" s="473"/>
    </row>
    <row r="4837" spans="5:13">
      <c r="E4837" s="473"/>
      <c r="F4837" s="473"/>
      <c r="G4837" s="473"/>
      <c r="H4837" s="473"/>
      <c r="I4837" s="473"/>
      <c r="J4837" s="473"/>
      <c r="K4837" s="473"/>
      <c r="L4837" s="473"/>
      <c r="M4837" s="473"/>
    </row>
    <row r="4838" spans="5:13">
      <c r="E4838" s="473"/>
      <c r="F4838" s="473"/>
      <c r="G4838" s="473"/>
      <c r="H4838" s="473"/>
      <c r="I4838" s="473"/>
      <c r="J4838" s="473"/>
      <c r="K4838" s="473"/>
      <c r="L4838" s="473"/>
      <c r="M4838" s="473"/>
    </row>
    <row r="4839" spans="5:13">
      <c r="E4839" s="473"/>
      <c r="F4839" s="473"/>
      <c r="G4839" s="473"/>
      <c r="H4839" s="473"/>
      <c r="I4839" s="473"/>
      <c r="J4839" s="473"/>
      <c r="K4839" s="473"/>
      <c r="L4839" s="473"/>
      <c r="M4839" s="473"/>
    </row>
    <row r="4840" spans="5:13">
      <c r="E4840" s="473"/>
      <c r="F4840" s="473"/>
      <c r="G4840" s="473"/>
      <c r="H4840" s="473"/>
      <c r="I4840" s="473"/>
      <c r="J4840" s="473"/>
      <c r="K4840" s="473"/>
      <c r="L4840" s="473"/>
      <c r="M4840" s="473"/>
    </row>
    <row r="4841" spans="5:13">
      <c r="E4841" s="473"/>
      <c r="F4841" s="473"/>
      <c r="G4841" s="473"/>
      <c r="H4841" s="473"/>
      <c r="I4841" s="473"/>
      <c r="J4841" s="473"/>
      <c r="K4841" s="473"/>
      <c r="L4841" s="473"/>
      <c r="M4841" s="473"/>
    </row>
    <row r="4842" spans="5:13">
      <c r="E4842" s="473"/>
      <c r="F4842" s="473"/>
      <c r="G4842" s="473"/>
      <c r="H4842" s="473"/>
      <c r="I4842" s="473"/>
      <c r="J4842" s="473"/>
      <c r="K4842" s="473"/>
      <c r="L4842" s="473"/>
      <c r="M4842" s="473"/>
    </row>
    <row r="4843" spans="5:13">
      <c r="E4843" s="473"/>
      <c r="F4843" s="473"/>
      <c r="G4843" s="473"/>
      <c r="H4843" s="473"/>
      <c r="I4843" s="473"/>
      <c r="J4843" s="473"/>
      <c r="K4843" s="473"/>
      <c r="L4843" s="473"/>
      <c r="M4843" s="473"/>
    </row>
    <row r="4844" spans="5:13">
      <c r="E4844" s="473"/>
      <c r="F4844" s="473"/>
      <c r="G4844" s="473"/>
      <c r="H4844" s="473"/>
      <c r="I4844" s="473"/>
      <c r="J4844" s="473"/>
      <c r="K4844" s="473"/>
      <c r="L4844" s="473"/>
      <c r="M4844" s="473"/>
    </row>
    <row r="4845" spans="5:13">
      <c r="E4845" s="473"/>
      <c r="F4845" s="473"/>
      <c r="G4845" s="473"/>
      <c r="H4845" s="473"/>
      <c r="I4845" s="473"/>
      <c r="J4845" s="473"/>
      <c r="K4845" s="473"/>
      <c r="L4845" s="473"/>
      <c r="M4845" s="473"/>
    </row>
    <row r="4846" spans="5:13">
      <c r="E4846" s="473"/>
      <c r="F4846" s="473"/>
      <c r="G4846" s="473"/>
      <c r="H4846" s="473"/>
      <c r="I4846" s="473"/>
      <c r="J4846" s="473"/>
      <c r="K4846" s="473"/>
      <c r="L4846" s="473"/>
      <c r="M4846" s="473"/>
    </row>
    <row r="4847" spans="5:13">
      <c r="E4847" s="473"/>
      <c r="F4847" s="473"/>
      <c r="G4847" s="473"/>
      <c r="H4847" s="473"/>
      <c r="I4847" s="473"/>
      <c r="J4847" s="473"/>
      <c r="K4847" s="473"/>
      <c r="L4847" s="473"/>
      <c r="M4847" s="473"/>
    </row>
    <row r="4848" spans="5:13">
      <c r="E4848" s="473"/>
      <c r="F4848" s="473"/>
      <c r="G4848" s="473"/>
      <c r="H4848" s="473"/>
      <c r="I4848" s="473"/>
      <c r="J4848" s="473"/>
      <c r="K4848" s="473"/>
      <c r="L4848" s="473"/>
      <c r="M4848" s="473"/>
    </row>
    <row r="4849" spans="5:13">
      <c r="E4849" s="473"/>
      <c r="F4849" s="473"/>
      <c r="G4849" s="473"/>
      <c r="H4849" s="473"/>
      <c r="I4849" s="473"/>
      <c r="J4849" s="473"/>
      <c r="K4849" s="473"/>
      <c r="L4849" s="473"/>
      <c r="M4849" s="473"/>
    </row>
    <row r="4850" spans="5:13">
      <c r="E4850" s="473"/>
      <c r="F4850" s="473"/>
      <c r="G4850" s="473"/>
      <c r="H4850" s="473"/>
      <c r="I4850" s="473"/>
      <c r="J4850" s="473"/>
      <c r="K4850" s="473"/>
      <c r="L4850" s="473"/>
      <c r="M4850" s="473"/>
    </row>
    <row r="4851" spans="5:13">
      <c r="E4851" s="473"/>
      <c r="F4851" s="473"/>
      <c r="G4851" s="473"/>
      <c r="H4851" s="473"/>
      <c r="I4851" s="473"/>
      <c r="J4851" s="473"/>
      <c r="K4851" s="473"/>
      <c r="L4851" s="473"/>
      <c r="M4851" s="473"/>
    </row>
    <row r="4852" spans="5:13">
      <c r="E4852" s="473"/>
      <c r="F4852" s="473"/>
      <c r="G4852" s="473"/>
      <c r="H4852" s="473"/>
      <c r="I4852" s="473"/>
      <c r="J4852" s="473"/>
      <c r="K4852" s="473"/>
      <c r="L4852" s="473"/>
      <c r="M4852" s="473"/>
    </row>
    <row r="4853" spans="5:13">
      <c r="E4853" s="473"/>
      <c r="F4853" s="473"/>
      <c r="G4853" s="473"/>
      <c r="H4853" s="473"/>
      <c r="I4853" s="473"/>
      <c r="J4853" s="473"/>
      <c r="K4853" s="473"/>
      <c r="L4853" s="473"/>
      <c r="M4853" s="473"/>
    </row>
    <row r="4854" spans="5:13">
      <c r="E4854" s="473"/>
      <c r="F4854" s="473"/>
      <c r="G4854" s="473"/>
      <c r="H4854" s="473"/>
      <c r="I4854" s="473"/>
      <c r="J4854" s="473"/>
      <c r="K4854" s="473"/>
      <c r="L4854" s="473"/>
      <c r="M4854" s="473"/>
    </row>
    <row r="4855" spans="5:13">
      <c r="E4855" s="473"/>
      <c r="F4855" s="473"/>
      <c r="G4855" s="473"/>
      <c r="H4855" s="473"/>
      <c r="I4855" s="473"/>
      <c r="J4855" s="473"/>
      <c r="K4855" s="473"/>
      <c r="L4855" s="473"/>
      <c r="M4855" s="473"/>
    </row>
    <row r="4856" spans="5:13">
      <c r="E4856" s="473"/>
      <c r="F4856" s="473"/>
      <c r="G4856" s="473"/>
      <c r="H4856" s="473"/>
      <c r="I4856" s="473"/>
      <c r="J4856" s="473"/>
      <c r="K4856" s="473"/>
      <c r="L4856" s="473"/>
      <c r="M4856" s="473"/>
    </row>
    <row r="4857" spans="5:13">
      <c r="E4857" s="473"/>
      <c r="F4857" s="473"/>
      <c r="G4857" s="473"/>
      <c r="H4857" s="473"/>
      <c r="I4857" s="473"/>
      <c r="J4857" s="473"/>
      <c r="K4857" s="473"/>
      <c r="L4857" s="473"/>
      <c r="M4857" s="473"/>
    </row>
    <row r="4858" spans="5:13">
      <c r="E4858" s="473"/>
      <c r="F4858" s="473"/>
      <c r="G4858" s="473"/>
      <c r="H4858" s="473"/>
      <c r="I4858" s="473"/>
      <c r="J4858" s="473"/>
      <c r="K4858" s="473"/>
      <c r="L4858" s="473"/>
      <c r="M4858" s="473"/>
    </row>
    <row r="4859" spans="5:13">
      <c r="E4859" s="473"/>
      <c r="F4859" s="473"/>
      <c r="G4859" s="473"/>
      <c r="H4859" s="473"/>
      <c r="I4859" s="473"/>
      <c r="J4859" s="473"/>
      <c r="K4859" s="473"/>
      <c r="L4859" s="473"/>
      <c r="M4859" s="473"/>
    </row>
    <row r="4860" spans="5:13">
      <c r="E4860" s="473"/>
      <c r="F4860" s="473"/>
      <c r="G4860" s="473"/>
      <c r="H4860" s="473"/>
      <c r="I4860" s="473"/>
      <c r="J4860" s="473"/>
      <c r="K4860" s="473"/>
      <c r="L4860" s="473"/>
      <c r="M4860" s="473"/>
    </row>
    <row r="4861" spans="5:13">
      <c r="E4861" s="473"/>
      <c r="F4861" s="473"/>
      <c r="G4861" s="473"/>
      <c r="H4861" s="473"/>
      <c r="I4861" s="473"/>
      <c r="J4861" s="473"/>
      <c r="K4861" s="473"/>
      <c r="L4861" s="473"/>
      <c r="M4861" s="473"/>
    </row>
    <row r="4862" spans="5:13">
      <c r="E4862" s="473"/>
      <c r="F4862" s="473"/>
      <c r="G4862" s="473"/>
      <c r="H4862" s="473"/>
      <c r="I4862" s="473"/>
      <c r="J4862" s="473"/>
      <c r="K4862" s="473"/>
      <c r="L4862" s="473"/>
      <c r="M4862" s="473"/>
    </row>
    <row r="4863" spans="5:13">
      <c r="E4863" s="473"/>
      <c r="F4863" s="473"/>
      <c r="G4863" s="473"/>
      <c r="H4863" s="473"/>
      <c r="I4863" s="473"/>
      <c r="J4863" s="473"/>
      <c r="K4863" s="473"/>
      <c r="L4863" s="473"/>
      <c r="M4863" s="473"/>
    </row>
    <row r="4864" spans="5:13">
      <c r="E4864" s="473"/>
      <c r="F4864" s="473"/>
      <c r="G4864" s="473"/>
      <c r="H4864" s="473"/>
      <c r="I4864" s="473"/>
      <c r="J4864" s="473"/>
      <c r="K4864" s="473"/>
      <c r="L4864" s="473"/>
      <c r="M4864" s="473"/>
    </row>
    <row r="4865" spans="5:13">
      <c r="E4865" s="473"/>
      <c r="F4865" s="473"/>
      <c r="G4865" s="473"/>
      <c r="H4865" s="473"/>
      <c r="I4865" s="473"/>
      <c r="J4865" s="473"/>
      <c r="K4865" s="473"/>
      <c r="L4865" s="473"/>
      <c r="M4865" s="473"/>
    </row>
    <row r="4866" spans="5:13">
      <c r="E4866" s="473"/>
      <c r="F4866" s="473"/>
      <c r="G4866" s="473"/>
      <c r="H4866" s="473"/>
      <c r="I4866" s="473"/>
      <c r="J4866" s="473"/>
      <c r="K4866" s="473"/>
      <c r="L4866" s="473"/>
      <c r="M4866" s="473"/>
    </row>
    <row r="4867" spans="5:13">
      <c r="E4867" s="473"/>
      <c r="F4867" s="473"/>
      <c r="G4867" s="473"/>
      <c r="H4867" s="473"/>
      <c r="I4867" s="473"/>
      <c r="J4867" s="473"/>
      <c r="K4867" s="473"/>
      <c r="L4867" s="473"/>
      <c r="M4867" s="473"/>
    </row>
    <row r="4868" spans="5:13">
      <c r="E4868" s="473"/>
      <c r="F4868" s="473"/>
      <c r="G4868" s="473"/>
      <c r="H4868" s="473"/>
      <c r="I4868" s="473"/>
      <c r="J4868" s="473"/>
      <c r="K4868" s="473"/>
      <c r="L4868" s="473"/>
      <c r="M4868" s="473"/>
    </row>
    <row r="4869" spans="5:13">
      <c r="E4869" s="473"/>
      <c r="F4869" s="473"/>
      <c r="G4869" s="473"/>
      <c r="H4869" s="473"/>
      <c r="I4869" s="473"/>
      <c r="J4869" s="473"/>
      <c r="K4869" s="473"/>
      <c r="L4869" s="473"/>
      <c r="M4869" s="473"/>
    </row>
    <row r="4870" spans="5:13">
      <c r="E4870" s="473"/>
      <c r="F4870" s="473"/>
      <c r="G4870" s="473"/>
      <c r="H4870" s="473"/>
      <c r="I4870" s="473"/>
      <c r="J4870" s="473"/>
      <c r="K4870" s="473"/>
      <c r="L4870" s="473"/>
      <c r="M4870" s="473"/>
    </row>
    <row r="4871" spans="5:13">
      <c r="E4871" s="473"/>
      <c r="F4871" s="473"/>
      <c r="G4871" s="473"/>
      <c r="H4871" s="473"/>
      <c r="I4871" s="473"/>
      <c r="J4871" s="473"/>
      <c r="K4871" s="473"/>
      <c r="L4871" s="473"/>
      <c r="M4871" s="473"/>
    </row>
    <row r="4872" spans="5:13">
      <c r="E4872" s="473"/>
      <c r="F4872" s="473"/>
      <c r="G4872" s="473"/>
      <c r="H4872" s="473"/>
      <c r="I4872" s="473"/>
      <c r="J4872" s="473"/>
      <c r="K4872" s="473"/>
      <c r="L4872" s="473"/>
      <c r="M4872" s="473"/>
    </row>
    <row r="4873" spans="5:13">
      <c r="E4873" s="473"/>
      <c r="F4873" s="473"/>
      <c r="G4873" s="473"/>
      <c r="H4873" s="473"/>
      <c r="I4873" s="473"/>
      <c r="J4873" s="473"/>
      <c r="K4873" s="473"/>
      <c r="L4873" s="473"/>
      <c r="M4873" s="473"/>
    </row>
    <row r="4874" spans="5:13">
      <c r="E4874" s="473"/>
      <c r="F4874" s="473"/>
      <c r="G4874" s="473"/>
      <c r="H4874" s="473"/>
      <c r="I4874" s="473"/>
      <c r="J4874" s="473"/>
      <c r="K4874" s="473"/>
      <c r="L4874" s="473"/>
      <c r="M4874" s="473"/>
    </row>
    <row r="4875" spans="5:13">
      <c r="E4875" s="473"/>
      <c r="F4875" s="473"/>
      <c r="G4875" s="473"/>
      <c r="H4875" s="473"/>
      <c r="I4875" s="473"/>
      <c r="J4875" s="473"/>
      <c r="K4875" s="473"/>
      <c r="L4875" s="473"/>
      <c r="M4875" s="473"/>
    </row>
    <row r="4876" spans="5:13">
      <c r="E4876" s="473"/>
      <c r="F4876" s="473"/>
      <c r="G4876" s="473"/>
      <c r="H4876" s="473"/>
      <c r="I4876" s="473"/>
      <c r="J4876" s="473"/>
      <c r="K4876" s="473"/>
      <c r="L4876" s="473"/>
      <c r="M4876" s="473"/>
    </row>
    <row r="4877" spans="5:13">
      <c r="E4877" s="473"/>
      <c r="F4877" s="473"/>
      <c r="G4877" s="473"/>
      <c r="H4877" s="473"/>
      <c r="I4877" s="473"/>
      <c r="J4877" s="473"/>
      <c r="K4877" s="473"/>
      <c r="L4877" s="473"/>
      <c r="M4877" s="473"/>
    </row>
    <row r="4878" spans="5:13">
      <c r="E4878" s="473"/>
      <c r="F4878" s="473"/>
      <c r="G4878" s="473"/>
      <c r="H4878" s="473"/>
      <c r="I4878" s="473"/>
      <c r="J4878" s="473"/>
      <c r="K4878" s="473"/>
      <c r="L4878" s="473"/>
      <c r="M4878" s="473"/>
    </row>
    <row r="4879" spans="5:13">
      <c r="E4879" s="473"/>
      <c r="F4879" s="473"/>
      <c r="G4879" s="473"/>
      <c r="H4879" s="473"/>
      <c r="I4879" s="473"/>
      <c r="J4879" s="473"/>
      <c r="K4879" s="473"/>
      <c r="L4879" s="473"/>
      <c r="M4879" s="473"/>
    </row>
    <row r="4880" spans="5:13">
      <c r="E4880" s="473"/>
      <c r="F4880" s="473"/>
      <c r="G4880" s="473"/>
      <c r="H4880" s="473"/>
      <c r="I4880" s="473"/>
      <c r="J4880" s="473"/>
      <c r="K4880" s="473"/>
      <c r="L4880" s="473"/>
      <c r="M4880" s="473"/>
    </row>
    <row r="4881" spans="5:13">
      <c r="E4881" s="473"/>
      <c r="F4881" s="473"/>
      <c r="G4881" s="473"/>
      <c r="H4881" s="473"/>
      <c r="I4881" s="473"/>
      <c r="J4881" s="473"/>
      <c r="K4881" s="473"/>
      <c r="L4881" s="473"/>
      <c r="M4881" s="473"/>
    </row>
    <row r="4882" spans="5:13">
      <c r="E4882" s="473"/>
      <c r="F4882" s="473"/>
      <c r="G4882" s="473"/>
      <c r="H4882" s="473"/>
      <c r="I4882" s="473"/>
      <c r="J4882" s="473"/>
      <c r="K4882" s="473"/>
      <c r="L4882" s="473"/>
      <c r="M4882" s="473"/>
    </row>
    <row r="4883" spans="5:13">
      <c r="E4883" s="473"/>
      <c r="F4883" s="473"/>
      <c r="G4883" s="473"/>
      <c r="H4883" s="473"/>
      <c r="I4883" s="473"/>
      <c r="J4883" s="473"/>
      <c r="K4883" s="473"/>
      <c r="L4883" s="473"/>
      <c r="M4883" s="473"/>
    </row>
    <row r="4884" spans="5:13">
      <c r="E4884" s="473"/>
      <c r="F4884" s="473"/>
      <c r="G4884" s="473"/>
      <c r="H4884" s="473"/>
      <c r="I4884" s="473"/>
      <c r="J4884" s="473"/>
      <c r="K4884" s="473"/>
      <c r="L4884" s="473"/>
      <c r="M4884" s="473"/>
    </row>
    <row r="4885" spans="5:13">
      <c r="E4885" s="473"/>
      <c r="F4885" s="473"/>
      <c r="G4885" s="473"/>
      <c r="H4885" s="473"/>
      <c r="I4885" s="473"/>
      <c r="J4885" s="473"/>
      <c r="K4885" s="473"/>
      <c r="L4885" s="473"/>
      <c r="M4885" s="473"/>
    </row>
    <row r="4886" spans="5:13">
      <c r="E4886" s="473"/>
      <c r="F4886" s="473"/>
      <c r="G4886" s="473"/>
      <c r="H4886" s="473"/>
      <c r="I4886" s="473"/>
      <c r="J4886" s="473"/>
      <c r="K4886" s="473"/>
      <c r="L4886" s="473"/>
      <c r="M4886" s="473"/>
    </row>
    <row r="4887" spans="5:13">
      <c r="E4887" s="473"/>
      <c r="F4887" s="473"/>
      <c r="G4887" s="473"/>
      <c r="H4887" s="473"/>
      <c r="I4887" s="473"/>
      <c r="J4887" s="473"/>
      <c r="K4887" s="473"/>
      <c r="L4887" s="473"/>
      <c r="M4887" s="473"/>
    </row>
    <row r="4888" spans="5:13">
      <c r="E4888" s="473"/>
      <c r="F4888" s="473"/>
      <c r="G4888" s="473"/>
      <c r="H4888" s="473"/>
      <c r="I4888" s="473"/>
      <c r="J4888" s="473"/>
      <c r="K4888" s="473"/>
      <c r="L4888" s="473"/>
      <c r="M4888" s="473"/>
    </row>
    <row r="4889" spans="5:13">
      <c r="E4889" s="473"/>
      <c r="F4889" s="473"/>
      <c r="G4889" s="473"/>
      <c r="H4889" s="473"/>
      <c r="I4889" s="473"/>
      <c r="J4889" s="473"/>
      <c r="K4889" s="473"/>
      <c r="L4889" s="473"/>
      <c r="M4889" s="473"/>
    </row>
    <row r="4890" spans="5:13">
      <c r="E4890" s="473"/>
      <c r="F4890" s="473"/>
      <c r="G4890" s="473"/>
      <c r="H4890" s="473"/>
      <c r="I4890" s="473"/>
      <c r="J4890" s="473"/>
      <c r="K4890" s="473"/>
      <c r="L4890" s="473"/>
      <c r="M4890" s="473"/>
    </row>
    <row r="4891" spans="5:13">
      <c r="E4891" s="473"/>
      <c r="F4891" s="473"/>
      <c r="G4891" s="473"/>
      <c r="H4891" s="473"/>
      <c r="I4891" s="473"/>
      <c r="J4891" s="473"/>
      <c r="K4891" s="473"/>
      <c r="L4891" s="473"/>
      <c r="M4891" s="473"/>
    </row>
    <row r="4892" spans="5:13">
      <c r="E4892" s="473"/>
      <c r="F4892" s="473"/>
      <c r="G4892" s="473"/>
      <c r="H4892" s="473"/>
      <c r="I4892" s="473"/>
      <c r="J4892" s="473"/>
      <c r="K4892" s="473"/>
      <c r="L4892" s="473"/>
      <c r="M4892" s="473"/>
    </row>
    <row r="4893" spans="5:13">
      <c r="E4893" s="473"/>
      <c r="F4893" s="473"/>
      <c r="G4893" s="473"/>
      <c r="H4893" s="473"/>
      <c r="I4893" s="473"/>
      <c r="J4893" s="473"/>
      <c r="K4893" s="473"/>
      <c r="L4893" s="473"/>
      <c r="M4893" s="473"/>
    </row>
    <row r="4894" spans="5:13">
      <c r="E4894" s="473"/>
      <c r="F4894" s="473"/>
      <c r="G4894" s="473"/>
      <c r="H4894" s="473"/>
      <c r="I4894" s="473"/>
      <c r="J4894" s="473"/>
      <c r="K4894" s="473"/>
      <c r="L4894" s="473"/>
      <c r="M4894" s="473"/>
    </row>
    <row r="4895" spans="5:13">
      <c r="E4895" s="473"/>
      <c r="F4895" s="473"/>
      <c r="G4895" s="473"/>
      <c r="H4895" s="473"/>
      <c r="I4895" s="473"/>
      <c r="J4895" s="473"/>
      <c r="K4895" s="473"/>
      <c r="L4895" s="473"/>
      <c r="M4895" s="473"/>
    </row>
    <row r="4896" spans="5:13">
      <c r="E4896" s="473"/>
      <c r="F4896" s="473"/>
      <c r="G4896" s="473"/>
      <c r="H4896" s="473"/>
      <c r="I4896" s="473"/>
      <c r="J4896" s="473"/>
      <c r="K4896" s="473"/>
      <c r="L4896" s="473"/>
      <c r="M4896" s="473"/>
    </row>
    <row r="4897" spans="5:13">
      <c r="E4897" s="473"/>
      <c r="F4897" s="473"/>
      <c r="G4897" s="473"/>
      <c r="H4897" s="473"/>
      <c r="I4897" s="473"/>
      <c r="J4897" s="473"/>
      <c r="K4897" s="473"/>
      <c r="L4897" s="473"/>
      <c r="M4897" s="473"/>
    </row>
    <row r="4898" spans="5:13">
      <c r="E4898" s="473"/>
      <c r="F4898" s="473"/>
      <c r="G4898" s="473"/>
      <c r="H4898" s="473"/>
      <c r="I4898" s="473"/>
      <c r="J4898" s="473"/>
      <c r="K4898" s="473"/>
      <c r="L4898" s="473"/>
      <c r="M4898" s="473"/>
    </row>
    <row r="4899" spans="5:13">
      <c r="E4899" s="473"/>
      <c r="F4899" s="473"/>
      <c r="G4899" s="473"/>
      <c r="H4899" s="473"/>
      <c r="I4899" s="473"/>
      <c r="J4899" s="473"/>
      <c r="K4899" s="473"/>
      <c r="L4899" s="473"/>
      <c r="M4899" s="473"/>
    </row>
    <row r="4900" spans="5:13">
      <c r="E4900" s="473"/>
      <c r="F4900" s="473"/>
      <c r="G4900" s="473"/>
      <c r="H4900" s="473"/>
      <c r="I4900" s="473"/>
      <c r="J4900" s="473"/>
      <c r="K4900" s="473"/>
      <c r="L4900" s="473"/>
      <c r="M4900" s="473"/>
    </row>
    <row r="4901" spans="5:13">
      <c r="E4901" s="473"/>
      <c r="F4901" s="473"/>
      <c r="G4901" s="473"/>
      <c r="H4901" s="473"/>
      <c r="I4901" s="473"/>
      <c r="J4901" s="473"/>
      <c r="K4901" s="473"/>
      <c r="L4901" s="473"/>
      <c r="M4901" s="473"/>
    </row>
    <row r="4902" spans="5:13">
      <c r="E4902" s="473"/>
      <c r="F4902" s="473"/>
      <c r="G4902" s="473"/>
      <c r="H4902" s="473"/>
      <c r="I4902" s="473"/>
      <c r="J4902" s="473"/>
      <c r="K4902" s="473"/>
      <c r="L4902" s="473"/>
      <c r="M4902" s="473"/>
    </row>
    <row r="4903" spans="5:13">
      <c r="E4903" s="473"/>
      <c r="F4903" s="473"/>
      <c r="G4903" s="473"/>
      <c r="H4903" s="473"/>
      <c r="I4903" s="473"/>
      <c r="J4903" s="473"/>
      <c r="K4903" s="473"/>
      <c r="L4903" s="473"/>
      <c r="M4903" s="473"/>
    </row>
    <row r="4904" spans="5:13">
      <c r="E4904" s="473"/>
      <c r="F4904" s="473"/>
      <c r="G4904" s="473"/>
      <c r="H4904" s="473"/>
      <c r="I4904" s="473"/>
      <c r="J4904" s="473"/>
      <c r="K4904" s="473"/>
      <c r="L4904" s="473"/>
      <c r="M4904" s="473"/>
    </row>
    <row r="4905" spans="5:13">
      <c r="E4905" s="473"/>
      <c r="F4905" s="473"/>
      <c r="G4905" s="473"/>
      <c r="H4905" s="473"/>
      <c r="I4905" s="473"/>
      <c r="J4905" s="473"/>
      <c r="K4905" s="473"/>
      <c r="L4905" s="473"/>
      <c r="M4905" s="473"/>
    </row>
    <row r="4906" spans="5:13">
      <c r="E4906" s="473"/>
      <c r="F4906" s="473"/>
      <c r="G4906" s="473"/>
      <c r="H4906" s="473"/>
      <c r="I4906" s="473"/>
      <c r="J4906" s="473"/>
      <c r="K4906" s="473"/>
      <c r="L4906" s="473"/>
      <c r="M4906" s="473"/>
    </row>
    <row r="4907" spans="5:13">
      <c r="E4907" s="473"/>
      <c r="F4907" s="473"/>
      <c r="G4907" s="473"/>
      <c r="H4907" s="473"/>
      <c r="I4907" s="473"/>
      <c r="J4907" s="473"/>
      <c r="K4907" s="473"/>
      <c r="L4907" s="473"/>
      <c r="M4907" s="473"/>
    </row>
    <row r="4908" spans="5:13">
      <c r="E4908" s="473"/>
      <c r="F4908" s="473"/>
      <c r="G4908" s="473"/>
      <c r="H4908" s="473"/>
      <c r="I4908" s="473"/>
      <c r="J4908" s="473"/>
      <c r="K4908" s="473"/>
      <c r="L4908" s="473"/>
      <c r="M4908" s="473"/>
    </row>
    <row r="4909" spans="5:13">
      <c r="E4909" s="473"/>
      <c r="F4909" s="473"/>
      <c r="G4909" s="473"/>
      <c r="H4909" s="473"/>
      <c r="I4909" s="473"/>
      <c r="J4909" s="473"/>
      <c r="K4909" s="473"/>
      <c r="L4909" s="473"/>
      <c r="M4909" s="473"/>
    </row>
    <row r="4910" spans="5:13">
      <c r="E4910" s="473"/>
      <c r="F4910" s="473"/>
      <c r="G4910" s="473"/>
      <c r="H4910" s="473"/>
      <c r="I4910" s="473"/>
      <c r="J4910" s="473"/>
      <c r="K4910" s="473"/>
      <c r="L4910" s="473"/>
      <c r="M4910" s="473"/>
    </row>
    <row r="4911" spans="5:13">
      <c r="E4911" s="473"/>
      <c r="F4911" s="473"/>
      <c r="G4911" s="473"/>
      <c r="H4911" s="473"/>
      <c r="I4911" s="473"/>
      <c r="J4911" s="473"/>
      <c r="K4911" s="473"/>
      <c r="L4911" s="473"/>
      <c r="M4911" s="473"/>
    </row>
    <row r="4912" spans="5:13">
      <c r="E4912" s="473"/>
      <c r="F4912" s="473"/>
      <c r="G4912" s="473"/>
      <c r="H4912" s="473"/>
      <c r="I4912" s="473"/>
      <c r="J4912" s="473"/>
      <c r="K4912" s="473"/>
      <c r="L4912" s="473"/>
      <c r="M4912" s="473"/>
    </row>
    <row r="4913" spans="5:13">
      <c r="E4913" s="473"/>
      <c r="F4913" s="473"/>
      <c r="G4913" s="473"/>
      <c r="H4913" s="473"/>
      <c r="I4913" s="473"/>
      <c r="J4913" s="473"/>
      <c r="K4913" s="473"/>
      <c r="L4913" s="473"/>
      <c r="M4913" s="473"/>
    </row>
    <row r="4914" spans="5:13">
      <c r="E4914" s="473"/>
      <c r="F4914" s="473"/>
      <c r="G4914" s="473"/>
      <c r="H4914" s="473"/>
      <c r="I4914" s="473"/>
      <c r="J4914" s="473"/>
      <c r="K4914" s="473"/>
      <c r="L4914" s="473"/>
      <c r="M4914" s="473"/>
    </row>
    <row r="4915" spans="5:13">
      <c r="E4915" s="473"/>
      <c r="F4915" s="473"/>
      <c r="G4915" s="473"/>
      <c r="H4915" s="473"/>
      <c r="I4915" s="473"/>
      <c r="J4915" s="473"/>
      <c r="K4915" s="473"/>
      <c r="L4915" s="473"/>
      <c r="M4915" s="473"/>
    </row>
    <row r="4916" spans="5:13">
      <c r="E4916" s="473"/>
      <c r="F4916" s="473"/>
      <c r="G4916" s="473"/>
      <c r="H4916" s="473"/>
      <c r="I4916" s="473"/>
      <c r="J4916" s="473"/>
      <c r="K4916" s="473"/>
      <c r="L4916" s="473"/>
      <c r="M4916" s="473"/>
    </row>
    <row r="4917" spans="5:13">
      <c r="E4917" s="473"/>
      <c r="F4917" s="473"/>
      <c r="G4917" s="473"/>
      <c r="H4917" s="473"/>
      <c r="I4917" s="473"/>
      <c r="J4917" s="473"/>
      <c r="K4917" s="473"/>
      <c r="L4917" s="473"/>
      <c r="M4917" s="473"/>
    </row>
    <row r="4918" spans="5:13">
      <c r="E4918" s="473"/>
      <c r="F4918" s="473"/>
      <c r="G4918" s="473"/>
      <c r="H4918" s="473"/>
      <c r="I4918" s="473"/>
      <c r="J4918" s="473"/>
      <c r="K4918" s="473"/>
      <c r="L4918" s="473"/>
      <c r="M4918" s="473"/>
    </row>
    <row r="4919" spans="5:13">
      <c r="E4919" s="473"/>
      <c r="F4919" s="473"/>
      <c r="G4919" s="473"/>
      <c r="H4919" s="473"/>
      <c r="I4919" s="473"/>
      <c r="J4919" s="473"/>
      <c r="K4919" s="473"/>
      <c r="L4919" s="473"/>
      <c r="M4919" s="473"/>
    </row>
    <row r="4920" spans="5:13">
      <c r="E4920" s="473"/>
      <c r="F4920" s="473"/>
      <c r="G4920" s="473"/>
      <c r="H4920" s="473"/>
      <c r="I4920" s="473"/>
      <c r="J4920" s="473"/>
      <c r="K4920" s="473"/>
      <c r="L4920" s="473"/>
      <c r="M4920" s="473"/>
    </row>
    <row r="4921" spans="5:13">
      <c r="E4921" s="473"/>
      <c r="F4921" s="473"/>
      <c r="G4921" s="473"/>
      <c r="H4921" s="473"/>
      <c r="I4921" s="473"/>
      <c r="J4921" s="473"/>
      <c r="K4921" s="473"/>
      <c r="L4921" s="473"/>
      <c r="M4921" s="473"/>
    </row>
    <row r="4922" spans="5:13">
      <c r="E4922" s="473"/>
      <c r="F4922" s="473"/>
      <c r="G4922" s="473"/>
      <c r="H4922" s="473"/>
      <c r="I4922" s="473"/>
      <c r="J4922" s="473"/>
      <c r="K4922" s="473"/>
      <c r="L4922" s="473"/>
      <c r="M4922" s="473"/>
    </row>
    <row r="4923" spans="5:13">
      <c r="E4923" s="473"/>
      <c r="F4923" s="473"/>
      <c r="G4923" s="473"/>
      <c r="H4923" s="473"/>
      <c r="I4923" s="473"/>
      <c r="J4923" s="473"/>
      <c r="K4923" s="473"/>
      <c r="L4923" s="473"/>
      <c r="M4923" s="473"/>
    </row>
    <row r="4924" spans="5:13">
      <c r="E4924" s="473"/>
      <c r="F4924" s="473"/>
      <c r="G4924" s="473"/>
      <c r="H4924" s="473"/>
      <c r="I4924" s="473"/>
      <c r="J4924" s="473"/>
      <c r="K4924" s="473"/>
      <c r="L4924" s="473"/>
      <c r="M4924" s="473"/>
    </row>
    <row r="4925" spans="5:13">
      <c r="E4925" s="473"/>
      <c r="F4925" s="473"/>
      <c r="G4925" s="473"/>
      <c r="H4925" s="473"/>
      <c r="I4925" s="473"/>
      <c r="J4925" s="473"/>
      <c r="K4925" s="473"/>
      <c r="L4925" s="473"/>
      <c r="M4925" s="473"/>
    </row>
    <row r="4926" spans="5:13">
      <c r="E4926" s="473"/>
      <c r="F4926" s="473"/>
      <c r="G4926" s="473"/>
      <c r="H4926" s="473"/>
      <c r="I4926" s="473"/>
      <c r="J4926" s="473"/>
      <c r="K4926" s="473"/>
      <c r="L4926" s="473"/>
      <c r="M4926" s="473"/>
    </row>
    <row r="4927" spans="5:13">
      <c r="E4927" s="473"/>
      <c r="F4927" s="473"/>
      <c r="G4927" s="473"/>
      <c r="H4927" s="473"/>
      <c r="I4927" s="473"/>
      <c r="J4927" s="473"/>
      <c r="K4927" s="473"/>
      <c r="L4927" s="473"/>
      <c r="M4927" s="473"/>
    </row>
    <row r="4928" spans="5:13">
      <c r="E4928" s="473"/>
      <c r="F4928" s="473"/>
      <c r="G4928" s="473"/>
      <c r="H4928" s="473"/>
      <c r="I4928" s="473"/>
      <c r="J4928" s="473"/>
      <c r="K4928" s="473"/>
      <c r="L4928" s="473"/>
      <c r="M4928" s="473"/>
    </row>
    <row r="4929" spans="5:13">
      <c r="E4929" s="473"/>
      <c r="F4929" s="473"/>
      <c r="G4929" s="473"/>
      <c r="H4929" s="473"/>
      <c r="I4929" s="473"/>
      <c r="J4929" s="473"/>
      <c r="K4929" s="473"/>
      <c r="L4929" s="473"/>
      <c r="M4929" s="473"/>
    </row>
    <row r="4930" spans="5:13">
      <c r="E4930" s="473"/>
      <c r="F4930" s="473"/>
      <c r="G4930" s="473"/>
      <c r="H4930" s="473"/>
      <c r="I4930" s="473"/>
      <c r="J4930" s="473"/>
      <c r="K4930" s="473"/>
      <c r="L4930" s="473"/>
      <c r="M4930" s="473"/>
    </row>
    <row r="4931" spans="5:13">
      <c r="E4931" s="473"/>
      <c r="F4931" s="473"/>
      <c r="G4931" s="473"/>
      <c r="H4931" s="473"/>
      <c r="I4931" s="473"/>
      <c r="J4931" s="473"/>
      <c r="K4931" s="473"/>
      <c r="L4931" s="473"/>
      <c r="M4931" s="473"/>
    </row>
    <row r="4932" spans="5:13">
      <c r="E4932" s="473"/>
      <c r="F4932" s="473"/>
      <c r="G4932" s="473"/>
      <c r="H4932" s="473"/>
      <c r="I4932" s="473"/>
      <c r="J4932" s="473"/>
      <c r="K4932" s="473"/>
      <c r="L4932" s="473"/>
      <c r="M4932" s="473"/>
    </row>
    <row r="4933" spans="5:13">
      <c r="E4933" s="473"/>
      <c r="F4933" s="473"/>
      <c r="G4933" s="473"/>
      <c r="H4933" s="473"/>
      <c r="I4933" s="473"/>
      <c r="J4933" s="473"/>
      <c r="K4933" s="473"/>
      <c r="L4933" s="473"/>
      <c r="M4933" s="473"/>
    </row>
    <row r="4934" spans="5:13">
      <c r="E4934" s="473"/>
      <c r="F4934" s="473"/>
      <c r="G4934" s="473"/>
      <c r="H4934" s="473"/>
      <c r="I4934" s="473"/>
      <c r="J4934" s="473"/>
      <c r="K4934" s="473"/>
      <c r="L4934" s="473"/>
      <c r="M4934" s="473"/>
    </row>
    <row r="4935" spans="5:13">
      <c r="E4935" s="473"/>
      <c r="F4935" s="473"/>
      <c r="G4935" s="473"/>
      <c r="H4935" s="473"/>
      <c r="I4935" s="473"/>
      <c r="J4935" s="473"/>
      <c r="K4935" s="473"/>
      <c r="L4935" s="473"/>
      <c r="M4935" s="473"/>
    </row>
    <row r="4936" spans="5:13">
      <c r="E4936" s="473"/>
      <c r="F4936" s="473"/>
      <c r="G4936" s="473"/>
      <c r="H4936" s="473"/>
      <c r="I4936" s="473"/>
      <c r="J4936" s="473"/>
      <c r="K4936" s="473"/>
      <c r="L4936" s="473"/>
      <c r="M4936" s="473"/>
    </row>
    <row r="4937" spans="5:13">
      <c r="E4937" s="473"/>
      <c r="F4937" s="473"/>
      <c r="G4937" s="473"/>
      <c r="H4937" s="473"/>
      <c r="I4937" s="473"/>
      <c r="J4937" s="473"/>
      <c r="K4937" s="473"/>
      <c r="L4937" s="473"/>
      <c r="M4937" s="473"/>
    </row>
    <row r="4938" spans="5:13">
      <c r="E4938" s="473"/>
      <c r="F4938" s="473"/>
      <c r="G4938" s="473"/>
      <c r="H4938" s="473"/>
      <c r="I4938" s="473"/>
      <c r="J4938" s="473"/>
      <c r="K4938" s="473"/>
      <c r="L4938" s="473"/>
      <c r="M4938" s="473"/>
    </row>
    <row r="4939" spans="5:13">
      <c r="E4939" s="473"/>
      <c r="F4939" s="473"/>
      <c r="G4939" s="473"/>
      <c r="H4939" s="473"/>
      <c r="I4939" s="473"/>
      <c r="J4939" s="473"/>
      <c r="K4939" s="473"/>
      <c r="L4939" s="473"/>
      <c r="M4939" s="473"/>
    </row>
    <row r="4940" spans="5:13">
      <c r="E4940" s="473"/>
      <c r="F4940" s="473"/>
      <c r="G4940" s="473"/>
      <c r="H4940" s="473"/>
      <c r="I4940" s="473"/>
      <c r="J4940" s="473"/>
      <c r="K4940" s="473"/>
      <c r="L4940" s="473"/>
      <c r="M4940" s="473"/>
    </row>
    <row r="4941" spans="5:13">
      <c r="E4941" s="473"/>
      <c r="F4941" s="473"/>
      <c r="G4941" s="473"/>
      <c r="H4941" s="473"/>
      <c r="I4941" s="473"/>
      <c r="J4941" s="473"/>
      <c r="K4941" s="473"/>
      <c r="L4941" s="473"/>
      <c r="M4941" s="473"/>
    </row>
    <row r="4942" spans="5:13">
      <c r="E4942" s="473"/>
      <c r="F4942" s="473"/>
      <c r="G4942" s="473"/>
      <c r="H4942" s="473"/>
      <c r="I4942" s="473"/>
      <c r="J4942" s="473"/>
      <c r="K4942" s="473"/>
      <c r="L4942" s="473"/>
      <c r="M4942" s="473"/>
    </row>
    <row r="4943" spans="5:13">
      <c r="E4943" s="473"/>
      <c r="F4943" s="473"/>
      <c r="G4943" s="473"/>
      <c r="H4943" s="473"/>
      <c r="I4943" s="473"/>
      <c r="J4943" s="473"/>
      <c r="K4943" s="473"/>
      <c r="L4943" s="473"/>
      <c r="M4943" s="473"/>
    </row>
    <row r="4944" spans="5:13">
      <c r="E4944" s="473"/>
      <c r="F4944" s="473"/>
      <c r="G4944" s="473"/>
      <c r="H4944" s="473"/>
      <c r="I4944" s="473"/>
      <c r="J4944" s="473"/>
      <c r="K4944" s="473"/>
      <c r="L4944" s="473"/>
      <c r="M4944" s="473"/>
    </row>
    <row r="4945" spans="5:13">
      <c r="E4945" s="473"/>
      <c r="F4945" s="473"/>
      <c r="G4945" s="473"/>
      <c r="H4945" s="473"/>
      <c r="I4945" s="473"/>
      <c r="J4945" s="473"/>
      <c r="K4945" s="473"/>
      <c r="L4945" s="473"/>
      <c r="M4945" s="473"/>
    </row>
    <row r="4946" spans="5:13">
      <c r="E4946" s="473"/>
      <c r="F4946" s="473"/>
      <c r="G4946" s="473"/>
      <c r="H4946" s="473"/>
      <c r="I4946" s="473"/>
      <c r="J4946" s="473"/>
      <c r="K4946" s="473"/>
      <c r="L4946" s="473"/>
      <c r="M4946" s="473"/>
    </row>
    <row r="4947" spans="5:13">
      <c r="E4947" s="473"/>
      <c r="F4947" s="473"/>
      <c r="G4947" s="473"/>
      <c r="H4947" s="473"/>
      <c r="I4947" s="473"/>
      <c r="J4947" s="473"/>
      <c r="K4947" s="473"/>
      <c r="L4947" s="473"/>
      <c r="M4947" s="473"/>
    </row>
    <row r="4948" spans="5:13">
      <c r="E4948" s="473"/>
      <c r="F4948" s="473"/>
      <c r="G4948" s="473"/>
      <c r="H4948" s="473"/>
      <c r="I4948" s="473"/>
      <c r="J4948" s="473"/>
      <c r="K4948" s="473"/>
      <c r="L4948" s="473"/>
      <c r="M4948" s="473"/>
    </row>
    <row r="4949" spans="5:13">
      <c r="E4949" s="473"/>
      <c r="F4949" s="473"/>
      <c r="G4949" s="473"/>
      <c r="H4949" s="473"/>
      <c r="I4949" s="473"/>
      <c r="J4949" s="473"/>
      <c r="K4949" s="473"/>
      <c r="L4949" s="473"/>
      <c r="M4949" s="473"/>
    </row>
    <row r="4950" spans="5:13">
      <c r="E4950" s="473"/>
      <c r="F4950" s="473"/>
      <c r="G4950" s="473"/>
      <c r="H4950" s="473"/>
      <c r="I4950" s="473"/>
      <c r="J4950" s="473"/>
      <c r="K4950" s="473"/>
      <c r="L4950" s="473"/>
      <c r="M4950" s="473"/>
    </row>
    <row r="4951" spans="5:13">
      <c r="E4951" s="473"/>
      <c r="F4951" s="473"/>
      <c r="G4951" s="473"/>
      <c r="H4951" s="473"/>
      <c r="I4951" s="473"/>
      <c r="J4951" s="473"/>
      <c r="K4951" s="473"/>
      <c r="L4951" s="473"/>
      <c r="M4951" s="473"/>
    </row>
    <row r="4952" spans="5:13">
      <c r="E4952" s="473"/>
      <c r="F4952" s="473"/>
      <c r="G4952" s="473"/>
      <c r="H4952" s="473"/>
      <c r="I4952" s="473"/>
      <c r="J4952" s="473"/>
      <c r="K4952" s="473"/>
      <c r="L4952" s="473"/>
      <c r="M4952" s="473"/>
    </row>
    <row r="4953" spans="5:13">
      <c r="E4953" s="473"/>
      <c r="F4953" s="473"/>
      <c r="G4953" s="473"/>
      <c r="H4953" s="473"/>
      <c r="I4953" s="473"/>
      <c r="J4953" s="473"/>
      <c r="K4953" s="473"/>
      <c r="L4953" s="473"/>
      <c r="M4953" s="473"/>
    </row>
    <row r="4954" spans="5:13">
      <c r="E4954" s="473"/>
      <c r="F4954" s="473"/>
      <c r="G4954" s="473"/>
      <c r="H4954" s="473"/>
      <c r="I4954" s="473"/>
      <c r="J4954" s="473"/>
      <c r="K4954" s="473"/>
      <c r="L4954" s="473"/>
      <c r="M4954" s="473"/>
    </row>
    <row r="4955" spans="5:13">
      <c r="E4955" s="473"/>
      <c r="F4955" s="473"/>
      <c r="G4955" s="473"/>
      <c r="H4955" s="473"/>
      <c r="I4955" s="473"/>
      <c r="J4955" s="473"/>
      <c r="K4955" s="473"/>
      <c r="L4955" s="473"/>
      <c r="M4955" s="473"/>
    </row>
    <row r="4956" spans="5:13">
      <c r="E4956" s="473"/>
      <c r="F4956" s="473"/>
      <c r="G4956" s="473"/>
      <c r="H4956" s="473"/>
      <c r="I4956" s="473"/>
      <c r="J4956" s="473"/>
      <c r="K4956" s="473"/>
      <c r="L4956" s="473"/>
      <c r="M4956" s="473"/>
    </row>
    <row r="4957" spans="5:13">
      <c r="E4957" s="473"/>
      <c r="F4957" s="473"/>
      <c r="G4957" s="473"/>
      <c r="H4957" s="473"/>
      <c r="I4957" s="473"/>
      <c r="J4957" s="473"/>
      <c r="K4957" s="473"/>
      <c r="L4957" s="473"/>
      <c r="M4957" s="473"/>
    </row>
    <row r="4958" spans="5:13">
      <c r="E4958" s="473"/>
      <c r="F4958" s="473"/>
      <c r="G4958" s="473"/>
      <c r="H4958" s="473"/>
      <c r="I4958" s="473"/>
      <c r="J4958" s="473"/>
      <c r="K4958" s="473"/>
      <c r="L4958" s="473"/>
      <c r="M4958" s="473"/>
    </row>
    <row r="4959" spans="5:13">
      <c r="E4959" s="473"/>
      <c r="F4959" s="473"/>
      <c r="G4959" s="473"/>
      <c r="H4959" s="473"/>
      <c r="I4959" s="473"/>
      <c r="J4959" s="473"/>
      <c r="K4959" s="473"/>
      <c r="L4959" s="473"/>
      <c r="M4959" s="473"/>
    </row>
    <row r="4960" spans="5:13">
      <c r="E4960" s="473"/>
      <c r="F4960" s="473"/>
      <c r="G4960" s="473"/>
      <c r="H4960" s="473"/>
      <c r="I4960" s="473"/>
      <c r="J4960" s="473"/>
      <c r="K4960" s="473"/>
      <c r="L4960" s="473"/>
      <c r="M4960" s="473"/>
    </row>
    <row r="4961" spans="5:13">
      <c r="E4961" s="473"/>
      <c r="F4961" s="473"/>
      <c r="G4961" s="473"/>
      <c r="H4961" s="473"/>
      <c r="I4961" s="473"/>
      <c r="J4961" s="473"/>
      <c r="K4961" s="473"/>
      <c r="L4961" s="473"/>
      <c r="M4961" s="473"/>
    </row>
    <row r="4962" spans="5:13">
      <c r="E4962" s="473"/>
      <c r="F4962" s="473"/>
      <c r="G4962" s="473"/>
      <c r="H4962" s="473"/>
      <c r="I4962" s="473"/>
      <c r="J4962" s="473"/>
      <c r="K4962" s="473"/>
      <c r="L4962" s="473"/>
      <c r="M4962" s="473"/>
    </row>
    <row r="4963" spans="5:13">
      <c r="E4963" s="473"/>
      <c r="F4963" s="473"/>
      <c r="G4963" s="473"/>
      <c r="H4963" s="473"/>
      <c r="I4963" s="473"/>
      <c r="J4963" s="473"/>
      <c r="K4963" s="473"/>
      <c r="L4963" s="473"/>
      <c r="M4963" s="473"/>
    </row>
    <row r="4964" spans="5:13">
      <c r="E4964" s="473"/>
      <c r="F4964" s="473"/>
      <c r="G4964" s="473"/>
      <c r="H4964" s="473"/>
      <c r="I4964" s="473"/>
      <c r="J4964" s="473"/>
      <c r="K4964" s="473"/>
      <c r="L4964" s="473"/>
      <c r="M4964" s="473"/>
    </row>
    <row r="4965" spans="5:13">
      <c r="E4965" s="473"/>
      <c r="F4965" s="473"/>
      <c r="G4965" s="473"/>
      <c r="H4965" s="473"/>
      <c r="I4965" s="473"/>
      <c r="J4965" s="473"/>
      <c r="K4965" s="473"/>
      <c r="L4965" s="473"/>
      <c r="M4965" s="473"/>
    </row>
    <row r="4966" spans="5:13">
      <c r="E4966" s="473"/>
      <c r="F4966" s="473"/>
      <c r="G4966" s="473"/>
      <c r="H4966" s="473"/>
      <c r="I4966" s="473"/>
      <c r="J4966" s="473"/>
      <c r="K4966" s="473"/>
      <c r="L4966" s="473"/>
      <c r="M4966" s="473"/>
    </row>
    <row r="4967" spans="5:13">
      <c r="E4967" s="473"/>
      <c r="F4967" s="473"/>
      <c r="G4967" s="473"/>
      <c r="H4967" s="473"/>
      <c r="I4967" s="473"/>
      <c r="J4967" s="473"/>
      <c r="K4967" s="473"/>
      <c r="L4967" s="473"/>
      <c r="M4967" s="473"/>
    </row>
    <row r="4968" spans="5:13">
      <c r="E4968" s="473"/>
      <c r="F4968" s="473"/>
      <c r="G4968" s="473"/>
      <c r="H4968" s="473"/>
      <c r="I4968" s="473"/>
      <c r="J4968" s="473"/>
      <c r="K4968" s="473"/>
      <c r="L4968" s="473"/>
      <c r="M4968" s="473"/>
    </row>
    <row r="4969" spans="5:13">
      <c r="E4969" s="473"/>
      <c r="F4969" s="473"/>
      <c r="G4969" s="473"/>
      <c r="H4969" s="473"/>
      <c r="I4969" s="473"/>
      <c r="J4969" s="473"/>
      <c r="K4969" s="473"/>
      <c r="L4969" s="473"/>
      <c r="M4969" s="473"/>
    </row>
    <row r="4970" spans="5:13">
      <c r="E4970" s="473"/>
      <c r="F4970" s="473"/>
      <c r="G4970" s="473"/>
      <c r="H4970" s="473"/>
      <c r="I4970" s="473"/>
      <c r="J4970" s="473"/>
      <c r="K4970" s="473"/>
      <c r="L4970" s="473"/>
      <c r="M4970" s="473"/>
    </row>
    <row r="4971" spans="5:13">
      <c r="E4971" s="473"/>
      <c r="F4971" s="473"/>
      <c r="G4971" s="473"/>
      <c r="H4971" s="473"/>
      <c r="I4971" s="473"/>
      <c r="J4971" s="473"/>
      <c r="K4971" s="473"/>
      <c r="L4971" s="473"/>
      <c r="M4971" s="473"/>
    </row>
    <row r="4972" spans="5:13">
      <c r="E4972" s="473"/>
      <c r="F4972" s="473"/>
      <c r="G4972" s="473"/>
      <c r="H4972" s="473"/>
      <c r="I4972" s="473"/>
      <c r="J4972" s="473"/>
      <c r="K4972" s="473"/>
      <c r="L4972" s="473"/>
      <c r="M4972" s="473"/>
    </row>
    <row r="4973" spans="5:13">
      <c r="E4973" s="473"/>
      <c r="F4973" s="473"/>
      <c r="G4973" s="473"/>
      <c r="H4973" s="473"/>
      <c r="I4973" s="473"/>
      <c r="J4973" s="473"/>
      <c r="K4973" s="473"/>
      <c r="L4973" s="473"/>
      <c r="M4973" s="473"/>
    </row>
    <row r="4974" spans="5:13">
      <c r="E4974" s="473"/>
      <c r="F4974" s="473"/>
      <c r="G4974" s="473"/>
      <c r="H4974" s="473"/>
      <c r="I4974" s="473"/>
      <c r="J4974" s="473"/>
      <c r="K4974" s="473"/>
      <c r="L4974" s="473"/>
      <c r="M4974" s="473"/>
    </row>
    <row r="4975" spans="5:13">
      <c r="E4975" s="473"/>
      <c r="F4975" s="473"/>
      <c r="G4975" s="473"/>
      <c r="H4975" s="473"/>
      <c r="I4975" s="473"/>
      <c r="J4975" s="473"/>
      <c r="K4975" s="473"/>
      <c r="L4975" s="473"/>
      <c r="M4975" s="473"/>
    </row>
    <row r="4976" spans="5:13">
      <c r="E4976" s="473"/>
      <c r="F4976" s="473"/>
      <c r="G4976" s="473"/>
      <c r="H4976" s="473"/>
      <c r="I4976" s="473"/>
      <c r="J4976" s="473"/>
      <c r="K4976" s="473"/>
      <c r="L4976" s="473"/>
      <c r="M4976" s="473"/>
    </row>
    <row r="4977" spans="5:13">
      <c r="E4977" s="473"/>
      <c r="F4977" s="473"/>
      <c r="G4977" s="473"/>
      <c r="H4977" s="473"/>
      <c r="I4977" s="473"/>
      <c r="J4977" s="473"/>
      <c r="K4977" s="473"/>
      <c r="L4977" s="473"/>
      <c r="M4977" s="473"/>
    </row>
    <row r="4978" spans="5:13">
      <c r="E4978" s="473"/>
      <c r="F4978" s="473"/>
      <c r="G4978" s="473"/>
      <c r="H4978" s="473"/>
      <c r="I4978" s="473"/>
      <c r="J4978" s="473"/>
      <c r="K4978" s="473"/>
      <c r="L4978" s="473"/>
      <c r="M4978" s="473"/>
    </row>
    <row r="4979" spans="5:13">
      <c r="E4979" s="473"/>
      <c r="F4979" s="473"/>
      <c r="G4979" s="473"/>
      <c r="H4979" s="473"/>
      <c r="I4979" s="473"/>
      <c r="J4979" s="473"/>
      <c r="K4979" s="473"/>
      <c r="L4979" s="473"/>
      <c r="M4979" s="473"/>
    </row>
    <row r="4980" spans="5:13">
      <c r="E4980" s="473"/>
      <c r="F4980" s="473"/>
      <c r="G4980" s="473"/>
      <c r="H4980" s="473"/>
      <c r="I4980" s="473"/>
      <c r="J4980" s="473"/>
      <c r="K4980" s="473"/>
      <c r="L4980" s="473"/>
      <c r="M4980" s="473"/>
    </row>
    <row r="4981" spans="5:13">
      <c r="E4981" s="473"/>
      <c r="F4981" s="473"/>
      <c r="G4981" s="473"/>
      <c r="H4981" s="473"/>
      <c r="I4981" s="473"/>
      <c r="J4981" s="473"/>
      <c r="K4981" s="473"/>
      <c r="L4981" s="473"/>
      <c r="M4981" s="473"/>
    </row>
    <row r="4982" spans="5:13">
      <c r="E4982" s="473"/>
      <c r="F4982" s="473"/>
      <c r="G4982" s="473"/>
      <c r="H4982" s="473"/>
      <c r="I4982" s="473"/>
      <c r="J4982" s="473"/>
      <c r="K4982" s="473"/>
      <c r="L4982" s="473"/>
      <c r="M4982" s="473"/>
    </row>
    <row r="4983" spans="5:13">
      <c r="E4983" s="473"/>
      <c r="F4983" s="473"/>
      <c r="G4983" s="473"/>
      <c r="H4983" s="473"/>
      <c r="I4983" s="473"/>
      <c r="J4983" s="473"/>
      <c r="K4983" s="473"/>
      <c r="L4983" s="473"/>
      <c r="M4983" s="473"/>
    </row>
    <row r="4984" spans="5:13">
      <c r="E4984" s="473"/>
      <c r="F4984" s="473"/>
      <c r="G4984" s="473"/>
      <c r="H4984" s="473"/>
      <c r="I4984" s="473"/>
      <c r="J4984" s="473"/>
      <c r="K4984" s="473"/>
      <c r="L4984" s="473"/>
      <c r="M4984" s="473"/>
    </row>
    <row r="4985" spans="5:13">
      <c r="E4985" s="473"/>
      <c r="F4985" s="473"/>
      <c r="G4985" s="473"/>
      <c r="H4985" s="473"/>
      <c r="I4985" s="473"/>
      <c r="J4985" s="473"/>
      <c r="K4985" s="473"/>
      <c r="L4985" s="473"/>
      <c r="M4985" s="473"/>
    </row>
    <row r="4986" spans="5:13">
      <c r="E4986" s="473"/>
      <c r="F4986" s="473"/>
      <c r="G4986" s="473"/>
      <c r="H4986" s="473"/>
      <c r="I4986" s="473"/>
      <c r="J4986" s="473"/>
      <c r="K4986" s="473"/>
      <c r="L4986" s="473"/>
      <c r="M4986" s="473"/>
    </row>
    <row r="4987" spans="5:13">
      <c r="E4987" s="473"/>
      <c r="F4987" s="473"/>
      <c r="G4987" s="473"/>
      <c r="H4987" s="473"/>
      <c r="I4987" s="473"/>
      <c r="J4987" s="473"/>
      <c r="K4987" s="473"/>
      <c r="L4987" s="473"/>
      <c r="M4987" s="473"/>
    </row>
    <row r="4988" spans="5:13">
      <c r="E4988" s="473"/>
      <c r="F4988" s="473"/>
      <c r="G4988" s="473"/>
      <c r="H4988" s="473"/>
      <c r="I4988" s="473"/>
      <c r="J4988" s="473"/>
      <c r="K4988" s="473"/>
      <c r="L4988" s="473"/>
      <c r="M4988" s="473"/>
    </row>
    <row r="4989" spans="5:13">
      <c r="E4989" s="473"/>
      <c r="F4989" s="473"/>
      <c r="G4989" s="473"/>
      <c r="H4989" s="473"/>
      <c r="I4989" s="473"/>
      <c r="J4989" s="473"/>
      <c r="K4989" s="473"/>
      <c r="L4989" s="473"/>
      <c r="M4989" s="473"/>
    </row>
    <row r="4990" spans="5:13">
      <c r="E4990" s="473"/>
      <c r="F4990" s="473"/>
      <c r="G4990" s="473"/>
      <c r="H4990" s="473"/>
      <c r="I4990" s="473"/>
      <c r="J4990" s="473"/>
      <c r="K4990" s="473"/>
      <c r="L4990" s="473"/>
      <c r="M4990" s="473"/>
    </row>
    <row r="4991" spans="5:13">
      <c r="E4991" s="473"/>
      <c r="F4991" s="473"/>
      <c r="G4991" s="473"/>
      <c r="H4991" s="473"/>
      <c r="I4991" s="473"/>
      <c r="J4991" s="473"/>
      <c r="K4991" s="473"/>
      <c r="L4991" s="473"/>
      <c r="M4991" s="473"/>
    </row>
    <row r="4992" spans="5:13">
      <c r="E4992" s="473"/>
      <c r="F4992" s="473"/>
      <c r="G4992" s="473"/>
      <c r="H4992" s="473"/>
      <c r="I4992" s="473"/>
      <c r="J4992" s="473"/>
      <c r="K4992" s="473"/>
      <c r="L4992" s="473"/>
      <c r="M4992" s="473"/>
    </row>
    <row r="4993" spans="5:13">
      <c r="E4993" s="473"/>
      <c r="F4993" s="473"/>
      <c r="G4993" s="473"/>
      <c r="H4993" s="473"/>
      <c r="I4993" s="473"/>
      <c r="J4993" s="473"/>
      <c r="K4993" s="473"/>
      <c r="L4993" s="473"/>
      <c r="M4993" s="473"/>
    </row>
    <row r="4994" spans="5:13">
      <c r="E4994" s="473"/>
      <c r="F4994" s="473"/>
      <c r="G4994" s="473"/>
      <c r="H4994" s="473"/>
      <c r="I4994" s="473"/>
      <c r="J4994" s="473"/>
      <c r="K4994" s="473"/>
      <c r="L4994" s="473"/>
      <c r="M4994" s="473"/>
    </row>
    <row r="4995" spans="5:13">
      <c r="E4995" s="473"/>
      <c r="F4995" s="473"/>
      <c r="G4995" s="473"/>
      <c r="H4995" s="473"/>
      <c r="I4995" s="473"/>
      <c r="J4995" s="473"/>
      <c r="K4995" s="473"/>
      <c r="L4995" s="473"/>
      <c r="M4995" s="473"/>
    </row>
    <row r="4996" spans="5:13">
      <c r="E4996" s="473"/>
      <c r="F4996" s="473"/>
      <c r="G4996" s="473"/>
      <c r="H4996" s="473"/>
      <c r="I4996" s="473"/>
      <c r="J4996" s="473"/>
      <c r="K4996" s="473"/>
      <c r="L4996" s="473"/>
      <c r="M4996" s="473"/>
    </row>
    <row r="4997" spans="5:13">
      <c r="E4997" s="473"/>
      <c r="F4997" s="473"/>
      <c r="G4997" s="473"/>
      <c r="H4997" s="473"/>
      <c r="I4997" s="473"/>
      <c r="J4997" s="473"/>
      <c r="K4997" s="473"/>
      <c r="L4997" s="473"/>
      <c r="M4997" s="473"/>
    </row>
    <row r="4998" spans="5:13">
      <c r="E4998" s="473"/>
      <c r="F4998" s="473"/>
      <c r="G4998" s="473"/>
      <c r="H4998" s="473"/>
      <c r="I4998" s="473"/>
      <c r="J4998" s="473"/>
      <c r="K4998" s="473"/>
      <c r="L4998" s="473"/>
      <c r="M4998" s="473"/>
    </row>
    <row r="4999" spans="5:13">
      <c r="E4999" s="473"/>
      <c r="F4999" s="473"/>
      <c r="G4999" s="473"/>
      <c r="H4999" s="473"/>
      <c r="I4999" s="473"/>
      <c r="J4999" s="473"/>
      <c r="K4999" s="473"/>
      <c r="L4999" s="473"/>
      <c r="M4999" s="473"/>
    </row>
    <row r="5000" spans="5:13">
      <c r="E5000" s="473"/>
      <c r="F5000" s="473"/>
      <c r="G5000" s="473"/>
      <c r="H5000" s="473"/>
      <c r="I5000" s="473"/>
      <c r="J5000" s="473"/>
      <c r="K5000" s="473"/>
      <c r="L5000" s="473"/>
      <c r="M5000" s="473"/>
    </row>
    <row r="5001" spans="5:13">
      <c r="E5001" s="473"/>
      <c r="F5001" s="473"/>
      <c r="G5001" s="473"/>
      <c r="H5001" s="473"/>
      <c r="I5001" s="473"/>
      <c r="J5001" s="473"/>
      <c r="K5001" s="473"/>
      <c r="L5001" s="473"/>
      <c r="M5001" s="473"/>
    </row>
    <row r="5002" spans="5:13">
      <c r="E5002" s="473"/>
      <c r="F5002" s="473"/>
      <c r="G5002" s="473"/>
      <c r="H5002" s="473"/>
      <c r="I5002" s="473"/>
      <c r="J5002" s="473"/>
      <c r="K5002" s="473"/>
      <c r="L5002" s="473"/>
      <c r="M5002" s="473"/>
    </row>
    <row r="5003" spans="5:13">
      <c r="E5003" s="473"/>
      <c r="F5003" s="473"/>
      <c r="G5003" s="473"/>
      <c r="H5003" s="473"/>
      <c r="I5003" s="473"/>
      <c r="J5003" s="473"/>
      <c r="K5003" s="473"/>
      <c r="L5003" s="473"/>
      <c r="M5003" s="473"/>
    </row>
    <row r="5004" spans="5:13">
      <c r="E5004" s="473"/>
      <c r="F5004" s="473"/>
      <c r="G5004" s="473"/>
      <c r="H5004" s="473"/>
      <c r="I5004" s="473"/>
      <c r="J5004" s="473"/>
      <c r="K5004" s="473"/>
      <c r="L5004" s="473"/>
      <c r="M5004" s="473"/>
    </row>
    <row r="5005" spans="5:13">
      <c r="E5005" s="473"/>
      <c r="F5005" s="473"/>
      <c r="G5005" s="473"/>
      <c r="H5005" s="473"/>
      <c r="I5005" s="473"/>
      <c r="J5005" s="473"/>
      <c r="K5005" s="473"/>
      <c r="L5005" s="473"/>
      <c r="M5005" s="473"/>
    </row>
    <row r="5006" spans="5:13">
      <c r="E5006" s="473"/>
      <c r="F5006" s="473"/>
      <c r="G5006" s="473"/>
      <c r="H5006" s="473"/>
      <c r="I5006" s="473"/>
      <c r="J5006" s="473"/>
      <c r="K5006" s="473"/>
      <c r="L5006" s="473"/>
      <c r="M5006" s="473"/>
    </row>
    <row r="5007" spans="5:13">
      <c r="E5007" s="473"/>
      <c r="F5007" s="473"/>
      <c r="G5007" s="473"/>
      <c r="H5007" s="473"/>
      <c r="I5007" s="473"/>
      <c r="J5007" s="473"/>
      <c r="K5007" s="473"/>
      <c r="L5007" s="473"/>
      <c r="M5007" s="473"/>
    </row>
    <row r="5008" spans="5:13">
      <c r="E5008" s="473"/>
      <c r="F5008" s="473"/>
      <c r="G5008" s="473"/>
      <c r="H5008" s="473"/>
      <c r="I5008" s="473"/>
      <c r="J5008" s="473"/>
      <c r="K5008" s="473"/>
      <c r="L5008" s="473"/>
      <c r="M5008" s="473"/>
    </row>
    <row r="5009" spans="5:13">
      <c r="E5009" s="473"/>
      <c r="F5009" s="473"/>
      <c r="G5009" s="473"/>
      <c r="H5009" s="473"/>
      <c r="I5009" s="473"/>
      <c r="J5009" s="473"/>
      <c r="K5009" s="473"/>
      <c r="L5009" s="473"/>
      <c r="M5009" s="473"/>
    </row>
    <row r="5010" spans="5:13">
      <c r="E5010" s="473"/>
      <c r="F5010" s="473"/>
      <c r="G5010" s="473"/>
      <c r="H5010" s="473"/>
      <c r="I5010" s="473"/>
      <c r="J5010" s="473"/>
      <c r="K5010" s="473"/>
      <c r="L5010" s="473"/>
      <c r="M5010" s="473"/>
    </row>
    <row r="5011" spans="5:13">
      <c r="E5011" s="473"/>
      <c r="F5011" s="473"/>
      <c r="G5011" s="473"/>
      <c r="H5011" s="473"/>
      <c r="I5011" s="473"/>
      <c r="J5011" s="473"/>
      <c r="K5011" s="473"/>
      <c r="L5011" s="473"/>
      <c r="M5011" s="473"/>
    </row>
    <row r="5012" spans="5:13">
      <c r="E5012" s="473"/>
      <c r="F5012" s="473"/>
      <c r="G5012" s="473"/>
      <c r="H5012" s="473"/>
      <c r="I5012" s="473"/>
      <c r="J5012" s="473"/>
      <c r="K5012" s="473"/>
      <c r="L5012" s="473"/>
      <c r="M5012" s="473"/>
    </row>
    <row r="5013" spans="5:13">
      <c r="E5013" s="473"/>
      <c r="F5013" s="473"/>
      <c r="G5013" s="473"/>
      <c r="H5013" s="473"/>
      <c r="I5013" s="473"/>
      <c r="J5013" s="473"/>
      <c r="K5013" s="473"/>
      <c r="L5013" s="473"/>
      <c r="M5013" s="473"/>
    </row>
    <row r="5014" spans="5:13">
      <c r="E5014" s="473"/>
      <c r="F5014" s="473"/>
      <c r="G5014" s="473"/>
      <c r="H5014" s="473"/>
      <c r="I5014" s="473"/>
      <c r="J5014" s="473"/>
      <c r="K5014" s="473"/>
      <c r="L5014" s="473"/>
      <c r="M5014" s="473"/>
    </row>
    <row r="5015" spans="5:13">
      <c r="E5015" s="473"/>
      <c r="F5015" s="473"/>
      <c r="G5015" s="473"/>
      <c r="H5015" s="473"/>
      <c r="I5015" s="473"/>
      <c r="J5015" s="473"/>
      <c r="K5015" s="473"/>
      <c r="L5015" s="473"/>
      <c r="M5015" s="473"/>
    </row>
    <row r="5016" spans="5:13">
      <c r="E5016" s="473"/>
      <c r="F5016" s="473"/>
      <c r="G5016" s="473"/>
      <c r="H5016" s="473"/>
      <c r="I5016" s="473"/>
      <c r="J5016" s="473"/>
      <c r="K5016" s="473"/>
      <c r="L5016" s="473"/>
      <c r="M5016" s="473"/>
    </row>
    <row r="5017" spans="5:13">
      <c r="E5017" s="473"/>
      <c r="F5017" s="473"/>
      <c r="G5017" s="473"/>
      <c r="H5017" s="473"/>
      <c r="I5017" s="473"/>
      <c r="J5017" s="473"/>
      <c r="K5017" s="473"/>
      <c r="L5017" s="473"/>
      <c r="M5017" s="473"/>
    </row>
    <row r="5018" spans="5:13">
      <c r="E5018" s="473"/>
      <c r="F5018" s="473"/>
      <c r="G5018" s="473"/>
      <c r="H5018" s="473"/>
      <c r="I5018" s="473"/>
      <c r="J5018" s="473"/>
      <c r="K5018" s="473"/>
      <c r="L5018" s="473"/>
      <c r="M5018" s="473"/>
    </row>
    <row r="5019" spans="5:13">
      <c r="E5019" s="473"/>
      <c r="F5019" s="473"/>
      <c r="G5019" s="473"/>
      <c r="H5019" s="473"/>
      <c r="I5019" s="473"/>
      <c r="J5019" s="473"/>
      <c r="K5019" s="473"/>
      <c r="L5019" s="473"/>
      <c r="M5019" s="473"/>
    </row>
    <row r="5020" spans="5:13">
      <c r="E5020" s="473"/>
      <c r="F5020" s="473"/>
      <c r="G5020" s="473"/>
      <c r="H5020" s="473"/>
      <c r="I5020" s="473"/>
      <c r="J5020" s="473"/>
      <c r="K5020" s="473"/>
      <c r="L5020" s="473"/>
      <c r="M5020" s="473"/>
    </row>
    <row r="5021" spans="5:13">
      <c r="E5021" s="473"/>
      <c r="F5021" s="473"/>
      <c r="G5021" s="473"/>
      <c r="H5021" s="473"/>
      <c r="I5021" s="473"/>
      <c r="J5021" s="473"/>
      <c r="K5021" s="473"/>
      <c r="L5021" s="473"/>
      <c r="M5021" s="473"/>
    </row>
    <row r="5022" spans="5:13">
      <c r="E5022" s="473"/>
      <c r="F5022" s="473"/>
      <c r="G5022" s="473"/>
      <c r="H5022" s="473"/>
      <c r="I5022" s="473"/>
      <c r="J5022" s="473"/>
      <c r="K5022" s="473"/>
      <c r="L5022" s="473"/>
      <c r="M5022" s="473"/>
    </row>
    <row r="5023" spans="5:13">
      <c r="E5023" s="473"/>
      <c r="F5023" s="473"/>
      <c r="G5023" s="473"/>
      <c r="H5023" s="473"/>
      <c r="I5023" s="473"/>
      <c r="J5023" s="473"/>
      <c r="K5023" s="473"/>
      <c r="L5023" s="473"/>
      <c r="M5023" s="473"/>
    </row>
    <row r="5024" spans="5:13">
      <c r="E5024" s="473"/>
      <c r="F5024" s="473"/>
      <c r="G5024" s="473"/>
      <c r="H5024" s="473"/>
      <c r="I5024" s="473"/>
      <c r="J5024" s="473"/>
      <c r="K5024" s="473"/>
      <c r="L5024" s="473"/>
      <c r="M5024" s="473"/>
    </row>
    <row r="5025" spans="5:13">
      <c r="E5025" s="473"/>
      <c r="F5025" s="473"/>
      <c r="G5025" s="473"/>
      <c r="H5025" s="473"/>
      <c r="I5025" s="473"/>
      <c r="J5025" s="473"/>
      <c r="K5025" s="473"/>
      <c r="L5025" s="473"/>
      <c r="M5025" s="473"/>
    </row>
    <row r="5026" spans="5:13">
      <c r="E5026" s="473"/>
      <c r="F5026" s="473"/>
      <c r="G5026" s="473"/>
      <c r="H5026" s="473"/>
      <c r="I5026" s="473"/>
      <c r="J5026" s="473"/>
      <c r="K5026" s="473"/>
      <c r="L5026" s="473"/>
      <c r="M5026" s="473"/>
    </row>
    <row r="5027" spans="5:13">
      <c r="E5027" s="473"/>
      <c r="F5027" s="473"/>
      <c r="G5027" s="473"/>
      <c r="H5027" s="473"/>
      <c r="I5027" s="473"/>
      <c r="J5027" s="473"/>
      <c r="K5027" s="473"/>
      <c r="L5027" s="473"/>
      <c r="M5027" s="473"/>
    </row>
    <row r="5028" spans="5:13">
      <c r="E5028" s="473"/>
      <c r="F5028" s="473"/>
      <c r="G5028" s="473"/>
      <c r="H5028" s="473"/>
      <c r="I5028" s="473"/>
      <c r="J5028" s="473"/>
      <c r="K5028" s="473"/>
      <c r="L5028" s="473"/>
      <c r="M5028" s="473"/>
    </row>
    <row r="5029" spans="5:13">
      <c r="E5029" s="473"/>
      <c r="F5029" s="473"/>
      <c r="G5029" s="473"/>
      <c r="H5029" s="473"/>
      <c r="I5029" s="473"/>
      <c r="J5029" s="473"/>
      <c r="K5029" s="473"/>
      <c r="L5029" s="473"/>
      <c r="M5029" s="473"/>
    </row>
    <row r="5030" spans="5:13">
      <c r="E5030" s="473"/>
      <c r="F5030" s="473"/>
      <c r="G5030" s="473"/>
      <c r="H5030" s="473"/>
      <c r="I5030" s="473"/>
      <c r="J5030" s="473"/>
      <c r="K5030" s="473"/>
      <c r="L5030" s="473"/>
      <c r="M5030" s="473"/>
    </row>
    <row r="5031" spans="5:13">
      <c r="E5031" s="473"/>
      <c r="F5031" s="473"/>
      <c r="G5031" s="473"/>
      <c r="H5031" s="473"/>
      <c r="I5031" s="473"/>
      <c r="J5031" s="473"/>
      <c r="K5031" s="473"/>
      <c r="L5031" s="473"/>
      <c r="M5031" s="473"/>
    </row>
    <row r="5032" spans="5:13">
      <c r="E5032" s="473"/>
      <c r="F5032" s="473"/>
      <c r="G5032" s="473"/>
      <c r="H5032" s="473"/>
      <c r="I5032" s="473"/>
      <c r="J5032" s="473"/>
      <c r="K5032" s="473"/>
      <c r="L5032" s="473"/>
      <c r="M5032" s="473"/>
    </row>
    <row r="5033" spans="5:13">
      <c r="E5033" s="473"/>
      <c r="F5033" s="473"/>
      <c r="G5033" s="473"/>
      <c r="H5033" s="473"/>
      <c r="I5033" s="473"/>
      <c r="J5033" s="473"/>
      <c r="K5033" s="473"/>
      <c r="L5033" s="473"/>
      <c r="M5033" s="473"/>
    </row>
    <row r="5034" spans="5:13">
      <c r="E5034" s="473"/>
      <c r="F5034" s="473"/>
      <c r="G5034" s="473"/>
      <c r="H5034" s="473"/>
      <c r="I5034" s="473"/>
      <c r="J5034" s="473"/>
      <c r="K5034" s="473"/>
      <c r="L5034" s="473"/>
      <c r="M5034" s="473"/>
    </row>
    <row r="5035" spans="5:13">
      <c r="E5035" s="473"/>
      <c r="F5035" s="473"/>
      <c r="G5035" s="473"/>
      <c r="H5035" s="473"/>
      <c r="I5035" s="473"/>
      <c r="J5035" s="473"/>
      <c r="K5035" s="473"/>
      <c r="L5035" s="473"/>
      <c r="M5035" s="473"/>
    </row>
    <row r="5036" spans="5:13">
      <c r="E5036" s="473"/>
      <c r="F5036" s="473"/>
      <c r="G5036" s="473"/>
      <c r="H5036" s="473"/>
      <c r="I5036" s="473"/>
      <c r="J5036" s="473"/>
      <c r="K5036" s="473"/>
      <c r="L5036" s="473"/>
      <c r="M5036" s="473"/>
    </row>
    <row r="5037" spans="5:13">
      <c r="E5037" s="473"/>
      <c r="F5037" s="473"/>
      <c r="G5037" s="473"/>
      <c r="H5037" s="473"/>
      <c r="I5037" s="473"/>
      <c r="J5037" s="473"/>
      <c r="K5037" s="473"/>
      <c r="L5037" s="473"/>
      <c r="M5037" s="473"/>
    </row>
    <row r="5038" spans="5:13">
      <c r="E5038" s="473"/>
      <c r="F5038" s="473"/>
      <c r="G5038" s="473"/>
      <c r="H5038" s="473"/>
      <c r="I5038" s="473"/>
      <c r="J5038" s="473"/>
      <c r="K5038" s="473"/>
      <c r="L5038" s="473"/>
      <c r="M5038" s="473"/>
    </row>
    <row r="5039" spans="5:13">
      <c r="E5039" s="473"/>
      <c r="F5039" s="473"/>
      <c r="G5039" s="473"/>
      <c r="H5039" s="473"/>
      <c r="I5039" s="473"/>
      <c r="J5039" s="473"/>
      <c r="K5039" s="473"/>
      <c r="L5039" s="473"/>
      <c r="M5039" s="473"/>
    </row>
    <row r="5040" spans="5:13">
      <c r="E5040" s="473"/>
      <c r="F5040" s="473"/>
      <c r="G5040" s="473"/>
      <c r="H5040" s="473"/>
      <c r="I5040" s="473"/>
      <c r="J5040" s="473"/>
      <c r="K5040" s="473"/>
      <c r="L5040" s="473"/>
      <c r="M5040" s="473"/>
    </row>
    <row r="5041" spans="5:13">
      <c r="E5041" s="473"/>
      <c r="F5041" s="473"/>
      <c r="G5041" s="473"/>
      <c r="H5041" s="473"/>
      <c r="I5041" s="473"/>
      <c r="J5041" s="473"/>
      <c r="K5041" s="473"/>
      <c r="L5041" s="473"/>
      <c r="M5041" s="473"/>
    </row>
    <row r="5042" spans="5:13">
      <c r="E5042" s="473"/>
      <c r="F5042" s="473"/>
      <c r="G5042" s="473"/>
      <c r="H5042" s="473"/>
      <c r="I5042" s="473"/>
      <c r="J5042" s="473"/>
      <c r="K5042" s="473"/>
      <c r="L5042" s="473"/>
      <c r="M5042" s="473"/>
    </row>
    <row r="5043" spans="5:13">
      <c r="E5043" s="473"/>
      <c r="F5043" s="473"/>
      <c r="G5043" s="473"/>
      <c r="H5043" s="473"/>
      <c r="I5043" s="473"/>
      <c r="J5043" s="473"/>
      <c r="K5043" s="473"/>
      <c r="L5043" s="473"/>
      <c r="M5043" s="473"/>
    </row>
    <row r="5044" spans="5:13">
      <c r="E5044" s="473"/>
      <c r="F5044" s="473"/>
      <c r="G5044" s="473"/>
      <c r="H5044" s="473"/>
      <c r="I5044" s="473"/>
      <c r="J5044" s="473"/>
      <c r="K5044" s="473"/>
      <c r="L5044" s="473"/>
      <c r="M5044" s="473"/>
    </row>
    <row r="5045" spans="5:13">
      <c r="E5045" s="473"/>
      <c r="F5045" s="473"/>
      <c r="G5045" s="473"/>
      <c r="H5045" s="473"/>
      <c r="I5045" s="473"/>
      <c r="J5045" s="473"/>
      <c r="K5045" s="473"/>
      <c r="L5045" s="473"/>
      <c r="M5045" s="473"/>
    </row>
    <row r="5046" spans="5:13">
      <c r="E5046" s="473"/>
      <c r="F5046" s="473"/>
      <c r="G5046" s="473"/>
      <c r="H5046" s="473"/>
      <c r="I5046" s="473"/>
      <c r="J5046" s="473"/>
      <c r="K5046" s="473"/>
      <c r="L5046" s="473"/>
      <c r="M5046" s="473"/>
    </row>
    <row r="5047" spans="5:13">
      <c r="E5047" s="473"/>
      <c r="F5047" s="473"/>
      <c r="G5047" s="473"/>
      <c r="H5047" s="473"/>
      <c r="I5047" s="473"/>
      <c r="J5047" s="473"/>
      <c r="K5047" s="473"/>
      <c r="L5047" s="473"/>
      <c r="M5047" s="473"/>
    </row>
    <row r="5048" spans="5:13">
      <c r="E5048" s="473"/>
      <c r="F5048" s="473"/>
      <c r="G5048" s="473"/>
      <c r="H5048" s="473"/>
      <c r="I5048" s="473"/>
      <c r="J5048" s="473"/>
      <c r="K5048" s="473"/>
      <c r="L5048" s="473"/>
      <c r="M5048" s="473"/>
    </row>
    <row r="5049" spans="5:13">
      <c r="E5049" s="473"/>
      <c r="F5049" s="473"/>
      <c r="G5049" s="473"/>
      <c r="H5049" s="473"/>
      <c r="I5049" s="473"/>
      <c r="J5049" s="473"/>
      <c r="K5049" s="473"/>
      <c r="L5049" s="473"/>
      <c r="M5049" s="473"/>
    </row>
    <row r="5050" spans="5:13">
      <c r="E5050" s="473"/>
      <c r="F5050" s="473"/>
      <c r="G5050" s="473"/>
      <c r="H5050" s="473"/>
      <c r="I5050" s="473"/>
      <c r="J5050" s="473"/>
      <c r="K5050" s="473"/>
      <c r="L5050" s="473"/>
      <c r="M5050" s="473"/>
    </row>
    <row r="5051" spans="5:13">
      <c r="E5051" s="473"/>
      <c r="F5051" s="473"/>
      <c r="G5051" s="473"/>
      <c r="H5051" s="473"/>
      <c r="I5051" s="473"/>
      <c r="J5051" s="473"/>
      <c r="K5051" s="473"/>
      <c r="L5051" s="473"/>
      <c r="M5051" s="473"/>
    </row>
    <row r="5052" spans="5:13">
      <c r="E5052" s="473"/>
      <c r="F5052" s="473"/>
      <c r="G5052" s="473"/>
      <c r="H5052" s="473"/>
      <c r="I5052" s="473"/>
      <c r="J5052" s="473"/>
      <c r="K5052" s="473"/>
      <c r="L5052" s="473"/>
      <c r="M5052" s="473"/>
    </row>
    <row r="5053" spans="5:13">
      <c r="E5053" s="473"/>
      <c r="F5053" s="473"/>
      <c r="G5053" s="473"/>
      <c r="H5053" s="473"/>
      <c r="I5053" s="473"/>
      <c r="J5053" s="473"/>
      <c r="K5053" s="473"/>
      <c r="L5053" s="473"/>
      <c r="M5053" s="473"/>
    </row>
    <row r="5054" spans="5:13">
      <c r="E5054" s="473"/>
      <c r="F5054" s="473"/>
      <c r="G5054" s="473"/>
      <c r="H5054" s="473"/>
      <c r="I5054" s="473"/>
      <c r="J5054" s="473"/>
      <c r="K5054" s="473"/>
      <c r="L5054" s="473"/>
      <c r="M5054" s="473"/>
    </row>
    <row r="5055" spans="5:13">
      <c r="E5055" s="473"/>
      <c r="F5055" s="473"/>
      <c r="G5055" s="473"/>
      <c r="H5055" s="473"/>
      <c r="I5055" s="473"/>
      <c r="J5055" s="473"/>
      <c r="K5055" s="473"/>
      <c r="L5055" s="473"/>
      <c r="M5055" s="473"/>
    </row>
    <row r="5056" spans="5:13">
      <c r="E5056" s="473"/>
      <c r="F5056" s="473"/>
      <c r="G5056" s="473"/>
      <c r="H5056" s="473"/>
      <c r="I5056" s="473"/>
      <c r="J5056" s="473"/>
      <c r="K5056" s="473"/>
      <c r="L5056" s="473"/>
      <c r="M5056" s="473"/>
    </row>
    <row r="5057" spans="5:13">
      <c r="E5057" s="473"/>
      <c r="F5057" s="473"/>
      <c r="G5057" s="473"/>
      <c r="H5057" s="473"/>
      <c r="I5057" s="473"/>
      <c r="J5057" s="473"/>
      <c r="K5057" s="473"/>
      <c r="L5057" s="473"/>
      <c r="M5057" s="473"/>
    </row>
    <row r="5058" spans="5:13">
      <c r="E5058" s="473"/>
      <c r="F5058" s="473"/>
      <c r="G5058" s="473"/>
      <c r="H5058" s="473"/>
      <c r="I5058" s="473"/>
      <c r="J5058" s="473"/>
      <c r="K5058" s="473"/>
      <c r="L5058" s="473"/>
      <c r="M5058" s="473"/>
    </row>
    <row r="5059" spans="5:13">
      <c r="E5059" s="473"/>
      <c r="F5059" s="473"/>
      <c r="G5059" s="473"/>
      <c r="H5059" s="473"/>
      <c r="I5059" s="473"/>
      <c r="J5059" s="473"/>
      <c r="K5059" s="473"/>
      <c r="L5059" s="473"/>
      <c r="M5059" s="473"/>
    </row>
    <row r="5060" spans="5:13">
      <c r="E5060" s="473"/>
      <c r="F5060" s="473"/>
      <c r="G5060" s="473"/>
      <c r="H5060" s="473"/>
      <c r="I5060" s="473"/>
      <c r="J5060" s="473"/>
      <c r="K5060" s="473"/>
      <c r="L5060" s="473"/>
      <c r="M5060" s="473"/>
    </row>
    <row r="5061" spans="5:13">
      <c r="E5061" s="473"/>
      <c r="F5061" s="473"/>
      <c r="G5061" s="473"/>
      <c r="H5061" s="473"/>
      <c r="I5061" s="473"/>
      <c r="J5061" s="473"/>
      <c r="K5061" s="473"/>
      <c r="L5061" s="473"/>
      <c r="M5061" s="473"/>
    </row>
    <row r="5062" spans="5:13">
      <c r="E5062" s="473"/>
      <c r="F5062" s="473"/>
      <c r="G5062" s="473"/>
      <c r="H5062" s="473"/>
      <c r="I5062" s="473"/>
      <c r="J5062" s="473"/>
      <c r="K5062" s="473"/>
      <c r="L5062" s="473"/>
      <c r="M5062" s="473"/>
    </row>
    <row r="5063" spans="5:13">
      <c r="E5063" s="473"/>
      <c r="F5063" s="473"/>
      <c r="G5063" s="473"/>
      <c r="H5063" s="473"/>
      <c r="I5063" s="473"/>
      <c r="J5063" s="473"/>
      <c r="K5063" s="473"/>
      <c r="L5063" s="473"/>
      <c r="M5063" s="473"/>
    </row>
    <row r="5064" spans="5:13">
      <c r="E5064" s="473"/>
      <c r="F5064" s="473"/>
      <c r="G5064" s="473"/>
      <c r="H5064" s="473"/>
      <c r="I5064" s="473"/>
      <c r="J5064" s="473"/>
      <c r="K5064" s="473"/>
      <c r="L5064" s="473"/>
      <c r="M5064" s="473"/>
    </row>
    <row r="5065" spans="5:13">
      <c r="E5065" s="473"/>
      <c r="F5065" s="473"/>
      <c r="G5065" s="473"/>
      <c r="H5065" s="473"/>
      <c r="I5065" s="473"/>
      <c r="J5065" s="473"/>
      <c r="K5065" s="473"/>
      <c r="L5065" s="473"/>
      <c r="M5065" s="473"/>
    </row>
    <row r="5066" spans="5:13">
      <c r="E5066" s="473"/>
      <c r="F5066" s="473"/>
      <c r="G5066" s="473"/>
      <c r="H5066" s="473"/>
      <c r="I5066" s="473"/>
      <c r="J5066" s="473"/>
      <c r="K5066" s="473"/>
      <c r="L5066" s="473"/>
      <c r="M5066" s="473"/>
    </row>
    <row r="5067" spans="5:13">
      <c r="E5067" s="473"/>
      <c r="F5067" s="473"/>
      <c r="G5067" s="473"/>
      <c r="H5067" s="473"/>
      <c r="I5067" s="473"/>
      <c r="J5067" s="473"/>
      <c r="K5067" s="473"/>
      <c r="L5067" s="473"/>
      <c r="M5067" s="473"/>
    </row>
    <row r="5068" spans="5:13">
      <c r="E5068" s="473"/>
      <c r="F5068" s="473"/>
      <c r="G5068" s="473"/>
      <c r="H5068" s="473"/>
      <c r="I5068" s="473"/>
      <c r="J5068" s="473"/>
      <c r="K5068" s="473"/>
      <c r="L5068" s="473"/>
      <c r="M5068" s="473"/>
    </row>
    <row r="5069" spans="5:13">
      <c r="E5069" s="473"/>
      <c r="F5069" s="473"/>
      <c r="G5069" s="473"/>
      <c r="H5069" s="473"/>
      <c r="I5069" s="473"/>
      <c r="J5069" s="473"/>
      <c r="K5069" s="473"/>
      <c r="L5069" s="473"/>
      <c r="M5069" s="473"/>
    </row>
    <row r="5070" spans="5:13">
      <c r="E5070" s="473"/>
      <c r="F5070" s="473"/>
      <c r="G5070" s="473"/>
      <c r="H5070" s="473"/>
      <c r="I5070" s="473"/>
      <c r="J5070" s="473"/>
      <c r="K5070" s="473"/>
      <c r="L5070" s="473"/>
      <c r="M5070" s="473"/>
    </row>
    <row r="5071" spans="5:13">
      <c r="E5071" s="473"/>
      <c r="F5071" s="473"/>
      <c r="G5071" s="473"/>
      <c r="H5071" s="473"/>
      <c r="I5071" s="473"/>
      <c r="J5071" s="473"/>
      <c r="K5071" s="473"/>
      <c r="L5071" s="473"/>
      <c r="M5071" s="473"/>
    </row>
    <row r="5072" spans="5:13">
      <c r="E5072" s="473"/>
      <c r="F5072" s="473"/>
      <c r="G5072" s="473"/>
      <c r="H5072" s="473"/>
      <c r="I5072" s="473"/>
      <c r="J5072" s="473"/>
      <c r="K5072" s="473"/>
      <c r="L5072" s="473"/>
      <c r="M5072" s="473"/>
    </row>
    <row r="5073" spans="5:13">
      <c r="E5073" s="473"/>
      <c r="F5073" s="473"/>
      <c r="G5073" s="473"/>
      <c r="H5073" s="473"/>
      <c r="I5073" s="473"/>
      <c r="J5073" s="473"/>
      <c r="K5073" s="473"/>
      <c r="L5073" s="473"/>
      <c r="M5073" s="473"/>
    </row>
    <row r="5074" spans="5:13">
      <c r="E5074" s="473"/>
      <c r="F5074" s="473"/>
      <c r="G5074" s="473"/>
      <c r="H5074" s="473"/>
      <c r="I5074" s="473"/>
      <c r="J5074" s="473"/>
      <c r="K5074" s="473"/>
      <c r="L5074" s="473"/>
      <c r="M5074" s="473"/>
    </row>
    <row r="5075" spans="5:13">
      <c r="E5075" s="473"/>
      <c r="F5075" s="473"/>
      <c r="G5075" s="473"/>
      <c r="H5075" s="473"/>
      <c r="I5075" s="473"/>
      <c r="J5075" s="473"/>
      <c r="K5075" s="473"/>
      <c r="L5075" s="473"/>
      <c r="M5075" s="473"/>
    </row>
    <row r="5076" spans="5:13">
      <c r="E5076" s="473"/>
      <c r="F5076" s="473"/>
      <c r="G5076" s="473"/>
      <c r="H5076" s="473"/>
      <c r="I5076" s="473"/>
      <c r="J5076" s="473"/>
      <c r="K5076" s="473"/>
      <c r="L5076" s="473"/>
      <c r="M5076" s="473"/>
    </row>
    <row r="5077" spans="5:13">
      <c r="E5077" s="473"/>
      <c r="F5077" s="473"/>
      <c r="G5077" s="473"/>
      <c r="H5077" s="473"/>
      <c r="I5077" s="473"/>
      <c r="J5077" s="473"/>
      <c r="K5077" s="473"/>
      <c r="L5077" s="473"/>
      <c r="M5077" s="473"/>
    </row>
    <row r="5078" spans="5:13">
      <c r="E5078" s="473"/>
      <c r="F5078" s="473"/>
      <c r="G5078" s="473"/>
      <c r="H5078" s="473"/>
      <c r="I5078" s="473"/>
      <c r="J5078" s="473"/>
      <c r="K5078" s="473"/>
      <c r="L5078" s="473"/>
      <c r="M5078" s="473"/>
    </row>
    <row r="5079" spans="5:13">
      <c r="E5079" s="473"/>
      <c r="F5079" s="473"/>
      <c r="G5079" s="473"/>
      <c r="H5079" s="473"/>
      <c r="I5079" s="473"/>
      <c r="J5079" s="473"/>
      <c r="K5079" s="473"/>
      <c r="L5079" s="473"/>
      <c r="M5079" s="473"/>
    </row>
    <row r="5080" spans="5:13">
      <c r="E5080" s="473"/>
      <c r="F5080" s="473"/>
      <c r="G5080" s="473"/>
      <c r="H5080" s="473"/>
      <c r="I5080" s="473"/>
      <c r="J5080" s="473"/>
      <c r="K5080" s="473"/>
      <c r="L5080" s="473"/>
      <c r="M5080" s="473"/>
    </row>
    <row r="5081" spans="5:13">
      <c r="E5081" s="473"/>
      <c r="F5081" s="473"/>
      <c r="G5081" s="473"/>
      <c r="H5081" s="473"/>
      <c r="I5081" s="473"/>
      <c r="J5081" s="473"/>
      <c r="K5081" s="473"/>
      <c r="L5081" s="473"/>
      <c r="M5081" s="473"/>
    </row>
    <row r="5082" spans="5:13">
      <c r="E5082" s="473"/>
      <c r="F5082" s="473"/>
      <c r="G5082" s="473"/>
      <c r="H5082" s="473"/>
      <c r="I5082" s="473"/>
      <c r="J5082" s="473"/>
      <c r="K5082" s="473"/>
      <c r="L5082" s="473"/>
      <c r="M5082" s="473"/>
    </row>
    <row r="5083" spans="5:13">
      <c r="E5083" s="473"/>
      <c r="F5083" s="473"/>
      <c r="G5083" s="473"/>
      <c r="H5083" s="473"/>
      <c r="I5083" s="473"/>
      <c r="J5083" s="473"/>
      <c r="K5083" s="473"/>
      <c r="L5083" s="473"/>
      <c r="M5083" s="473"/>
    </row>
    <row r="5084" spans="5:13">
      <c r="E5084" s="473"/>
      <c r="F5084" s="473"/>
      <c r="G5084" s="473"/>
      <c r="H5084" s="473"/>
      <c r="I5084" s="473"/>
      <c r="J5084" s="473"/>
      <c r="K5084" s="473"/>
      <c r="L5084" s="473"/>
      <c r="M5084" s="473"/>
    </row>
    <row r="5085" spans="5:13">
      <c r="E5085" s="473"/>
      <c r="F5085" s="473"/>
      <c r="G5085" s="473"/>
      <c r="H5085" s="473"/>
      <c r="I5085" s="473"/>
      <c r="J5085" s="473"/>
      <c r="K5085" s="473"/>
      <c r="L5085" s="473"/>
      <c r="M5085" s="473"/>
    </row>
    <row r="5086" spans="5:13">
      <c r="E5086" s="473"/>
      <c r="F5086" s="473"/>
      <c r="G5086" s="473"/>
      <c r="H5086" s="473"/>
      <c r="I5086" s="473"/>
      <c r="J5086" s="473"/>
      <c r="K5086" s="473"/>
      <c r="L5086" s="473"/>
      <c r="M5086" s="473"/>
    </row>
    <row r="5087" spans="5:13">
      <c r="E5087" s="473"/>
      <c r="F5087" s="473"/>
      <c r="G5087" s="473"/>
      <c r="H5087" s="473"/>
      <c r="I5087" s="473"/>
      <c r="J5087" s="473"/>
      <c r="K5087" s="473"/>
      <c r="L5087" s="473"/>
      <c r="M5087" s="473"/>
    </row>
    <row r="5088" spans="5:13">
      <c r="E5088" s="473"/>
      <c r="F5088" s="473"/>
      <c r="G5088" s="473"/>
      <c r="H5088" s="473"/>
      <c r="I5088" s="473"/>
      <c r="J5088" s="473"/>
      <c r="K5088" s="473"/>
      <c r="L5088" s="473"/>
      <c r="M5088" s="473"/>
    </row>
    <row r="5089" spans="5:13">
      <c r="E5089" s="473"/>
      <c r="F5089" s="473"/>
      <c r="G5089" s="473"/>
      <c r="H5089" s="473"/>
      <c r="I5089" s="473"/>
      <c r="J5089" s="473"/>
      <c r="K5089" s="473"/>
      <c r="L5089" s="473"/>
      <c r="M5089" s="473"/>
    </row>
    <row r="5090" spans="5:13">
      <c r="E5090" s="473"/>
      <c r="F5090" s="473"/>
      <c r="G5090" s="473"/>
      <c r="H5090" s="473"/>
      <c r="I5090" s="473"/>
      <c r="J5090" s="473"/>
      <c r="K5090" s="473"/>
      <c r="L5090" s="473"/>
      <c r="M5090" s="473"/>
    </row>
    <row r="5091" spans="5:13">
      <c r="E5091" s="473"/>
      <c r="F5091" s="473"/>
      <c r="G5091" s="473"/>
      <c r="H5091" s="473"/>
      <c r="I5091" s="473"/>
      <c r="J5091" s="473"/>
      <c r="K5091" s="473"/>
      <c r="L5091" s="473"/>
      <c r="M5091" s="473"/>
    </row>
    <row r="5092" spans="5:13">
      <c r="E5092" s="473"/>
      <c r="F5092" s="473"/>
      <c r="G5092" s="473"/>
      <c r="H5092" s="473"/>
      <c r="I5092" s="473"/>
      <c r="J5092" s="473"/>
      <c r="K5092" s="473"/>
      <c r="L5092" s="473"/>
      <c r="M5092" s="473"/>
    </row>
    <row r="5093" spans="5:13">
      <c r="E5093" s="473"/>
      <c r="F5093" s="473"/>
      <c r="G5093" s="473"/>
      <c r="H5093" s="473"/>
      <c r="I5093" s="473"/>
      <c r="J5093" s="473"/>
      <c r="K5093" s="473"/>
      <c r="L5093" s="473"/>
      <c r="M5093" s="473"/>
    </row>
    <row r="5094" spans="5:13">
      <c r="E5094" s="473"/>
      <c r="F5094" s="473"/>
      <c r="G5094" s="473"/>
      <c r="H5094" s="473"/>
      <c r="I5094" s="473"/>
      <c r="J5094" s="473"/>
      <c r="K5094" s="473"/>
      <c r="L5094" s="473"/>
      <c r="M5094" s="473"/>
    </row>
    <row r="5095" spans="5:13">
      <c r="E5095" s="473"/>
      <c r="F5095" s="473"/>
      <c r="G5095" s="473"/>
      <c r="H5095" s="473"/>
      <c r="I5095" s="473"/>
      <c r="J5095" s="473"/>
      <c r="K5095" s="473"/>
      <c r="L5095" s="473"/>
      <c r="M5095" s="473"/>
    </row>
    <row r="5096" spans="5:13">
      <c r="E5096" s="473"/>
      <c r="F5096" s="473"/>
      <c r="G5096" s="473"/>
      <c r="H5096" s="473"/>
      <c r="I5096" s="473"/>
      <c r="J5096" s="473"/>
      <c r="K5096" s="473"/>
      <c r="L5096" s="473"/>
      <c r="M5096" s="473"/>
    </row>
    <row r="5097" spans="5:13">
      <c r="E5097" s="473"/>
      <c r="F5097" s="473"/>
      <c r="G5097" s="473"/>
      <c r="H5097" s="473"/>
      <c r="I5097" s="473"/>
      <c r="J5097" s="473"/>
      <c r="K5097" s="473"/>
      <c r="L5097" s="473"/>
      <c r="M5097" s="473"/>
    </row>
    <row r="5098" spans="5:13">
      <c r="E5098" s="473"/>
      <c r="F5098" s="473"/>
      <c r="G5098" s="473"/>
      <c r="H5098" s="473"/>
      <c r="I5098" s="473"/>
      <c r="J5098" s="473"/>
      <c r="K5098" s="473"/>
      <c r="L5098" s="473"/>
      <c r="M5098" s="473"/>
    </row>
    <row r="5099" spans="5:13">
      <c r="E5099" s="473"/>
      <c r="F5099" s="473"/>
      <c r="G5099" s="473"/>
      <c r="H5099" s="473"/>
      <c r="I5099" s="473"/>
      <c r="J5099" s="473"/>
      <c r="K5099" s="473"/>
      <c r="L5099" s="473"/>
      <c r="M5099" s="473"/>
    </row>
    <row r="5100" spans="5:13">
      <c r="E5100" s="473"/>
      <c r="F5100" s="473"/>
      <c r="G5100" s="473"/>
      <c r="H5100" s="473"/>
      <c r="I5100" s="473"/>
      <c r="J5100" s="473"/>
      <c r="K5100" s="473"/>
      <c r="L5100" s="473"/>
      <c r="M5100" s="473"/>
    </row>
    <row r="5101" spans="5:13">
      <c r="E5101" s="473"/>
      <c r="F5101" s="473"/>
      <c r="G5101" s="473"/>
      <c r="H5101" s="473"/>
      <c r="I5101" s="473"/>
      <c r="J5101" s="473"/>
      <c r="K5101" s="473"/>
      <c r="L5101" s="473"/>
      <c r="M5101" s="473"/>
    </row>
    <row r="5102" spans="5:13">
      <c r="E5102" s="473"/>
      <c r="F5102" s="473"/>
      <c r="G5102" s="473"/>
      <c r="H5102" s="473"/>
      <c r="I5102" s="473"/>
      <c r="J5102" s="473"/>
      <c r="K5102" s="473"/>
      <c r="L5102" s="473"/>
      <c r="M5102" s="473"/>
    </row>
    <row r="5103" spans="5:13">
      <c r="E5103" s="473"/>
      <c r="F5103" s="473"/>
      <c r="G5103" s="473"/>
      <c r="H5103" s="473"/>
      <c r="I5103" s="473"/>
      <c r="J5103" s="473"/>
      <c r="K5103" s="473"/>
      <c r="L5103" s="473"/>
      <c r="M5103" s="473"/>
    </row>
    <row r="5104" spans="5:13">
      <c r="E5104" s="473"/>
      <c r="F5104" s="473"/>
      <c r="G5104" s="473"/>
      <c r="H5104" s="473"/>
      <c r="I5104" s="473"/>
      <c r="J5104" s="473"/>
      <c r="K5104" s="473"/>
      <c r="L5104" s="473"/>
      <c r="M5104" s="473"/>
    </row>
    <row r="5105" spans="5:13">
      <c r="E5105" s="473"/>
      <c r="F5105" s="473"/>
      <c r="G5105" s="473"/>
      <c r="H5105" s="473"/>
      <c r="I5105" s="473"/>
      <c r="J5105" s="473"/>
      <c r="K5105" s="473"/>
      <c r="L5105" s="473"/>
      <c r="M5105" s="473"/>
    </row>
    <row r="5106" spans="5:13">
      <c r="E5106" s="473"/>
      <c r="F5106" s="473"/>
      <c r="G5106" s="473"/>
      <c r="H5106" s="473"/>
      <c r="I5106" s="473"/>
      <c r="J5106" s="473"/>
      <c r="K5106" s="473"/>
      <c r="L5106" s="473"/>
      <c r="M5106" s="473"/>
    </row>
    <row r="5107" spans="5:13">
      <c r="E5107" s="473"/>
      <c r="F5107" s="473"/>
      <c r="G5107" s="473"/>
      <c r="H5107" s="473"/>
      <c r="I5107" s="473"/>
      <c r="J5107" s="473"/>
      <c r="K5107" s="473"/>
      <c r="L5107" s="473"/>
      <c r="M5107" s="473"/>
    </row>
    <row r="5108" spans="5:13">
      <c r="E5108" s="473"/>
      <c r="F5108" s="473"/>
      <c r="G5108" s="473"/>
      <c r="H5108" s="473"/>
      <c r="I5108" s="473"/>
      <c r="J5108" s="473"/>
      <c r="K5108" s="473"/>
      <c r="L5108" s="473"/>
      <c r="M5108" s="473"/>
    </row>
    <row r="5109" spans="5:13">
      <c r="E5109" s="473"/>
      <c r="F5109" s="473"/>
      <c r="G5109" s="473"/>
      <c r="H5109" s="473"/>
      <c r="I5109" s="473"/>
      <c r="J5109" s="473"/>
      <c r="K5109" s="473"/>
      <c r="L5109" s="473"/>
      <c r="M5109" s="473"/>
    </row>
    <row r="5110" spans="5:13">
      <c r="E5110" s="473"/>
      <c r="F5110" s="473"/>
      <c r="G5110" s="473"/>
      <c r="H5110" s="473"/>
      <c r="I5110" s="473"/>
      <c r="J5110" s="473"/>
      <c r="K5110" s="473"/>
      <c r="L5110" s="473"/>
      <c r="M5110" s="473"/>
    </row>
    <row r="5111" spans="5:13">
      <c r="E5111" s="473"/>
      <c r="F5111" s="473"/>
      <c r="G5111" s="473"/>
      <c r="H5111" s="473"/>
      <c r="I5111" s="473"/>
      <c r="J5111" s="473"/>
      <c r="K5111" s="473"/>
      <c r="L5111" s="473"/>
      <c r="M5111" s="473"/>
    </row>
    <row r="5112" spans="5:13">
      <c r="E5112" s="473"/>
      <c r="F5112" s="473"/>
      <c r="G5112" s="473"/>
      <c r="H5112" s="473"/>
      <c r="I5112" s="473"/>
      <c r="J5112" s="473"/>
      <c r="K5112" s="473"/>
      <c r="L5112" s="473"/>
      <c r="M5112" s="473"/>
    </row>
    <row r="5113" spans="5:13">
      <c r="E5113" s="473"/>
      <c r="F5113" s="473"/>
      <c r="G5113" s="473"/>
      <c r="H5113" s="473"/>
      <c r="I5113" s="473"/>
      <c r="J5113" s="473"/>
      <c r="K5113" s="473"/>
      <c r="L5113" s="473"/>
      <c r="M5113" s="473"/>
    </row>
    <row r="5114" spans="5:13">
      <c r="E5114" s="473"/>
      <c r="F5114" s="473"/>
      <c r="G5114" s="473"/>
      <c r="H5114" s="473"/>
      <c r="I5114" s="473"/>
      <c r="J5114" s="473"/>
      <c r="K5114" s="473"/>
      <c r="L5114" s="473"/>
      <c r="M5114" s="473"/>
    </row>
    <row r="5115" spans="5:13">
      <c r="E5115" s="473"/>
      <c r="F5115" s="473"/>
      <c r="G5115" s="473"/>
      <c r="H5115" s="473"/>
      <c r="I5115" s="473"/>
      <c r="J5115" s="473"/>
      <c r="K5115" s="473"/>
      <c r="L5115" s="473"/>
      <c r="M5115" s="473"/>
    </row>
    <row r="5116" spans="5:13">
      <c r="E5116" s="473"/>
      <c r="F5116" s="473"/>
      <c r="G5116" s="473"/>
      <c r="H5116" s="473"/>
      <c r="I5116" s="473"/>
      <c r="J5116" s="473"/>
      <c r="K5116" s="473"/>
      <c r="L5116" s="473"/>
      <c r="M5116" s="473"/>
    </row>
    <row r="5117" spans="5:13">
      <c r="E5117" s="473"/>
      <c r="F5117" s="473"/>
      <c r="G5117" s="473"/>
      <c r="H5117" s="473"/>
      <c r="I5117" s="473"/>
      <c r="J5117" s="473"/>
      <c r="K5117" s="473"/>
      <c r="L5117" s="473"/>
      <c r="M5117" s="473"/>
    </row>
    <row r="5118" spans="5:13">
      <c r="E5118" s="473"/>
      <c r="F5118" s="473"/>
      <c r="G5118" s="473"/>
      <c r="H5118" s="473"/>
      <c r="I5118" s="473"/>
      <c r="J5118" s="473"/>
      <c r="K5118" s="473"/>
      <c r="L5118" s="473"/>
      <c r="M5118" s="473"/>
    </row>
    <row r="5119" spans="5:13">
      <c r="E5119" s="473"/>
      <c r="F5119" s="473"/>
      <c r="G5119" s="473"/>
      <c r="H5119" s="473"/>
      <c r="I5119" s="473"/>
      <c r="J5119" s="473"/>
      <c r="K5119" s="473"/>
      <c r="L5119" s="473"/>
      <c r="M5119" s="473"/>
    </row>
    <row r="5120" spans="5:13">
      <c r="E5120" s="473"/>
      <c r="F5120" s="473"/>
      <c r="G5120" s="473"/>
      <c r="H5120" s="473"/>
      <c r="I5120" s="473"/>
      <c r="J5120" s="473"/>
      <c r="K5120" s="473"/>
      <c r="L5120" s="473"/>
      <c r="M5120" s="473"/>
    </row>
    <row r="5121" spans="5:13">
      <c r="E5121" s="473"/>
      <c r="F5121" s="473"/>
      <c r="G5121" s="473"/>
      <c r="H5121" s="473"/>
      <c r="I5121" s="473"/>
      <c r="J5121" s="473"/>
      <c r="K5121" s="473"/>
      <c r="L5121" s="473"/>
      <c r="M5121" s="473"/>
    </row>
    <row r="5122" spans="5:13">
      <c r="E5122" s="473"/>
      <c r="F5122" s="473"/>
      <c r="G5122" s="473"/>
      <c r="H5122" s="473"/>
      <c r="I5122" s="473"/>
      <c r="J5122" s="473"/>
      <c r="K5122" s="473"/>
      <c r="L5122" s="473"/>
      <c r="M5122" s="473"/>
    </row>
    <row r="5123" spans="5:13">
      <c r="E5123" s="473"/>
      <c r="F5123" s="473"/>
      <c r="G5123" s="473"/>
      <c r="H5123" s="473"/>
      <c r="I5123" s="473"/>
      <c r="J5123" s="473"/>
      <c r="K5123" s="473"/>
      <c r="L5123" s="473"/>
      <c r="M5123" s="473"/>
    </row>
    <row r="5124" spans="5:13">
      <c r="E5124" s="473"/>
      <c r="F5124" s="473"/>
      <c r="G5124" s="473"/>
      <c r="H5124" s="473"/>
      <c r="I5124" s="473"/>
      <c r="J5124" s="473"/>
      <c r="K5124" s="473"/>
      <c r="L5124" s="473"/>
      <c r="M5124" s="473"/>
    </row>
    <row r="5125" spans="5:13">
      <c r="E5125" s="473"/>
      <c r="F5125" s="473"/>
      <c r="G5125" s="473"/>
      <c r="H5125" s="473"/>
      <c r="I5125" s="473"/>
      <c r="J5125" s="473"/>
      <c r="K5125" s="473"/>
      <c r="L5125" s="473"/>
      <c r="M5125" s="473"/>
    </row>
    <row r="5126" spans="5:13">
      <c r="E5126" s="473"/>
      <c r="F5126" s="473"/>
      <c r="G5126" s="473"/>
      <c r="H5126" s="473"/>
      <c r="I5126" s="473"/>
      <c r="J5126" s="473"/>
      <c r="K5126" s="473"/>
      <c r="L5126" s="473"/>
      <c r="M5126" s="473"/>
    </row>
    <row r="5127" spans="5:13">
      <c r="E5127" s="473"/>
      <c r="F5127" s="473"/>
      <c r="G5127" s="473"/>
      <c r="H5127" s="473"/>
      <c r="I5127" s="473"/>
      <c r="J5127" s="473"/>
      <c r="K5127" s="473"/>
      <c r="L5127" s="473"/>
      <c r="M5127" s="473"/>
    </row>
    <row r="5128" spans="5:13">
      <c r="E5128" s="473"/>
      <c r="F5128" s="473"/>
      <c r="G5128" s="473"/>
      <c r="H5128" s="473"/>
      <c r="I5128" s="473"/>
      <c r="J5128" s="473"/>
      <c r="K5128" s="473"/>
      <c r="L5128" s="473"/>
      <c r="M5128" s="473"/>
    </row>
    <row r="5129" spans="5:13">
      <c r="E5129" s="473"/>
      <c r="F5129" s="473"/>
      <c r="G5129" s="473"/>
      <c r="H5129" s="473"/>
      <c r="I5129" s="473"/>
      <c r="J5129" s="473"/>
      <c r="K5129" s="473"/>
      <c r="L5129" s="473"/>
      <c r="M5129" s="473"/>
    </row>
    <row r="5130" spans="5:13">
      <c r="E5130" s="473"/>
      <c r="F5130" s="473"/>
      <c r="G5130" s="473"/>
      <c r="H5130" s="473"/>
      <c r="I5130" s="473"/>
      <c r="J5130" s="473"/>
      <c r="K5130" s="473"/>
      <c r="L5130" s="473"/>
      <c r="M5130" s="473"/>
    </row>
    <row r="5131" spans="5:13">
      <c r="E5131" s="473"/>
      <c r="F5131" s="473"/>
      <c r="G5131" s="473"/>
      <c r="H5131" s="473"/>
      <c r="I5131" s="473"/>
      <c r="J5131" s="473"/>
      <c r="K5131" s="473"/>
      <c r="L5131" s="473"/>
      <c r="M5131" s="473"/>
    </row>
    <row r="5132" spans="5:13">
      <c r="E5132" s="473"/>
      <c r="F5132" s="473"/>
      <c r="G5132" s="473"/>
      <c r="H5132" s="473"/>
      <c r="I5132" s="473"/>
      <c r="J5132" s="473"/>
      <c r="K5132" s="473"/>
      <c r="L5132" s="473"/>
      <c r="M5132" s="473"/>
    </row>
    <row r="5133" spans="5:13">
      <c r="E5133" s="473"/>
      <c r="F5133" s="473"/>
      <c r="G5133" s="473"/>
      <c r="H5133" s="473"/>
      <c r="I5133" s="473"/>
      <c r="J5133" s="473"/>
      <c r="K5133" s="473"/>
      <c r="L5133" s="473"/>
      <c r="M5133" s="473"/>
    </row>
    <row r="5134" spans="5:13">
      <c r="E5134" s="473"/>
      <c r="F5134" s="473"/>
      <c r="G5134" s="473"/>
      <c r="H5134" s="473"/>
      <c r="I5134" s="473"/>
      <c r="J5134" s="473"/>
      <c r="K5134" s="473"/>
      <c r="L5134" s="473"/>
      <c r="M5134" s="473"/>
    </row>
    <row r="5135" spans="5:13">
      <c r="E5135" s="473"/>
      <c r="F5135" s="473"/>
      <c r="G5135" s="473"/>
      <c r="H5135" s="473"/>
      <c r="I5135" s="473"/>
      <c r="J5135" s="473"/>
      <c r="K5135" s="473"/>
      <c r="L5135" s="473"/>
      <c r="M5135" s="473"/>
    </row>
    <row r="5136" spans="5:13">
      <c r="E5136" s="473"/>
      <c r="F5136" s="473"/>
      <c r="G5136" s="473"/>
      <c r="H5136" s="473"/>
      <c r="I5136" s="473"/>
      <c r="J5136" s="473"/>
      <c r="K5136" s="473"/>
      <c r="L5136" s="473"/>
      <c r="M5136" s="473"/>
    </row>
    <row r="5137" spans="5:13">
      <c r="E5137" s="473"/>
      <c r="F5137" s="473"/>
      <c r="G5137" s="473"/>
      <c r="H5137" s="473"/>
      <c r="I5137" s="473"/>
      <c r="J5137" s="473"/>
      <c r="K5137" s="473"/>
      <c r="L5137" s="473"/>
      <c r="M5137" s="473"/>
    </row>
    <row r="5138" spans="5:13">
      <c r="E5138" s="473"/>
      <c r="F5138" s="473"/>
      <c r="G5138" s="473"/>
      <c r="H5138" s="473"/>
      <c r="I5138" s="473"/>
      <c r="J5138" s="473"/>
      <c r="K5138" s="473"/>
      <c r="L5138" s="473"/>
      <c r="M5138" s="473"/>
    </row>
    <row r="5139" spans="5:13">
      <c r="E5139" s="473"/>
      <c r="F5139" s="473"/>
      <c r="G5139" s="473"/>
      <c r="H5139" s="473"/>
      <c r="I5139" s="473"/>
      <c r="J5139" s="473"/>
      <c r="K5139" s="473"/>
      <c r="L5139" s="473"/>
      <c r="M5139" s="473"/>
    </row>
    <row r="5140" spans="5:13">
      <c r="E5140" s="473"/>
      <c r="F5140" s="473"/>
      <c r="G5140" s="473"/>
      <c r="H5140" s="473"/>
      <c r="I5140" s="473"/>
      <c r="J5140" s="473"/>
      <c r="K5140" s="473"/>
      <c r="L5140" s="473"/>
      <c r="M5140" s="473"/>
    </row>
    <row r="5141" spans="5:13">
      <c r="E5141" s="473"/>
      <c r="F5141" s="473"/>
      <c r="G5141" s="473"/>
      <c r="H5141" s="473"/>
      <c r="I5141" s="473"/>
      <c r="J5141" s="473"/>
      <c r="K5141" s="473"/>
      <c r="L5141" s="473"/>
      <c r="M5141" s="473"/>
    </row>
    <row r="5142" spans="5:13">
      <c r="E5142" s="473"/>
      <c r="F5142" s="473"/>
      <c r="G5142" s="473"/>
      <c r="H5142" s="473"/>
      <c r="I5142" s="473"/>
      <c r="J5142" s="473"/>
      <c r="K5142" s="473"/>
      <c r="L5142" s="473"/>
      <c r="M5142" s="473"/>
    </row>
    <row r="5143" spans="5:13">
      <c r="E5143" s="473"/>
      <c r="F5143" s="473"/>
      <c r="G5143" s="473"/>
      <c r="H5143" s="473"/>
      <c r="I5143" s="473"/>
      <c r="J5143" s="473"/>
      <c r="K5143" s="473"/>
      <c r="L5143" s="473"/>
      <c r="M5143" s="473"/>
    </row>
    <row r="5144" spans="5:13">
      <c r="E5144" s="473"/>
      <c r="F5144" s="473"/>
      <c r="G5144" s="473"/>
      <c r="H5144" s="473"/>
      <c r="I5144" s="473"/>
      <c r="J5144" s="473"/>
      <c r="K5144" s="473"/>
      <c r="L5144" s="473"/>
      <c r="M5144" s="473"/>
    </row>
    <row r="5145" spans="5:13">
      <c r="E5145" s="473"/>
      <c r="F5145" s="473"/>
      <c r="G5145" s="473"/>
      <c r="H5145" s="473"/>
      <c r="I5145" s="473"/>
      <c r="J5145" s="473"/>
      <c r="K5145" s="473"/>
      <c r="L5145" s="473"/>
      <c r="M5145" s="473"/>
    </row>
    <row r="5146" spans="5:13">
      <c r="E5146" s="473"/>
      <c r="F5146" s="473"/>
      <c r="G5146" s="473"/>
      <c r="H5146" s="473"/>
      <c r="I5146" s="473"/>
      <c r="J5146" s="473"/>
      <c r="K5146" s="473"/>
      <c r="L5146" s="473"/>
      <c r="M5146" s="473"/>
    </row>
    <row r="5147" spans="5:13">
      <c r="E5147" s="473"/>
      <c r="F5147" s="473"/>
      <c r="G5147" s="473"/>
      <c r="H5147" s="473"/>
      <c r="I5147" s="473"/>
      <c r="J5147" s="473"/>
      <c r="K5147" s="473"/>
      <c r="L5147" s="473"/>
      <c r="M5147" s="473"/>
    </row>
    <row r="5148" spans="5:13">
      <c r="E5148" s="473"/>
      <c r="F5148" s="473"/>
      <c r="G5148" s="473"/>
      <c r="H5148" s="473"/>
      <c r="I5148" s="473"/>
      <c r="J5148" s="473"/>
      <c r="K5148" s="473"/>
      <c r="L5148" s="473"/>
      <c r="M5148" s="473"/>
    </row>
    <row r="5149" spans="5:13">
      <c r="E5149" s="473"/>
      <c r="F5149" s="473"/>
      <c r="G5149" s="473"/>
      <c r="H5149" s="473"/>
      <c r="I5149" s="473"/>
      <c r="J5149" s="473"/>
      <c r="K5149" s="473"/>
      <c r="L5149" s="473"/>
      <c r="M5149" s="473"/>
    </row>
    <row r="5150" spans="5:13">
      <c r="E5150" s="473"/>
      <c r="F5150" s="473"/>
      <c r="G5150" s="473"/>
      <c r="H5150" s="473"/>
      <c r="I5150" s="473"/>
      <c r="J5150" s="473"/>
      <c r="K5150" s="473"/>
      <c r="L5150" s="473"/>
      <c r="M5150" s="473"/>
    </row>
    <row r="5151" spans="5:13">
      <c r="E5151" s="473"/>
      <c r="F5151" s="473"/>
      <c r="G5151" s="473"/>
      <c r="H5151" s="473"/>
      <c r="I5151" s="473"/>
      <c r="J5151" s="473"/>
      <c r="K5151" s="473"/>
      <c r="L5151" s="473"/>
      <c r="M5151" s="473"/>
    </row>
    <row r="5152" spans="5:13">
      <c r="E5152" s="473"/>
      <c r="F5152" s="473"/>
      <c r="G5152" s="473"/>
      <c r="H5152" s="473"/>
      <c r="I5152" s="473"/>
      <c r="J5152" s="473"/>
      <c r="K5152" s="473"/>
      <c r="L5152" s="473"/>
      <c r="M5152" s="473"/>
    </row>
    <row r="5153" spans="5:13">
      <c r="E5153" s="473"/>
      <c r="F5153" s="473"/>
      <c r="G5153" s="473"/>
      <c r="H5153" s="473"/>
      <c r="I5153" s="473"/>
      <c r="J5153" s="473"/>
      <c r="K5153" s="473"/>
      <c r="L5153" s="473"/>
      <c r="M5153" s="473"/>
    </row>
    <row r="5154" spans="5:13">
      <c r="E5154" s="473"/>
      <c r="F5154" s="473"/>
      <c r="G5154" s="473"/>
      <c r="H5154" s="473"/>
      <c r="I5154" s="473"/>
      <c r="J5154" s="473"/>
      <c r="K5154" s="473"/>
      <c r="L5154" s="473"/>
      <c r="M5154" s="473"/>
    </row>
    <row r="5155" spans="5:13">
      <c r="E5155" s="473"/>
      <c r="F5155" s="473"/>
      <c r="G5155" s="473"/>
      <c r="H5155" s="473"/>
      <c r="I5155" s="473"/>
      <c r="J5155" s="473"/>
      <c r="K5155" s="473"/>
      <c r="L5155" s="473"/>
      <c r="M5155" s="473"/>
    </row>
    <row r="5156" spans="5:13">
      <c r="E5156" s="473"/>
      <c r="F5156" s="473"/>
      <c r="G5156" s="473"/>
      <c r="H5156" s="473"/>
      <c r="I5156" s="473"/>
      <c r="J5156" s="473"/>
      <c r="K5156" s="473"/>
      <c r="L5156" s="473"/>
      <c r="M5156" s="473"/>
    </row>
    <row r="5157" spans="5:13">
      <c r="E5157" s="473"/>
      <c r="F5157" s="473"/>
      <c r="G5157" s="473"/>
      <c r="H5157" s="473"/>
      <c r="I5157" s="473"/>
      <c r="J5157" s="473"/>
      <c r="K5157" s="473"/>
      <c r="L5157" s="473"/>
      <c r="M5157" s="473"/>
    </row>
    <row r="5158" spans="5:13">
      <c r="E5158" s="473"/>
      <c r="F5158" s="473"/>
      <c r="G5158" s="473"/>
      <c r="H5158" s="473"/>
      <c r="I5158" s="473"/>
      <c r="J5158" s="473"/>
      <c r="K5158" s="473"/>
      <c r="L5158" s="473"/>
      <c r="M5158" s="473"/>
    </row>
    <row r="5159" spans="5:13">
      <c r="E5159" s="473"/>
      <c r="F5159" s="473"/>
      <c r="G5159" s="473"/>
      <c r="H5159" s="473"/>
      <c r="I5159" s="473"/>
      <c r="J5159" s="473"/>
      <c r="K5159" s="473"/>
      <c r="L5159" s="473"/>
      <c r="M5159" s="473"/>
    </row>
    <row r="5160" spans="5:13">
      <c r="E5160" s="473"/>
      <c r="F5160" s="473"/>
      <c r="G5160" s="473"/>
      <c r="H5160" s="473"/>
      <c r="I5160" s="473"/>
      <c r="J5160" s="473"/>
      <c r="K5160" s="473"/>
      <c r="L5160" s="473"/>
      <c r="M5160" s="473"/>
    </row>
    <row r="5161" spans="5:13">
      <c r="E5161" s="473"/>
      <c r="F5161" s="473"/>
      <c r="G5161" s="473"/>
      <c r="H5161" s="473"/>
      <c r="I5161" s="473"/>
      <c r="J5161" s="473"/>
      <c r="K5161" s="473"/>
      <c r="L5161" s="473"/>
      <c r="M5161" s="473"/>
    </row>
    <row r="5162" spans="5:13">
      <c r="E5162" s="473"/>
      <c r="F5162" s="473"/>
      <c r="G5162" s="473"/>
      <c r="H5162" s="473"/>
      <c r="I5162" s="473"/>
      <c r="J5162" s="473"/>
      <c r="K5162" s="473"/>
      <c r="L5162" s="473"/>
      <c r="M5162" s="473"/>
    </row>
    <row r="5163" spans="5:13">
      <c r="E5163" s="473"/>
      <c r="F5163" s="473"/>
      <c r="G5163" s="473"/>
      <c r="H5163" s="473"/>
      <c r="I5163" s="473"/>
      <c r="J5163" s="473"/>
      <c r="K5163" s="473"/>
      <c r="L5163" s="473"/>
      <c r="M5163" s="473"/>
    </row>
    <row r="5164" spans="5:13">
      <c r="E5164" s="473"/>
      <c r="F5164" s="473"/>
      <c r="G5164" s="473"/>
      <c r="H5164" s="473"/>
      <c r="I5164" s="473"/>
      <c r="J5164" s="473"/>
      <c r="K5164" s="473"/>
      <c r="L5164" s="473"/>
      <c r="M5164" s="473"/>
    </row>
    <row r="5165" spans="5:13">
      <c r="E5165" s="473"/>
      <c r="F5165" s="473"/>
      <c r="G5165" s="473"/>
      <c r="H5165" s="473"/>
      <c r="I5165" s="473"/>
      <c r="J5165" s="473"/>
      <c r="K5165" s="473"/>
      <c r="L5165" s="473"/>
      <c r="M5165" s="473"/>
    </row>
    <row r="5166" spans="5:13">
      <c r="E5166" s="473"/>
      <c r="F5166" s="473"/>
      <c r="G5166" s="473"/>
      <c r="H5166" s="473"/>
      <c r="I5166" s="473"/>
      <c r="J5166" s="473"/>
      <c r="K5166" s="473"/>
      <c r="L5166" s="473"/>
      <c r="M5166" s="473"/>
    </row>
    <row r="5167" spans="5:13">
      <c r="E5167" s="473"/>
      <c r="F5167" s="473"/>
      <c r="G5167" s="473"/>
      <c r="H5167" s="473"/>
      <c r="I5167" s="473"/>
      <c r="J5167" s="473"/>
      <c r="K5167" s="473"/>
      <c r="L5167" s="473"/>
      <c r="M5167" s="473"/>
    </row>
    <row r="5168" spans="5:13">
      <c r="E5168" s="473"/>
      <c r="F5168" s="473"/>
      <c r="G5168" s="473"/>
      <c r="H5168" s="473"/>
      <c r="I5168" s="473"/>
      <c r="J5168" s="473"/>
      <c r="K5168" s="473"/>
      <c r="L5168" s="473"/>
      <c r="M5168" s="473"/>
    </row>
    <row r="5169" spans="5:13">
      <c r="E5169" s="473"/>
      <c r="F5169" s="473"/>
      <c r="G5169" s="473"/>
      <c r="H5169" s="473"/>
      <c r="I5169" s="473"/>
      <c r="J5169" s="473"/>
      <c r="K5169" s="473"/>
      <c r="L5169" s="473"/>
      <c r="M5169" s="473"/>
    </row>
    <row r="5170" spans="5:13">
      <c r="E5170" s="473"/>
      <c r="F5170" s="473"/>
      <c r="G5170" s="473"/>
      <c r="H5170" s="473"/>
      <c r="I5170" s="473"/>
      <c r="J5170" s="473"/>
      <c r="K5170" s="473"/>
      <c r="L5170" s="473"/>
      <c r="M5170" s="473"/>
    </row>
    <row r="5171" spans="5:13">
      <c r="E5171" s="473"/>
      <c r="F5171" s="473"/>
      <c r="G5171" s="473"/>
      <c r="H5171" s="473"/>
      <c r="I5171" s="473"/>
      <c r="J5171" s="473"/>
      <c r="K5171" s="473"/>
      <c r="L5171" s="473"/>
      <c r="M5171" s="473"/>
    </row>
    <row r="5172" spans="5:13">
      <c r="E5172" s="473"/>
      <c r="F5172" s="473"/>
      <c r="G5172" s="473"/>
      <c r="H5172" s="473"/>
      <c r="I5172" s="473"/>
      <c r="J5172" s="473"/>
      <c r="K5172" s="473"/>
      <c r="L5172" s="473"/>
      <c r="M5172" s="473"/>
    </row>
    <row r="5173" spans="5:13">
      <c r="E5173" s="473"/>
      <c r="F5173" s="473"/>
      <c r="G5173" s="473"/>
      <c r="H5173" s="473"/>
      <c r="I5173" s="473"/>
      <c r="J5173" s="473"/>
      <c r="K5173" s="473"/>
      <c r="L5173" s="473"/>
      <c r="M5173" s="473"/>
    </row>
    <row r="5174" spans="5:13">
      <c r="E5174" s="473"/>
      <c r="F5174" s="473"/>
      <c r="G5174" s="473"/>
      <c r="H5174" s="473"/>
      <c r="I5174" s="473"/>
      <c r="J5174" s="473"/>
      <c r="K5174" s="473"/>
      <c r="L5174" s="473"/>
      <c r="M5174" s="473"/>
    </row>
    <row r="5175" spans="5:13">
      <c r="E5175" s="473"/>
      <c r="F5175" s="473"/>
      <c r="G5175" s="473"/>
      <c r="H5175" s="473"/>
      <c r="I5175" s="473"/>
      <c r="J5175" s="473"/>
      <c r="K5175" s="473"/>
      <c r="L5175" s="473"/>
      <c r="M5175" s="473"/>
    </row>
    <row r="5176" spans="5:13">
      <c r="E5176" s="473"/>
      <c r="F5176" s="473"/>
      <c r="G5176" s="473"/>
      <c r="H5176" s="473"/>
      <c r="I5176" s="473"/>
      <c r="J5176" s="473"/>
      <c r="K5176" s="473"/>
      <c r="L5176" s="473"/>
      <c r="M5176" s="473"/>
    </row>
    <row r="5177" spans="5:13">
      <c r="E5177" s="473"/>
      <c r="F5177" s="473"/>
      <c r="G5177" s="473"/>
      <c r="H5177" s="473"/>
      <c r="I5177" s="473"/>
      <c r="J5177" s="473"/>
      <c r="K5177" s="473"/>
      <c r="L5177" s="473"/>
      <c r="M5177" s="473"/>
    </row>
    <row r="5178" spans="5:13">
      <c r="E5178" s="473"/>
      <c r="F5178" s="473"/>
      <c r="G5178" s="473"/>
      <c r="H5178" s="473"/>
      <c r="I5178" s="473"/>
      <c r="J5178" s="473"/>
      <c r="K5178" s="473"/>
      <c r="L5178" s="473"/>
      <c r="M5178" s="473"/>
    </row>
    <row r="5179" spans="5:13">
      <c r="E5179" s="473"/>
      <c r="F5179" s="473"/>
      <c r="G5179" s="473"/>
      <c r="H5179" s="473"/>
      <c r="I5179" s="473"/>
      <c r="J5179" s="473"/>
      <c r="K5179" s="473"/>
      <c r="L5179" s="473"/>
      <c r="M5179" s="473"/>
    </row>
    <row r="5180" spans="5:13">
      <c r="E5180" s="473"/>
      <c r="F5180" s="473"/>
      <c r="G5180" s="473"/>
      <c r="H5180" s="473"/>
      <c r="I5180" s="473"/>
      <c r="J5180" s="473"/>
      <c r="K5180" s="473"/>
      <c r="L5180" s="473"/>
      <c r="M5180" s="473"/>
    </row>
    <row r="5181" spans="5:13">
      <c r="E5181" s="473"/>
      <c r="F5181" s="473"/>
      <c r="G5181" s="473"/>
      <c r="H5181" s="473"/>
      <c r="I5181" s="473"/>
      <c r="J5181" s="473"/>
      <c r="K5181" s="473"/>
      <c r="L5181" s="473"/>
      <c r="M5181" s="473"/>
    </row>
    <row r="5182" spans="5:13">
      <c r="E5182" s="473"/>
      <c r="F5182" s="473"/>
      <c r="G5182" s="473"/>
      <c r="H5182" s="473"/>
      <c r="I5182" s="473"/>
      <c r="J5182" s="473"/>
      <c r="K5182" s="473"/>
      <c r="L5182" s="473"/>
      <c r="M5182" s="473"/>
    </row>
    <row r="5183" spans="5:13">
      <c r="E5183" s="473"/>
      <c r="F5183" s="473"/>
      <c r="G5183" s="473"/>
      <c r="H5183" s="473"/>
      <c r="I5183" s="473"/>
      <c r="J5183" s="473"/>
      <c r="K5183" s="473"/>
      <c r="L5183" s="473"/>
      <c r="M5183" s="473"/>
    </row>
    <row r="5184" spans="5:13">
      <c r="E5184" s="473"/>
      <c r="F5184" s="473"/>
      <c r="G5184" s="473"/>
      <c r="H5184" s="473"/>
      <c r="I5184" s="473"/>
      <c r="J5184" s="473"/>
      <c r="K5184" s="473"/>
      <c r="L5184" s="473"/>
      <c r="M5184" s="473"/>
    </row>
    <row r="5185" spans="5:13">
      <c r="E5185" s="473"/>
      <c r="F5185" s="473"/>
      <c r="G5185" s="473"/>
      <c r="H5185" s="473"/>
      <c r="I5185" s="473"/>
      <c r="J5185" s="473"/>
      <c r="K5185" s="473"/>
      <c r="L5185" s="473"/>
      <c r="M5185" s="473"/>
    </row>
    <row r="5186" spans="5:13">
      <c r="E5186" s="473"/>
      <c r="F5186" s="473"/>
      <c r="G5186" s="473"/>
      <c r="H5186" s="473"/>
      <c r="I5186" s="473"/>
      <c r="J5186" s="473"/>
      <c r="K5186" s="473"/>
      <c r="L5186" s="473"/>
      <c r="M5186" s="473"/>
    </row>
    <row r="5187" spans="5:13">
      <c r="E5187" s="473"/>
      <c r="F5187" s="473"/>
      <c r="G5187" s="473"/>
      <c r="H5187" s="473"/>
      <c r="I5187" s="473"/>
      <c r="J5187" s="473"/>
      <c r="K5187" s="473"/>
      <c r="L5187" s="473"/>
      <c r="M5187" s="473"/>
    </row>
    <row r="5188" spans="5:13">
      <c r="E5188" s="473"/>
      <c r="F5188" s="473"/>
      <c r="G5188" s="473"/>
      <c r="H5188" s="473"/>
      <c r="I5188" s="473"/>
      <c r="J5188" s="473"/>
      <c r="K5188" s="473"/>
      <c r="L5188" s="473"/>
      <c r="M5188" s="473"/>
    </row>
    <row r="5189" spans="5:13">
      <c r="E5189" s="473"/>
      <c r="F5189" s="473"/>
      <c r="G5189" s="473"/>
      <c r="H5189" s="473"/>
      <c r="I5189" s="473"/>
      <c r="J5189" s="473"/>
      <c r="K5189" s="473"/>
      <c r="L5189" s="473"/>
      <c r="M5189" s="473"/>
    </row>
    <row r="5190" spans="5:13">
      <c r="E5190" s="473"/>
      <c r="F5190" s="473"/>
      <c r="G5190" s="473"/>
      <c r="H5190" s="473"/>
      <c r="I5190" s="473"/>
      <c r="J5190" s="473"/>
      <c r="K5190" s="473"/>
      <c r="L5190" s="473"/>
      <c r="M5190" s="473"/>
    </row>
    <row r="5191" spans="5:13">
      <c r="E5191" s="473"/>
      <c r="F5191" s="473"/>
      <c r="G5191" s="473"/>
      <c r="H5191" s="473"/>
      <c r="I5191" s="473"/>
      <c r="J5191" s="473"/>
      <c r="K5191" s="473"/>
      <c r="L5191" s="473"/>
      <c r="M5191" s="473"/>
    </row>
    <row r="5192" spans="5:13">
      <c r="E5192" s="473"/>
      <c r="F5192" s="473"/>
      <c r="G5192" s="473"/>
      <c r="H5192" s="473"/>
      <c r="I5192" s="473"/>
      <c r="J5192" s="473"/>
      <c r="K5192" s="473"/>
      <c r="L5192" s="473"/>
      <c r="M5192" s="473"/>
    </row>
    <row r="5193" spans="5:13">
      <c r="E5193" s="473"/>
      <c r="F5193" s="473"/>
      <c r="G5193" s="473"/>
      <c r="H5193" s="473"/>
      <c r="I5193" s="473"/>
      <c r="J5193" s="473"/>
      <c r="K5193" s="473"/>
      <c r="L5193" s="473"/>
      <c r="M5193" s="473"/>
    </row>
    <row r="5194" spans="5:13">
      <c r="E5194" s="473"/>
      <c r="F5194" s="473"/>
      <c r="G5194" s="473"/>
      <c r="H5194" s="473"/>
      <c r="I5194" s="473"/>
      <c r="J5194" s="473"/>
      <c r="K5194" s="473"/>
      <c r="L5194" s="473"/>
      <c r="M5194" s="473"/>
    </row>
    <row r="5195" spans="5:13">
      <c r="E5195" s="473"/>
      <c r="F5195" s="473"/>
      <c r="G5195" s="473"/>
      <c r="H5195" s="473"/>
      <c r="I5195" s="473"/>
      <c r="J5195" s="473"/>
      <c r="K5195" s="473"/>
      <c r="L5195" s="473"/>
      <c r="M5195" s="473"/>
    </row>
    <row r="5196" spans="5:13">
      <c r="E5196" s="473"/>
      <c r="F5196" s="473"/>
      <c r="G5196" s="473"/>
      <c r="H5196" s="473"/>
      <c r="I5196" s="473"/>
      <c r="J5196" s="473"/>
      <c r="K5196" s="473"/>
      <c r="L5196" s="473"/>
      <c r="M5196" s="473"/>
    </row>
    <row r="5197" spans="5:13">
      <c r="E5197" s="473"/>
      <c r="F5197" s="473"/>
      <c r="G5197" s="473"/>
      <c r="H5197" s="473"/>
      <c r="I5197" s="473"/>
      <c r="J5197" s="473"/>
      <c r="K5197" s="473"/>
      <c r="L5197" s="473"/>
      <c r="M5197" s="473"/>
    </row>
    <row r="5198" spans="5:13">
      <c r="E5198" s="473"/>
      <c r="F5198" s="473"/>
      <c r="G5198" s="473"/>
      <c r="H5198" s="473"/>
      <c r="I5198" s="473"/>
      <c r="J5198" s="473"/>
      <c r="K5198" s="473"/>
      <c r="L5198" s="473"/>
      <c r="M5198" s="473"/>
    </row>
    <row r="5199" spans="5:13">
      <c r="E5199" s="473"/>
      <c r="F5199" s="473"/>
      <c r="G5199" s="473"/>
      <c r="H5199" s="473"/>
      <c r="I5199" s="473"/>
      <c r="J5199" s="473"/>
      <c r="K5199" s="473"/>
      <c r="L5199" s="473"/>
      <c r="M5199" s="473"/>
    </row>
    <row r="5200" spans="5:13">
      <c r="E5200" s="473"/>
      <c r="F5200" s="473"/>
      <c r="G5200" s="473"/>
      <c r="H5200" s="473"/>
      <c r="I5200" s="473"/>
      <c r="J5200" s="473"/>
      <c r="K5200" s="473"/>
      <c r="L5200" s="473"/>
      <c r="M5200" s="473"/>
    </row>
    <row r="5201" spans="5:13">
      <c r="E5201" s="473"/>
      <c r="F5201" s="473"/>
      <c r="G5201" s="473"/>
      <c r="H5201" s="473"/>
      <c r="I5201" s="473"/>
      <c r="J5201" s="473"/>
      <c r="K5201" s="473"/>
      <c r="L5201" s="473"/>
      <c r="M5201" s="473"/>
    </row>
    <row r="5202" spans="5:13">
      <c r="E5202" s="473"/>
      <c r="F5202" s="473"/>
      <c r="G5202" s="473"/>
      <c r="H5202" s="473"/>
      <c r="I5202" s="473"/>
      <c r="J5202" s="473"/>
      <c r="K5202" s="473"/>
      <c r="L5202" s="473"/>
      <c r="M5202" s="473"/>
    </row>
    <row r="5203" spans="5:13">
      <c r="E5203" s="473"/>
      <c r="F5203" s="473"/>
      <c r="G5203" s="473"/>
      <c r="H5203" s="473"/>
      <c r="I5203" s="473"/>
      <c r="J5203" s="473"/>
      <c r="K5203" s="473"/>
      <c r="L5203" s="473"/>
      <c r="M5203" s="473"/>
    </row>
    <row r="5204" spans="5:13">
      <c r="E5204" s="473"/>
      <c r="F5204" s="473"/>
      <c r="G5204" s="473"/>
      <c r="H5204" s="473"/>
      <c r="I5204" s="473"/>
      <c r="J5204" s="473"/>
      <c r="K5204" s="473"/>
      <c r="L5204" s="473"/>
      <c r="M5204" s="473"/>
    </row>
    <row r="5205" spans="5:13">
      <c r="E5205" s="473"/>
      <c r="F5205" s="473"/>
      <c r="G5205" s="473"/>
      <c r="H5205" s="473"/>
      <c r="I5205" s="473"/>
      <c r="J5205" s="473"/>
      <c r="K5205" s="473"/>
      <c r="L5205" s="473"/>
      <c r="M5205" s="473"/>
    </row>
    <row r="5206" spans="5:13">
      <c r="E5206" s="473"/>
      <c r="F5206" s="473"/>
      <c r="G5206" s="473"/>
      <c r="H5206" s="473"/>
      <c r="I5206" s="473"/>
      <c r="J5206" s="473"/>
      <c r="K5206" s="473"/>
      <c r="L5206" s="473"/>
      <c r="M5206" s="473"/>
    </row>
    <row r="5207" spans="5:13">
      <c r="E5207" s="473"/>
      <c r="F5207" s="473"/>
      <c r="G5207" s="473"/>
      <c r="H5207" s="473"/>
      <c r="I5207" s="473"/>
      <c r="J5207" s="473"/>
      <c r="K5207" s="473"/>
      <c r="L5207" s="473"/>
      <c r="M5207" s="473"/>
    </row>
    <row r="5208" spans="5:13">
      <c r="E5208" s="473"/>
      <c r="F5208" s="473"/>
      <c r="G5208" s="473"/>
      <c r="H5208" s="473"/>
      <c r="I5208" s="473"/>
      <c r="J5208" s="473"/>
      <c r="K5208" s="473"/>
      <c r="L5208" s="473"/>
      <c r="M5208" s="473"/>
    </row>
    <row r="5209" spans="5:13">
      <c r="E5209" s="473"/>
      <c r="F5209" s="473"/>
      <c r="G5209" s="473"/>
      <c r="H5209" s="473"/>
      <c r="I5209" s="473"/>
      <c r="J5209" s="473"/>
      <c r="K5209" s="473"/>
      <c r="L5209" s="473"/>
      <c r="M5209" s="473"/>
    </row>
    <row r="5210" spans="5:13">
      <c r="E5210" s="473"/>
      <c r="F5210" s="473"/>
      <c r="G5210" s="473"/>
      <c r="H5210" s="473"/>
      <c r="I5210" s="473"/>
      <c r="J5210" s="473"/>
      <c r="K5210" s="473"/>
      <c r="L5210" s="473"/>
      <c r="M5210" s="473"/>
    </row>
    <row r="5211" spans="5:13">
      <c r="E5211" s="473"/>
      <c r="F5211" s="473"/>
      <c r="G5211" s="473"/>
      <c r="H5211" s="473"/>
      <c r="I5211" s="473"/>
      <c r="J5211" s="473"/>
      <c r="K5211" s="473"/>
      <c r="L5211" s="473"/>
      <c r="M5211" s="473"/>
    </row>
    <row r="5212" spans="5:13">
      <c r="E5212" s="473"/>
      <c r="F5212" s="473"/>
      <c r="G5212" s="473"/>
      <c r="H5212" s="473"/>
      <c r="I5212" s="473"/>
      <c r="J5212" s="473"/>
      <c r="K5212" s="473"/>
      <c r="L5212" s="473"/>
      <c r="M5212" s="473"/>
    </row>
    <row r="5213" spans="5:13">
      <c r="E5213" s="473"/>
      <c r="F5213" s="473"/>
      <c r="G5213" s="473"/>
      <c r="H5213" s="473"/>
      <c r="I5213" s="473"/>
      <c r="J5213" s="473"/>
      <c r="K5213" s="473"/>
      <c r="L5213" s="473"/>
      <c r="M5213" s="473"/>
    </row>
    <row r="5214" spans="5:13">
      <c r="E5214" s="473"/>
      <c r="F5214" s="473"/>
      <c r="G5214" s="473"/>
      <c r="H5214" s="473"/>
      <c r="I5214" s="473"/>
      <c r="J5214" s="473"/>
      <c r="K5214" s="473"/>
      <c r="L5214" s="473"/>
      <c r="M5214" s="473"/>
    </row>
    <row r="5215" spans="5:13">
      <c r="E5215" s="473"/>
      <c r="F5215" s="473"/>
      <c r="G5215" s="473"/>
      <c r="H5215" s="473"/>
      <c r="I5215" s="473"/>
      <c r="J5215" s="473"/>
      <c r="K5215" s="473"/>
      <c r="L5215" s="473"/>
      <c r="M5215" s="473"/>
    </row>
    <row r="5216" spans="5:13">
      <c r="E5216" s="473"/>
      <c r="F5216" s="473"/>
      <c r="G5216" s="473"/>
      <c r="H5216" s="473"/>
      <c r="I5216" s="473"/>
      <c r="J5216" s="473"/>
      <c r="K5216" s="473"/>
      <c r="L5216" s="473"/>
      <c r="M5216" s="473"/>
    </row>
    <row r="5217" spans="5:13">
      <c r="E5217" s="473"/>
      <c r="F5217" s="473"/>
      <c r="G5217" s="473"/>
      <c r="H5217" s="473"/>
      <c r="I5217" s="473"/>
      <c r="J5217" s="473"/>
      <c r="K5217" s="473"/>
      <c r="L5217" s="473"/>
      <c r="M5217" s="473"/>
    </row>
    <row r="5218" spans="5:13">
      <c r="E5218" s="473"/>
      <c r="F5218" s="473"/>
      <c r="G5218" s="473"/>
      <c r="H5218" s="473"/>
      <c r="I5218" s="473"/>
      <c r="J5218" s="473"/>
      <c r="K5218" s="473"/>
      <c r="L5218" s="473"/>
      <c r="M5218" s="473"/>
    </row>
    <row r="5219" spans="5:13">
      <c r="E5219" s="473"/>
      <c r="F5219" s="473"/>
      <c r="G5219" s="473"/>
      <c r="H5219" s="473"/>
      <c r="I5219" s="473"/>
      <c r="J5219" s="473"/>
      <c r="K5219" s="473"/>
      <c r="L5219" s="473"/>
      <c r="M5219" s="473"/>
    </row>
    <row r="5220" spans="5:13">
      <c r="E5220" s="473"/>
      <c r="F5220" s="473"/>
      <c r="G5220" s="473"/>
      <c r="H5220" s="473"/>
      <c r="I5220" s="473"/>
      <c r="J5220" s="473"/>
      <c r="K5220" s="473"/>
      <c r="L5220" s="473"/>
      <c r="M5220" s="473"/>
    </row>
    <row r="5221" spans="5:13">
      <c r="E5221" s="473"/>
      <c r="F5221" s="473"/>
      <c r="G5221" s="473"/>
      <c r="H5221" s="473"/>
      <c r="I5221" s="473"/>
      <c r="J5221" s="473"/>
      <c r="K5221" s="473"/>
      <c r="L5221" s="473"/>
      <c r="M5221" s="473"/>
    </row>
    <row r="5222" spans="5:13">
      <c r="E5222" s="473"/>
      <c r="F5222" s="473"/>
      <c r="G5222" s="473"/>
      <c r="H5222" s="473"/>
      <c r="I5222" s="473"/>
      <c r="J5222" s="473"/>
      <c r="K5222" s="473"/>
      <c r="L5222" s="473"/>
      <c r="M5222" s="473"/>
    </row>
    <row r="5223" spans="5:13">
      <c r="E5223" s="473"/>
      <c r="F5223" s="473"/>
      <c r="G5223" s="473"/>
      <c r="H5223" s="473"/>
      <c r="I5223" s="473"/>
      <c r="J5223" s="473"/>
      <c r="K5223" s="473"/>
      <c r="L5223" s="473"/>
      <c r="M5223" s="473"/>
    </row>
    <row r="5224" spans="5:13">
      <c r="E5224" s="473"/>
      <c r="F5224" s="473"/>
      <c r="G5224" s="473"/>
      <c r="H5224" s="473"/>
      <c r="I5224" s="473"/>
      <c r="J5224" s="473"/>
      <c r="K5224" s="473"/>
      <c r="L5224" s="473"/>
      <c r="M5224" s="473"/>
    </row>
    <row r="5225" spans="5:13">
      <c r="E5225" s="473"/>
      <c r="F5225" s="473"/>
      <c r="G5225" s="473"/>
      <c r="H5225" s="473"/>
      <c r="I5225" s="473"/>
      <c r="J5225" s="473"/>
      <c r="K5225" s="473"/>
      <c r="L5225" s="473"/>
      <c r="M5225" s="473"/>
    </row>
    <row r="5226" spans="5:13">
      <c r="E5226" s="473"/>
      <c r="F5226" s="473"/>
      <c r="G5226" s="473"/>
      <c r="H5226" s="473"/>
      <c r="I5226" s="473"/>
      <c r="J5226" s="473"/>
      <c r="K5226" s="473"/>
      <c r="L5226" s="473"/>
      <c r="M5226" s="473"/>
    </row>
    <row r="5227" spans="5:13">
      <c r="E5227" s="473"/>
      <c r="F5227" s="473"/>
      <c r="G5227" s="473"/>
      <c r="H5227" s="473"/>
      <c r="I5227" s="473"/>
      <c r="J5227" s="473"/>
      <c r="K5227" s="473"/>
      <c r="L5227" s="473"/>
      <c r="M5227" s="473"/>
    </row>
    <row r="5228" spans="5:13">
      <c r="E5228" s="473"/>
      <c r="F5228" s="473"/>
      <c r="G5228" s="473"/>
      <c r="H5228" s="473"/>
      <c r="I5228" s="473"/>
      <c r="J5228" s="473"/>
      <c r="K5228" s="473"/>
      <c r="L5228" s="473"/>
      <c r="M5228" s="473"/>
    </row>
    <row r="5229" spans="5:13">
      <c r="E5229" s="473"/>
      <c r="F5229" s="473"/>
      <c r="G5229" s="473"/>
      <c r="H5229" s="473"/>
      <c r="I5229" s="473"/>
      <c r="J5229" s="473"/>
      <c r="K5229" s="473"/>
      <c r="L5229" s="473"/>
      <c r="M5229" s="473"/>
    </row>
    <row r="5230" spans="5:13">
      <c r="E5230" s="473"/>
      <c r="F5230" s="473"/>
      <c r="G5230" s="473"/>
      <c r="H5230" s="473"/>
      <c r="I5230" s="473"/>
      <c r="J5230" s="473"/>
      <c r="K5230" s="473"/>
      <c r="L5230" s="473"/>
      <c r="M5230" s="473"/>
    </row>
    <row r="5231" spans="5:13">
      <c r="E5231" s="473"/>
      <c r="F5231" s="473"/>
      <c r="G5231" s="473"/>
      <c r="H5231" s="473"/>
      <c r="I5231" s="473"/>
      <c r="J5231" s="473"/>
      <c r="K5231" s="473"/>
      <c r="L5231" s="473"/>
      <c r="M5231" s="473"/>
    </row>
    <row r="5232" spans="5:13">
      <c r="E5232" s="473"/>
      <c r="F5232" s="473"/>
      <c r="G5232" s="473"/>
      <c r="H5232" s="473"/>
      <c r="I5232" s="473"/>
      <c r="J5232" s="473"/>
      <c r="K5232" s="473"/>
      <c r="L5232" s="473"/>
      <c r="M5232" s="473"/>
    </row>
    <row r="5233" spans="5:13">
      <c r="E5233" s="473"/>
      <c r="F5233" s="473"/>
      <c r="G5233" s="473"/>
      <c r="H5233" s="473"/>
      <c r="I5233" s="473"/>
      <c r="J5233" s="473"/>
      <c r="K5233" s="473"/>
      <c r="L5233" s="473"/>
      <c r="M5233" s="473"/>
    </row>
    <row r="5234" spans="5:13">
      <c r="E5234" s="473"/>
      <c r="F5234" s="473"/>
      <c r="G5234" s="473"/>
      <c r="H5234" s="473"/>
      <c r="I5234" s="473"/>
      <c r="J5234" s="473"/>
      <c r="K5234" s="473"/>
      <c r="L5234" s="473"/>
      <c r="M5234" s="473"/>
    </row>
    <row r="5235" spans="5:13">
      <c r="E5235" s="473"/>
      <c r="F5235" s="473"/>
      <c r="G5235" s="473"/>
      <c r="H5235" s="473"/>
      <c r="I5235" s="473"/>
      <c r="J5235" s="473"/>
      <c r="K5235" s="473"/>
      <c r="L5235" s="473"/>
      <c r="M5235" s="473"/>
    </row>
    <row r="5236" spans="5:13">
      <c r="E5236" s="473"/>
      <c r="F5236" s="473"/>
      <c r="G5236" s="473"/>
      <c r="H5236" s="473"/>
      <c r="I5236" s="473"/>
      <c r="J5236" s="473"/>
      <c r="K5236" s="473"/>
      <c r="L5236" s="473"/>
      <c r="M5236" s="473"/>
    </row>
    <row r="5237" spans="5:13">
      <c r="E5237" s="473"/>
      <c r="F5237" s="473"/>
      <c r="G5237" s="473"/>
      <c r="H5237" s="473"/>
      <c r="I5237" s="473"/>
      <c r="J5237" s="473"/>
      <c r="K5237" s="473"/>
      <c r="L5237" s="473"/>
      <c r="M5237" s="473"/>
    </row>
    <row r="5238" spans="5:13">
      <c r="E5238" s="473"/>
      <c r="F5238" s="473"/>
      <c r="G5238" s="473"/>
      <c r="H5238" s="473"/>
      <c r="I5238" s="473"/>
      <c r="J5238" s="473"/>
      <c r="K5238" s="473"/>
      <c r="L5238" s="473"/>
      <c r="M5238" s="473"/>
    </row>
    <row r="5239" spans="5:13">
      <c r="E5239" s="473"/>
      <c r="F5239" s="473"/>
      <c r="G5239" s="473"/>
      <c r="H5239" s="473"/>
      <c r="I5239" s="473"/>
      <c r="J5239" s="473"/>
      <c r="K5239" s="473"/>
      <c r="L5239" s="473"/>
      <c r="M5239" s="473"/>
    </row>
    <row r="5240" spans="5:13">
      <c r="E5240" s="473"/>
      <c r="F5240" s="473"/>
      <c r="G5240" s="473"/>
      <c r="H5240" s="473"/>
      <c r="I5240" s="473"/>
      <c r="J5240" s="473"/>
      <c r="K5240" s="473"/>
      <c r="L5240" s="473"/>
      <c r="M5240" s="473"/>
    </row>
    <row r="5241" spans="5:13">
      <c r="E5241" s="473"/>
      <c r="F5241" s="473"/>
      <c r="G5241" s="473"/>
      <c r="H5241" s="473"/>
      <c r="I5241" s="473"/>
      <c r="J5241" s="473"/>
      <c r="K5241" s="473"/>
      <c r="L5241" s="473"/>
      <c r="M5241" s="473"/>
    </row>
    <row r="5242" spans="5:13">
      <c r="E5242" s="473"/>
      <c r="F5242" s="473"/>
      <c r="G5242" s="473"/>
      <c r="H5242" s="473"/>
      <c r="I5242" s="473"/>
      <c r="J5242" s="473"/>
      <c r="K5242" s="473"/>
      <c r="L5242" s="473"/>
      <c r="M5242" s="473"/>
    </row>
    <row r="5243" spans="5:13">
      <c r="E5243" s="473"/>
      <c r="F5243" s="473"/>
      <c r="G5243" s="473"/>
      <c r="H5243" s="473"/>
      <c r="I5243" s="473"/>
      <c r="J5243" s="473"/>
      <c r="K5243" s="473"/>
      <c r="L5243" s="473"/>
      <c r="M5243" s="473"/>
    </row>
    <row r="5244" spans="5:13">
      <c r="E5244" s="473"/>
      <c r="F5244" s="473"/>
      <c r="G5244" s="473"/>
      <c r="H5244" s="473"/>
      <c r="I5244" s="473"/>
      <c r="J5244" s="473"/>
      <c r="K5244" s="473"/>
      <c r="L5244" s="473"/>
      <c r="M5244" s="473"/>
    </row>
    <row r="5245" spans="5:13">
      <c r="E5245" s="473"/>
      <c r="F5245" s="473"/>
      <c r="G5245" s="473"/>
      <c r="H5245" s="473"/>
      <c r="I5245" s="473"/>
      <c r="J5245" s="473"/>
      <c r="K5245" s="473"/>
      <c r="L5245" s="473"/>
      <c r="M5245" s="473"/>
    </row>
    <row r="5246" spans="5:13">
      <c r="E5246" s="473"/>
      <c r="F5246" s="473"/>
      <c r="G5246" s="473"/>
      <c r="H5246" s="473"/>
      <c r="I5246" s="473"/>
      <c r="J5246" s="473"/>
      <c r="K5246" s="473"/>
      <c r="L5246" s="473"/>
      <c r="M5246" s="473"/>
    </row>
    <row r="5247" spans="5:13">
      <c r="E5247" s="473"/>
      <c r="F5247" s="473"/>
      <c r="G5247" s="473"/>
      <c r="H5247" s="473"/>
      <c r="I5247" s="473"/>
      <c r="J5247" s="473"/>
      <c r="K5247" s="473"/>
      <c r="L5247" s="473"/>
      <c r="M5247" s="473"/>
    </row>
    <row r="5248" spans="5:13">
      <c r="E5248" s="473"/>
      <c r="F5248" s="473"/>
      <c r="G5248" s="473"/>
      <c r="H5248" s="473"/>
      <c r="I5248" s="473"/>
      <c r="J5248" s="473"/>
      <c r="K5248" s="473"/>
      <c r="L5248" s="473"/>
      <c r="M5248" s="473"/>
    </row>
    <row r="5249" spans="5:13">
      <c r="E5249" s="473"/>
      <c r="F5249" s="473"/>
      <c r="G5249" s="473"/>
      <c r="H5249" s="473"/>
      <c r="I5249" s="473"/>
      <c r="J5249" s="473"/>
      <c r="K5249" s="473"/>
      <c r="L5249" s="473"/>
      <c r="M5249" s="473"/>
    </row>
    <row r="5250" spans="5:13">
      <c r="E5250" s="473"/>
      <c r="F5250" s="473"/>
      <c r="G5250" s="473"/>
      <c r="H5250" s="473"/>
      <c r="I5250" s="473"/>
      <c r="J5250" s="473"/>
      <c r="K5250" s="473"/>
      <c r="L5250" s="473"/>
      <c r="M5250" s="473"/>
    </row>
    <row r="5251" spans="5:13">
      <c r="E5251" s="473"/>
      <c r="F5251" s="473"/>
      <c r="G5251" s="473"/>
      <c r="H5251" s="473"/>
      <c r="I5251" s="473"/>
      <c r="J5251" s="473"/>
      <c r="K5251" s="473"/>
      <c r="L5251" s="473"/>
      <c r="M5251" s="473"/>
    </row>
    <row r="5252" spans="5:13">
      <c r="E5252" s="473"/>
      <c r="F5252" s="473"/>
      <c r="G5252" s="473"/>
      <c r="H5252" s="473"/>
      <c r="I5252" s="473"/>
      <c r="J5252" s="473"/>
      <c r="K5252" s="473"/>
      <c r="L5252" s="473"/>
      <c r="M5252" s="473"/>
    </row>
    <row r="5253" spans="5:13">
      <c r="E5253" s="473"/>
      <c r="F5253" s="473"/>
      <c r="G5253" s="473"/>
      <c r="H5253" s="473"/>
      <c r="I5253" s="473"/>
      <c r="J5253" s="473"/>
      <c r="K5253" s="473"/>
      <c r="L5253" s="473"/>
      <c r="M5253" s="473"/>
    </row>
    <row r="5254" spans="5:13">
      <c r="E5254" s="473"/>
      <c r="F5254" s="473"/>
      <c r="G5254" s="473"/>
      <c r="H5254" s="473"/>
      <c r="I5254" s="473"/>
      <c r="J5254" s="473"/>
      <c r="K5254" s="473"/>
      <c r="L5254" s="473"/>
      <c r="M5254" s="473"/>
    </row>
    <row r="5255" spans="5:13">
      <c r="E5255" s="473"/>
      <c r="F5255" s="473"/>
      <c r="G5255" s="473"/>
      <c r="H5255" s="473"/>
      <c r="I5255" s="473"/>
      <c r="J5255" s="473"/>
      <c r="K5255" s="473"/>
      <c r="L5255" s="473"/>
      <c r="M5255" s="473"/>
    </row>
    <row r="5256" spans="5:13">
      <c r="E5256" s="473"/>
      <c r="F5256" s="473"/>
      <c r="G5256" s="473"/>
      <c r="H5256" s="473"/>
      <c r="I5256" s="473"/>
      <c r="J5256" s="473"/>
      <c r="K5256" s="473"/>
      <c r="L5256" s="473"/>
      <c r="M5256" s="473"/>
    </row>
    <row r="5257" spans="5:13">
      <c r="E5257" s="473"/>
      <c r="F5257" s="473"/>
      <c r="G5257" s="473"/>
      <c r="H5257" s="473"/>
      <c r="I5257" s="473"/>
      <c r="J5257" s="473"/>
      <c r="K5257" s="473"/>
      <c r="L5257" s="473"/>
      <c r="M5257" s="473"/>
    </row>
    <row r="5258" spans="5:13">
      <c r="E5258" s="473"/>
      <c r="F5258" s="473"/>
      <c r="G5258" s="473"/>
      <c r="H5258" s="473"/>
      <c r="I5258" s="473"/>
      <c r="J5258" s="473"/>
      <c r="K5258" s="473"/>
      <c r="L5258" s="473"/>
      <c r="M5258" s="473"/>
    </row>
    <row r="5259" spans="5:13">
      <c r="E5259" s="473"/>
      <c r="F5259" s="473"/>
      <c r="G5259" s="473"/>
      <c r="H5259" s="473"/>
      <c r="I5259" s="473"/>
      <c r="J5259" s="473"/>
      <c r="K5259" s="473"/>
      <c r="L5259" s="473"/>
      <c r="M5259" s="473"/>
    </row>
    <row r="5260" spans="5:13">
      <c r="E5260" s="473"/>
      <c r="F5260" s="473"/>
      <c r="G5260" s="473"/>
      <c r="H5260" s="473"/>
      <c r="I5260" s="473"/>
      <c r="J5260" s="473"/>
      <c r="K5260" s="473"/>
      <c r="L5260" s="473"/>
      <c r="M5260" s="473"/>
    </row>
    <row r="5261" spans="5:13">
      <c r="E5261" s="473"/>
      <c r="F5261" s="473"/>
      <c r="G5261" s="473"/>
      <c r="H5261" s="473"/>
      <c r="I5261" s="473"/>
      <c r="J5261" s="473"/>
      <c r="K5261" s="473"/>
      <c r="L5261" s="473"/>
      <c r="M5261" s="473"/>
    </row>
    <row r="5262" spans="5:13">
      <c r="E5262" s="473"/>
      <c r="F5262" s="473"/>
      <c r="G5262" s="473"/>
      <c r="H5262" s="473"/>
      <c r="I5262" s="473"/>
      <c r="J5262" s="473"/>
      <c r="K5262" s="473"/>
      <c r="L5262" s="473"/>
      <c r="M5262" s="473"/>
    </row>
    <row r="5263" spans="5:13">
      <c r="E5263" s="473"/>
      <c r="F5263" s="473"/>
      <c r="G5263" s="473"/>
      <c r="H5263" s="473"/>
      <c r="I5263" s="473"/>
      <c r="J5263" s="473"/>
      <c r="K5263" s="473"/>
      <c r="L5263" s="473"/>
      <c r="M5263" s="473"/>
    </row>
    <row r="5264" spans="5:13">
      <c r="E5264" s="473"/>
      <c r="F5264" s="473"/>
      <c r="G5264" s="473"/>
      <c r="H5264" s="473"/>
      <c r="I5264" s="473"/>
      <c r="J5264" s="473"/>
      <c r="K5264" s="473"/>
      <c r="L5264" s="473"/>
      <c r="M5264" s="473"/>
    </row>
    <row r="5265" spans="5:13">
      <c r="E5265" s="473"/>
      <c r="F5265" s="473"/>
      <c r="G5265" s="473"/>
      <c r="H5265" s="473"/>
      <c r="I5265" s="473"/>
      <c r="J5265" s="473"/>
      <c r="K5265" s="473"/>
      <c r="L5265" s="473"/>
      <c r="M5265" s="473"/>
    </row>
    <row r="5266" spans="5:13">
      <c r="E5266" s="473"/>
      <c r="F5266" s="473"/>
      <c r="G5266" s="473"/>
      <c r="H5266" s="473"/>
      <c r="I5266" s="473"/>
      <c r="J5266" s="473"/>
      <c r="K5266" s="473"/>
      <c r="L5266" s="473"/>
      <c r="M5266" s="473"/>
    </row>
    <row r="5267" spans="5:13">
      <c r="E5267" s="473"/>
      <c r="F5267" s="473"/>
      <c r="G5267" s="473"/>
      <c r="H5267" s="473"/>
      <c r="I5267" s="473"/>
      <c r="J5267" s="473"/>
      <c r="K5267" s="473"/>
      <c r="L5267" s="473"/>
      <c r="M5267" s="473"/>
    </row>
    <row r="5268" spans="5:13">
      <c r="E5268" s="473"/>
      <c r="F5268" s="473"/>
      <c r="G5268" s="473"/>
      <c r="H5268" s="473"/>
      <c r="I5268" s="473"/>
      <c r="J5268" s="473"/>
      <c r="K5268" s="473"/>
      <c r="L5268" s="473"/>
      <c r="M5268" s="473"/>
    </row>
    <row r="5269" spans="5:13">
      <c r="E5269" s="473"/>
      <c r="F5269" s="473"/>
      <c r="G5269" s="473"/>
      <c r="H5269" s="473"/>
      <c r="I5269" s="473"/>
      <c r="J5269" s="473"/>
      <c r="K5269" s="473"/>
      <c r="L5269" s="473"/>
      <c r="M5269" s="473"/>
    </row>
    <row r="5270" spans="5:13">
      <c r="E5270" s="473"/>
      <c r="F5270" s="473"/>
      <c r="G5270" s="473"/>
      <c r="H5270" s="473"/>
      <c r="I5270" s="473"/>
      <c r="J5270" s="473"/>
      <c r="K5270" s="473"/>
      <c r="L5270" s="473"/>
      <c r="M5270" s="473"/>
    </row>
    <row r="5271" spans="5:13">
      <c r="E5271" s="473"/>
      <c r="F5271" s="473"/>
      <c r="G5271" s="473"/>
      <c r="H5271" s="473"/>
      <c r="I5271" s="473"/>
      <c r="J5271" s="473"/>
      <c r="K5271" s="473"/>
      <c r="L5271" s="473"/>
      <c r="M5271" s="473"/>
    </row>
    <row r="5272" spans="5:13">
      <c r="E5272" s="473"/>
      <c r="F5272" s="473"/>
      <c r="G5272" s="473"/>
      <c r="H5272" s="473"/>
      <c r="I5272" s="473"/>
      <c r="J5272" s="473"/>
      <c r="K5272" s="473"/>
      <c r="L5272" s="473"/>
      <c r="M5272" s="473"/>
    </row>
    <row r="5273" spans="5:13">
      <c r="E5273" s="473"/>
      <c r="F5273" s="473"/>
      <c r="G5273" s="473"/>
      <c r="H5273" s="473"/>
      <c r="I5273" s="473"/>
      <c r="J5273" s="473"/>
      <c r="K5273" s="473"/>
      <c r="L5273" s="473"/>
      <c r="M5273" s="473"/>
    </row>
    <row r="5274" spans="5:13">
      <c r="E5274" s="473"/>
      <c r="F5274" s="473"/>
      <c r="G5274" s="473"/>
      <c r="H5274" s="473"/>
      <c r="I5274" s="473"/>
      <c r="J5274" s="473"/>
      <c r="K5274" s="473"/>
      <c r="L5274" s="473"/>
      <c r="M5274" s="473"/>
    </row>
    <row r="5275" spans="5:13">
      <c r="E5275" s="473"/>
      <c r="F5275" s="473"/>
      <c r="G5275" s="473"/>
      <c r="H5275" s="473"/>
      <c r="I5275" s="473"/>
      <c r="J5275" s="473"/>
      <c r="K5275" s="473"/>
      <c r="L5275" s="473"/>
      <c r="M5275" s="473"/>
    </row>
    <row r="5276" spans="5:13">
      <c r="E5276" s="473"/>
      <c r="F5276" s="473"/>
      <c r="G5276" s="473"/>
      <c r="H5276" s="473"/>
      <c r="I5276" s="473"/>
      <c r="J5276" s="473"/>
      <c r="K5276" s="473"/>
      <c r="L5276" s="473"/>
      <c r="M5276" s="473"/>
    </row>
    <row r="5277" spans="5:13">
      <c r="E5277" s="473"/>
      <c r="F5277" s="473"/>
      <c r="G5277" s="473"/>
      <c r="H5277" s="473"/>
      <c r="I5277" s="473"/>
      <c r="J5277" s="473"/>
      <c r="K5277" s="473"/>
      <c r="L5277" s="473"/>
      <c r="M5277" s="473"/>
    </row>
    <row r="5278" spans="5:13">
      <c r="E5278" s="473"/>
      <c r="F5278" s="473"/>
      <c r="G5278" s="473"/>
      <c r="H5278" s="473"/>
      <c r="I5278" s="473"/>
      <c r="J5278" s="473"/>
      <c r="K5278" s="473"/>
      <c r="L5278" s="473"/>
      <c r="M5278" s="473"/>
    </row>
    <row r="5279" spans="5:13">
      <c r="E5279" s="473"/>
      <c r="F5279" s="473"/>
      <c r="G5279" s="473"/>
      <c r="H5279" s="473"/>
      <c r="I5279" s="473"/>
      <c r="J5279" s="473"/>
      <c r="K5279" s="473"/>
      <c r="L5279" s="473"/>
      <c r="M5279" s="473"/>
    </row>
    <row r="5280" spans="5:13">
      <c r="E5280" s="473"/>
      <c r="F5280" s="473"/>
      <c r="G5280" s="473"/>
      <c r="H5280" s="473"/>
      <c r="I5280" s="473"/>
      <c r="J5280" s="473"/>
      <c r="K5280" s="473"/>
      <c r="L5280" s="473"/>
      <c r="M5280" s="473"/>
    </row>
    <row r="5281" spans="5:13">
      <c r="E5281" s="473"/>
      <c r="F5281" s="473"/>
      <c r="G5281" s="473"/>
      <c r="H5281" s="473"/>
      <c r="I5281" s="473"/>
      <c r="J5281" s="473"/>
      <c r="K5281" s="473"/>
      <c r="L5281" s="473"/>
      <c r="M5281" s="473"/>
    </row>
    <row r="5282" spans="5:13">
      <c r="E5282" s="473"/>
      <c r="F5282" s="473"/>
      <c r="G5282" s="473"/>
      <c r="H5282" s="473"/>
      <c r="I5282" s="473"/>
      <c r="J5282" s="473"/>
      <c r="K5282" s="473"/>
      <c r="L5282" s="473"/>
      <c r="M5282" s="473"/>
    </row>
    <row r="5283" spans="5:13">
      <c r="E5283" s="473"/>
      <c r="F5283" s="473"/>
      <c r="G5283" s="473"/>
      <c r="H5283" s="473"/>
      <c r="I5283" s="473"/>
      <c r="J5283" s="473"/>
      <c r="K5283" s="473"/>
      <c r="L5283" s="473"/>
      <c r="M5283" s="473"/>
    </row>
    <row r="5284" spans="5:13">
      <c r="E5284" s="473"/>
      <c r="F5284" s="473"/>
      <c r="G5284" s="473"/>
      <c r="H5284" s="473"/>
      <c r="I5284" s="473"/>
      <c r="J5284" s="473"/>
      <c r="K5284" s="473"/>
      <c r="L5284" s="473"/>
      <c r="M5284" s="473"/>
    </row>
    <row r="5285" spans="5:13">
      <c r="E5285" s="473"/>
      <c r="F5285" s="473"/>
      <c r="G5285" s="473"/>
      <c r="H5285" s="473"/>
      <c r="I5285" s="473"/>
      <c r="J5285" s="473"/>
      <c r="K5285" s="473"/>
      <c r="L5285" s="473"/>
      <c r="M5285" s="473"/>
    </row>
    <row r="5286" spans="5:13">
      <c r="E5286" s="473"/>
      <c r="F5286" s="473"/>
      <c r="G5286" s="473"/>
      <c r="H5286" s="473"/>
      <c r="I5286" s="473"/>
      <c r="J5286" s="473"/>
      <c r="K5286" s="473"/>
      <c r="L5286" s="473"/>
      <c r="M5286" s="473"/>
    </row>
    <row r="5287" spans="5:13">
      <c r="E5287" s="473"/>
      <c r="F5287" s="473"/>
      <c r="G5287" s="473"/>
      <c r="H5287" s="473"/>
      <c r="I5287" s="473"/>
      <c r="J5287" s="473"/>
      <c r="K5287" s="473"/>
      <c r="L5287" s="473"/>
      <c r="M5287" s="473"/>
    </row>
    <row r="5288" spans="5:13">
      <c r="E5288" s="473"/>
      <c r="F5288" s="473"/>
      <c r="G5288" s="473"/>
      <c r="H5288" s="473"/>
      <c r="I5288" s="473"/>
      <c r="J5288" s="473"/>
      <c r="K5288" s="473"/>
      <c r="L5288" s="473"/>
      <c r="M5288" s="473"/>
    </row>
    <row r="5289" spans="5:13">
      <c r="E5289" s="473"/>
      <c r="F5289" s="473"/>
      <c r="G5289" s="473"/>
      <c r="H5289" s="473"/>
      <c r="I5289" s="473"/>
      <c r="J5289" s="473"/>
      <c r="K5289" s="473"/>
      <c r="L5289" s="473"/>
      <c r="M5289" s="473"/>
    </row>
    <row r="5290" spans="5:13">
      <c r="E5290" s="473"/>
      <c r="F5290" s="473"/>
      <c r="G5290" s="473"/>
      <c r="H5290" s="473"/>
      <c r="I5290" s="473"/>
      <c r="J5290" s="473"/>
      <c r="K5290" s="473"/>
      <c r="L5290" s="473"/>
      <c r="M5290" s="473"/>
    </row>
    <row r="5291" spans="5:13">
      <c r="E5291" s="473"/>
      <c r="F5291" s="473"/>
      <c r="G5291" s="473"/>
      <c r="H5291" s="473"/>
      <c r="I5291" s="473"/>
      <c r="J5291" s="473"/>
      <c r="K5291" s="473"/>
      <c r="L5291" s="473"/>
      <c r="M5291" s="473"/>
    </row>
    <row r="5292" spans="5:13">
      <c r="E5292" s="473"/>
      <c r="F5292" s="473"/>
      <c r="G5292" s="473"/>
      <c r="H5292" s="473"/>
      <c r="I5292" s="473"/>
      <c r="J5292" s="473"/>
      <c r="K5292" s="473"/>
      <c r="L5292" s="473"/>
      <c r="M5292" s="473"/>
    </row>
    <row r="5293" spans="5:13">
      <c r="E5293" s="473"/>
      <c r="F5293" s="473"/>
      <c r="G5293" s="473"/>
      <c r="H5293" s="473"/>
      <c r="I5293" s="473"/>
      <c r="J5293" s="473"/>
      <c r="K5293" s="473"/>
      <c r="L5293" s="473"/>
      <c r="M5293" s="473"/>
    </row>
    <row r="5294" spans="5:13">
      <c r="E5294" s="473"/>
      <c r="F5294" s="473"/>
      <c r="G5294" s="473"/>
      <c r="H5294" s="473"/>
      <c r="I5294" s="473"/>
      <c r="J5294" s="473"/>
      <c r="K5294" s="473"/>
      <c r="L5294" s="473"/>
      <c r="M5294" s="473"/>
    </row>
    <row r="5295" spans="5:13">
      <c r="E5295" s="473"/>
      <c r="F5295" s="473"/>
      <c r="G5295" s="473"/>
      <c r="H5295" s="473"/>
      <c r="I5295" s="473"/>
      <c r="J5295" s="473"/>
      <c r="K5295" s="473"/>
      <c r="L5295" s="473"/>
      <c r="M5295" s="473"/>
    </row>
    <row r="5296" spans="5:13">
      <c r="E5296" s="473"/>
      <c r="F5296" s="473"/>
      <c r="G5296" s="473"/>
      <c r="H5296" s="473"/>
      <c r="I5296" s="473"/>
      <c r="J5296" s="473"/>
      <c r="K5296" s="473"/>
      <c r="L5296" s="473"/>
      <c r="M5296" s="473"/>
    </row>
    <row r="5297" spans="5:13">
      <c r="E5297" s="473"/>
      <c r="F5297" s="473"/>
      <c r="G5297" s="473"/>
      <c r="H5297" s="473"/>
      <c r="I5297" s="473"/>
      <c r="J5297" s="473"/>
      <c r="K5297" s="473"/>
      <c r="L5297" s="473"/>
      <c r="M5297" s="473"/>
    </row>
    <row r="5298" spans="5:13">
      <c r="E5298" s="473"/>
      <c r="F5298" s="473"/>
      <c r="G5298" s="473"/>
      <c r="H5298" s="473"/>
      <c r="I5298" s="473"/>
      <c r="J5298" s="473"/>
      <c r="K5298" s="473"/>
      <c r="L5298" s="473"/>
      <c r="M5298" s="473"/>
    </row>
    <row r="5299" spans="5:13">
      <c r="E5299" s="473"/>
      <c r="F5299" s="473"/>
      <c r="G5299" s="473"/>
      <c r="H5299" s="473"/>
      <c r="I5299" s="473"/>
      <c r="J5299" s="473"/>
      <c r="K5299" s="473"/>
      <c r="L5299" s="473"/>
      <c r="M5299" s="473"/>
    </row>
    <row r="5300" spans="5:13">
      <c r="E5300" s="473"/>
      <c r="F5300" s="473"/>
      <c r="G5300" s="473"/>
      <c r="H5300" s="473"/>
      <c r="I5300" s="473"/>
      <c r="J5300" s="473"/>
      <c r="K5300" s="473"/>
      <c r="L5300" s="473"/>
      <c r="M5300" s="473"/>
    </row>
    <row r="5301" spans="5:13">
      <c r="E5301" s="473"/>
      <c r="F5301" s="473"/>
      <c r="G5301" s="473"/>
      <c r="H5301" s="473"/>
      <c r="I5301" s="473"/>
      <c r="J5301" s="473"/>
      <c r="K5301" s="473"/>
      <c r="L5301" s="473"/>
      <c r="M5301" s="473"/>
    </row>
    <row r="5302" spans="5:13">
      <c r="E5302" s="473"/>
      <c r="F5302" s="473"/>
      <c r="G5302" s="473"/>
      <c r="H5302" s="473"/>
      <c r="I5302" s="473"/>
      <c r="J5302" s="473"/>
      <c r="K5302" s="473"/>
      <c r="L5302" s="473"/>
      <c r="M5302" s="473"/>
    </row>
    <row r="5303" spans="5:13">
      <c r="E5303" s="473"/>
      <c r="F5303" s="473"/>
      <c r="G5303" s="473"/>
      <c r="H5303" s="473"/>
      <c r="I5303" s="473"/>
      <c r="J5303" s="473"/>
      <c r="K5303" s="473"/>
      <c r="L5303" s="473"/>
      <c r="M5303" s="473"/>
    </row>
    <row r="5304" spans="5:13">
      <c r="E5304" s="473"/>
      <c r="F5304" s="473"/>
      <c r="G5304" s="473"/>
      <c r="H5304" s="473"/>
      <c r="I5304" s="473"/>
      <c r="J5304" s="473"/>
      <c r="K5304" s="473"/>
      <c r="L5304" s="473"/>
      <c r="M5304" s="473"/>
    </row>
    <row r="5305" spans="5:13">
      <c r="E5305" s="473"/>
      <c r="F5305" s="473"/>
      <c r="G5305" s="473"/>
      <c r="H5305" s="473"/>
      <c r="I5305" s="473"/>
      <c r="J5305" s="473"/>
      <c r="K5305" s="473"/>
      <c r="L5305" s="473"/>
      <c r="M5305" s="473"/>
    </row>
    <row r="5306" spans="5:13">
      <c r="E5306" s="473"/>
      <c r="F5306" s="473"/>
      <c r="G5306" s="473"/>
      <c r="H5306" s="473"/>
      <c r="I5306" s="473"/>
      <c r="J5306" s="473"/>
      <c r="K5306" s="473"/>
      <c r="L5306" s="473"/>
      <c r="M5306" s="473"/>
    </row>
    <row r="5307" spans="5:13">
      <c r="E5307" s="473"/>
      <c r="F5307" s="473"/>
      <c r="G5307" s="473"/>
      <c r="H5307" s="473"/>
      <c r="I5307" s="473"/>
      <c r="J5307" s="473"/>
      <c r="K5307" s="473"/>
      <c r="L5307" s="473"/>
      <c r="M5307" s="473"/>
    </row>
    <row r="5308" spans="5:13">
      <c r="E5308" s="473"/>
      <c r="F5308" s="473"/>
      <c r="G5308" s="473"/>
      <c r="H5308" s="473"/>
      <c r="I5308" s="473"/>
      <c r="J5308" s="473"/>
      <c r="K5308" s="473"/>
      <c r="L5308" s="473"/>
      <c r="M5308" s="473"/>
    </row>
    <row r="5309" spans="5:13">
      <c r="E5309" s="473"/>
      <c r="F5309" s="473"/>
      <c r="G5309" s="473"/>
      <c r="H5309" s="473"/>
      <c r="I5309" s="473"/>
      <c r="J5309" s="473"/>
      <c r="K5309" s="473"/>
      <c r="L5309" s="473"/>
      <c r="M5309" s="473"/>
    </row>
    <row r="5310" spans="5:13">
      <c r="E5310" s="473"/>
      <c r="F5310" s="473"/>
      <c r="G5310" s="473"/>
      <c r="H5310" s="473"/>
      <c r="I5310" s="473"/>
      <c r="J5310" s="473"/>
      <c r="K5310" s="473"/>
      <c r="L5310" s="473"/>
      <c r="M5310" s="473"/>
    </row>
    <row r="5311" spans="5:13">
      <c r="E5311" s="473"/>
      <c r="F5311" s="473"/>
      <c r="G5311" s="473"/>
      <c r="H5311" s="473"/>
      <c r="I5311" s="473"/>
      <c r="J5311" s="473"/>
      <c r="K5311" s="473"/>
      <c r="L5311" s="473"/>
      <c r="M5311" s="473"/>
    </row>
    <row r="5312" spans="5:13">
      <c r="E5312" s="473"/>
      <c r="F5312" s="473"/>
      <c r="G5312" s="473"/>
      <c r="H5312" s="473"/>
      <c r="I5312" s="473"/>
      <c r="J5312" s="473"/>
      <c r="K5312" s="473"/>
      <c r="L5312" s="473"/>
      <c r="M5312" s="473"/>
    </row>
    <row r="5313" spans="5:13">
      <c r="E5313" s="473"/>
      <c r="F5313" s="473"/>
      <c r="G5313" s="473"/>
      <c r="H5313" s="473"/>
      <c r="I5313" s="473"/>
      <c r="J5313" s="473"/>
      <c r="K5313" s="473"/>
      <c r="L5313" s="473"/>
      <c r="M5313" s="473"/>
    </row>
    <row r="5314" spans="5:13">
      <c r="E5314" s="473"/>
      <c r="F5314" s="473"/>
      <c r="G5314" s="473"/>
      <c r="H5314" s="473"/>
      <c r="I5314" s="473"/>
      <c r="J5314" s="473"/>
      <c r="K5314" s="473"/>
      <c r="L5314" s="473"/>
      <c r="M5314" s="473"/>
    </row>
    <row r="5315" spans="5:13">
      <c r="E5315" s="473"/>
      <c r="F5315" s="473"/>
      <c r="G5315" s="473"/>
      <c r="H5315" s="473"/>
      <c r="I5315" s="473"/>
      <c r="J5315" s="473"/>
      <c r="K5315" s="473"/>
      <c r="L5315" s="473"/>
      <c r="M5315" s="473"/>
    </row>
    <row r="5316" spans="5:13">
      <c r="E5316" s="473"/>
      <c r="F5316" s="473"/>
      <c r="G5316" s="473"/>
      <c r="H5316" s="473"/>
      <c r="I5316" s="473"/>
      <c r="J5316" s="473"/>
      <c r="K5316" s="473"/>
      <c r="L5316" s="473"/>
      <c r="M5316" s="473"/>
    </row>
    <row r="5317" spans="5:13">
      <c r="E5317" s="473"/>
      <c r="F5317" s="473"/>
      <c r="G5317" s="473"/>
      <c r="H5317" s="473"/>
      <c r="I5317" s="473"/>
      <c r="J5317" s="473"/>
      <c r="K5317" s="473"/>
      <c r="L5317" s="473"/>
      <c r="M5317" s="473"/>
    </row>
    <row r="5318" spans="5:13">
      <c r="E5318" s="473"/>
      <c r="F5318" s="473"/>
      <c r="G5318" s="473"/>
      <c r="H5318" s="473"/>
      <c r="I5318" s="473"/>
      <c r="J5318" s="473"/>
      <c r="K5318" s="473"/>
      <c r="L5318" s="473"/>
      <c r="M5318" s="473"/>
    </row>
    <row r="5319" spans="5:13">
      <c r="E5319" s="473"/>
      <c r="F5319" s="473"/>
      <c r="G5319" s="473"/>
      <c r="H5319" s="473"/>
      <c r="I5319" s="473"/>
      <c r="J5319" s="473"/>
      <c r="K5319" s="473"/>
      <c r="L5319" s="473"/>
      <c r="M5319" s="473"/>
    </row>
    <row r="5320" spans="5:13">
      <c r="E5320" s="473"/>
      <c r="F5320" s="473"/>
      <c r="G5320" s="473"/>
      <c r="H5320" s="473"/>
      <c r="I5320" s="473"/>
      <c r="J5320" s="473"/>
      <c r="K5320" s="473"/>
      <c r="L5320" s="473"/>
      <c r="M5320" s="473"/>
    </row>
    <row r="5321" spans="5:13">
      <c r="E5321" s="473"/>
      <c r="F5321" s="473"/>
      <c r="G5321" s="473"/>
      <c r="H5321" s="473"/>
      <c r="I5321" s="473"/>
      <c r="J5321" s="473"/>
      <c r="K5321" s="473"/>
      <c r="L5321" s="473"/>
      <c r="M5321" s="473"/>
    </row>
    <row r="5322" spans="5:13">
      <c r="E5322" s="473"/>
      <c r="F5322" s="473"/>
      <c r="G5322" s="473"/>
      <c r="H5322" s="473"/>
      <c r="I5322" s="473"/>
      <c r="J5322" s="473"/>
      <c r="K5322" s="473"/>
      <c r="L5322" s="473"/>
      <c r="M5322" s="473"/>
    </row>
    <row r="5323" spans="5:13">
      <c r="E5323" s="473"/>
      <c r="F5323" s="473"/>
      <c r="G5323" s="473"/>
      <c r="H5323" s="473"/>
      <c r="I5323" s="473"/>
      <c r="J5323" s="473"/>
      <c r="K5323" s="473"/>
      <c r="L5323" s="473"/>
      <c r="M5323" s="473"/>
    </row>
    <row r="5324" spans="5:13">
      <c r="E5324" s="473"/>
      <c r="F5324" s="473"/>
      <c r="G5324" s="473"/>
      <c r="H5324" s="473"/>
      <c r="I5324" s="473"/>
      <c r="J5324" s="473"/>
      <c r="K5324" s="473"/>
      <c r="L5324" s="473"/>
      <c r="M5324" s="473"/>
    </row>
    <row r="5325" spans="5:13">
      <c r="E5325" s="473"/>
      <c r="F5325" s="473"/>
      <c r="G5325" s="473"/>
      <c r="H5325" s="473"/>
      <c r="I5325" s="473"/>
      <c r="J5325" s="473"/>
      <c r="K5325" s="473"/>
      <c r="L5325" s="473"/>
      <c r="M5325" s="473"/>
    </row>
    <row r="5326" spans="5:13">
      <c r="E5326" s="473"/>
      <c r="F5326" s="473"/>
      <c r="G5326" s="473"/>
      <c r="H5326" s="473"/>
      <c r="I5326" s="473"/>
      <c r="J5326" s="473"/>
      <c r="K5326" s="473"/>
      <c r="L5326" s="473"/>
      <c r="M5326" s="473"/>
    </row>
    <row r="5327" spans="5:13">
      <c r="E5327" s="473"/>
      <c r="F5327" s="473"/>
      <c r="G5327" s="473"/>
      <c r="H5327" s="473"/>
      <c r="I5327" s="473"/>
      <c r="J5327" s="473"/>
      <c r="K5327" s="473"/>
      <c r="L5327" s="473"/>
      <c r="M5327" s="473"/>
    </row>
    <row r="5328" spans="5:13">
      <c r="E5328" s="473"/>
      <c r="F5328" s="473"/>
      <c r="G5328" s="473"/>
      <c r="H5328" s="473"/>
      <c r="I5328" s="473"/>
      <c r="J5328" s="473"/>
      <c r="K5328" s="473"/>
      <c r="L5328" s="473"/>
      <c r="M5328" s="473"/>
    </row>
    <row r="5329" spans="5:13">
      <c r="E5329" s="473"/>
      <c r="F5329" s="473"/>
      <c r="G5329" s="473"/>
      <c r="H5329" s="473"/>
      <c r="I5329" s="473"/>
      <c r="J5329" s="473"/>
      <c r="K5329" s="473"/>
      <c r="L5329" s="473"/>
      <c r="M5329" s="473"/>
    </row>
    <row r="5330" spans="5:13">
      <c r="E5330" s="473"/>
      <c r="F5330" s="473"/>
      <c r="G5330" s="473"/>
      <c r="H5330" s="473"/>
      <c r="I5330" s="473"/>
      <c r="J5330" s="473"/>
      <c r="K5330" s="473"/>
      <c r="L5330" s="473"/>
      <c r="M5330" s="473"/>
    </row>
    <row r="5331" spans="5:13">
      <c r="E5331" s="473"/>
      <c r="F5331" s="473"/>
      <c r="G5331" s="473"/>
      <c r="H5331" s="473"/>
      <c r="I5331" s="473"/>
      <c r="J5331" s="473"/>
      <c r="K5331" s="473"/>
      <c r="L5331" s="473"/>
      <c r="M5331" s="473"/>
    </row>
    <row r="5332" spans="5:13">
      <c r="E5332" s="473"/>
      <c r="F5332" s="473"/>
      <c r="G5332" s="473"/>
      <c r="H5332" s="473"/>
      <c r="I5332" s="473"/>
      <c r="J5332" s="473"/>
      <c r="K5332" s="473"/>
      <c r="L5332" s="473"/>
      <c r="M5332" s="473"/>
    </row>
    <row r="5333" spans="5:13">
      <c r="E5333" s="473"/>
      <c r="F5333" s="473"/>
      <c r="G5333" s="473"/>
      <c r="H5333" s="473"/>
      <c r="I5333" s="473"/>
      <c r="J5333" s="473"/>
      <c r="K5333" s="473"/>
      <c r="L5333" s="473"/>
      <c r="M5333" s="473"/>
    </row>
    <row r="5334" spans="5:13">
      <c r="E5334" s="473"/>
      <c r="F5334" s="473"/>
      <c r="G5334" s="473"/>
      <c r="H5334" s="473"/>
      <c r="I5334" s="473"/>
      <c r="J5334" s="473"/>
      <c r="K5334" s="473"/>
      <c r="L5334" s="473"/>
      <c r="M5334" s="473"/>
    </row>
    <row r="5335" spans="5:13">
      <c r="E5335" s="473"/>
      <c r="F5335" s="473"/>
      <c r="G5335" s="473"/>
      <c r="H5335" s="473"/>
      <c r="I5335" s="473"/>
      <c r="J5335" s="473"/>
      <c r="K5335" s="473"/>
      <c r="L5335" s="473"/>
      <c r="M5335" s="473"/>
    </row>
    <row r="5336" spans="5:13">
      <c r="E5336" s="473"/>
      <c r="F5336" s="473"/>
      <c r="G5336" s="473"/>
      <c r="H5336" s="473"/>
      <c r="I5336" s="473"/>
      <c r="J5336" s="473"/>
      <c r="K5336" s="473"/>
      <c r="L5336" s="473"/>
      <c r="M5336" s="473"/>
    </row>
    <row r="5337" spans="5:13">
      <c r="E5337" s="473"/>
      <c r="F5337" s="473"/>
      <c r="G5337" s="473"/>
      <c r="H5337" s="473"/>
      <c r="I5337" s="473"/>
      <c r="J5337" s="473"/>
      <c r="K5337" s="473"/>
      <c r="L5337" s="473"/>
      <c r="M5337" s="473"/>
    </row>
    <row r="5338" spans="5:13">
      <c r="E5338" s="473"/>
      <c r="F5338" s="473"/>
      <c r="G5338" s="473"/>
      <c r="H5338" s="473"/>
      <c r="I5338" s="473"/>
      <c r="J5338" s="473"/>
      <c r="K5338" s="473"/>
      <c r="L5338" s="473"/>
      <c r="M5338" s="473"/>
    </row>
    <row r="5339" spans="5:13">
      <c r="E5339" s="473"/>
      <c r="F5339" s="473"/>
      <c r="G5339" s="473"/>
      <c r="H5339" s="473"/>
      <c r="I5339" s="473"/>
      <c r="J5339" s="473"/>
      <c r="K5339" s="473"/>
      <c r="L5339" s="473"/>
      <c r="M5339" s="473"/>
    </row>
    <row r="5340" spans="5:13">
      <c r="E5340" s="473"/>
      <c r="F5340" s="473"/>
      <c r="G5340" s="473"/>
      <c r="H5340" s="473"/>
      <c r="I5340" s="473"/>
      <c r="J5340" s="473"/>
      <c r="K5340" s="473"/>
      <c r="L5340" s="473"/>
      <c r="M5340" s="473"/>
    </row>
    <row r="5341" spans="5:13">
      <c r="E5341" s="473"/>
      <c r="F5341" s="473"/>
      <c r="G5341" s="473"/>
      <c r="H5341" s="473"/>
      <c r="I5341" s="473"/>
      <c r="J5341" s="473"/>
      <c r="K5341" s="473"/>
      <c r="L5341" s="473"/>
      <c r="M5341" s="473"/>
    </row>
    <row r="5342" spans="5:13">
      <c r="E5342" s="473"/>
      <c r="F5342" s="473"/>
      <c r="G5342" s="473"/>
      <c r="H5342" s="473"/>
      <c r="I5342" s="473"/>
      <c r="J5342" s="473"/>
      <c r="K5342" s="473"/>
      <c r="L5342" s="473"/>
      <c r="M5342" s="473"/>
    </row>
    <row r="5343" spans="5:13">
      <c r="E5343" s="473"/>
      <c r="F5343" s="473"/>
      <c r="G5343" s="473"/>
      <c r="H5343" s="473"/>
      <c r="I5343" s="473"/>
      <c r="J5343" s="473"/>
      <c r="K5343" s="473"/>
      <c r="L5343" s="473"/>
      <c r="M5343" s="473"/>
    </row>
    <row r="5344" spans="5:13">
      <c r="E5344" s="473"/>
      <c r="F5344" s="473"/>
      <c r="G5344" s="473"/>
      <c r="H5344" s="473"/>
      <c r="I5344" s="473"/>
      <c r="J5344" s="473"/>
      <c r="K5344" s="473"/>
      <c r="L5344" s="473"/>
      <c r="M5344" s="473"/>
    </row>
    <row r="5345" spans="5:13">
      <c r="E5345" s="473"/>
      <c r="F5345" s="473"/>
      <c r="G5345" s="473"/>
      <c r="H5345" s="473"/>
      <c r="I5345" s="473"/>
      <c r="J5345" s="473"/>
      <c r="K5345" s="473"/>
      <c r="L5345" s="473"/>
      <c r="M5345" s="473"/>
    </row>
    <row r="5346" spans="5:13">
      <c r="E5346" s="473"/>
      <c r="F5346" s="473"/>
      <c r="G5346" s="473"/>
      <c r="H5346" s="473"/>
      <c r="I5346" s="473"/>
      <c r="J5346" s="473"/>
      <c r="K5346" s="473"/>
      <c r="L5346" s="473"/>
      <c r="M5346" s="473"/>
    </row>
    <row r="5347" spans="5:13">
      <c r="E5347" s="473"/>
      <c r="F5347" s="473"/>
      <c r="G5347" s="473"/>
      <c r="H5347" s="473"/>
      <c r="I5347" s="473"/>
      <c r="J5347" s="473"/>
      <c r="K5347" s="473"/>
      <c r="L5347" s="473"/>
      <c r="M5347" s="473"/>
    </row>
    <row r="5348" spans="5:13">
      <c r="E5348" s="473"/>
      <c r="F5348" s="473"/>
      <c r="G5348" s="473"/>
      <c r="H5348" s="473"/>
      <c r="I5348" s="473"/>
      <c r="J5348" s="473"/>
      <c r="K5348" s="473"/>
      <c r="L5348" s="473"/>
      <c r="M5348" s="473"/>
    </row>
    <row r="5349" spans="5:13">
      <c r="E5349" s="473"/>
      <c r="F5349" s="473"/>
      <c r="G5349" s="473"/>
      <c r="H5349" s="473"/>
      <c r="I5349" s="473"/>
      <c r="J5349" s="473"/>
      <c r="K5349" s="473"/>
      <c r="L5349" s="473"/>
      <c r="M5349" s="473"/>
    </row>
    <row r="5350" spans="5:13">
      <c r="E5350" s="473"/>
      <c r="F5350" s="473"/>
      <c r="G5350" s="473"/>
      <c r="H5350" s="473"/>
      <c r="I5350" s="473"/>
      <c r="J5350" s="473"/>
      <c r="K5350" s="473"/>
      <c r="L5350" s="473"/>
      <c r="M5350" s="473"/>
    </row>
    <row r="5351" spans="5:13">
      <c r="E5351" s="473"/>
      <c r="F5351" s="473"/>
      <c r="G5351" s="473"/>
      <c r="H5351" s="473"/>
      <c r="I5351" s="473"/>
      <c r="J5351" s="473"/>
      <c r="K5351" s="473"/>
      <c r="L5351" s="473"/>
      <c r="M5351" s="473"/>
    </row>
    <row r="5352" spans="5:13">
      <c r="E5352" s="473"/>
      <c r="F5352" s="473"/>
      <c r="G5352" s="473"/>
      <c r="H5352" s="473"/>
      <c r="I5352" s="473"/>
      <c r="J5352" s="473"/>
      <c r="K5352" s="473"/>
      <c r="L5352" s="473"/>
      <c r="M5352" s="473"/>
    </row>
    <row r="5353" spans="5:13">
      <c r="E5353" s="473"/>
      <c r="F5353" s="473"/>
      <c r="G5353" s="473"/>
      <c r="H5353" s="473"/>
      <c r="I5353" s="473"/>
      <c r="J5353" s="473"/>
      <c r="K5353" s="473"/>
      <c r="L5353" s="473"/>
      <c r="M5353" s="473"/>
    </row>
    <row r="5354" spans="5:13">
      <c r="E5354" s="473"/>
      <c r="F5354" s="473"/>
      <c r="G5354" s="473"/>
      <c r="H5354" s="473"/>
      <c r="I5354" s="473"/>
      <c r="J5354" s="473"/>
      <c r="K5354" s="473"/>
      <c r="L5354" s="473"/>
      <c r="M5354" s="473"/>
    </row>
    <row r="5355" spans="5:13">
      <c r="E5355" s="473"/>
      <c r="F5355" s="473"/>
      <c r="G5355" s="473"/>
      <c r="H5355" s="473"/>
      <c r="I5355" s="473"/>
      <c r="J5355" s="473"/>
      <c r="K5355" s="473"/>
      <c r="L5355" s="473"/>
      <c r="M5355" s="473"/>
    </row>
    <row r="5356" spans="5:13">
      <c r="E5356" s="473"/>
      <c r="F5356" s="473"/>
      <c r="G5356" s="473"/>
      <c r="H5356" s="473"/>
      <c r="I5356" s="473"/>
      <c r="J5356" s="473"/>
      <c r="K5356" s="473"/>
      <c r="L5356" s="473"/>
      <c r="M5356" s="473"/>
    </row>
    <row r="5357" spans="5:13">
      <c r="E5357" s="473"/>
      <c r="F5357" s="473"/>
      <c r="G5357" s="473"/>
      <c r="H5357" s="473"/>
      <c r="I5357" s="473"/>
      <c r="J5357" s="473"/>
      <c r="K5357" s="473"/>
      <c r="L5357" s="473"/>
      <c r="M5357" s="473"/>
    </row>
    <row r="5358" spans="5:13">
      <c r="E5358" s="473"/>
      <c r="F5358" s="473"/>
      <c r="G5358" s="473"/>
      <c r="H5358" s="473"/>
      <c r="I5358" s="473"/>
      <c r="J5358" s="473"/>
      <c r="K5358" s="473"/>
      <c r="L5358" s="473"/>
      <c r="M5358" s="473"/>
    </row>
    <row r="5359" spans="5:13">
      <c r="E5359" s="473"/>
      <c r="F5359" s="473"/>
      <c r="G5359" s="473"/>
      <c r="H5359" s="473"/>
      <c r="I5359" s="473"/>
      <c r="J5359" s="473"/>
      <c r="K5359" s="473"/>
      <c r="L5359" s="473"/>
      <c r="M5359" s="473"/>
    </row>
    <row r="5360" spans="5:13">
      <c r="E5360" s="473"/>
      <c r="F5360" s="473"/>
      <c r="G5360" s="473"/>
      <c r="H5360" s="473"/>
      <c r="I5360" s="473"/>
      <c r="J5360" s="473"/>
      <c r="K5360" s="473"/>
      <c r="L5360" s="473"/>
      <c r="M5360" s="473"/>
    </row>
    <row r="5361" spans="5:13">
      <c r="E5361" s="473"/>
      <c r="F5361" s="473"/>
      <c r="G5361" s="473"/>
      <c r="H5361" s="473"/>
      <c r="I5361" s="473"/>
      <c r="J5361" s="473"/>
      <c r="K5361" s="473"/>
      <c r="L5361" s="473"/>
      <c r="M5361" s="473"/>
    </row>
    <row r="5362" spans="5:13">
      <c r="E5362" s="473"/>
      <c r="F5362" s="473"/>
      <c r="G5362" s="473"/>
      <c r="H5362" s="473"/>
      <c r="I5362" s="473"/>
      <c r="J5362" s="473"/>
      <c r="K5362" s="473"/>
      <c r="L5362" s="473"/>
      <c r="M5362" s="473"/>
    </row>
    <row r="5363" spans="5:13">
      <c r="E5363" s="473"/>
      <c r="F5363" s="473"/>
      <c r="G5363" s="473"/>
      <c r="H5363" s="473"/>
      <c r="I5363" s="473"/>
      <c r="J5363" s="473"/>
      <c r="K5363" s="473"/>
      <c r="L5363" s="473"/>
      <c r="M5363" s="473"/>
    </row>
    <row r="5364" spans="5:13">
      <c r="E5364" s="473"/>
      <c r="F5364" s="473"/>
      <c r="G5364" s="473"/>
      <c r="H5364" s="473"/>
      <c r="I5364" s="473"/>
      <c r="J5364" s="473"/>
      <c r="K5364" s="473"/>
      <c r="L5364" s="473"/>
      <c r="M5364" s="473"/>
    </row>
    <row r="5365" spans="5:13">
      <c r="E5365" s="473"/>
      <c r="F5365" s="473"/>
      <c r="G5365" s="473"/>
      <c r="H5365" s="473"/>
      <c r="I5365" s="473"/>
      <c r="J5365" s="473"/>
      <c r="K5365" s="473"/>
      <c r="L5365" s="473"/>
      <c r="M5365" s="473"/>
    </row>
    <row r="5366" spans="5:13">
      <c r="E5366" s="473"/>
      <c r="F5366" s="473"/>
      <c r="G5366" s="473"/>
      <c r="H5366" s="473"/>
      <c r="I5366" s="473"/>
      <c r="J5366" s="473"/>
      <c r="K5366" s="473"/>
      <c r="L5366" s="473"/>
      <c r="M5366" s="473"/>
    </row>
    <row r="5367" spans="5:13">
      <c r="E5367" s="473"/>
      <c r="F5367" s="473"/>
      <c r="G5367" s="473"/>
      <c r="H5367" s="473"/>
      <c r="I5367" s="473"/>
      <c r="J5367" s="473"/>
      <c r="K5367" s="473"/>
      <c r="L5367" s="473"/>
      <c r="M5367" s="473"/>
    </row>
    <row r="5368" spans="5:13">
      <c r="E5368" s="473"/>
      <c r="F5368" s="473"/>
      <c r="G5368" s="473"/>
      <c r="H5368" s="473"/>
      <c r="I5368" s="473"/>
      <c r="J5368" s="473"/>
      <c r="K5368" s="473"/>
      <c r="L5368" s="473"/>
      <c r="M5368" s="473"/>
    </row>
    <row r="5369" spans="5:13">
      <c r="E5369" s="473"/>
      <c r="F5369" s="473"/>
      <c r="G5369" s="473"/>
      <c r="H5369" s="473"/>
      <c r="I5369" s="473"/>
      <c r="J5369" s="473"/>
      <c r="K5369" s="473"/>
      <c r="L5369" s="473"/>
      <c r="M5369" s="473"/>
    </row>
    <row r="5370" spans="5:13">
      <c r="E5370" s="473"/>
      <c r="F5370" s="473"/>
      <c r="G5370" s="473"/>
      <c r="H5370" s="473"/>
      <c r="I5370" s="473"/>
      <c r="J5370" s="473"/>
      <c r="K5370" s="473"/>
      <c r="L5370" s="473"/>
      <c r="M5370" s="473"/>
    </row>
    <row r="5371" spans="5:13">
      <c r="E5371" s="473"/>
      <c r="F5371" s="473"/>
      <c r="G5371" s="473"/>
      <c r="H5371" s="473"/>
      <c r="I5371" s="473"/>
      <c r="J5371" s="473"/>
      <c r="K5371" s="473"/>
      <c r="L5371" s="473"/>
      <c r="M5371" s="473"/>
    </row>
    <row r="5372" spans="5:13">
      <c r="E5372" s="473"/>
      <c r="F5372" s="473"/>
      <c r="G5372" s="473"/>
      <c r="H5372" s="473"/>
      <c r="I5372" s="473"/>
      <c r="J5372" s="473"/>
      <c r="K5372" s="473"/>
      <c r="L5372" s="473"/>
      <c r="M5372" s="473"/>
    </row>
    <row r="5373" spans="5:13">
      <c r="E5373" s="473"/>
      <c r="F5373" s="473"/>
      <c r="G5373" s="473"/>
      <c r="H5373" s="473"/>
      <c r="I5373" s="473"/>
      <c r="J5373" s="473"/>
      <c r="K5373" s="473"/>
      <c r="L5373" s="473"/>
      <c r="M5373" s="473"/>
    </row>
    <row r="5374" spans="5:13">
      <c r="E5374" s="473"/>
      <c r="F5374" s="473"/>
      <c r="G5374" s="473"/>
      <c r="H5374" s="473"/>
      <c r="I5374" s="473"/>
      <c r="J5374" s="473"/>
      <c r="K5374" s="473"/>
      <c r="L5374" s="473"/>
      <c r="M5374" s="473"/>
    </row>
    <row r="5375" spans="5:13">
      <c r="E5375" s="473"/>
      <c r="F5375" s="473"/>
      <c r="G5375" s="473"/>
      <c r="H5375" s="473"/>
      <c r="I5375" s="473"/>
      <c r="J5375" s="473"/>
      <c r="K5375" s="473"/>
      <c r="L5375" s="473"/>
      <c r="M5375" s="473"/>
    </row>
    <row r="5376" spans="5:13">
      <c r="E5376" s="473"/>
      <c r="F5376" s="473"/>
      <c r="G5376" s="473"/>
      <c r="H5376" s="473"/>
      <c r="I5376" s="473"/>
      <c r="J5376" s="473"/>
      <c r="K5376" s="473"/>
      <c r="L5376" s="473"/>
      <c r="M5376" s="473"/>
    </row>
    <row r="5377" spans="5:13">
      <c r="E5377" s="473"/>
      <c r="F5377" s="473"/>
      <c r="G5377" s="473"/>
      <c r="H5377" s="473"/>
      <c r="I5377" s="473"/>
      <c r="J5377" s="473"/>
      <c r="K5377" s="473"/>
      <c r="L5377" s="473"/>
      <c r="M5377" s="473"/>
    </row>
    <row r="5378" spans="5:13">
      <c r="E5378" s="473"/>
      <c r="F5378" s="473"/>
      <c r="G5378" s="473"/>
      <c r="H5378" s="473"/>
      <c r="I5378" s="473"/>
      <c r="J5378" s="473"/>
      <c r="K5378" s="473"/>
      <c r="L5378" s="473"/>
      <c r="M5378" s="473"/>
    </row>
    <row r="5379" spans="5:13">
      <c r="E5379" s="473"/>
      <c r="F5379" s="473"/>
      <c r="G5379" s="473"/>
      <c r="H5379" s="473"/>
      <c r="I5379" s="473"/>
      <c r="J5379" s="473"/>
      <c r="K5379" s="473"/>
      <c r="L5379" s="473"/>
      <c r="M5379" s="473"/>
    </row>
    <row r="5380" spans="5:13">
      <c r="E5380" s="473"/>
      <c r="F5380" s="473"/>
      <c r="G5380" s="473"/>
      <c r="H5380" s="473"/>
      <c r="I5380" s="473"/>
      <c r="J5380" s="473"/>
      <c r="K5380" s="473"/>
      <c r="L5380" s="473"/>
      <c r="M5380" s="473"/>
    </row>
    <row r="5381" spans="5:13">
      <c r="E5381" s="473"/>
      <c r="F5381" s="473"/>
      <c r="G5381" s="473"/>
      <c r="H5381" s="473"/>
      <c r="I5381" s="473"/>
      <c r="J5381" s="473"/>
      <c r="K5381" s="473"/>
      <c r="L5381" s="473"/>
      <c r="M5381" s="473"/>
    </row>
    <row r="5382" spans="5:13">
      <c r="E5382" s="473"/>
      <c r="F5382" s="473"/>
      <c r="G5382" s="473"/>
      <c r="H5382" s="473"/>
      <c r="I5382" s="473"/>
      <c r="J5382" s="473"/>
      <c r="K5382" s="473"/>
      <c r="L5382" s="473"/>
      <c r="M5382" s="473"/>
    </row>
    <row r="5383" spans="5:13">
      <c r="E5383" s="473"/>
      <c r="F5383" s="473"/>
      <c r="G5383" s="473"/>
      <c r="H5383" s="473"/>
      <c r="I5383" s="473"/>
      <c r="J5383" s="473"/>
      <c r="K5383" s="473"/>
      <c r="L5383" s="473"/>
      <c r="M5383" s="473"/>
    </row>
    <row r="5384" spans="5:13">
      <c r="E5384" s="473"/>
      <c r="F5384" s="473"/>
      <c r="G5384" s="473"/>
      <c r="H5384" s="473"/>
      <c r="I5384" s="473"/>
      <c r="J5384" s="473"/>
      <c r="K5384" s="473"/>
      <c r="L5384" s="473"/>
      <c r="M5384" s="473"/>
    </row>
    <row r="5385" spans="5:13">
      <c r="E5385" s="473"/>
      <c r="F5385" s="473"/>
      <c r="G5385" s="473"/>
      <c r="H5385" s="473"/>
      <c r="I5385" s="473"/>
      <c r="J5385" s="473"/>
      <c r="K5385" s="473"/>
      <c r="L5385" s="473"/>
      <c r="M5385" s="473"/>
    </row>
    <row r="5386" spans="5:13">
      <c r="E5386" s="473"/>
      <c r="F5386" s="473"/>
      <c r="G5386" s="473"/>
      <c r="H5386" s="473"/>
      <c r="I5386" s="473"/>
      <c r="J5386" s="473"/>
      <c r="K5386" s="473"/>
      <c r="L5386" s="473"/>
      <c r="M5386" s="473"/>
    </row>
    <row r="5387" spans="5:13">
      <c r="E5387" s="473"/>
      <c r="F5387" s="473"/>
      <c r="G5387" s="473"/>
      <c r="H5387" s="473"/>
      <c r="I5387" s="473"/>
      <c r="J5387" s="473"/>
      <c r="K5387" s="473"/>
      <c r="L5387" s="473"/>
      <c r="M5387" s="473"/>
    </row>
    <row r="5388" spans="5:13">
      <c r="E5388" s="473"/>
      <c r="F5388" s="473"/>
      <c r="G5388" s="473"/>
      <c r="H5388" s="473"/>
      <c r="I5388" s="473"/>
      <c r="J5388" s="473"/>
      <c r="K5388" s="473"/>
      <c r="L5388" s="473"/>
      <c r="M5388" s="473"/>
    </row>
    <row r="5389" spans="5:13">
      <c r="E5389" s="473"/>
      <c r="F5389" s="473"/>
      <c r="G5389" s="473"/>
      <c r="H5389" s="473"/>
      <c r="I5389" s="473"/>
      <c r="J5389" s="473"/>
      <c r="K5389" s="473"/>
      <c r="L5389" s="473"/>
      <c r="M5389" s="473"/>
    </row>
    <row r="5390" spans="5:13">
      <c r="E5390" s="473"/>
      <c r="F5390" s="473"/>
      <c r="G5390" s="473"/>
      <c r="H5390" s="473"/>
      <c r="I5390" s="473"/>
      <c r="J5390" s="473"/>
      <c r="K5390" s="473"/>
      <c r="L5390" s="473"/>
      <c r="M5390" s="473"/>
    </row>
    <row r="5391" spans="5:13">
      <c r="E5391" s="473"/>
      <c r="F5391" s="473"/>
      <c r="G5391" s="473"/>
      <c r="H5391" s="473"/>
      <c r="I5391" s="473"/>
      <c r="J5391" s="473"/>
      <c r="K5391" s="473"/>
      <c r="L5391" s="473"/>
      <c r="M5391" s="473"/>
    </row>
    <row r="5392" spans="5:13">
      <c r="E5392" s="473"/>
      <c r="F5392" s="473"/>
      <c r="G5392" s="473"/>
      <c r="H5392" s="473"/>
      <c r="I5392" s="473"/>
      <c r="J5392" s="473"/>
      <c r="K5392" s="473"/>
      <c r="L5392" s="473"/>
      <c r="M5392" s="473"/>
    </row>
    <row r="5393" spans="5:13">
      <c r="E5393" s="473"/>
      <c r="F5393" s="473"/>
      <c r="G5393" s="473"/>
      <c r="H5393" s="473"/>
      <c r="I5393" s="473"/>
      <c r="J5393" s="473"/>
      <c r="K5393" s="473"/>
      <c r="L5393" s="473"/>
      <c r="M5393" s="473"/>
    </row>
    <row r="5394" spans="5:13">
      <c r="E5394" s="473"/>
      <c r="F5394" s="473"/>
      <c r="G5394" s="473"/>
      <c r="H5394" s="473"/>
      <c r="I5394" s="473"/>
      <c r="J5394" s="473"/>
      <c r="K5394" s="473"/>
      <c r="L5394" s="473"/>
      <c r="M5394" s="473"/>
    </row>
    <row r="5395" spans="5:13">
      <c r="E5395" s="473"/>
      <c r="F5395" s="473"/>
      <c r="G5395" s="473"/>
      <c r="H5395" s="473"/>
      <c r="I5395" s="473"/>
      <c r="J5395" s="473"/>
      <c r="K5395" s="473"/>
      <c r="L5395" s="473"/>
      <c r="M5395" s="473"/>
    </row>
    <row r="5396" spans="5:13">
      <c r="E5396" s="473"/>
      <c r="F5396" s="473"/>
      <c r="G5396" s="473"/>
      <c r="H5396" s="473"/>
      <c r="I5396" s="473"/>
      <c r="J5396" s="473"/>
      <c r="K5396" s="473"/>
      <c r="L5396" s="473"/>
      <c r="M5396" s="473"/>
    </row>
    <row r="5397" spans="5:13">
      <c r="E5397" s="473"/>
      <c r="F5397" s="473"/>
      <c r="G5397" s="473"/>
      <c r="H5397" s="473"/>
      <c r="I5397" s="473"/>
      <c r="J5397" s="473"/>
      <c r="K5397" s="473"/>
      <c r="L5397" s="473"/>
      <c r="M5397" s="473"/>
    </row>
    <row r="5398" spans="5:13">
      <c r="E5398" s="473"/>
      <c r="F5398" s="473"/>
      <c r="G5398" s="473"/>
      <c r="H5398" s="473"/>
      <c r="I5398" s="473"/>
      <c r="J5398" s="473"/>
      <c r="K5398" s="473"/>
      <c r="L5398" s="473"/>
      <c r="M5398" s="473"/>
    </row>
    <row r="5399" spans="5:13">
      <c r="E5399" s="473"/>
      <c r="F5399" s="473"/>
      <c r="G5399" s="473"/>
      <c r="H5399" s="473"/>
      <c r="I5399" s="473"/>
      <c r="J5399" s="473"/>
      <c r="K5399" s="473"/>
      <c r="L5399" s="473"/>
      <c r="M5399" s="473"/>
    </row>
    <row r="5400" spans="5:13">
      <c r="E5400" s="473"/>
      <c r="F5400" s="473"/>
      <c r="G5400" s="473"/>
      <c r="H5400" s="473"/>
      <c r="I5400" s="473"/>
      <c r="J5400" s="473"/>
      <c r="K5400" s="473"/>
      <c r="L5400" s="473"/>
      <c r="M5400" s="473"/>
    </row>
    <row r="5401" spans="5:13">
      <c r="E5401" s="473"/>
      <c r="F5401" s="473"/>
      <c r="G5401" s="473"/>
      <c r="H5401" s="473"/>
      <c r="I5401" s="473"/>
      <c r="J5401" s="473"/>
      <c r="K5401" s="473"/>
      <c r="L5401" s="473"/>
      <c r="M5401" s="473"/>
    </row>
    <row r="5402" spans="5:13">
      <c r="E5402" s="473"/>
      <c r="F5402" s="473"/>
      <c r="G5402" s="473"/>
      <c r="H5402" s="473"/>
      <c r="I5402" s="473"/>
      <c r="J5402" s="473"/>
      <c r="K5402" s="473"/>
      <c r="L5402" s="473"/>
      <c r="M5402" s="473"/>
    </row>
    <row r="5403" spans="5:13">
      <c r="E5403" s="473"/>
      <c r="F5403" s="473"/>
      <c r="G5403" s="473"/>
      <c r="H5403" s="473"/>
      <c r="I5403" s="473"/>
      <c r="J5403" s="473"/>
      <c r="K5403" s="473"/>
      <c r="L5403" s="473"/>
      <c r="M5403" s="473"/>
    </row>
    <row r="5404" spans="5:13">
      <c r="E5404" s="473"/>
      <c r="F5404" s="473"/>
      <c r="G5404" s="473"/>
      <c r="H5404" s="473"/>
      <c r="I5404" s="473"/>
      <c r="J5404" s="473"/>
      <c r="K5404" s="473"/>
      <c r="L5404" s="473"/>
      <c r="M5404" s="473"/>
    </row>
    <row r="5405" spans="5:13">
      <c r="E5405" s="473"/>
      <c r="F5405" s="473"/>
      <c r="G5405" s="473"/>
      <c r="H5405" s="473"/>
      <c r="I5405" s="473"/>
      <c r="J5405" s="473"/>
      <c r="K5405" s="473"/>
      <c r="L5405" s="473"/>
      <c r="M5405" s="473"/>
    </row>
    <row r="5406" spans="5:13">
      <c r="E5406" s="473"/>
      <c r="F5406" s="473"/>
      <c r="G5406" s="473"/>
      <c r="H5406" s="473"/>
      <c r="I5406" s="473"/>
      <c r="J5406" s="473"/>
      <c r="K5406" s="473"/>
      <c r="L5406" s="473"/>
      <c r="M5406" s="473"/>
    </row>
    <row r="5407" spans="5:13">
      <c r="E5407" s="473"/>
      <c r="F5407" s="473"/>
      <c r="G5407" s="473"/>
      <c r="H5407" s="473"/>
      <c r="I5407" s="473"/>
      <c r="J5407" s="473"/>
      <c r="K5407" s="473"/>
      <c r="L5407" s="473"/>
      <c r="M5407" s="473"/>
    </row>
    <row r="5408" spans="5:13">
      <c r="E5408" s="473"/>
      <c r="F5408" s="473"/>
      <c r="G5408" s="473"/>
      <c r="H5408" s="473"/>
      <c r="I5408" s="473"/>
      <c r="J5408" s="473"/>
      <c r="K5408" s="473"/>
      <c r="L5408" s="473"/>
      <c r="M5408" s="473"/>
    </row>
    <row r="5409" spans="5:13">
      <c r="E5409" s="473"/>
      <c r="F5409" s="473"/>
      <c r="G5409" s="473"/>
      <c r="H5409" s="473"/>
      <c r="I5409" s="473"/>
      <c r="J5409" s="473"/>
      <c r="K5409" s="473"/>
      <c r="L5409" s="473"/>
      <c r="M5409" s="473"/>
    </row>
    <row r="5410" spans="5:13">
      <c r="E5410" s="473"/>
      <c r="F5410" s="473"/>
      <c r="G5410" s="473"/>
      <c r="H5410" s="473"/>
      <c r="I5410" s="473"/>
      <c r="J5410" s="473"/>
      <c r="K5410" s="473"/>
      <c r="L5410" s="473"/>
      <c r="M5410" s="473"/>
    </row>
    <row r="5411" spans="5:13">
      <c r="E5411" s="473"/>
      <c r="F5411" s="473"/>
      <c r="G5411" s="473"/>
      <c r="H5411" s="473"/>
      <c r="I5411" s="473"/>
      <c r="J5411" s="473"/>
      <c r="K5411" s="473"/>
      <c r="L5411" s="473"/>
      <c r="M5411" s="473"/>
    </row>
    <row r="5412" spans="5:13">
      <c r="E5412" s="473"/>
      <c r="F5412" s="473"/>
      <c r="G5412" s="473"/>
      <c r="H5412" s="473"/>
      <c r="I5412" s="473"/>
      <c r="J5412" s="473"/>
      <c r="K5412" s="473"/>
      <c r="L5412" s="473"/>
      <c r="M5412" s="473"/>
    </row>
    <row r="5413" spans="5:13">
      <c r="E5413" s="473"/>
      <c r="F5413" s="473"/>
      <c r="G5413" s="473"/>
      <c r="H5413" s="473"/>
      <c r="I5413" s="473"/>
      <c r="J5413" s="473"/>
      <c r="K5413" s="473"/>
      <c r="L5413" s="473"/>
      <c r="M5413" s="473"/>
    </row>
    <row r="5414" spans="5:13">
      <c r="E5414" s="473"/>
      <c r="F5414" s="473"/>
      <c r="G5414" s="473"/>
      <c r="H5414" s="473"/>
      <c r="I5414" s="473"/>
      <c r="J5414" s="473"/>
      <c r="K5414" s="473"/>
      <c r="L5414" s="473"/>
      <c r="M5414" s="473"/>
    </row>
    <row r="5415" spans="5:13">
      <c r="E5415" s="473"/>
      <c r="F5415" s="473"/>
      <c r="G5415" s="473"/>
      <c r="H5415" s="473"/>
      <c r="I5415" s="473"/>
      <c r="J5415" s="473"/>
      <c r="K5415" s="473"/>
      <c r="L5415" s="473"/>
      <c r="M5415" s="473"/>
    </row>
    <row r="5416" spans="5:13">
      <c r="E5416" s="473"/>
      <c r="F5416" s="473"/>
      <c r="G5416" s="473"/>
      <c r="H5416" s="473"/>
      <c r="I5416" s="473"/>
      <c r="J5416" s="473"/>
      <c r="K5416" s="473"/>
      <c r="L5416" s="473"/>
      <c r="M5416" s="473"/>
    </row>
    <row r="5417" spans="5:13">
      <c r="E5417" s="473"/>
      <c r="F5417" s="473"/>
      <c r="G5417" s="473"/>
      <c r="H5417" s="473"/>
      <c r="I5417" s="473"/>
      <c r="J5417" s="473"/>
      <c r="K5417" s="473"/>
      <c r="L5417" s="473"/>
      <c r="M5417" s="473"/>
    </row>
    <row r="5418" spans="5:13">
      <c r="E5418" s="473"/>
      <c r="F5418" s="473"/>
      <c r="G5418" s="473"/>
      <c r="H5418" s="473"/>
      <c r="I5418" s="473"/>
      <c r="J5418" s="473"/>
      <c r="K5418" s="473"/>
      <c r="L5418" s="473"/>
      <c r="M5418" s="473"/>
    </row>
    <row r="5419" spans="5:13">
      <c r="E5419" s="473"/>
      <c r="F5419" s="473"/>
      <c r="G5419" s="473"/>
      <c r="H5419" s="473"/>
      <c r="I5419" s="473"/>
      <c r="J5419" s="473"/>
      <c r="K5419" s="473"/>
      <c r="L5419" s="473"/>
      <c r="M5419" s="473"/>
    </row>
    <row r="5420" spans="5:13">
      <c r="E5420" s="473"/>
      <c r="F5420" s="473"/>
      <c r="G5420" s="473"/>
      <c r="H5420" s="473"/>
      <c r="I5420" s="473"/>
      <c r="J5420" s="473"/>
      <c r="K5420" s="473"/>
      <c r="L5420" s="473"/>
      <c r="M5420" s="473"/>
    </row>
    <row r="5421" spans="5:13">
      <c r="E5421" s="473"/>
      <c r="F5421" s="473"/>
      <c r="G5421" s="473"/>
      <c r="H5421" s="473"/>
      <c r="I5421" s="473"/>
      <c r="J5421" s="473"/>
      <c r="K5421" s="473"/>
      <c r="L5421" s="473"/>
      <c r="M5421" s="473"/>
    </row>
    <row r="5422" spans="5:13">
      <c r="E5422" s="473"/>
      <c r="F5422" s="473"/>
      <c r="G5422" s="473"/>
      <c r="H5422" s="473"/>
      <c r="I5422" s="473"/>
      <c r="J5422" s="473"/>
      <c r="K5422" s="473"/>
      <c r="L5422" s="473"/>
      <c r="M5422" s="473"/>
    </row>
    <row r="5423" spans="5:13">
      <c r="E5423" s="473"/>
      <c r="F5423" s="473"/>
      <c r="G5423" s="473"/>
      <c r="H5423" s="473"/>
      <c r="I5423" s="473"/>
      <c r="J5423" s="473"/>
      <c r="K5423" s="473"/>
      <c r="L5423" s="473"/>
      <c r="M5423" s="473"/>
    </row>
    <row r="5424" spans="5:13">
      <c r="E5424" s="473"/>
      <c r="F5424" s="473"/>
      <c r="G5424" s="473"/>
      <c r="H5424" s="473"/>
      <c r="I5424" s="473"/>
      <c r="J5424" s="473"/>
      <c r="K5424" s="473"/>
      <c r="L5424" s="473"/>
      <c r="M5424" s="473"/>
    </row>
    <row r="5425" spans="5:13">
      <c r="E5425" s="473"/>
      <c r="F5425" s="473"/>
      <c r="G5425" s="473"/>
      <c r="H5425" s="473"/>
      <c r="I5425" s="473"/>
      <c r="J5425" s="473"/>
      <c r="K5425" s="473"/>
      <c r="L5425" s="473"/>
      <c r="M5425" s="473"/>
    </row>
    <row r="5426" spans="5:13">
      <c r="E5426" s="473"/>
      <c r="F5426" s="473"/>
      <c r="G5426" s="473"/>
      <c r="H5426" s="473"/>
      <c r="I5426" s="473"/>
      <c r="J5426" s="473"/>
      <c r="K5426" s="473"/>
      <c r="L5426" s="473"/>
      <c r="M5426" s="473"/>
    </row>
    <row r="5427" spans="5:13">
      <c r="E5427" s="473"/>
      <c r="F5427" s="473"/>
      <c r="G5427" s="473"/>
      <c r="H5427" s="473"/>
      <c r="I5427" s="473"/>
      <c r="J5427" s="473"/>
      <c r="K5427" s="473"/>
      <c r="L5427" s="473"/>
      <c r="M5427" s="473"/>
    </row>
    <row r="5428" spans="5:13">
      <c r="E5428" s="473"/>
      <c r="F5428" s="473"/>
      <c r="G5428" s="473"/>
      <c r="H5428" s="473"/>
      <c r="I5428" s="473"/>
      <c r="J5428" s="473"/>
      <c r="K5428" s="473"/>
      <c r="L5428" s="473"/>
      <c r="M5428" s="473"/>
    </row>
    <row r="5429" spans="5:13">
      <c r="E5429" s="473"/>
      <c r="F5429" s="473"/>
      <c r="G5429" s="473"/>
      <c r="H5429" s="473"/>
      <c r="I5429" s="473"/>
      <c r="J5429" s="473"/>
      <c r="K5429" s="473"/>
      <c r="L5429" s="473"/>
      <c r="M5429" s="473"/>
    </row>
    <row r="5430" spans="5:13">
      <c r="E5430" s="473"/>
      <c r="F5430" s="473"/>
      <c r="G5430" s="473"/>
      <c r="H5430" s="473"/>
      <c r="I5430" s="473"/>
      <c r="J5430" s="473"/>
      <c r="K5430" s="473"/>
      <c r="L5430" s="473"/>
      <c r="M5430" s="473"/>
    </row>
    <row r="5431" spans="5:13">
      <c r="E5431" s="473"/>
      <c r="F5431" s="473"/>
      <c r="G5431" s="473"/>
      <c r="H5431" s="473"/>
      <c r="I5431" s="473"/>
      <c r="J5431" s="473"/>
      <c r="K5431" s="473"/>
      <c r="L5431" s="473"/>
      <c r="M5431" s="473"/>
    </row>
    <row r="5432" spans="5:13">
      <c r="E5432" s="473"/>
      <c r="F5432" s="473"/>
      <c r="G5432" s="473"/>
      <c r="H5432" s="473"/>
      <c r="I5432" s="473"/>
      <c r="J5432" s="473"/>
      <c r="K5432" s="473"/>
      <c r="L5432" s="473"/>
      <c r="M5432" s="473"/>
    </row>
    <row r="5433" spans="5:13">
      <c r="E5433" s="473"/>
      <c r="F5433" s="473"/>
      <c r="G5433" s="473"/>
      <c r="H5433" s="473"/>
      <c r="I5433" s="473"/>
      <c r="J5433" s="473"/>
      <c r="K5433" s="473"/>
      <c r="L5433" s="473"/>
      <c r="M5433" s="473"/>
    </row>
    <row r="5434" spans="5:13">
      <c r="E5434" s="473"/>
      <c r="F5434" s="473"/>
      <c r="G5434" s="473"/>
      <c r="H5434" s="473"/>
      <c r="I5434" s="473"/>
      <c r="J5434" s="473"/>
      <c r="K5434" s="473"/>
      <c r="L5434" s="473"/>
      <c r="M5434" s="473"/>
    </row>
    <row r="5435" spans="5:13">
      <c r="E5435" s="473"/>
      <c r="F5435" s="473"/>
      <c r="G5435" s="473"/>
      <c r="H5435" s="473"/>
      <c r="I5435" s="473"/>
      <c r="J5435" s="473"/>
      <c r="K5435" s="473"/>
      <c r="L5435" s="473"/>
      <c r="M5435" s="473"/>
    </row>
    <row r="5436" spans="5:13">
      <c r="E5436" s="473"/>
      <c r="F5436" s="473"/>
      <c r="G5436" s="473"/>
      <c r="H5436" s="473"/>
      <c r="I5436" s="473"/>
      <c r="J5436" s="473"/>
      <c r="K5436" s="473"/>
      <c r="L5436" s="473"/>
      <c r="M5436" s="473"/>
    </row>
    <row r="5437" spans="5:13">
      <c r="E5437" s="473"/>
      <c r="F5437" s="473"/>
      <c r="G5437" s="473"/>
      <c r="H5437" s="473"/>
      <c r="I5437" s="473"/>
      <c r="J5437" s="473"/>
      <c r="K5437" s="473"/>
      <c r="L5437" s="473"/>
      <c r="M5437" s="473"/>
    </row>
    <row r="5438" spans="5:13">
      <c r="E5438" s="473"/>
      <c r="F5438" s="473"/>
      <c r="G5438" s="473"/>
      <c r="H5438" s="473"/>
      <c r="I5438" s="473"/>
      <c r="J5438" s="473"/>
      <c r="K5438" s="473"/>
      <c r="L5438" s="473"/>
      <c r="M5438" s="473"/>
    </row>
    <row r="5439" spans="5:13">
      <c r="E5439" s="473"/>
      <c r="F5439" s="473"/>
      <c r="G5439" s="473"/>
      <c r="H5439" s="473"/>
      <c r="I5439" s="473"/>
      <c r="J5439" s="473"/>
      <c r="K5439" s="473"/>
      <c r="L5439" s="473"/>
      <c r="M5439" s="473"/>
    </row>
    <row r="5440" spans="5:13">
      <c r="E5440" s="473"/>
      <c r="F5440" s="473"/>
      <c r="G5440" s="473"/>
      <c r="H5440" s="473"/>
      <c r="I5440" s="473"/>
      <c r="J5440" s="473"/>
      <c r="K5440" s="473"/>
      <c r="L5440" s="473"/>
      <c r="M5440" s="473"/>
    </row>
    <row r="5441" spans="5:13">
      <c r="E5441" s="473"/>
      <c r="F5441" s="473"/>
      <c r="G5441" s="473"/>
      <c r="H5441" s="473"/>
      <c r="I5441" s="473"/>
      <c r="J5441" s="473"/>
      <c r="K5441" s="473"/>
      <c r="L5441" s="473"/>
      <c r="M5441" s="473"/>
    </row>
    <row r="5442" spans="5:13">
      <c r="E5442" s="473"/>
      <c r="F5442" s="473"/>
      <c r="G5442" s="473"/>
      <c r="H5442" s="473"/>
      <c r="I5442" s="473"/>
      <c r="J5442" s="473"/>
      <c r="K5442" s="473"/>
      <c r="L5442" s="473"/>
      <c r="M5442" s="473"/>
    </row>
    <row r="5443" spans="5:13">
      <c r="E5443" s="473"/>
      <c r="F5443" s="473"/>
      <c r="G5443" s="473"/>
      <c r="H5443" s="473"/>
      <c r="I5443" s="473"/>
      <c r="J5443" s="473"/>
      <c r="K5443" s="473"/>
      <c r="L5443" s="473"/>
      <c r="M5443" s="473"/>
    </row>
    <row r="5444" spans="5:13">
      <c r="E5444" s="473"/>
      <c r="F5444" s="473"/>
      <c r="G5444" s="473"/>
      <c r="H5444" s="473"/>
      <c r="I5444" s="473"/>
      <c r="J5444" s="473"/>
      <c r="K5444" s="473"/>
      <c r="L5444" s="473"/>
      <c r="M5444" s="473"/>
    </row>
    <row r="5445" spans="5:13">
      <c r="E5445" s="473"/>
      <c r="F5445" s="473"/>
      <c r="G5445" s="473"/>
      <c r="H5445" s="473"/>
      <c r="I5445" s="473"/>
      <c r="J5445" s="473"/>
      <c r="K5445" s="473"/>
      <c r="L5445" s="473"/>
      <c r="M5445" s="473"/>
    </row>
    <row r="5446" spans="5:13">
      <c r="E5446" s="473"/>
      <c r="F5446" s="473"/>
      <c r="G5446" s="473"/>
      <c r="H5446" s="473"/>
      <c r="I5446" s="473"/>
      <c r="J5446" s="473"/>
      <c r="K5446" s="473"/>
      <c r="L5446" s="473"/>
      <c r="M5446" s="473"/>
    </row>
    <row r="5447" spans="5:13">
      <c r="E5447" s="473"/>
      <c r="F5447" s="473"/>
      <c r="G5447" s="473"/>
      <c r="H5447" s="473"/>
      <c r="I5447" s="473"/>
      <c r="J5447" s="473"/>
      <c r="K5447" s="473"/>
      <c r="L5447" s="473"/>
      <c r="M5447" s="473"/>
    </row>
    <row r="5448" spans="5:13">
      <c r="E5448" s="473"/>
      <c r="F5448" s="473"/>
      <c r="G5448" s="473"/>
      <c r="H5448" s="473"/>
      <c r="I5448" s="473"/>
      <c r="J5448" s="473"/>
      <c r="K5448" s="473"/>
      <c r="L5448" s="473"/>
      <c r="M5448" s="473"/>
    </row>
    <row r="5449" spans="5:13">
      <c r="E5449" s="473"/>
      <c r="F5449" s="473"/>
      <c r="G5449" s="473"/>
      <c r="H5449" s="473"/>
      <c r="I5449" s="473"/>
      <c r="J5449" s="473"/>
      <c r="K5449" s="473"/>
      <c r="L5449" s="473"/>
      <c r="M5449" s="473"/>
    </row>
    <row r="5450" spans="5:13">
      <c r="E5450" s="473"/>
      <c r="F5450" s="473"/>
      <c r="G5450" s="473"/>
      <c r="H5450" s="473"/>
      <c r="I5450" s="473"/>
      <c r="J5450" s="473"/>
      <c r="K5450" s="473"/>
      <c r="L5450" s="473"/>
      <c r="M5450" s="473"/>
    </row>
    <row r="5451" spans="5:13">
      <c r="E5451" s="473"/>
      <c r="F5451" s="473"/>
      <c r="G5451" s="473"/>
      <c r="H5451" s="473"/>
      <c r="I5451" s="473"/>
      <c r="J5451" s="473"/>
      <c r="K5451" s="473"/>
      <c r="L5451" s="473"/>
      <c r="M5451" s="473"/>
    </row>
    <row r="5452" spans="5:13">
      <c r="E5452" s="473"/>
      <c r="F5452" s="473"/>
      <c r="G5452" s="473"/>
      <c r="H5452" s="473"/>
      <c r="I5452" s="473"/>
      <c r="J5452" s="473"/>
      <c r="K5452" s="473"/>
      <c r="L5452" s="473"/>
      <c r="M5452" s="473"/>
    </row>
    <row r="5453" spans="5:13">
      <c r="E5453" s="473"/>
      <c r="F5453" s="473"/>
      <c r="G5453" s="473"/>
      <c r="H5453" s="473"/>
      <c r="I5453" s="473"/>
      <c r="J5453" s="473"/>
      <c r="K5453" s="473"/>
      <c r="L5453" s="473"/>
      <c r="M5453" s="473"/>
    </row>
    <row r="5454" spans="5:13">
      <c r="E5454" s="473"/>
      <c r="F5454" s="473"/>
      <c r="G5454" s="473"/>
      <c r="H5454" s="473"/>
      <c r="I5454" s="473"/>
      <c r="J5454" s="473"/>
      <c r="K5454" s="473"/>
      <c r="L5454" s="473"/>
      <c r="M5454" s="473"/>
    </row>
    <row r="5455" spans="5:13">
      <c r="E5455" s="473"/>
      <c r="F5455" s="473"/>
      <c r="G5455" s="473"/>
      <c r="H5455" s="473"/>
      <c r="I5455" s="473"/>
      <c r="J5455" s="473"/>
      <c r="K5455" s="473"/>
      <c r="L5455" s="473"/>
      <c r="M5455" s="473"/>
    </row>
    <row r="5456" spans="5:13">
      <c r="E5456" s="473"/>
      <c r="F5456" s="473"/>
      <c r="G5456" s="473"/>
      <c r="H5456" s="473"/>
      <c r="I5456" s="473"/>
      <c r="J5456" s="473"/>
      <c r="K5456" s="473"/>
      <c r="L5456" s="473"/>
      <c r="M5456" s="473"/>
    </row>
    <row r="5457" spans="5:13">
      <c r="E5457" s="473"/>
      <c r="F5457" s="473"/>
      <c r="G5457" s="473"/>
      <c r="H5457" s="473"/>
      <c r="I5457" s="473"/>
      <c r="J5457" s="473"/>
      <c r="K5457" s="473"/>
      <c r="L5457" s="473"/>
      <c r="M5457" s="473"/>
    </row>
    <row r="5458" spans="5:13">
      <c r="E5458" s="473"/>
      <c r="F5458" s="473"/>
      <c r="G5458" s="473"/>
      <c r="H5458" s="473"/>
      <c r="I5458" s="473"/>
      <c r="J5458" s="473"/>
      <c r="K5458" s="473"/>
      <c r="L5458" s="473"/>
      <c r="M5458" s="473"/>
    </row>
    <row r="5459" spans="5:13">
      <c r="E5459" s="473"/>
      <c r="F5459" s="473"/>
      <c r="G5459" s="473"/>
      <c r="H5459" s="473"/>
      <c r="I5459" s="473"/>
      <c r="J5459" s="473"/>
      <c r="K5459" s="473"/>
      <c r="L5459" s="473"/>
      <c r="M5459" s="473"/>
    </row>
    <row r="5460" spans="5:13">
      <c r="E5460" s="473"/>
      <c r="F5460" s="473"/>
      <c r="G5460" s="473"/>
      <c r="H5460" s="473"/>
      <c r="I5460" s="473"/>
      <c r="J5460" s="473"/>
      <c r="K5460" s="473"/>
      <c r="L5460" s="473"/>
      <c r="M5460" s="473"/>
    </row>
    <row r="5461" spans="5:13">
      <c r="E5461" s="473"/>
      <c r="F5461" s="473"/>
      <c r="G5461" s="473"/>
      <c r="H5461" s="473"/>
      <c r="I5461" s="473"/>
      <c r="J5461" s="473"/>
      <c r="K5461" s="473"/>
      <c r="L5461" s="473"/>
      <c r="M5461" s="473"/>
    </row>
    <row r="5462" spans="5:13">
      <c r="E5462" s="473"/>
      <c r="F5462" s="473"/>
      <c r="G5462" s="473"/>
      <c r="H5462" s="473"/>
      <c r="I5462" s="473"/>
      <c r="J5462" s="473"/>
      <c r="K5462" s="473"/>
      <c r="L5462" s="473"/>
      <c r="M5462" s="473"/>
    </row>
    <row r="5463" spans="5:13">
      <c r="E5463" s="473"/>
      <c r="F5463" s="473"/>
      <c r="G5463" s="473"/>
      <c r="H5463" s="473"/>
      <c r="I5463" s="473"/>
      <c r="J5463" s="473"/>
      <c r="K5463" s="473"/>
      <c r="L5463" s="473"/>
      <c r="M5463" s="473"/>
    </row>
    <row r="5464" spans="5:13">
      <c r="E5464" s="473"/>
      <c r="F5464" s="473"/>
      <c r="G5464" s="473"/>
      <c r="H5464" s="473"/>
      <c r="I5464" s="473"/>
      <c r="J5464" s="473"/>
      <c r="K5464" s="473"/>
      <c r="L5464" s="473"/>
      <c r="M5464" s="473"/>
    </row>
    <row r="5465" spans="5:13">
      <c r="E5465" s="473"/>
      <c r="F5465" s="473"/>
      <c r="G5465" s="473"/>
      <c r="H5465" s="473"/>
      <c r="I5465" s="473"/>
      <c r="J5465" s="473"/>
      <c r="K5465" s="473"/>
      <c r="L5465" s="473"/>
      <c r="M5465" s="473"/>
    </row>
    <row r="5466" spans="5:13">
      <c r="E5466" s="473"/>
      <c r="F5466" s="473"/>
      <c r="G5466" s="473"/>
      <c r="H5466" s="473"/>
      <c r="I5466" s="473"/>
      <c r="J5466" s="473"/>
      <c r="K5466" s="473"/>
      <c r="L5466" s="473"/>
      <c r="M5466" s="473"/>
    </row>
    <row r="5467" spans="5:13">
      <c r="E5467" s="473"/>
      <c r="F5467" s="473"/>
      <c r="G5467" s="473"/>
      <c r="H5467" s="473"/>
      <c r="I5467" s="473"/>
      <c r="J5467" s="473"/>
      <c r="K5467" s="473"/>
      <c r="L5467" s="473"/>
      <c r="M5467" s="473"/>
    </row>
    <row r="5468" spans="5:13">
      <c r="E5468" s="473"/>
      <c r="F5468" s="473"/>
      <c r="G5468" s="473"/>
      <c r="H5468" s="473"/>
      <c r="I5468" s="473"/>
      <c r="J5468" s="473"/>
      <c r="K5468" s="473"/>
      <c r="L5468" s="473"/>
      <c r="M5468" s="473"/>
    </row>
    <row r="5469" spans="5:13">
      <c r="E5469" s="473"/>
      <c r="F5469" s="473"/>
      <c r="G5469" s="473"/>
      <c r="H5469" s="473"/>
      <c r="I5469" s="473"/>
      <c r="J5469" s="473"/>
      <c r="K5469" s="473"/>
      <c r="L5469" s="473"/>
      <c r="M5469" s="473"/>
    </row>
    <row r="5470" spans="5:13">
      <c r="E5470" s="473"/>
      <c r="F5470" s="473"/>
      <c r="G5470" s="473"/>
      <c r="H5470" s="473"/>
      <c r="I5470" s="473"/>
      <c r="J5470" s="473"/>
      <c r="K5470" s="473"/>
      <c r="L5470" s="473"/>
      <c r="M5470" s="473"/>
    </row>
    <row r="5471" spans="5:13">
      <c r="E5471" s="473"/>
      <c r="F5471" s="473"/>
      <c r="G5471" s="473"/>
      <c r="H5471" s="473"/>
      <c r="I5471" s="473"/>
      <c r="J5471" s="473"/>
      <c r="K5471" s="473"/>
      <c r="L5471" s="473"/>
      <c r="M5471" s="473"/>
    </row>
    <row r="5472" spans="5:13">
      <c r="E5472" s="473"/>
      <c r="F5472" s="473"/>
      <c r="G5472" s="473"/>
      <c r="H5472" s="473"/>
      <c r="I5472" s="473"/>
      <c r="J5472" s="473"/>
      <c r="K5472" s="473"/>
      <c r="L5472" s="473"/>
      <c r="M5472" s="473"/>
    </row>
    <row r="5473" spans="5:13">
      <c r="E5473" s="473"/>
      <c r="F5473" s="473"/>
      <c r="G5473" s="473"/>
      <c r="H5473" s="473"/>
      <c r="I5473" s="473"/>
      <c r="J5473" s="473"/>
      <c r="K5473" s="473"/>
      <c r="L5473" s="473"/>
      <c r="M5473" s="473"/>
    </row>
    <row r="5474" spans="5:13">
      <c r="E5474" s="473"/>
      <c r="F5474" s="473"/>
      <c r="G5474" s="473"/>
      <c r="H5474" s="473"/>
      <c r="I5474" s="473"/>
      <c r="J5474" s="473"/>
      <c r="K5474" s="473"/>
      <c r="L5474" s="473"/>
      <c r="M5474" s="473"/>
    </row>
    <row r="5475" spans="5:13">
      <c r="E5475" s="473"/>
      <c r="F5475" s="473"/>
      <c r="G5475" s="473"/>
      <c r="H5475" s="473"/>
      <c r="I5475" s="473"/>
      <c r="J5475" s="473"/>
      <c r="K5475" s="473"/>
      <c r="L5475" s="473"/>
      <c r="M5475" s="473"/>
    </row>
    <row r="5476" spans="5:13">
      <c r="E5476" s="473"/>
      <c r="F5476" s="473"/>
      <c r="G5476" s="473"/>
      <c r="H5476" s="473"/>
      <c r="I5476" s="473"/>
      <c r="J5476" s="473"/>
      <c r="K5476" s="473"/>
      <c r="L5476" s="473"/>
      <c r="M5476" s="473"/>
    </row>
    <row r="5477" spans="5:13">
      <c r="E5477" s="473"/>
      <c r="F5477" s="473"/>
      <c r="G5477" s="473"/>
      <c r="H5477" s="473"/>
      <c r="I5477" s="473"/>
      <c r="J5477" s="473"/>
      <c r="K5477" s="473"/>
      <c r="L5477" s="473"/>
      <c r="M5477" s="473"/>
    </row>
    <row r="5478" spans="5:13">
      <c r="E5478" s="473"/>
      <c r="F5478" s="473"/>
      <c r="G5478" s="473"/>
      <c r="H5478" s="473"/>
      <c r="I5478" s="473"/>
      <c r="J5478" s="473"/>
      <c r="K5478" s="473"/>
      <c r="L5478" s="473"/>
      <c r="M5478" s="473"/>
    </row>
    <row r="5479" spans="5:13">
      <c r="E5479" s="473"/>
      <c r="F5479" s="473"/>
      <c r="G5479" s="473"/>
      <c r="H5479" s="473"/>
      <c r="I5479" s="473"/>
      <c r="J5479" s="473"/>
      <c r="K5479" s="473"/>
      <c r="L5479" s="473"/>
      <c r="M5479" s="473"/>
    </row>
    <row r="5480" spans="5:13">
      <c r="E5480" s="473"/>
      <c r="F5480" s="473"/>
      <c r="G5480" s="473"/>
      <c r="H5480" s="473"/>
      <c r="I5480" s="473"/>
      <c r="J5480" s="473"/>
      <c r="K5480" s="473"/>
      <c r="L5480" s="473"/>
      <c r="M5480" s="473"/>
    </row>
    <row r="5481" spans="5:13">
      <c r="E5481" s="473"/>
      <c r="F5481" s="473"/>
      <c r="G5481" s="473"/>
      <c r="H5481" s="473"/>
      <c r="I5481" s="473"/>
      <c r="J5481" s="473"/>
      <c r="K5481" s="473"/>
      <c r="L5481" s="473"/>
      <c r="M5481" s="473"/>
    </row>
    <row r="5482" spans="5:13">
      <c r="E5482" s="473"/>
      <c r="F5482" s="473"/>
      <c r="G5482" s="473"/>
      <c r="H5482" s="473"/>
      <c r="I5482" s="473"/>
      <c r="J5482" s="473"/>
      <c r="K5482" s="473"/>
      <c r="L5482" s="473"/>
      <c r="M5482" s="473"/>
    </row>
    <row r="5483" spans="5:13">
      <c r="E5483" s="473"/>
      <c r="F5483" s="473"/>
      <c r="G5483" s="473"/>
      <c r="H5483" s="473"/>
      <c r="I5483" s="473"/>
      <c r="J5483" s="473"/>
      <c r="K5483" s="473"/>
      <c r="L5483" s="473"/>
      <c r="M5483" s="473"/>
    </row>
    <row r="5484" spans="5:13">
      <c r="E5484" s="473"/>
      <c r="F5484" s="473"/>
      <c r="G5484" s="473"/>
      <c r="H5484" s="473"/>
      <c r="I5484" s="473"/>
      <c r="J5484" s="473"/>
      <c r="K5484" s="473"/>
      <c r="L5484" s="473"/>
      <c r="M5484" s="473"/>
    </row>
    <row r="5485" spans="5:13">
      <c r="E5485" s="473"/>
      <c r="F5485" s="473"/>
      <c r="G5485" s="473"/>
      <c r="H5485" s="473"/>
      <c r="I5485" s="473"/>
      <c r="J5485" s="473"/>
      <c r="K5485" s="473"/>
      <c r="L5485" s="473"/>
      <c r="M5485" s="473"/>
    </row>
    <row r="5486" spans="5:13">
      <c r="E5486" s="473"/>
      <c r="F5486" s="473"/>
      <c r="G5486" s="473"/>
      <c r="H5486" s="473"/>
      <c r="I5486" s="473"/>
      <c r="J5486" s="473"/>
      <c r="K5486" s="473"/>
      <c r="L5486" s="473"/>
      <c r="M5486" s="473"/>
    </row>
    <row r="5487" spans="5:13">
      <c r="E5487" s="473"/>
      <c r="F5487" s="473"/>
      <c r="G5487" s="473"/>
      <c r="H5487" s="473"/>
      <c r="I5487" s="473"/>
      <c r="J5487" s="473"/>
      <c r="K5487" s="473"/>
      <c r="L5487" s="473"/>
      <c r="M5487" s="473"/>
    </row>
    <row r="5488" spans="5:13">
      <c r="E5488" s="473"/>
      <c r="F5488" s="473"/>
      <c r="G5488" s="473"/>
      <c r="H5488" s="473"/>
      <c r="I5488" s="473"/>
      <c r="J5488" s="473"/>
      <c r="K5488" s="473"/>
      <c r="L5488" s="473"/>
      <c r="M5488" s="473"/>
    </row>
    <row r="5489" spans="5:13">
      <c r="E5489" s="473"/>
      <c r="F5489" s="473"/>
      <c r="G5489" s="473"/>
      <c r="H5489" s="473"/>
      <c r="I5489" s="473"/>
      <c r="J5489" s="473"/>
      <c r="K5489" s="473"/>
      <c r="L5489" s="473"/>
      <c r="M5489" s="473"/>
    </row>
    <row r="5490" spans="5:13">
      <c r="E5490" s="473"/>
      <c r="F5490" s="473"/>
      <c r="G5490" s="473"/>
      <c r="H5490" s="473"/>
      <c r="I5490" s="473"/>
      <c r="J5490" s="473"/>
      <c r="K5490" s="473"/>
      <c r="L5490" s="473"/>
      <c r="M5490" s="473"/>
    </row>
    <row r="5491" spans="5:13">
      <c r="E5491" s="473"/>
      <c r="F5491" s="473"/>
      <c r="G5491" s="473"/>
      <c r="H5491" s="473"/>
      <c r="I5491" s="473"/>
      <c r="J5491" s="473"/>
      <c r="K5491" s="473"/>
      <c r="L5491" s="473"/>
      <c r="M5491" s="473"/>
    </row>
    <row r="5492" spans="5:13">
      <c r="E5492" s="473"/>
      <c r="F5492" s="473"/>
      <c r="G5492" s="473"/>
      <c r="H5492" s="473"/>
      <c r="I5492" s="473"/>
      <c r="J5492" s="473"/>
      <c r="K5492" s="473"/>
      <c r="L5492" s="473"/>
      <c r="M5492" s="473"/>
    </row>
    <row r="5493" spans="5:13">
      <c r="E5493" s="473"/>
      <c r="F5493" s="473"/>
      <c r="G5493" s="473"/>
      <c r="H5493" s="473"/>
      <c r="I5493" s="473"/>
      <c r="J5493" s="473"/>
      <c r="K5493" s="473"/>
      <c r="L5493" s="473"/>
      <c r="M5493" s="473"/>
    </row>
    <row r="5494" spans="5:13">
      <c r="E5494" s="473"/>
      <c r="F5494" s="473"/>
      <c r="G5494" s="473"/>
      <c r="H5494" s="473"/>
      <c r="I5494" s="473"/>
      <c r="J5494" s="473"/>
      <c r="K5494" s="473"/>
      <c r="L5494" s="473"/>
      <c r="M5494" s="473"/>
    </row>
    <row r="5495" spans="5:13">
      <c r="E5495" s="473"/>
      <c r="F5495" s="473"/>
      <c r="G5495" s="473"/>
      <c r="H5495" s="473"/>
      <c r="I5495" s="473"/>
      <c r="J5495" s="473"/>
      <c r="K5495" s="473"/>
      <c r="L5495" s="473"/>
      <c r="M5495" s="473"/>
    </row>
    <row r="5496" spans="5:13">
      <c r="E5496" s="473"/>
      <c r="F5496" s="473"/>
      <c r="G5496" s="473"/>
      <c r="H5496" s="473"/>
      <c r="I5496" s="473"/>
      <c r="J5496" s="473"/>
      <c r="K5496" s="473"/>
      <c r="L5496" s="473"/>
      <c r="M5496" s="473"/>
    </row>
    <row r="5497" spans="5:13">
      <c r="E5497" s="473"/>
      <c r="F5497" s="473"/>
      <c r="G5497" s="473"/>
      <c r="H5497" s="473"/>
      <c r="I5497" s="473"/>
      <c r="J5497" s="473"/>
      <c r="K5497" s="473"/>
      <c r="L5497" s="473"/>
      <c r="M5497" s="473"/>
    </row>
    <row r="5498" spans="5:13">
      <c r="E5498" s="473"/>
      <c r="F5498" s="473"/>
      <c r="G5498" s="473"/>
      <c r="H5498" s="473"/>
      <c r="I5498" s="473"/>
      <c r="J5498" s="473"/>
      <c r="K5498" s="473"/>
      <c r="L5498" s="473"/>
      <c r="M5498" s="473"/>
    </row>
    <row r="5499" spans="5:13">
      <c r="E5499" s="473"/>
      <c r="F5499" s="473"/>
      <c r="G5499" s="473"/>
      <c r="H5499" s="473"/>
      <c r="I5499" s="473"/>
      <c r="J5499" s="473"/>
      <c r="K5499" s="473"/>
      <c r="L5499" s="473"/>
      <c r="M5499" s="473"/>
    </row>
    <row r="5500" spans="5:13">
      <c r="E5500" s="473"/>
      <c r="F5500" s="473"/>
      <c r="G5500" s="473"/>
      <c r="H5500" s="473"/>
      <c r="I5500" s="473"/>
      <c r="J5500" s="473"/>
      <c r="K5500" s="473"/>
      <c r="L5500" s="473"/>
      <c r="M5500" s="473"/>
    </row>
    <row r="5501" spans="5:13">
      <c r="E5501" s="473"/>
      <c r="F5501" s="473"/>
      <c r="G5501" s="473"/>
      <c r="H5501" s="473"/>
      <c r="I5501" s="473"/>
      <c r="J5501" s="473"/>
      <c r="K5501" s="473"/>
      <c r="L5501" s="473"/>
      <c r="M5501" s="473"/>
    </row>
    <row r="5502" spans="5:13">
      <c r="E5502" s="473"/>
      <c r="F5502" s="473"/>
      <c r="G5502" s="473"/>
      <c r="H5502" s="473"/>
      <c r="I5502" s="473"/>
      <c r="J5502" s="473"/>
      <c r="K5502" s="473"/>
      <c r="L5502" s="473"/>
      <c r="M5502" s="473"/>
    </row>
    <row r="5503" spans="5:13">
      <c r="E5503" s="473"/>
      <c r="F5503" s="473"/>
      <c r="G5503" s="473"/>
      <c r="H5503" s="473"/>
      <c r="I5503" s="473"/>
      <c r="J5503" s="473"/>
      <c r="K5503" s="473"/>
      <c r="L5503" s="473"/>
      <c r="M5503" s="473"/>
    </row>
    <row r="5504" spans="5:13">
      <c r="E5504" s="473"/>
      <c r="F5504" s="473"/>
      <c r="G5504" s="473"/>
      <c r="H5504" s="473"/>
      <c r="I5504" s="473"/>
      <c r="J5504" s="473"/>
      <c r="K5504" s="473"/>
      <c r="L5504" s="473"/>
      <c r="M5504" s="473"/>
    </row>
    <row r="5505" spans="5:13">
      <c r="E5505" s="473"/>
      <c r="F5505" s="473"/>
      <c r="G5505" s="473"/>
      <c r="H5505" s="473"/>
      <c r="I5505" s="473"/>
      <c r="J5505" s="473"/>
      <c r="K5505" s="473"/>
      <c r="L5505" s="473"/>
      <c r="M5505" s="473"/>
    </row>
    <row r="5506" spans="5:13">
      <c r="E5506" s="473"/>
      <c r="F5506" s="473"/>
      <c r="G5506" s="473"/>
      <c r="H5506" s="473"/>
      <c r="I5506" s="473"/>
      <c r="J5506" s="473"/>
      <c r="K5506" s="473"/>
      <c r="L5506" s="473"/>
      <c r="M5506" s="473"/>
    </row>
    <row r="5507" spans="5:13">
      <c r="E5507" s="473"/>
      <c r="F5507" s="473"/>
      <c r="G5507" s="473"/>
      <c r="H5507" s="473"/>
      <c r="I5507" s="473"/>
      <c r="J5507" s="473"/>
      <c r="K5507" s="473"/>
      <c r="L5507" s="473"/>
      <c r="M5507" s="473"/>
    </row>
    <row r="5508" spans="5:13">
      <c r="E5508" s="473"/>
      <c r="F5508" s="473"/>
      <c r="G5508" s="473"/>
      <c r="H5508" s="473"/>
      <c r="I5508" s="473"/>
      <c r="J5508" s="473"/>
      <c r="K5508" s="473"/>
      <c r="L5508" s="473"/>
      <c r="M5508" s="473"/>
    </row>
    <row r="5509" spans="5:13">
      <c r="E5509" s="473"/>
      <c r="F5509" s="473"/>
      <c r="G5509" s="473"/>
      <c r="H5509" s="473"/>
      <c r="I5509" s="473"/>
      <c r="J5509" s="473"/>
      <c r="K5509" s="473"/>
      <c r="L5509" s="473"/>
      <c r="M5509" s="473"/>
    </row>
    <row r="5510" spans="5:13">
      <c r="E5510" s="473"/>
      <c r="F5510" s="473"/>
      <c r="G5510" s="473"/>
      <c r="H5510" s="473"/>
      <c r="I5510" s="473"/>
      <c r="J5510" s="473"/>
      <c r="K5510" s="473"/>
      <c r="L5510" s="473"/>
      <c r="M5510" s="473"/>
    </row>
    <row r="5511" spans="5:13">
      <c r="E5511" s="473"/>
      <c r="F5511" s="473"/>
      <c r="G5511" s="473"/>
      <c r="H5511" s="473"/>
      <c r="I5511" s="473"/>
      <c r="J5511" s="473"/>
      <c r="K5511" s="473"/>
      <c r="L5511" s="473"/>
      <c r="M5511" s="473"/>
    </row>
    <row r="5512" spans="5:13">
      <c r="E5512" s="473"/>
      <c r="F5512" s="473"/>
      <c r="G5512" s="473"/>
      <c r="H5512" s="473"/>
      <c r="I5512" s="473"/>
      <c r="J5512" s="473"/>
      <c r="K5512" s="473"/>
      <c r="L5512" s="473"/>
      <c r="M5512" s="473"/>
    </row>
    <row r="5513" spans="5:13">
      <c r="E5513" s="473"/>
      <c r="F5513" s="473"/>
      <c r="G5513" s="473"/>
      <c r="H5513" s="473"/>
      <c r="I5513" s="473"/>
      <c r="J5513" s="473"/>
      <c r="K5513" s="473"/>
      <c r="L5513" s="473"/>
      <c r="M5513" s="473"/>
    </row>
    <row r="5514" spans="5:13">
      <c r="E5514" s="473"/>
      <c r="F5514" s="473"/>
      <c r="G5514" s="473"/>
      <c r="H5514" s="473"/>
      <c r="I5514" s="473"/>
      <c r="J5514" s="473"/>
      <c r="K5514" s="473"/>
      <c r="L5514" s="473"/>
      <c r="M5514" s="473"/>
    </row>
    <row r="5515" spans="5:13">
      <c r="E5515" s="473"/>
      <c r="F5515" s="473"/>
      <c r="G5515" s="473"/>
      <c r="H5515" s="473"/>
      <c r="I5515" s="473"/>
      <c r="J5515" s="473"/>
      <c r="K5515" s="473"/>
      <c r="L5515" s="473"/>
      <c r="M5515" s="473"/>
    </row>
    <row r="5516" spans="5:13">
      <c r="E5516" s="473"/>
      <c r="F5516" s="473"/>
      <c r="G5516" s="473"/>
      <c r="H5516" s="473"/>
      <c r="I5516" s="473"/>
      <c r="J5516" s="473"/>
      <c r="K5516" s="473"/>
      <c r="L5516" s="473"/>
      <c r="M5516" s="473"/>
    </row>
    <row r="5517" spans="5:13">
      <c r="E5517" s="473"/>
      <c r="F5517" s="473"/>
      <c r="G5517" s="473"/>
      <c r="H5517" s="473"/>
      <c r="I5517" s="473"/>
      <c r="J5517" s="473"/>
      <c r="K5517" s="473"/>
      <c r="L5517" s="473"/>
      <c r="M5517" s="473"/>
    </row>
    <row r="5518" spans="5:13">
      <c r="E5518" s="473"/>
      <c r="F5518" s="473"/>
      <c r="G5518" s="473"/>
      <c r="H5518" s="473"/>
      <c r="I5518" s="473"/>
      <c r="J5518" s="473"/>
      <c r="K5518" s="473"/>
      <c r="L5518" s="473"/>
      <c r="M5518" s="473"/>
    </row>
    <row r="5519" spans="5:13">
      <c r="E5519" s="473"/>
      <c r="F5519" s="473"/>
      <c r="G5519" s="473"/>
      <c r="H5519" s="473"/>
      <c r="I5519" s="473"/>
      <c r="J5519" s="473"/>
      <c r="K5519" s="473"/>
      <c r="L5519" s="473"/>
      <c r="M5519" s="473"/>
    </row>
    <row r="5520" spans="5:13">
      <c r="E5520" s="473"/>
      <c r="F5520" s="473"/>
      <c r="G5520" s="473"/>
      <c r="H5520" s="473"/>
      <c r="I5520" s="473"/>
      <c r="J5520" s="473"/>
      <c r="K5520" s="473"/>
      <c r="L5520" s="473"/>
      <c r="M5520" s="473"/>
    </row>
    <row r="5521" spans="5:13">
      <c r="E5521" s="473"/>
      <c r="F5521" s="473"/>
      <c r="G5521" s="473"/>
      <c r="H5521" s="473"/>
      <c r="I5521" s="473"/>
      <c r="J5521" s="473"/>
      <c r="K5521" s="473"/>
      <c r="L5521" s="473"/>
      <c r="M5521" s="473"/>
    </row>
    <row r="5522" spans="5:13">
      <c r="E5522" s="473"/>
      <c r="F5522" s="473"/>
      <c r="G5522" s="473"/>
      <c r="H5522" s="473"/>
      <c r="I5522" s="473"/>
      <c r="J5522" s="473"/>
      <c r="K5522" s="473"/>
      <c r="L5522" s="473"/>
      <c r="M5522" s="473"/>
    </row>
    <row r="5523" spans="5:13">
      <c r="E5523" s="473"/>
      <c r="F5523" s="473"/>
      <c r="G5523" s="473"/>
      <c r="H5523" s="473"/>
      <c r="I5523" s="473"/>
      <c r="J5523" s="473"/>
      <c r="K5523" s="473"/>
      <c r="L5523" s="473"/>
      <c r="M5523" s="473"/>
    </row>
    <row r="5524" spans="5:13">
      <c r="E5524" s="473"/>
      <c r="F5524" s="473"/>
      <c r="G5524" s="473"/>
      <c r="H5524" s="473"/>
      <c r="I5524" s="473"/>
      <c r="J5524" s="473"/>
      <c r="K5524" s="473"/>
      <c r="L5524" s="473"/>
      <c r="M5524" s="473"/>
    </row>
    <row r="5525" spans="5:13">
      <c r="E5525" s="473"/>
      <c r="F5525" s="473"/>
      <c r="G5525" s="473"/>
      <c r="H5525" s="473"/>
      <c r="I5525" s="473"/>
      <c r="J5525" s="473"/>
      <c r="K5525" s="473"/>
      <c r="L5525" s="473"/>
      <c r="M5525" s="473"/>
    </row>
    <row r="5526" spans="5:13">
      <c r="E5526" s="473"/>
      <c r="F5526" s="473"/>
      <c r="G5526" s="473"/>
      <c r="H5526" s="473"/>
      <c r="I5526" s="473"/>
      <c r="J5526" s="473"/>
      <c r="K5526" s="473"/>
      <c r="L5526" s="473"/>
      <c r="M5526" s="473"/>
    </row>
    <row r="5527" spans="5:13">
      <c r="E5527" s="473"/>
      <c r="F5527" s="473"/>
      <c r="G5527" s="473"/>
      <c r="H5527" s="473"/>
      <c r="I5527" s="473"/>
      <c r="J5527" s="473"/>
      <c r="K5527" s="473"/>
      <c r="L5527" s="473"/>
      <c r="M5527" s="473"/>
    </row>
    <row r="5528" spans="5:13">
      <c r="E5528" s="473"/>
      <c r="F5528" s="473"/>
      <c r="G5528" s="473"/>
      <c r="H5528" s="473"/>
      <c r="I5528" s="473"/>
      <c r="J5528" s="473"/>
      <c r="K5528" s="473"/>
      <c r="L5528" s="473"/>
      <c r="M5528" s="473"/>
    </row>
    <row r="5529" spans="5:13">
      <c r="E5529" s="473"/>
      <c r="F5529" s="473"/>
      <c r="G5529" s="473"/>
      <c r="H5529" s="473"/>
      <c r="I5529" s="473"/>
      <c r="J5529" s="473"/>
      <c r="K5529" s="473"/>
      <c r="L5529" s="473"/>
      <c r="M5529" s="473"/>
    </row>
    <row r="5530" spans="5:13">
      <c r="E5530" s="473"/>
      <c r="F5530" s="473"/>
      <c r="G5530" s="473"/>
      <c r="H5530" s="473"/>
      <c r="I5530" s="473"/>
      <c r="J5530" s="473"/>
      <c r="K5530" s="473"/>
      <c r="L5530" s="473"/>
      <c r="M5530" s="473"/>
    </row>
    <row r="5531" spans="5:13">
      <c r="E5531" s="473"/>
      <c r="F5531" s="473"/>
      <c r="G5531" s="473"/>
      <c r="H5531" s="473"/>
      <c r="I5531" s="473"/>
      <c r="J5531" s="473"/>
      <c r="K5531" s="473"/>
      <c r="L5531" s="473"/>
      <c r="M5531" s="473"/>
    </row>
    <row r="5532" spans="5:13">
      <c r="E5532" s="473"/>
      <c r="F5532" s="473"/>
      <c r="G5532" s="473"/>
      <c r="H5532" s="473"/>
      <c r="I5532" s="473"/>
      <c r="J5532" s="473"/>
      <c r="K5532" s="473"/>
      <c r="L5532" s="473"/>
      <c r="M5532" s="473"/>
    </row>
    <row r="5533" spans="5:13">
      <c r="E5533" s="473"/>
      <c r="F5533" s="473"/>
      <c r="G5533" s="473"/>
      <c r="H5533" s="473"/>
      <c r="I5533" s="473"/>
      <c r="J5533" s="473"/>
      <c r="K5533" s="473"/>
      <c r="L5533" s="473"/>
      <c r="M5533" s="473"/>
    </row>
    <row r="5534" spans="5:13">
      <c r="E5534" s="473"/>
      <c r="F5534" s="473"/>
      <c r="G5534" s="473"/>
      <c r="H5534" s="473"/>
      <c r="I5534" s="473"/>
      <c r="J5534" s="473"/>
      <c r="K5534" s="473"/>
      <c r="L5534" s="473"/>
      <c r="M5534" s="473"/>
    </row>
    <row r="5535" spans="5:13">
      <c r="E5535" s="473"/>
      <c r="F5535" s="473"/>
      <c r="G5535" s="473"/>
      <c r="H5535" s="473"/>
      <c r="I5535" s="473"/>
      <c r="J5535" s="473"/>
      <c r="K5535" s="473"/>
      <c r="L5535" s="473"/>
      <c r="M5535" s="473"/>
    </row>
    <row r="5536" spans="5:13">
      <c r="E5536" s="473"/>
      <c r="F5536" s="473"/>
      <c r="G5536" s="473"/>
      <c r="H5536" s="473"/>
      <c r="I5536" s="473"/>
      <c r="J5536" s="473"/>
      <c r="K5536" s="473"/>
      <c r="L5536" s="473"/>
      <c r="M5536" s="473"/>
    </row>
    <row r="5537" spans="5:13">
      <c r="E5537" s="473"/>
      <c r="F5537" s="473"/>
      <c r="G5537" s="473"/>
      <c r="H5537" s="473"/>
      <c r="I5537" s="473"/>
      <c r="J5537" s="473"/>
      <c r="K5537" s="473"/>
      <c r="L5537" s="473"/>
      <c r="M5537" s="473"/>
    </row>
    <row r="5538" spans="5:13">
      <c r="E5538" s="473"/>
      <c r="F5538" s="473"/>
      <c r="G5538" s="473"/>
      <c r="H5538" s="473"/>
      <c r="I5538" s="473"/>
      <c r="J5538" s="473"/>
      <c r="K5538" s="473"/>
      <c r="L5538" s="473"/>
      <c r="M5538" s="473"/>
    </row>
    <row r="5539" spans="5:13">
      <c r="E5539" s="473"/>
      <c r="F5539" s="473"/>
      <c r="G5539" s="473"/>
      <c r="H5539" s="473"/>
      <c r="I5539" s="473"/>
      <c r="J5539" s="473"/>
      <c r="K5539" s="473"/>
      <c r="L5539" s="473"/>
      <c r="M5539" s="473"/>
    </row>
    <row r="5540" spans="5:13">
      <c r="E5540" s="473"/>
      <c r="F5540" s="473"/>
      <c r="G5540" s="473"/>
      <c r="H5540" s="473"/>
      <c r="I5540" s="473"/>
      <c r="J5540" s="473"/>
      <c r="K5540" s="473"/>
      <c r="L5540" s="473"/>
      <c r="M5540" s="473"/>
    </row>
    <row r="5541" spans="5:13">
      <c r="E5541" s="473"/>
      <c r="F5541" s="473"/>
      <c r="G5541" s="473"/>
      <c r="H5541" s="473"/>
      <c r="I5541" s="473"/>
      <c r="J5541" s="473"/>
      <c r="K5541" s="473"/>
      <c r="L5541" s="473"/>
      <c r="M5541" s="473"/>
    </row>
    <row r="5542" spans="5:13">
      <c r="E5542" s="473"/>
      <c r="F5542" s="473"/>
      <c r="G5542" s="473"/>
      <c r="H5542" s="473"/>
      <c r="I5542" s="473"/>
      <c r="J5542" s="473"/>
      <c r="K5542" s="473"/>
      <c r="L5542" s="473"/>
      <c r="M5542" s="473"/>
    </row>
    <row r="5543" spans="5:13">
      <c r="E5543" s="473"/>
      <c r="F5543" s="473"/>
      <c r="G5543" s="473"/>
      <c r="H5543" s="473"/>
      <c r="I5543" s="473"/>
      <c r="J5543" s="473"/>
      <c r="K5543" s="473"/>
      <c r="L5543" s="473"/>
      <c r="M5543" s="473"/>
    </row>
    <row r="5544" spans="5:13">
      <c r="E5544" s="473"/>
      <c r="F5544" s="473"/>
      <c r="G5544" s="473"/>
      <c r="H5544" s="473"/>
      <c r="I5544" s="473"/>
      <c r="J5544" s="473"/>
      <c r="K5544" s="473"/>
      <c r="L5544" s="473"/>
      <c r="M5544" s="473"/>
    </row>
    <row r="5545" spans="5:13">
      <c r="E5545" s="473"/>
      <c r="F5545" s="473"/>
      <c r="G5545" s="473"/>
      <c r="H5545" s="473"/>
      <c r="I5545" s="473"/>
      <c r="J5545" s="473"/>
      <c r="K5545" s="473"/>
      <c r="L5545" s="473"/>
      <c r="M5545" s="473"/>
    </row>
    <row r="5546" spans="5:13">
      <c r="E5546" s="473"/>
      <c r="F5546" s="473"/>
      <c r="G5546" s="473"/>
      <c r="H5546" s="473"/>
      <c r="I5546" s="473"/>
      <c r="J5546" s="473"/>
      <c r="K5546" s="473"/>
      <c r="L5546" s="473"/>
      <c r="M5546" s="473"/>
    </row>
    <row r="5547" spans="5:13">
      <c r="E5547" s="473"/>
      <c r="F5547" s="473"/>
      <c r="G5547" s="473"/>
      <c r="H5547" s="473"/>
      <c r="I5547" s="473"/>
      <c r="J5547" s="473"/>
      <c r="K5547" s="473"/>
      <c r="L5547" s="473"/>
      <c r="M5547" s="473"/>
    </row>
    <row r="5548" spans="5:13">
      <c r="E5548" s="473"/>
      <c r="F5548" s="473"/>
      <c r="G5548" s="473"/>
      <c r="H5548" s="473"/>
      <c r="I5548" s="473"/>
      <c r="J5548" s="473"/>
      <c r="K5548" s="473"/>
      <c r="L5548" s="473"/>
      <c r="M5548" s="473"/>
    </row>
    <row r="5549" spans="5:13">
      <c r="E5549" s="473"/>
      <c r="F5549" s="473"/>
      <c r="G5549" s="473"/>
      <c r="H5549" s="473"/>
      <c r="I5549" s="473"/>
      <c r="J5549" s="473"/>
      <c r="K5549" s="473"/>
      <c r="L5549" s="473"/>
      <c r="M5549" s="473"/>
    </row>
    <row r="5550" spans="5:13">
      <c r="E5550" s="473"/>
      <c r="F5550" s="473"/>
      <c r="G5550" s="473"/>
      <c r="H5550" s="473"/>
      <c r="I5550" s="473"/>
      <c r="J5550" s="473"/>
      <c r="K5550" s="473"/>
      <c r="L5550" s="473"/>
      <c r="M5550" s="473"/>
    </row>
    <row r="5551" spans="5:13">
      <c r="E5551" s="473"/>
      <c r="F5551" s="473"/>
      <c r="G5551" s="473"/>
      <c r="H5551" s="473"/>
      <c r="I5551" s="473"/>
      <c r="J5551" s="473"/>
      <c r="K5551" s="473"/>
      <c r="L5551" s="473"/>
      <c r="M5551" s="473"/>
    </row>
    <row r="5552" spans="5:13">
      <c r="E5552" s="473"/>
      <c r="F5552" s="473"/>
      <c r="G5552" s="473"/>
      <c r="H5552" s="473"/>
      <c r="I5552" s="473"/>
      <c r="J5552" s="473"/>
      <c r="K5552" s="473"/>
      <c r="L5552" s="473"/>
      <c r="M5552" s="473"/>
    </row>
    <row r="5553" spans="5:13">
      <c r="E5553" s="473"/>
      <c r="F5553" s="473"/>
      <c r="G5553" s="473"/>
      <c r="H5553" s="473"/>
      <c r="I5553" s="473"/>
      <c r="J5553" s="473"/>
      <c r="K5553" s="473"/>
      <c r="L5553" s="473"/>
      <c r="M5553" s="473"/>
    </row>
    <row r="5554" spans="5:13">
      <c r="E5554" s="473"/>
      <c r="F5554" s="473"/>
      <c r="G5554" s="473"/>
      <c r="H5554" s="473"/>
      <c r="I5554" s="473"/>
      <c r="J5554" s="473"/>
      <c r="K5554" s="473"/>
      <c r="L5554" s="473"/>
      <c r="M5554" s="473"/>
    </row>
    <row r="5555" spans="5:13">
      <c r="E5555" s="473"/>
      <c r="F5555" s="473"/>
      <c r="G5555" s="473"/>
      <c r="H5555" s="473"/>
      <c r="I5555" s="473"/>
      <c r="J5555" s="473"/>
      <c r="K5555" s="473"/>
      <c r="L5555" s="473"/>
      <c r="M5555" s="473"/>
    </row>
    <row r="5556" spans="5:13">
      <c r="E5556" s="473"/>
      <c r="F5556" s="473"/>
      <c r="G5556" s="473"/>
      <c r="H5556" s="473"/>
      <c r="I5556" s="473"/>
      <c r="J5556" s="473"/>
      <c r="K5556" s="473"/>
      <c r="L5556" s="473"/>
      <c r="M5556" s="473"/>
    </row>
    <row r="5557" spans="5:13">
      <c r="E5557" s="473"/>
      <c r="F5557" s="473"/>
      <c r="G5557" s="473"/>
      <c r="H5557" s="473"/>
      <c r="I5557" s="473"/>
      <c r="J5557" s="473"/>
      <c r="K5557" s="473"/>
      <c r="L5557" s="473"/>
      <c r="M5557" s="473"/>
    </row>
    <row r="5558" spans="5:13">
      <c r="E5558" s="473"/>
      <c r="F5558" s="473"/>
      <c r="G5558" s="473"/>
      <c r="H5558" s="473"/>
      <c r="I5558" s="473"/>
      <c r="J5558" s="473"/>
      <c r="K5558" s="473"/>
      <c r="L5558" s="473"/>
      <c r="M5558" s="473"/>
    </row>
    <row r="5559" spans="5:13">
      <c r="E5559" s="473"/>
      <c r="F5559" s="473"/>
      <c r="G5559" s="473"/>
      <c r="H5559" s="473"/>
      <c r="I5559" s="473"/>
      <c r="J5559" s="473"/>
      <c r="K5559" s="473"/>
      <c r="L5559" s="473"/>
      <c r="M5559" s="473"/>
    </row>
    <row r="5560" spans="5:13">
      <c r="E5560" s="473"/>
      <c r="F5560" s="473"/>
      <c r="G5560" s="473"/>
      <c r="H5560" s="473"/>
      <c r="I5560" s="473"/>
      <c r="J5560" s="473"/>
      <c r="K5560" s="473"/>
      <c r="L5560" s="473"/>
      <c r="M5560" s="473"/>
    </row>
    <row r="5561" spans="5:13">
      <c r="E5561" s="473"/>
      <c r="F5561" s="473"/>
      <c r="G5561" s="473"/>
      <c r="H5561" s="473"/>
      <c r="I5561" s="473"/>
      <c r="J5561" s="473"/>
      <c r="K5561" s="473"/>
      <c r="L5561" s="473"/>
      <c r="M5561" s="473"/>
    </row>
    <row r="5562" spans="5:13">
      <c r="E5562" s="473"/>
      <c r="F5562" s="473"/>
      <c r="G5562" s="473"/>
      <c r="H5562" s="473"/>
      <c r="I5562" s="473"/>
      <c r="J5562" s="473"/>
      <c r="K5562" s="473"/>
      <c r="L5562" s="473"/>
      <c r="M5562" s="473"/>
    </row>
    <row r="5563" spans="5:13">
      <c r="E5563" s="473"/>
      <c r="F5563" s="473"/>
      <c r="G5563" s="473"/>
      <c r="H5563" s="473"/>
      <c r="I5563" s="473"/>
      <c r="J5563" s="473"/>
      <c r="K5563" s="473"/>
      <c r="L5563" s="473"/>
      <c r="M5563" s="473"/>
    </row>
    <row r="5564" spans="5:13">
      <c r="E5564" s="473"/>
      <c r="F5564" s="473"/>
      <c r="G5564" s="473"/>
      <c r="H5564" s="473"/>
      <c r="I5564" s="473"/>
      <c r="J5564" s="473"/>
      <c r="K5564" s="473"/>
      <c r="L5564" s="473"/>
      <c r="M5564" s="473"/>
    </row>
    <row r="5565" spans="5:13">
      <c r="E5565" s="473"/>
      <c r="F5565" s="473"/>
      <c r="G5565" s="473"/>
      <c r="H5565" s="473"/>
      <c r="I5565" s="473"/>
      <c r="J5565" s="473"/>
      <c r="K5565" s="473"/>
      <c r="L5565" s="473"/>
      <c r="M5565" s="473"/>
    </row>
    <row r="5566" spans="5:13">
      <c r="E5566" s="473"/>
      <c r="F5566" s="473"/>
      <c r="G5566" s="473"/>
      <c r="H5566" s="473"/>
      <c r="I5566" s="473"/>
      <c r="J5566" s="473"/>
      <c r="K5566" s="473"/>
      <c r="L5566" s="473"/>
      <c r="M5566" s="473"/>
    </row>
    <row r="5567" spans="5:13">
      <c r="E5567" s="473"/>
      <c r="F5567" s="473"/>
      <c r="G5567" s="473"/>
      <c r="H5567" s="473"/>
      <c r="I5567" s="473"/>
      <c r="J5567" s="473"/>
      <c r="K5567" s="473"/>
      <c r="L5567" s="473"/>
      <c r="M5567" s="473"/>
    </row>
    <row r="5568" spans="5:13">
      <c r="E5568" s="473"/>
      <c r="F5568" s="473"/>
      <c r="G5568" s="473"/>
      <c r="H5568" s="473"/>
      <c r="I5568" s="473"/>
      <c r="J5568" s="473"/>
      <c r="K5568" s="473"/>
      <c r="L5568" s="473"/>
      <c r="M5568" s="473"/>
    </row>
    <row r="5569" spans="5:13">
      <c r="E5569" s="473"/>
      <c r="F5569" s="473"/>
      <c r="G5569" s="473"/>
      <c r="H5569" s="473"/>
      <c r="I5569" s="473"/>
      <c r="J5569" s="473"/>
      <c r="K5569" s="473"/>
      <c r="L5569" s="473"/>
      <c r="M5569" s="473"/>
    </row>
    <row r="5570" spans="5:13">
      <c r="E5570" s="473"/>
      <c r="F5570" s="473"/>
      <c r="G5570" s="473"/>
      <c r="H5570" s="473"/>
      <c r="I5570" s="473"/>
      <c r="J5570" s="473"/>
      <c r="K5570" s="473"/>
      <c r="L5570" s="473"/>
      <c r="M5570" s="473"/>
    </row>
    <row r="5571" spans="5:13">
      <c r="E5571" s="473"/>
      <c r="F5571" s="473"/>
      <c r="G5571" s="473"/>
      <c r="H5571" s="473"/>
      <c r="I5571" s="473"/>
      <c r="J5571" s="473"/>
      <c r="K5571" s="473"/>
      <c r="L5571" s="473"/>
      <c r="M5571" s="473"/>
    </row>
    <row r="5572" spans="5:13">
      <c r="E5572" s="473"/>
      <c r="F5572" s="473"/>
      <c r="G5572" s="473"/>
      <c r="H5572" s="473"/>
      <c r="I5572" s="473"/>
      <c r="J5572" s="473"/>
      <c r="K5572" s="473"/>
      <c r="L5572" s="473"/>
      <c r="M5572" s="473"/>
    </row>
    <row r="5573" spans="5:13">
      <c r="E5573" s="473"/>
      <c r="F5573" s="473"/>
      <c r="G5573" s="473"/>
      <c r="H5573" s="473"/>
      <c r="I5573" s="473"/>
      <c r="J5573" s="473"/>
      <c r="K5573" s="473"/>
      <c r="L5573" s="473"/>
      <c r="M5573" s="473"/>
    </row>
    <row r="5574" spans="5:13">
      <c r="E5574" s="473"/>
      <c r="F5574" s="473"/>
      <c r="G5574" s="473"/>
      <c r="H5574" s="473"/>
      <c r="I5574" s="473"/>
      <c r="J5574" s="473"/>
      <c r="K5574" s="473"/>
      <c r="L5574" s="473"/>
      <c r="M5574" s="473"/>
    </row>
    <row r="5575" spans="5:13">
      <c r="E5575" s="473"/>
      <c r="F5575" s="473"/>
      <c r="G5575" s="473"/>
      <c r="H5575" s="473"/>
      <c r="I5575" s="473"/>
      <c r="J5575" s="473"/>
      <c r="K5575" s="473"/>
      <c r="L5575" s="473"/>
      <c r="M5575" s="473"/>
    </row>
    <row r="5576" spans="5:13">
      <c r="E5576" s="473"/>
      <c r="F5576" s="473"/>
      <c r="G5576" s="473"/>
      <c r="H5576" s="473"/>
      <c r="I5576" s="473"/>
      <c r="J5576" s="473"/>
      <c r="K5576" s="473"/>
      <c r="L5576" s="473"/>
      <c r="M5576" s="473"/>
    </row>
    <row r="5577" spans="5:13">
      <c r="E5577" s="473"/>
      <c r="F5577" s="473"/>
      <c r="G5577" s="473"/>
      <c r="H5577" s="473"/>
      <c r="I5577" s="473"/>
      <c r="J5577" s="473"/>
      <c r="K5577" s="473"/>
      <c r="L5577" s="473"/>
      <c r="M5577" s="473"/>
    </row>
    <row r="5578" spans="5:13">
      <c r="E5578" s="473"/>
      <c r="F5578" s="473"/>
      <c r="G5578" s="473"/>
      <c r="H5578" s="473"/>
      <c r="I5578" s="473"/>
      <c r="J5578" s="473"/>
      <c r="K5578" s="473"/>
      <c r="L5578" s="473"/>
      <c r="M5578" s="473"/>
    </row>
    <row r="5579" spans="5:13">
      <c r="E5579" s="473"/>
      <c r="F5579" s="473"/>
      <c r="G5579" s="473"/>
      <c r="H5579" s="473"/>
      <c r="I5579" s="473"/>
      <c r="J5579" s="473"/>
      <c r="K5579" s="473"/>
      <c r="L5579" s="473"/>
      <c r="M5579" s="473"/>
    </row>
    <row r="5580" spans="5:13">
      <c r="E5580" s="473"/>
      <c r="F5580" s="473"/>
      <c r="G5580" s="473"/>
      <c r="H5580" s="473"/>
      <c r="I5580" s="473"/>
      <c r="J5580" s="473"/>
      <c r="K5580" s="473"/>
      <c r="L5580" s="473"/>
      <c r="M5580" s="473"/>
    </row>
    <row r="5581" spans="5:13">
      <c r="E5581" s="473"/>
      <c r="F5581" s="473"/>
      <c r="G5581" s="473"/>
      <c r="H5581" s="473"/>
      <c r="I5581" s="473"/>
      <c r="J5581" s="473"/>
      <c r="K5581" s="473"/>
      <c r="L5581" s="473"/>
      <c r="M5581" s="473"/>
    </row>
    <row r="5582" spans="5:13">
      <c r="E5582" s="473"/>
      <c r="F5582" s="473"/>
      <c r="G5582" s="473"/>
      <c r="H5582" s="473"/>
      <c r="I5582" s="473"/>
      <c r="J5582" s="473"/>
      <c r="K5582" s="473"/>
      <c r="L5582" s="473"/>
      <c r="M5582" s="473"/>
    </row>
    <row r="5583" spans="5:13">
      <c r="E5583" s="473"/>
      <c r="F5583" s="473"/>
      <c r="G5583" s="473"/>
      <c r="H5583" s="473"/>
      <c r="I5583" s="473"/>
      <c r="J5583" s="473"/>
      <c r="K5583" s="473"/>
      <c r="L5583" s="473"/>
      <c r="M5583" s="473"/>
    </row>
    <row r="5584" spans="5:13">
      <c r="E5584" s="473"/>
      <c r="F5584" s="473"/>
      <c r="G5584" s="473"/>
      <c r="H5584" s="473"/>
      <c r="I5584" s="473"/>
      <c r="J5584" s="473"/>
      <c r="K5584" s="473"/>
      <c r="L5584" s="473"/>
      <c r="M5584" s="473"/>
    </row>
    <row r="5585" spans="5:13">
      <c r="E5585" s="473"/>
      <c r="F5585" s="473"/>
      <c r="G5585" s="473"/>
      <c r="H5585" s="473"/>
      <c r="I5585" s="473"/>
      <c r="J5585" s="473"/>
      <c r="K5585" s="473"/>
      <c r="L5585" s="473"/>
      <c r="M5585" s="473"/>
    </row>
    <row r="5586" spans="5:13">
      <c r="E5586" s="473"/>
      <c r="F5586" s="473"/>
      <c r="G5586" s="473"/>
      <c r="H5586" s="473"/>
      <c r="I5586" s="473"/>
      <c r="J5586" s="473"/>
      <c r="K5586" s="473"/>
      <c r="L5586" s="473"/>
      <c r="M5586" s="473"/>
    </row>
    <row r="5587" spans="5:13">
      <c r="E5587" s="473"/>
      <c r="F5587" s="473"/>
      <c r="G5587" s="473"/>
      <c r="H5587" s="473"/>
      <c r="I5587" s="473"/>
      <c r="J5587" s="473"/>
      <c r="K5587" s="473"/>
      <c r="L5587" s="473"/>
      <c r="M5587" s="473"/>
    </row>
    <row r="5588" spans="5:13">
      <c r="E5588" s="473"/>
      <c r="F5588" s="473"/>
      <c r="G5588" s="473"/>
      <c r="H5588" s="473"/>
      <c r="I5588" s="473"/>
      <c r="J5588" s="473"/>
      <c r="K5588" s="473"/>
      <c r="L5588" s="473"/>
      <c r="M5588" s="473"/>
    </row>
    <row r="5589" spans="5:13">
      <c r="E5589" s="473"/>
      <c r="F5589" s="473"/>
      <c r="G5589" s="473"/>
      <c r="H5589" s="473"/>
      <c r="I5589" s="473"/>
      <c r="J5589" s="473"/>
      <c r="K5589" s="473"/>
      <c r="L5589" s="473"/>
      <c r="M5589" s="473"/>
    </row>
    <row r="5590" spans="5:13">
      <c r="E5590" s="473"/>
      <c r="F5590" s="473"/>
      <c r="G5590" s="473"/>
      <c r="H5590" s="473"/>
      <c r="I5590" s="473"/>
      <c r="J5590" s="473"/>
      <c r="K5590" s="473"/>
      <c r="L5590" s="473"/>
      <c r="M5590" s="473"/>
    </row>
    <row r="5591" spans="5:13">
      <c r="E5591" s="473"/>
      <c r="F5591" s="473"/>
      <c r="G5591" s="473"/>
      <c r="H5591" s="473"/>
      <c r="I5591" s="473"/>
      <c r="J5591" s="473"/>
      <c r="K5591" s="473"/>
      <c r="L5591" s="473"/>
      <c r="M5591" s="473"/>
    </row>
    <row r="5592" spans="5:13">
      <c r="E5592" s="473"/>
      <c r="F5592" s="473"/>
      <c r="G5592" s="473"/>
      <c r="H5592" s="473"/>
      <c r="I5592" s="473"/>
      <c r="J5592" s="473"/>
      <c r="K5592" s="473"/>
      <c r="L5592" s="473"/>
      <c r="M5592" s="473"/>
    </row>
    <row r="5593" spans="5:13">
      <c r="E5593" s="473"/>
      <c r="F5593" s="473"/>
      <c r="G5593" s="473"/>
      <c r="H5593" s="473"/>
      <c r="I5593" s="473"/>
      <c r="J5593" s="473"/>
      <c r="K5593" s="473"/>
      <c r="L5593" s="473"/>
      <c r="M5593" s="473"/>
    </row>
    <row r="5594" spans="5:13">
      <c r="E5594" s="473"/>
      <c r="F5594" s="473"/>
      <c r="G5594" s="473"/>
      <c r="H5594" s="473"/>
      <c r="I5594" s="473"/>
      <c r="J5594" s="473"/>
      <c r="K5594" s="473"/>
      <c r="L5594" s="473"/>
      <c r="M5594" s="473"/>
    </row>
    <row r="5595" spans="5:13">
      <c r="E5595" s="473"/>
      <c r="F5595" s="473"/>
      <c r="G5595" s="473"/>
      <c r="H5595" s="473"/>
      <c r="I5595" s="473"/>
      <c r="J5595" s="473"/>
      <c r="K5595" s="473"/>
      <c r="L5595" s="473"/>
      <c r="M5595" s="473"/>
    </row>
    <row r="5596" spans="5:13">
      <c r="E5596" s="473"/>
      <c r="F5596" s="473"/>
      <c r="G5596" s="473"/>
      <c r="H5596" s="473"/>
      <c r="I5596" s="473"/>
      <c r="J5596" s="473"/>
      <c r="K5596" s="473"/>
      <c r="L5596" s="473"/>
      <c r="M5596" s="473"/>
    </row>
    <row r="5597" spans="5:13">
      <c r="E5597" s="473"/>
      <c r="F5597" s="473"/>
      <c r="G5597" s="473"/>
      <c r="H5597" s="473"/>
      <c r="I5597" s="473"/>
      <c r="J5597" s="473"/>
      <c r="K5597" s="473"/>
      <c r="L5597" s="473"/>
      <c r="M5597" s="473"/>
    </row>
    <row r="5598" spans="5:13">
      <c r="E5598" s="473"/>
      <c r="F5598" s="473"/>
      <c r="G5598" s="473"/>
      <c r="H5598" s="473"/>
      <c r="I5598" s="473"/>
      <c r="J5598" s="473"/>
      <c r="K5598" s="473"/>
      <c r="L5598" s="473"/>
      <c r="M5598" s="473"/>
    </row>
    <row r="5599" spans="5:13">
      <c r="E5599" s="473"/>
      <c r="F5599" s="473"/>
      <c r="G5599" s="473"/>
      <c r="H5599" s="473"/>
      <c r="I5599" s="473"/>
      <c r="J5599" s="473"/>
      <c r="K5599" s="473"/>
      <c r="L5599" s="473"/>
      <c r="M5599" s="473"/>
    </row>
    <row r="5600" spans="5:13">
      <c r="E5600" s="473"/>
      <c r="F5600" s="473"/>
      <c r="G5600" s="473"/>
      <c r="H5600" s="473"/>
      <c r="I5600" s="473"/>
      <c r="J5600" s="473"/>
      <c r="K5600" s="473"/>
      <c r="L5600" s="473"/>
      <c r="M5600" s="473"/>
    </row>
    <row r="5601" spans="5:13">
      <c r="E5601" s="473"/>
      <c r="F5601" s="473"/>
      <c r="G5601" s="473"/>
      <c r="H5601" s="473"/>
      <c r="I5601" s="473"/>
      <c r="J5601" s="473"/>
      <c r="K5601" s="473"/>
      <c r="L5601" s="473"/>
      <c r="M5601" s="473"/>
    </row>
    <row r="5602" spans="5:13">
      <c r="E5602" s="473"/>
      <c r="F5602" s="473"/>
      <c r="G5602" s="473"/>
      <c r="H5602" s="473"/>
      <c r="I5602" s="473"/>
      <c r="J5602" s="473"/>
      <c r="K5602" s="473"/>
      <c r="L5602" s="473"/>
      <c r="M5602" s="473"/>
    </row>
    <row r="5603" spans="5:13">
      <c r="E5603" s="473"/>
      <c r="F5603" s="473"/>
      <c r="G5603" s="473"/>
      <c r="H5603" s="473"/>
      <c r="I5603" s="473"/>
      <c r="J5603" s="473"/>
      <c r="K5603" s="473"/>
      <c r="L5603" s="473"/>
      <c r="M5603" s="473"/>
    </row>
    <row r="5604" spans="5:13">
      <c r="E5604" s="473"/>
      <c r="F5604" s="473"/>
      <c r="G5604" s="473"/>
      <c r="H5604" s="473"/>
      <c r="I5604" s="473"/>
      <c r="J5604" s="473"/>
      <c r="K5604" s="473"/>
      <c r="L5604" s="473"/>
      <c r="M5604" s="473"/>
    </row>
    <row r="5605" spans="5:13">
      <c r="E5605" s="473"/>
      <c r="F5605" s="473"/>
      <c r="G5605" s="473"/>
      <c r="H5605" s="473"/>
      <c r="I5605" s="473"/>
      <c r="J5605" s="473"/>
      <c r="K5605" s="473"/>
      <c r="L5605" s="473"/>
      <c r="M5605" s="473"/>
    </row>
    <row r="5606" spans="5:13">
      <c r="E5606" s="473"/>
      <c r="F5606" s="473"/>
      <c r="G5606" s="473"/>
      <c r="H5606" s="473"/>
      <c r="I5606" s="473"/>
      <c r="J5606" s="473"/>
      <c r="K5606" s="473"/>
      <c r="L5606" s="473"/>
      <c r="M5606" s="473"/>
    </row>
    <row r="5607" spans="5:13">
      <c r="E5607" s="473"/>
      <c r="F5607" s="473"/>
      <c r="G5607" s="473"/>
      <c r="H5607" s="473"/>
      <c r="I5607" s="473"/>
      <c r="J5607" s="473"/>
      <c r="K5607" s="473"/>
      <c r="L5607" s="473"/>
      <c r="M5607" s="473"/>
    </row>
    <row r="5608" spans="5:13">
      <c r="E5608" s="473"/>
      <c r="F5608" s="473"/>
      <c r="G5608" s="473"/>
      <c r="H5608" s="473"/>
      <c r="I5608" s="473"/>
      <c r="J5608" s="473"/>
      <c r="K5608" s="473"/>
      <c r="L5608" s="473"/>
      <c r="M5608" s="473"/>
    </row>
    <row r="5609" spans="5:13">
      <c r="E5609" s="473"/>
      <c r="F5609" s="473"/>
      <c r="G5609" s="473"/>
      <c r="H5609" s="473"/>
      <c r="I5609" s="473"/>
      <c r="J5609" s="473"/>
      <c r="K5609" s="473"/>
      <c r="L5609" s="473"/>
      <c r="M5609" s="473"/>
    </row>
    <row r="5610" spans="5:13">
      <c r="E5610" s="473"/>
      <c r="F5610" s="473"/>
      <c r="G5610" s="473"/>
      <c r="H5610" s="473"/>
      <c r="I5610" s="473"/>
      <c r="J5610" s="473"/>
      <c r="K5610" s="473"/>
      <c r="L5610" s="473"/>
      <c r="M5610" s="473"/>
    </row>
    <row r="5611" spans="5:13">
      <c r="E5611" s="473"/>
      <c r="F5611" s="473"/>
      <c r="G5611" s="473"/>
      <c r="H5611" s="473"/>
      <c r="I5611" s="473"/>
      <c r="J5611" s="473"/>
      <c r="K5611" s="473"/>
      <c r="L5611" s="473"/>
      <c r="M5611" s="473"/>
    </row>
    <row r="5612" spans="5:13">
      <c r="E5612" s="473"/>
      <c r="F5612" s="473"/>
      <c r="G5612" s="473"/>
      <c r="H5612" s="473"/>
      <c r="I5612" s="473"/>
      <c r="J5612" s="473"/>
      <c r="K5612" s="473"/>
      <c r="L5612" s="473"/>
      <c r="M5612" s="473"/>
    </row>
    <row r="5613" spans="5:13">
      <c r="E5613" s="473"/>
      <c r="F5613" s="473"/>
      <c r="G5613" s="473"/>
      <c r="H5613" s="473"/>
      <c r="I5613" s="473"/>
      <c r="J5613" s="473"/>
      <c r="K5613" s="473"/>
      <c r="L5613" s="473"/>
      <c r="M5613" s="473"/>
    </row>
    <row r="5614" spans="5:13">
      <c r="E5614" s="473"/>
      <c r="F5614" s="473"/>
      <c r="G5614" s="473"/>
      <c r="H5614" s="473"/>
      <c r="I5614" s="473"/>
      <c r="J5614" s="473"/>
      <c r="K5614" s="473"/>
      <c r="L5614" s="473"/>
      <c r="M5614" s="473"/>
    </row>
    <row r="5615" spans="5:13">
      <c r="E5615" s="473"/>
      <c r="F5615" s="473"/>
      <c r="G5615" s="473"/>
      <c r="H5615" s="473"/>
      <c r="I5615" s="473"/>
      <c r="J5615" s="473"/>
      <c r="K5615" s="473"/>
      <c r="L5615" s="473"/>
      <c r="M5615" s="473"/>
    </row>
    <row r="5616" spans="5:13">
      <c r="E5616" s="473"/>
      <c r="F5616" s="473"/>
      <c r="G5616" s="473"/>
      <c r="H5616" s="473"/>
      <c r="I5616" s="473"/>
      <c r="J5616" s="473"/>
      <c r="K5616" s="473"/>
      <c r="L5616" s="473"/>
      <c r="M5616" s="473"/>
    </row>
    <row r="5617" spans="5:13">
      <c r="E5617" s="473"/>
      <c r="F5617" s="473"/>
      <c r="G5617" s="473"/>
      <c r="H5617" s="473"/>
      <c r="I5617" s="473"/>
      <c r="J5617" s="473"/>
      <c r="K5617" s="473"/>
      <c r="L5617" s="473"/>
      <c r="M5617" s="473"/>
    </row>
    <row r="5618" spans="5:13">
      <c r="E5618" s="473"/>
      <c r="F5618" s="473"/>
      <c r="G5618" s="473"/>
      <c r="H5618" s="473"/>
      <c r="I5618" s="473"/>
      <c r="J5618" s="473"/>
      <c r="K5618" s="473"/>
      <c r="L5618" s="473"/>
      <c r="M5618" s="473"/>
    </row>
    <row r="5619" spans="5:13">
      <c r="E5619" s="473"/>
      <c r="F5619" s="473"/>
      <c r="G5619" s="473"/>
      <c r="H5619" s="473"/>
      <c r="I5619" s="473"/>
      <c r="J5619" s="473"/>
      <c r="K5619" s="473"/>
      <c r="L5619" s="473"/>
      <c r="M5619" s="473"/>
    </row>
    <row r="5620" spans="5:13">
      <c r="E5620" s="473"/>
      <c r="F5620" s="473"/>
      <c r="G5620" s="473"/>
      <c r="H5620" s="473"/>
      <c r="I5620" s="473"/>
      <c r="J5620" s="473"/>
      <c r="K5620" s="473"/>
      <c r="L5620" s="473"/>
      <c r="M5620" s="473"/>
    </row>
    <row r="5621" spans="5:13">
      <c r="E5621" s="473"/>
      <c r="F5621" s="473"/>
      <c r="G5621" s="473"/>
      <c r="H5621" s="473"/>
      <c r="I5621" s="473"/>
      <c r="J5621" s="473"/>
      <c r="K5621" s="473"/>
      <c r="L5621" s="473"/>
      <c r="M5621" s="473"/>
    </row>
    <row r="5622" spans="5:13">
      <c r="E5622" s="473"/>
      <c r="F5622" s="473"/>
      <c r="G5622" s="473"/>
      <c r="H5622" s="473"/>
      <c r="I5622" s="473"/>
      <c r="J5622" s="473"/>
      <c r="K5622" s="473"/>
      <c r="L5622" s="473"/>
      <c r="M5622" s="473"/>
    </row>
    <row r="5623" spans="5:13">
      <c r="E5623" s="473"/>
      <c r="F5623" s="473"/>
      <c r="G5623" s="473"/>
      <c r="H5623" s="473"/>
      <c r="I5623" s="473"/>
      <c r="J5623" s="473"/>
      <c r="K5623" s="473"/>
      <c r="L5623" s="473"/>
      <c r="M5623" s="473"/>
    </row>
    <row r="5624" spans="5:13">
      <c r="E5624" s="473"/>
      <c r="F5624" s="473"/>
      <c r="G5624" s="473"/>
      <c r="H5624" s="473"/>
      <c r="I5624" s="473"/>
      <c r="J5624" s="473"/>
      <c r="K5624" s="473"/>
      <c r="L5624" s="473"/>
      <c r="M5624" s="473"/>
    </row>
    <row r="5625" spans="5:13">
      <c r="E5625" s="473"/>
      <c r="F5625" s="473"/>
      <c r="G5625" s="473"/>
      <c r="H5625" s="473"/>
      <c r="I5625" s="473"/>
      <c r="J5625" s="473"/>
      <c r="K5625" s="473"/>
      <c r="L5625" s="473"/>
      <c r="M5625" s="473"/>
    </row>
    <row r="5626" spans="5:13">
      <c r="E5626" s="473"/>
      <c r="F5626" s="473"/>
      <c r="G5626" s="473"/>
      <c r="H5626" s="473"/>
      <c r="I5626" s="473"/>
      <c r="J5626" s="473"/>
      <c r="K5626" s="473"/>
      <c r="L5626" s="473"/>
      <c r="M5626" s="473"/>
    </row>
    <row r="5627" spans="5:13">
      <c r="E5627" s="473"/>
      <c r="F5627" s="473"/>
      <c r="G5627" s="473"/>
      <c r="H5627" s="473"/>
      <c r="I5627" s="473"/>
      <c r="J5627" s="473"/>
      <c r="K5627" s="473"/>
      <c r="L5627" s="473"/>
      <c r="M5627" s="473"/>
    </row>
    <row r="5628" spans="5:13">
      <c r="E5628" s="473"/>
      <c r="F5628" s="473"/>
      <c r="G5628" s="473"/>
      <c r="H5628" s="473"/>
      <c r="I5628" s="473"/>
      <c r="J5628" s="473"/>
      <c r="K5628" s="473"/>
      <c r="L5628" s="473"/>
      <c r="M5628" s="473"/>
    </row>
    <row r="5629" spans="5:13">
      <c r="E5629" s="473"/>
      <c r="F5629" s="473"/>
      <c r="G5629" s="473"/>
      <c r="H5629" s="473"/>
      <c r="I5629" s="473"/>
      <c r="J5629" s="473"/>
      <c r="K5629" s="473"/>
      <c r="L5629" s="473"/>
      <c r="M5629" s="473"/>
    </row>
    <row r="5630" spans="5:13">
      <c r="E5630" s="473"/>
      <c r="F5630" s="473"/>
      <c r="G5630" s="473"/>
      <c r="H5630" s="473"/>
      <c r="I5630" s="473"/>
      <c r="J5630" s="473"/>
      <c r="K5630" s="473"/>
      <c r="L5630" s="473"/>
      <c r="M5630" s="473"/>
    </row>
    <row r="5631" spans="5:13">
      <c r="E5631" s="473"/>
      <c r="F5631" s="473"/>
      <c r="G5631" s="473"/>
      <c r="H5631" s="473"/>
      <c r="I5631" s="473"/>
      <c r="J5631" s="473"/>
      <c r="K5631" s="473"/>
      <c r="L5631" s="473"/>
      <c r="M5631" s="473"/>
    </row>
    <row r="5632" spans="5:13">
      <c r="E5632" s="473"/>
      <c r="F5632" s="473"/>
      <c r="G5632" s="473"/>
      <c r="H5632" s="473"/>
      <c r="I5632" s="473"/>
      <c r="J5632" s="473"/>
      <c r="K5632" s="473"/>
      <c r="L5632" s="473"/>
      <c r="M5632" s="473"/>
    </row>
    <row r="5633" spans="5:13">
      <c r="E5633" s="473"/>
      <c r="F5633" s="473"/>
      <c r="G5633" s="473"/>
      <c r="H5633" s="473"/>
      <c r="I5633" s="473"/>
      <c r="J5633" s="473"/>
      <c r="K5633" s="473"/>
      <c r="L5633" s="473"/>
      <c r="M5633" s="473"/>
    </row>
    <row r="5634" spans="5:13">
      <c r="E5634" s="473"/>
      <c r="F5634" s="473"/>
      <c r="G5634" s="473"/>
      <c r="H5634" s="473"/>
      <c r="I5634" s="473"/>
      <c r="J5634" s="473"/>
      <c r="K5634" s="473"/>
      <c r="L5634" s="473"/>
      <c r="M5634" s="473"/>
    </row>
    <row r="5635" spans="5:13">
      <c r="E5635" s="473"/>
      <c r="F5635" s="473"/>
      <c r="G5635" s="473"/>
      <c r="H5635" s="473"/>
      <c r="I5635" s="473"/>
      <c r="J5635" s="473"/>
      <c r="K5635" s="473"/>
      <c r="L5635" s="473"/>
      <c r="M5635" s="473"/>
    </row>
    <row r="5636" spans="5:13">
      <c r="E5636" s="473"/>
      <c r="F5636" s="473"/>
      <c r="G5636" s="473"/>
      <c r="H5636" s="473"/>
      <c r="I5636" s="473"/>
      <c r="J5636" s="473"/>
      <c r="K5636" s="473"/>
      <c r="L5636" s="473"/>
      <c r="M5636" s="473"/>
    </row>
    <row r="5637" spans="5:13">
      <c r="E5637" s="473"/>
      <c r="F5637" s="473"/>
      <c r="G5637" s="473"/>
      <c r="H5637" s="473"/>
      <c r="I5637" s="473"/>
      <c r="J5637" s="473"/>
      <c r="K5637" s="473"/>
      <c r="L5637" s="473"/>
      <c r="M5637" s="473"/>
    </row>
    <row r="5638" spans="5:13">
      <c r="E5638" s="473"/>
      <c r="F5638" s="473"/>
      <c r="G5638" s="473"/>
      <c r="H5638" s="473"/>
      <c r="I5638" s="473"/>
      <c r="J5638" s="473"/>
      <c r="K5638" s="473"/>
      <c r="L5638" s="473"/>
      <c r="M5638" s="473"/>
    </row>
    <row r="5639" spans="5:13">
      <c r="E5639" s="473"/>
      <c r="F5639" s="473"/>
      <c r="G5639" s="473"/>
      <c r="H5639" s="473"/>
      <c r="I5639" s="473"/>
      <c r="J5639" s="473"/>
      <c r="K5639" s="473"/>
      <c r="L5639" s="473"/>
      <c r="M5639" s="473"/>
    </row>
    <row r="5640" spans="5:13">
      <c r="E5640" s="473"/>
      <c r="F5640" s="473"/>
      <c r="G5640" s="473"/>
      <c r="H5640" s="473"/>
      <c r="I5640" s="473"/>
      <c r="J5640" s="473"/>
      <c r="K5640" s="473"/>
      <c r="L5640" s="473"/>
      <c r="M5640" s="473"/>
    </row>
    <row r="5641" spans="5:13">
      <c r="E5641" s="473"/>
      <c r="F5641" s="473"/>
      <c r="G5641" s="473"/>
      <c r="H5641" s="473"/>
      <c r="I5641" s="473"/>
      <c r="J5641" s="473"/>
      <c r="K5641" s="473"/>
      <c r="L5641" s="473"/>
      <c r="M5641" s="473"/>
    </row>
    <row r="5642" spans="5:13">
      <c r="E5642" s="473"/>
      <c r="F5642" s="473"/>
      <c r="G5642" s="473"/>
      <c r="H5642" s="473"/>
      <c r="I5642" s="473"/>
      <c r="J5642" s="473"/>
      <c r="K5642" s="473"/>
      <c r="L5642" s="473"/>
      <c r="M5642" s="473"/>
    </row>
    <row r="5643" spans="5:13">
      <c r="E5643" s="473"/>
      <c r="F5643" s="473"/>
      <c r="G5643" s="473"/>
      <c r="H5643" s="473"/>
      <c r="I5643" s="473"/>
      <c r="J5643" s="473"/>
      <c r="K5643" s="473"/>
      <c r="L5643" s="473"/>
      <c r="M5643" s="473"/>
    </row>
    <row r="5644" spans="5:13">
      <c r="E5644" s="473"/>
      <c r="F5644" s="473"/>
      <c r="G5644" s="473"/>
      <c r="H5644" s="473"/>
      <c r="I5644" s="473"/>
      <c r="J5644" s="473"/>
      <c r="K5644" s="473"/>
      <c r="L5644" s="473"/>
      <c r="M5644" s="473"/>
    </row>
    <row r="5645" spans="5:13">
      <c r="E5645" s="473"/>
      <c r="F5645" s="473"/>
      <c r="G5645" s="473"/>
      <c r="H5645" s="473"/>
      <c r="I5645" s="473"/>
      <c r="J5645" s="473"/>
      <c r="K5645" s="473"/>
      <c r="L5645" s="473"/>
      <c r="M5645" s="473"/>
    </row>
    <row r="5646" spans="5:13">
      <c r="E5646" s="473"/>
      <c r="F5646" s="473"/>
      <c r="G5646" s="473"/>
      <c r="H5646" s="473"/>
      <c r="I5646" s="473"/>
      <c r="J5646" s="473"/>
      <c r="K5646" s="473"/>
      <c r="L5646" s="473"/>
      <c r="M5646" s="473"/>
    </row>
    <row r="5647" spans="5:13">
      <c r="E5647" s="473"/>
      <c r="F5647" s="473"/>
      <c r="G5647" s="473"/>
      <c r="H5647" s="473"/>
      <c r="I5647" s="473"/>
      <c r="J5647" s="473"/>
      <c r="K5647" s="473"/>
      <c r="L5647" s="473"/>
      <c r="M5647" s="473"/>
    </row>
    <row r="5648" spans="5:13">
      <c r="E5648" s="473"/>
      <c r="F5648" s="473"/>
      <c r="G5648" s="473"/>
      <c r="H5648" s="473"/>
      <c r="I5648" s="473"/>
      <c r="J5648" s="473"/>
      <c r="K5648" s="473"/>
      <c r="L5648" s="473"/>
      <c r="M5648" s="473"/>
    </row>
    <row r="5649" spans="5:13">
      <c r="E5649" s="473"/>
      <c r="F5649" s="473"/>
      <c r="G5649" s="473"/>
      <c r="H5649" s="473"/>
      <c r="I5649" s="473"/>
      <c r="J5649" s="473"/>
      <c r="K5649" s="473"/>
      <c r="L5649" s="473"/>
      <c r="M5649" s="473"/>
    </row>
    <row r="5650" spans="5:13">
      <c r="E5650" s="473"/>
      <c r="F5650" s="473"/>
      <c r="G5650" s="473"/>
      <c r="H5650" s="473"/>
      <c r="I5650" s="473"/>
      <c r="J5650" s="473"/>
      <c r="K5650" s="473"/>
      <c r="L5650" s="473"/>
      <c r="M5650" s="473"/>
    </row>
    <row r="5651" spans="5:13">
      <c r="E5651" s="473"/>
      <c r="F5651" s="473"/>
      <c r="G5651" s="473"/>
      <c r="H5651" s="473"/>
      <c r="I5651" s="473"/>
      <c r="J5651" s="473"/>
      <c r="K5651" s="473"/>
      <c r="L5651" s="473"/>
      <c r="M5651" s="473"/>
    </row>
    <row r="5652" spans="5:13">
      <c r="E5652" s="473"/>
      <c r="F5652" s="473"/>
      <c r="G5652" s="473"/>
      <c r="H5652" s="473"/>
      <c r="I5652" s="473"/>
      <c r="J5652" s="473"/>
      <c r="K5652" s="473"/>
      <c r="L5652" s="473"/>
      <c r="M5652" s="473"/>
    </row>
    <row r="5653" spans="5:13">
      <c r="E5653" s="473"/>
      <c r="F5653" s="473"/>
      <c r="G5653" s="473"/>
      <c r="H5653" s="473"/>
      <c r="I5653" s="473"/>
      <c r="J5653" s="473"/>
      <c r="K5653" s="473"/>
      <c r="L5653" s="473"/>
      <c r="M5653" s="473"/>
    </row>
    <row r="5654" spans="5:13">
      <c r="E5654" s="473"/>
      <c r="F5654" s="473"/>
      <c r="G5654" s="473"/>
      <c r="H5654" s="473"/>
      <c r="I5654" s="473"/>
      <c r="J5654" s="473"/>
      <c r="K5654" s="473"/>
      <c r="L5654" s="473"/>
      <c r="M5654" s="473"/>
    </row>
    <row r="5655" spans="5:13">
      <c r="E5655" s="473"/>
      <c r="F5655" s="473"/>
      <c r="G5655" s="473"/>
      <c r="H5655" s="473"/>
      <c r="I5655" s="473"/>
      <c r="J5655" s="473"/>
      <c r="K5655" s="473"/>
      <c r="L5655" s="473"/>
      <c r="M5655" s="473"/>
    </row>
    <row r="5656" spans="5:13">
      <c r="E5656" s="473"/>
      <c r="F5656" s="473"/>
      <c r="G5656" s="473"/>
      <c r="H5656" s="473"/>
      <c r="I5656" s="473"/>
      <c r="J5656" s="473"/>
      <c r="K5656" s="473"/>
      <c r="L5656" s="473"/>
      <c r="M5656" s="473"/>
    </row>
    <row r="5657" spans="5:13">
      <c r="E5657" s="473"/>
      <c r="F5657" s="473"/>
      <c r="G5657" s="473"/>
      <c r="H5657" s="473"/>
      <c r="I5657" s="473"/>
      <c r="J5657" s="473"/>
      <c r="K5657" s="473"/>
      <c r="L5657" s="473"/>
      <c r="M5657" s="473"/>
    </row>
    <row r="5658" spans="5:13">
      <c r="E5658" s="473"/>
      <c r="F5658" s="473"/>
      <c r="G5658" s="473"/>
      <c r="H5658" s="473"/>
      <c r="I5658" s="473"/>
      <c r="J5658" s="473"/>
      <c r="K5658" s="473"/>
      <c r="L5658" s="473"/>
      <c r="M5658" s="473"/>
    </row>
    <row r="5659" spans="5:13">
      <c r="E5659" s="473"/>
      <c r="F5659" s="473"/>
      <c r="G5659" s="473"/>
      <c r="H5659" s="473"/>
      <c r="I5659" s="473"/>
      <c r="J5659" s="473"/>
      <c r="K5659" s="473"/>
      <c r="L5659" s="473"/>
      <c r="M5659" s="473"/>
    </row>
    <row r="5660" spans="5:13">
      <c r="E5660" s="473"/>
      <c r="F5660" s="473"/>
      <c r="G5660" s="473"/>
      <c r="H5660" s="473"/>
      <c r="I5660" s="473"/>
      <c r="J5660" s="473"/>
      <c r="K5660" s="473"/>
      <c r="L5660" s="473"/>
      <c r="M5660" s="473"/>
    </row>
    <row r="5661" spans="5:13">
      <c r="E5661" s="473"/>
      <c r="F5661" s="473"/>
      <c r="G5661" s="473"/>
      <c r="H5661" s="473"/>
      <c r="I5661" s="473"/>
      <c r="J5661" s="473"/>
      <c r="K5661" s="473"/>
      <c r="L5661" s="473"/>
      <c r="M5661" s="473"/>
    </row>
    <row r="5662" spans="5:13">
      <c r="E5662" s="473"/>
      <c r="F5662" s="473"/>
      <c r="G5662" s="473"/>
      <c r="H5662" s="473"/>
      <c r="I5662" s="473"/>
      <c r="J5662" s="473"/>
      <c r="K5662" s="473"/>
      <c r="L5662" s="473"/>
      <c r="M5662" s="473"/>
    </row>
    <row r="5663" spans="5:13">
      <c r="E5663" s="473"/>
      <c r="F5663" s="473"/>
      <c r="G5663" s="473"/>
      <c r="H5663" s="473"/>
      <c r="I5663" s="473"/>
      <c r="J5663" s="473"/>
      <c r="K5663" s="473"/>
      <c r="L5663" s="473"/>
      <c r="M5663" s="473"/>
    </row>
    <row r="5664" spans="5:13">
      <c r="E5664" s="473"/>
      <c r="F5664" s="473"/>
      <c r="G5664" s="473"/>
      <c r="H5664" s="473"/>
      <c r="I5664" s="473"/>
      <c r="J5664" s="473"/>
      <c r="K5664" s="473"/>
      <c r="L5664" s="473"/>
      <c r="M5664" s="473"/>
    </row>
    <row r="5665" spans="5:13">
      <c r="E5665" s="473"/>
      <c r="F5665" s="473"/>
      <c r="G5665" s="473"/>
      <c r="H5665" s="473"/>
      <c r="I5665" s="473"/>
      <c r="J5665" s="473"/>
      <c r="K5665" s="473"/>
      <c r="L5665" s="473"/>
      <c r="M5665" s="473"/>
    </row>
    <row r="5666" spans="5:13">
      <c r="E5666" s="473"/>
      <c r="F5666" s="473"/>
      <c r="G5666" s="473"/>
      <c r="H5666" s="473"/>
      <c r="I5666" s="473"/>
      <c r="J5666" s="473"/>
      <c r="K5666" s="473"/>
      <c r="L5666" s="473"/>
      <c r="M5666" s="473"/>
    </row>
    <row r="5667" spans="5:13">
      <c r="E5667" s="473"/>
      <c r="F5667" s="473"/>
      <c r="G5667" s="473"/>
      <c r="H5667" s="473"/>
      <c r="I5667" s="473"/>
      <c r="J5667" s="473"/>
      <c r="K5667" s="473"/>
      <c r="L5667" s="473"/>
      <c r="M5667" s="473"/>
    </row>
    <row r="5668" spans="5:13">
      <c r="E5668" s="473"/>
      <c r="F5668" s="473"/>
      <c r="G5668" s="473"/>
      <c r="H5668" s="473"/>
      <c r="I5668" s="473"/>
      <c r="J5668" s="473"/>
      <c r="K5668" s="473"/>
      <c r="L5668" s="473"/>
      <c r="M5668" s="473"/>
    </row>
    <row r="5669" spans="5:13">
      <c r="E5669" s="473"/>
      <c r="F5669" s="473"/>
      <c r="G5669" s="473"/>
      <c r="H5669" s="473"/>
      <c r="I5669" s="473"/>
      <c r="J5669" s="473"/>
      <c r="K5669" s="473"/>
      <c r="L5669" s="473"/>
      <c r="M5669" s="473"/>
    </row>
    <row r="5670" spans="5:13">
      <c r="E5670" s="473"/>
      <c r="F5670" s="473"/>
      <c r="G5670" s="473"/>
      <c r="H5670" s="473"/>
      <c r="I5670" s="473"/>
      <c r="J5670" s="473"/>
      <c r="K5670" s="473"/>
      <c r="L5670" s="473"/>
      <c r="M5670" s="473"/>
    </row>
    <row r="5671" spans="5:13">
      <c r="E5671" s="473"/>
      <c r="F5671" s="473"/>
      <c r="G5671" s="473"/>
      <c r="H5671" s="473"/>
      <c r="I5671" s="473"/>
      <c r="J5671" s="473"/>
      <c r="K5671" s="473"/>
      <c r="L5671" s="473"/>
      <c r="M5671" s="473"/>
    </row>
    <row r="5672" spans="5:13">
      <c r="E5672" s="473"/>
      <c r="F5672" s="473"/>
      <c r="G5672" s="473"/>
      <c r="H5672" s="473"/>
      <c r="I5672" s="473"/>
      <c r="J5672" s="473"/>
      <c r="K5672" s="473"/>
      <c r="L5672" s="473"/>
      <c r="M5672" s="473"/>
    </row>
    <row r="5673" spans="5:13">
      <c r="E5673" s="473"/>
      <c r="F5673" s="473"/>
      <c r="G5673" s="473"/>
      <c r="H5673" s="473"/>
      <c r="I5673" s="473"/>
      <c r="J5673" s="473"/>
      <c r="K5673" s="473"/>
      <c r="L5673" s="473"/>
      <c r="M5673" s="473"/>
    </row>
    <row r="5674" spans="5:13">
      <c r="E5674" s="473"/>
      <c r="F5674" s="473"/>
      <c r="G5674" s="473"/>
      <c r="H5674" s="473"/>
      <c r="I5674" s="473"/>
      <c r="J5674" s="473"/>
      <c r="K5674" s="473"/>
      <c r="L5674" s="473"/>
      <c r="M5674" s="473"/>
    </row>
    <row r="5675" spans="5:13">
      <c r="E5675" s="473"/>
      <c r="F5675" s="473"/>
      <c r="G5675" s="473"/>
      <c r="H5675" s="473"/>
      <c r="I5675" s="473"/>
      <c r="J5675" s="473"/>
      <c r="K5675" s="473"/>
      <c r="L5675" s="473"/>
      <c r="M5675" s="473"/>
    </row>
    <row r="5676" spans="5:13">
      <c r="E5676" s="473"/>
      <c r="F5676" s="473"/>
      <c r="G5676" s="473"/>
      <c r="H5676" s="473"/>
      <c r="I5676" s="473"/>
      <c r="J5676" s="473"/>
      <c r="K5676" s="473"/>
      <c r="L5676" s="473"/>
      <c r="M5676" s="473"/>
    </row>
    <row r="5677" spans="5:13">
      <c r="E5677" s="473"/>
      <c r="F5677" s="473"/>
      <c r="G5677" s="473"/>
      <c r="H5677" s="473"/>
      <c r="I5677" s="473"/>
      <c r="J5677" s="473"/>
      <c r="K5677" s="473"/>
      <c r="L5677" s="473"/>
      <c r="M5677" s="473"/>
    </row>
    <row r="5678" spans="5:13">
      <c r="E5678" s="473"/>
      <c r="F5678" s="473"/>
      <c r="G5678" s="473"/>
      <c r="H5678" s="473"/>
      <c r="I5678" s="473"/>
      <c r="J5678" s="473"/>
      <c r="K5678" s="473"/>
      <c r="L5678" s="473"/>
      <c r="M5678" s="473"/>
    </row>
    <row r="5679" spans="5:13">
      <c r="E5679" s="473"/>
      <c r="F5679" s="473"/>
      <c r="G5679" s="473"/>
      <c r="H5679" s="473"/>
      <c r="I5679" s="473"/>
      <c r="J5679" s="473"/>
      <c r="K5679" s="473"/>
      <c r="L5679" s="473"/>
      <c r="M5679" s="473"/>
    </row>
    <row r="5680" spans="5:13">
      <c r="E5680" s="473"/>
      <c r="F5680" s="473"/>
      <c r="G5680" s="473"/>
      <c r="H5680" s="473"/>
      <c r="I5680" s="473"/>
      <c r="J5680" s="473"/>
      <c r="K5680" s="473"/>
      <c r="L5680" s="473"/>
      <c r="M5680" s="473"/>
    </row>
    <row r="5681" spans="5:13">
      <c r="E5681" s="473"/>
      <c r="F5681" s="473"/>
      <c r="G5681" s="473"/>
      <c r="H5681" s="473"/>
      <c r="I5681" s="473"/>
      <c r="J5681" s="473"/>
      <c r="K5681" s="473"/>
      <c r="L5681" s="473"/>
      <c r="M5681" s="473"/>
    </row>
    <row r="5682" spans="5:13">
      <c r="E5682" s="473"/>
      <c r="F5682" s="473"/>
      <c r="G5682" s="473"/>
      <c r="H5682" s="473"/>
      <c r="I5682" s="473"/>
      <c r="J5682" s="473"/>
      <c r="K5682" s="473"/>
      <c r="L5682" s="473"/>
      <c r="M5682" s="473"/>
    </row>
    <row r="5683" spans="5:13">
      <c r="E5683" s="473"/>
      <c r="F5683" s="473"/>
      <c r="G5683" s="473"/>
      <c r="H5683" s="473"/>
      <c r="I5683" s="473"/>
      <c r="J5683" s="473"/>
      <c r="K5683" s="473"/>
      <c r="L5683" s="473"/>
      <c r="M5683" s="473"/>
    </row>
    <row r="5684" spans="5:13">
      <c r="E5684" s="473"/>
      <c r="F5684" s="473"/>
      <c r="G5684" s="473"/>
      <c r="H5684" s="473"/>
      <c r="I5684" s="473"/>
      <c r="J5684" s="473"/>
      <c r="K5684" s="473"/>
      <c r="L5684" s="473"/>
      <c r="M5684" s="473"/>
    </row>
    <row r="5685" spans="5:13">
      <c r="E5685" s="473"/>
      <c r="F5685" s="473"/>
      <c r="G5685" s="473"/>
      <c r="H5685" s="473"/>
      <c r="I5685" s="473"/>
      <c r="J5685" s="473"/>
      <c r="K5685" s="473"/>
      <c r="L5685" s="473"/>
      <c r="M5685" s="473"/>
    </row>
    <row r="5686" spans="5:13">
      <c r="E5686" s="473"/>
      <c r="F5686" s="473"/>
      <c r="G5686" s="473"/>
      <c r="H5686" s="473"/>
      <c r="I5686" s="473"/>
      <c r="J5686" s="473"/>
      <c r="K5686" s="473"/>
      <c r="L5686" s="473"/>
      <c r="M5686" s="473"/>
    </row>
    <row r="5687" spans="5:13">
      <c r="E5687" s="473"/>
      <c r="F5687" s="473"/>
      <c r="G5687" s="473"/>
      <c r="H5687" s="473"/>
      <c r="I5687" s="473"/>
      <c r="J5687" s="473"/>
      <c r="K5687" s="473"/>
      <c r="L5687" s="473"/>
      <c r="M5687" s="473"/>
    </row>
    <row r="5688" spans="5:13">
      <c r="E5688" s="473"/>
      <c r="F5688" s="473"/>
      <c r="G5688" s="473"/>
      <c r="H5688" s="473"/>
      <c r="I5688" s="473"/>
      <c r="J5688" s="473"/>
      <c r="K5688" s="473"/>
      <c r="L5688" s="473"/>
      <c r="M5688" s="473"/>
    </row>
    <row r="5689" spans="5:13">
      <c r="E5689" s="473"/>
      <c r="F5689" s="473"/>
      <c r="G5689" s="473"/>
      <c r="H5689" s="473"/>
      <c r="I5689" s="473"/>
      <c r="J5689" s="473"/>
      <c r="K5689" s="473"/>
      <c r="L5689" s="473"/>
      <c r="M5689" s="473"/>
    </row>
    <row r="5690" spans="5:13">
      <c r="E5690" s="473"/>
      <c r="F5690" s="473"/>
      <c r="G5690" s="473"/>
      <c r="H5690" s="473"/>
      <c r="I5690" s="473"/>
      <c r="J5690" s="473"/>
      <c r="K5690" s="473"/>
      <c r="L5690" s="473"/>
      <c r="M5690" s="473"/>
    </row>
    <row r="5691" spans="5:13">
      <c r="E5691" s="473"/>
      <c r="F5691" s="473"/>
      <c r="G5691" s="473"/>
      <c r="H5691" s="473"/>
      <c r="I5691" s="473"/>
      <c r="J5691" s="473"/>
      <c r="K5691" s="473"/>
      <c r="L5691" s="473"/>
      <c r="M5691" s="473"/>
    </row>
    <row r="5692" spans="5:13">
      <c r="E5692" s="473"/>
      <c r="F5692" s="473"/>
      <c r="G5692" s="473"/>
      <c r="H5692" s="473"/>
      <c r="I5692" s="473"/>
      <c r="J5692" s="473"/>
      <c r="K5692" s="473"/>
      <c r="L5692" s="473"/>
      <c r="M5692" s="473"/>
    </row>
    <row r="5693" spans="5:13">
      <c r="E5693" s="473"/>
      <c r="F5693" s="473"/>
      <c r="G5693" s="473"/>
      <c r="H5693" s="473"/>
      <c r="I5693" s="473"/>
      <c r="J5693" s="473"/>
      <c r="K5693" s="473"/>
      <c r="L5693" s="473"/>
      <c r="M5693" s="473"/>
    </row>
    <row r="5694" spans="5:13">
      <c r="E5694" s="473"/>
      <c r="F5694" s="473"/>
      <c r="G5694" s="473"/>
      <c r="H5694" s="473"/>
      <c r="I5694" s="473"/>
      <c r="J5694" s="473"/>
      <c r="K5694" s="473"/>
      <c r="L5694" s="473"/>
      <c r="M5694" s="473"/>
    </row>
    <row r="5695" spans="5:13">
      <c r="E5695" s="473"/>
      <c r="F5695" s="473"/>
      <c r="G5695" s="473"/>
      <c r="H5695" s="473"/>
      <c r="I5695" s="473"/>
      <c r="J5695" s="473"/>
      <c r="K5695" s="473"/>
      <c r="L5695" s="473"/>
      <c r="M5695" s="473"/>
    </row>
    <row r="5696" spans="5:13">
      <c r="E5696" s="473"/>
      <c r="F5696" s="473"/>
      <c r="G5696" s="473"/>
      <c r="H5696" s="473"/>
      <c r="I5696" s="473"/>
      <c r="J5696" s="473"/>
      <c r="K5696" s="473"/>
      <c r="L5696" s="473"/>
      <c r="M5696" s="473"/>
    </row>
    <row r="5697" spans="5:13">
      <c r="E5697" s="473"/>
      <c r="F5697" s="473"/>
      <c r="G5697" s="473"/>
      <c r="H5697" s="473"/>
      <c r="I5697" s="473"/>
      <c r="J5697" s="473"/>
      <c r="K5697" s="473"/>
      <c r="L5697" s="473"/>
      <c r="M5697" s="473"/>
    </row>
    <row r="5698" spans="5:13">
      <c r="E5698" s="473"/>
      <c r="F5698" s="473"/>
      <c r="G5698" s="473"/>
      <c r="H5698" s="473"/>
      <c r="I5698" s="473"/>
      <c r="J5698" s="473"/>
      <c r="K5698" s="473"/>
      <c r="L5698" s="473"/>
      <c r="M5698" s="473"/>
    </row>
    <row r="5699" spans="5:13">
      <c r="E5699" s="473"/>
      <c r="F5699" s="473"/>
      <c r="G5699" s="473"/>
      <c r="H5699" s="473"/>
      <c r="I5699" s="473"/>
      <c r="J5699" s="473"/>
      <c r="K5699" s="473"/>
      <c r="L5699" s="473"/>
      <c r="M5699" s="473"/>
    </row>
    <row r="5700" spans="5:13">
      <c r="E5700" s="473"/>
      <c r="F5700" s="473"/>
      <c r="G5700" s="473"/>
      <c r="H5700" s="473"/>
      <c r="I5700" s="473"/>
      <c r="J5700" s="473"/>
      <c r="K5700" s="473"/>
      <c r="L5700" s="473"/>
      <c r="M5700" s="473"/>
    </row>
    <row r="5701" spans="5:13">
      <c r="E5701" s="473"/>
      <c r="F5701" s="473"/>
      <c r="G5701" s="473"/>
      <c r="H5701" s="473"/>
      <c r="I5701" s="473"/>
      <c r="J5701" s="473"/>
      <c r="K5701" s="473"/>
      <c r="L5701" s="473"/>
      <c r="M5701" s="473"/>
    </row>
    <row r="5702" spans="5:13">
      <c r="E5702" s="473"/>
      <c r="F5702" s="473"/>
      <c r="G5702" s="473"/>
      <c r="H5702" s="473"/>
      <c r="I5702" s="473"/>
      <c r="J5702" s="473"/>
      <c r="K5702" s="473"/>
      <c r="L5702" s="473"/>
      <c r="M5702" s="473"/>
    </row>
    <row r="5703" spans="5:13">
      <c r="E5703" s="473"/>
      <c r="F5703" s="473"/>
      <c r="G5703" s="473"/>
      <c r="H5703" s="473"/>
      <c r="I5703" s="473"/>
      <c r="J5703" s="473"/>
      <c r="K5703" s="473"/>
      <c r="L5703" s="473"/>
      <c r="M5703" s="473"/>
    </row>
    <row r="5704" spans="5:13">
      <c r="E5704" s="473"/>
      <c r="F5704" s="473"/>
      <c r="G5704" s="473"/>
      <c r="H5704" s="473"/>
      <c r="I5704" s="473"/>
      <c r="J5704" s="473"/>
      <c r="K5704" s="473"/>
      <c r="L5704" s="473"/>
      <c r="M5704" s="473"/>
    </row>
    <row r="5705" spans="5:13">
      <c r="E5705" s="473"/>
      <c r="F5705" s="473"/>
      <c r="G5705" s="473"/>
      <c r="H5705" s="473"/>
      <c r="I5705" s="473"/>
      <c r="J5705" s="473"/>
      <c r="K5705" s="473"/>
      <c r="L5705" s="473"/>
      <c r="M5705" s="473"/>
    </row>
    <row r="5706" spans="5:13">
      <c r="E5706" s="473"/>
      <c r="F5706" s="473"/>
      <c r="G5706" s="473"/>
      <c r="H5706" s="473"/>
      <c r="I5706" s="473"/>
      <c r="J5706" s="473"/>
      <c r="K5706" s="473"/>
      <c r="L5706" s="473"/>
      <c r="M5706" s="473"/>
    </row>
    <row r="5707" spans="5:13">
      <c r="E5707" s="473"/>
      <c r="F5707" s="473"/>
      <c r="G5707" s="473"/>
      <c r="H5707" s="473"/>
      <c r="I5707" s="473"/>
      <c r="J5707" s="473"/>
      <c r="K5707" s="473"/>
      <c r="L5707" s="473"/>
      <c r="M5707" s="473"/>
    </row>
    <row r="5708" spans="5:13">
      <c r="E5708" s="473"/>
      <c r="F5708" s="473"/>
      <c r="G5708" s="473"/>
      <c r="H5708" s="473"/>
      <c r="I5708" s="473"/>
      <c r="J5708" s="473"/>
      <c r="K5708" s="473"/>
      <c r="L5708" s="473"/>
      <c r="M5708" s="473"/>
    </row>
    <row r="5709" spans="5:13">
      <c r="E5709" s="473"/>
      <c r="F5709" s="473"/>
      <c r="G5709" s="473"/>
      <c r="H5709" s="473"/>
      <c r="I5709" s="473"/>
      <c r="J5709" s="473"/>
      <c r="K5709" s="473"/>
      <c r="L5709" s="473"/>
      <c r="M5709" s="473"/>
    </row>
    <row r="5710" spans="5:13">
      <c r="E5710" s="473"/>
      <c r="F5710" s="473"/>
      <c r="G5710" s="473"/>
      <c r="H5710" s="473"/>
      <c r="I5710" s="473"/>
      <c r="J5710" s="473"/>
      <c r="K5710" s="473"/>
      <c r="L5710" s="473"/>
      <c r="M5710" s="473"/>
    </row>
    <row r="5711" spans="5:13">
      <c r="E5711" s="473"/>
      <c r="F5711" s="473"/>
      <c r="G5711" s="473"/>
      <c r="H5711" s="473"/>
      <c r="I5711" s="473"/>
      <c r="J5711" s="473"/>
      <c r="K5711" s="473"/>
      <c r="L5711" s="473"/>
      <c r="M5711" s="473"/>
    </row>
    <row r="5712" spans="5:13">
      <c r="E5712" s="473"/>
      <c r="F5712" s="473"/>
      <c r="G5712" s="473"/>
      <c r="H5712" s="473"/>
      <c r="I5712" s="473"/>
      <c r="J5712" s="473"/>
      <c r="K5712" s="473"/>
      <c r="L5712" s="473"/>
      <c r="M5712" s="473"/>
    </row>
    <row r="5713" spans="5:13">
      <c r="E5713" s="473"/>
      <c r="F5713" s="473"/>
      <c r="G5713" s="473"/>
      <c r="H5713" s="473"/>
      <c r="I5713" s="473"/>
      <c r="J5713" s="473"/>
      <c r="K5713" s="473"/>
      <c r="L5713" s="473"/>
      <c r="M5713" s="473"/>
    </row>
    <row r="5714" spans="5:13">
      <c r="E5714" s="473"/>
      <c r="F5714" s="473"/>
      <c r="G5714" s="473"/>
      <c r="H5714" s="473"/>
      <c r="I5714" s="473"/>
      <c r="J5714" s="473"/>
      <c r="K5714" s="473"/>
      <c r="L5714" s="473"/>
      <c r="M5714" s="473"/>
    </row>
    <row r="5715" spans="5:13">
      <c r="E5715" s="473"/>
      <c r="F5715" s="473"/>
      <c r="G5715" s="473"/>
      <c r="H5715" s="473"/>
      <c r="I5715" s="473"/>
      <c r="J5715" s="473"/>
      <c r="K5715" s="473"/>
      <c r="L5715" s="473"/>
      <c r="M5715" s="473"/>
    </row>
    <row r="5716" spans="5:13">
      <c r="E5716" s="473"/>
      <c r="F5716" s="473"/>
      <c r="G5716" s="473"/>
      <c r="H5716" s="473"/>
      <c r="I5716" s="473"/>
      <c r="J5716" s="473"/>
      <c r="K5716" s="473"/>
      <c r="L5716" s="473"/>
      <c r="M5716" s="473"/>
    </row>
    <row r="5717" spans="5:13">
      <c r="E5717" s="473"/>
      <c r="F5717" s="473"/>
      <c r="G5717" s="473"/>
      <c r="H5717" s="473"/>
      <c r="I5717" s="473"/>
      <c r="J5717" s="473"/>
      <c r="K5717" s="473"/>
      <c r="L5717" s="473"/>
      <c r="M5717" s="473"/>
    </row>
    <row r="5718" spans="5:13">
      <c r="E5718" s="473"/>
      <c r="F5718" s="473"/>
      <c r="G5718" s="473"/>
      <c r="H5718" s="473"/>
      <c r="I5718" s="473"/>
      <c r="J5718" s="473"/>
      <c r="K5718" s="473"/>
      <c r="L5718" s="473"/>
      <c r="M5718" s="473"/>
    </row>
    <row r="5719" spans="5:13">
      <c r="E5719" s="473"/>
      <c r="F5719" s="473"/>
      <c r="G5719" s="473"/>
      <c r="H5719" s="473"/>
      <c r="I5719" s="473"/>
      <c r="J5719" s="473"/>
      <c r="K5719" s="473"/>
      <c r="L5719" s="473"/>
      <c r="M5719" s="473"/>
    </row>
    <row r="5720" spans="5:13">
      <c r="E5720" s="473"/>
      <c r="F5720" s="473"/>
      <c r="G5720" s="473"/>
      <c r="H5720" s="473"/>
      <c r="I5720" s="473"/>
      <c r="J5720" s="473"/>
      <c r="K5720" s="473"/>
      <c r="L5720" s="473"/>
      <c r="M5720" s="473"/>
    </row>
    <row r="5721" spans="5:13">
      <c r="E5721" s="473"/>
      <c r="F5721" s="473"/>
      <c r="G5721" s="473"/>
      <c r="H5721" s="473"/>
      <c r="I5721" s="473"/>
      <c r="J5721" s="473"/>
      <c r="K5721" s="473"/>
      <c r="L5721" s="473"/>
      <c r="M5721" s="473"/>
    </row>
    <row r="5722" spans="5:13">
      <c r="E5722" s="473"/>
      <c r="F5722" s="473"/>
      <c r="G5722" s="473"/>
      <c r="H5722" s="473"/>
      <c r="I5722" s="473"/>
      <c r="J5722" s="473"/>
      <c r="K5722" s="473"/>
      <c r="L5722" s="473"/>
      <c r="M5722" s="473"/>
    </row>
    <row r="5723" spans="5:13">
      <c r="E5723" s="473"/>
      <c r="F5723" s="473"/>
      <c r="G5723" s="473"/>
      <c r="H5723" s="473"/>
      <c r="I5723" s="473"/>
      <c r="J5723" s="473"/>
      <c r="K5723" s="473"/>
      <c r="L5723" s="473"/>
      <c r="M5723" s="473"/>
    </row>
    <row r="5724" spans="5:13">
      <c r="E5724" s="473"/>
      <c r="F5724" s="473"/>
      <c r="G5724" s="473"/>
      <c r="H5724" s="473"/>
      <c r="I5724" s="473"/>
      <c r="J5724" s="473"/>
      <c r="K5724" s="473"/>
      <c r="L5724" s="473"/>
      <c r="M5724" s="473"/>
    </row>
    <row r="5725" spans="5:13">
      <c r="E5725" s="473"/>
      <c r="F5725" s="473"/>
      <c r="G5725" s="473"/>
      <c r="H5725" s="473"/>
      <c r="I5725" s="473"/>
      <c r="J5725" s="473"/>
      <c r="K5725" s="473"/>
      <c r="L5725" s="473"/>
      <c r="M5725" s="473"/>
    </row>
    <row r="5726" spans="5:13">
      <c r="E5726" s="473"/>
      <c r="F5726" s="473"/>
      <c r="G5726" s="473"/>
      <c r="H5726" s="473"/>
      <c r="I5726" s="473"/>
      <c r="J5726" s="473"/>
      <c r="K5726" s="473"/>
      <c r="L5726" s="473"/>
      <c r="M5726" s="473"/>
    </row>
    <row r="5727" spans="5:13">
      <c r="E5727" s="473"/>
      <c r="F5727" s="473"/>
      <c r="G5727" s="473"/>
      <c r="H5727" s="473"/>
      <c r="I5727" s="473"/>
      <c r="J5727" s="473"/>
      <c r="K5727" s="473"/>
      <c r="L5727" s="473"/>
      <c r="M5727" s="473"/>
    </row>
    <row r="5728" spans="5:13">
      <c r="E5728" s="473"/>
      <c r="F5728" s="473"/>
      <c r="G5728" s="473"/>
      <c r="H5728" s="473"/>
      <c r="I5728" s="473"/>
      <c r="J5728" s="473"/>
      <c r="K5728" s="473"/>
      <c r="L5728" s="473"/>
      <c r="M5728" s="473"/>
    </row>
    <row r="5729" spans="5:13">
      <c r="E5729" s="473"/>
      <c r="F5729" s="473"/>
      <c r="G5729" s="473"/>
      <c r="H5729" s="473"/>
      <c r="I5729" s="473"/>
      <c r="J5729" s="473"/>
      <c r="K5729" s="473"/>
      <c r="L5729" s="473"/>
      <c r="M5729" s="473"/>
    </row>
    <row r="5730" spans="5:13">
      <c r="E5730" s="473"/>
      <c r="F5730" s="473"/>
      <c r="G5730" s="473"/>
      <c r="H5730" s="473"/>
      <c r="I5730" s="473"/>
      <c r="J5730" s="473"/>
      <c r="K5730" s="473"/>
      <c r="L5730" s="473"/>
      <c r="M5730" s="473"/>
    </row>
    <row r="5731" spans="5:13">
      <c r="E5731" s="473"/>
      <c r="F5731" s="473"/>
      <c r="G5731" s="473"/>
      <c r="H5731" s="473"/>
      <c r="I5731" s="473"/>
      <c r="J5731" s="473"/>
      <c r="K5731" s="473"/>
      <c r="L5731" s="473"/>
      <c r="M5731" s="473"/>
    </row>
    <row r="5732" spans="5:13">
      <c r="E5732" s="473"/>
      <c r="F5732" s="473"/>
      <c r="G5732" s="473"/>
      <c r="H5732" s="473"/>
      <c r="I5732" s="473"/>
      <c r="J5732" s="473"/>
      <c r="K5732" s="473"/>
      <c r="L5732" s="473"/>
      <c r="M5732" s="473"/>
    </row>
    <row r="5733" spans="5:13">
      <c r="E5733" s="473"/>
      <c r="F5733" s="473"/>
      <c r="G5733" s="473"/>
      <c r="H5733" s="473"/>
      <c r="I5733" s="473"/>
      <c r="J5733" s="473"/>
      <c r="K5733" s="473"/>
      <c r="L5733" s="473"/>
      <c r="M5733" s="473"/>
    </row>
    <row r="5734" spans="5:13">
      <c r="E5734" s="473"/>
      <c r="F5734" s="473"/>
      <c r="G5734" s="473"/>
      <c r="H5734" s="473"/>
      <c r="I5734" s="473"/>
      <c r="J5734" s="473"/>
      <c r="K5734" s="473"/>
      <c r="L5734" s="473"/>
      <c r="M5734" s="473"/>
    </row>
    <row r="5735" spans="5:13">
      <c r="E5735" s="473"/>
      <c r="F5735" s="473"/>
      <c r="G5735" s="473"/>
      <c r="H5735" s="473"/>
      <c r="I5735" s="473"/>
      <c r="J5735" s="473"/>
      <c r="K5735" s="473"/>
      <c r="L5735" s="473"/>
      <c r="M5735" s="473"/>
    </row>
    <row r="5736" spans="5:13">
      <c r="E5736" s="473"/>
      <c r="F5736" s="473"/>
      <c r="G5736" s="473"/>
      <c r="H5736" s="473"/>
      <c r="I5736" s="473"/>
      <c r="J5736" s="473"/>
      <c r="K5736" s="473"/>
      <c r="L5736" s="473"/>
      <c r="M5736" s="473"/>
    </row>
    <row r="5737" spans="5:13">
      <c r="E5737" s="473"/>
      <c r="F5737" s="473"/>
      <c r="G5737" s="473"/>
      <c r="H5737" s="473"/>
      <c r="I5737" s="473"/>
      <c r="J5737" s="473"/>
      <c r="K5737" s="473"/>
      <c r="L5737" s="473"/>
      <c r="M5737" s="473"/>
    </row>
    <row r="5738" spans="5:13">
      <c r="E5738" s="473"/>
      <c r="F5738" s="473"/>
      <c r="G5738" s="473"/>
      <c r="H5738" s="473"/>
      <c r="I5738" s="473"/>
      <c r="J5738" s="473"/>
      <c r="K5738" s="473"/>
      <c r="L5738" s="473"/>
      <c r="M5738" s="473"/>
    </row>
    <row r="5739" spans="5:13">
      <c r="E5739" s="473"/>
      <c r="F5739" s="473"/>
      <c r="G5739" s="473"/>
      <c r="H5739" s="473"/>
      <c r="I5739" s="473"/>
      <c r="J5739" s="473"/>
      <c r="K5739" s="473"/>
      <c r="L5739" s="473"/>
      <c r="M5739" s="473"/>
    </row>
    <row r="5740" spans="5:13">
      <c r="E5740" s="473"/>
      <c r="F5740" s="473"/>
      <c r="G5740" s="473"/>
      <c r="H5740" s="473"/>
      <c r="I5740" s="473"/>
      <c r="J5740" s="473"/>
      <c r="K5740" s="473"/>
      <c r="L5740" s="473"/>
      <c r="M5740" s="473"/>
    </row>
    <row r="5741" spans="5:13">
      <c r="E5741" s="473"/>
      <c r="F5741" s="473"/>
      <c r="G5741" s="473"/>
      <c r="H5741" s="473"/>
      <c r="I5741" s="473"/>
      <c r="J5741" s="473"/>
      <c r="K5741" s="473"/>
      <c r="L5741" s="473"/>
      <c r="M5741" s="473"/>
    </row>
    <row r="5742" spans="5:13">
      <c r="E5742" s="473"/>
      <c r="F5742" s="473"/>
      <c r="G5742" s="473"/>
      <c r="H5742" s="473"/>
      <c r="I5742" s="473"/>
      <c r="J5742" s="473"/>
      <c r="K5742" s="473"/>
      <c r="L5742" s="473"/>
      <c r="M5742" s="473"/>
    </row>
    <row r="5743" spans="5:13">
      <c r="E5743" s="473"/>
      <c r="F5743" s="473"/>
      <c r="G5743" s="473"/>
      <c r="H5743" s="473"/>
      <c r="I5743" s="473"/>
      <c r="J5743" s="473"/>
      <c r="K5743" s="473"/>
      <c r="L5743" s="473"/>
      <c r="M5743" s="473"/>
    </row>
    <row r="5744" spans="5:13">
      <c r="E5744" s="473"/>
      <c r="F5744" s="473"/>
      <c r="G5744" s="473"/>
      <c r="H5744" s="473"/>
      <c r="I5744" s="473"/>
      <c r="J5744" s="473"/>
      <c r="K5744" s="473"/>
      <c r="L5744" s="473"/>
      <c r="M5744" s="473"/>
    </row>
    <row r="5745" spans="5:13">
      <c r="E5745" s="473"/>
      <c r="F5745" s="473"/>
      <c r="G5745" s="473"/>
      <c r="H5745" s="473"/>
      <c r="I5745" s="473"/>
      <c r="J5745" s="473"/>
      <c r="K5745" s="473"/>
      <c r="L5745" s="473"/>
      <c r="M5745" s="473"/>
    </row>
    <row r="5746" spans="5:13">
      <c r="E5746" s="473"/>
      <c r="F5746" s="473"/>
      <c r="G5746" s="473"/>
      <c r="H5746" s="473"/>
      <c r="I5746" s="473"/>
      <c r="J5746" s="473"/>
      <c r="K5746" s="473"/>
      <c r="L5746" s="473"/>
      <c r="M5746" s="473"/>
    </row>
    <row r="5747" spans="5:13">
      <c r="E5747" s="473"/>
      <c r="F5747" s="473"/>
      <c r="G5747" s="473"/>
      <c r="H5747" s="473"/>
      <c r="I5747" s="473"/>
      <c r="J5747" s="473"/>
      <c r="K5747" s="473"/>
      <c r="L5747" s="473"/>
      <c r="M5747" s="473"/>
    </row>
    <row r="5748" spans="5:13">
      <c r="E5748" s="473"/>
      <c r="F5748" s="473"/>
      <c r="G5748" s="473"/>
      <c r="H5748" s="473"/>
      <c r="I5748" s="473"/>
      <c r="J5748" s="473"/>
      <c r="K5748" s="473"/>
      <c r="L5748" s="473"/>
      <c r="M5748" s="473"/>
    </row>
    <row r="5749" spans="5:13">
      <c r="E5749" s="473"/>
      <c r="F5749" s="473"/>
      <c r="G5749" s="473"/>
      <c r="H5749" s="473"/>
      <c r="I5749" s="473"/>
      <c r="J5749" s="473"/>
      <c r="K5749" s="473"/>
      <c r="L5749" s="473"/>
      <c r="M5749" s="473"/>
    </row>
    <row r="5750" spans="5:13">
      <c r="E5750" s="473"/>
      <c r="F5750" s="473"/>
      <c r="G5750" s="473"/>
      <c r="H5750" s="473"/>
      <c r="I5750" s="473"/>
      <c r="J5750" s="473"/>
      <c r="K5750" s="473"/>
      <c r="L5750" s="473"/>
      <c r="M5750" s="473"/>
    </row>
    <row r="5751" spans="5:13">
      <c r="E5751" s="473"/>
      <c r="F5751" s="473"/>
      <c r="G5751" s="473"/>
      <c r="H5751" s="473"/>
      <c r="I5751" s="473"/>
      <c r="J5751" s="473"/>
      <c r="K5751" s="473"/>
      <c r="L5751" s="473"/>
      <c r="M5751" s="473"/>
    </row>
    <row r="5752" spans="5:13">
      <c r="E5752" s="473"/>
      <c r="F5752" s="473"/>
      <c r="G5752" s="473"/>
      <c r="H5752" s="473"/>
      <c r="I5752" s="473"/>
      <c r="J5752" s="473"/>
      <c r="K5752" s="473"/>
      <c r="L5752" s="473"/>
      <c r="M5752" s="473"/>
    </row>
    <row r="5753" spans="5:13">
      <c r="E5753" s="473"/>
      <c r="F5753" s="473"/>
      <c r="G5753" s="473"/>
      <c r="H5753" s="473"/>
      <c r="I5753" s="473"/>
      <c r="J5753" s="473"/>
      <c r="K5753" s="473"/>
      <c r="L5753" s="473"/>
      <c r="M5753" s="473"/>
    </row>
    <row r="5754" spans="5:13">
      <c r="E5754" s="473"/>
      <c r="F5754" s="473"/>
      <c r="G5754" s="473"/>
      <c r="H5754" s="473"/>
      <c r="I5754" s="473"/>
      <c r="J5754" s="473"/>
      <c r="K5754" s="473"/>
      <c r="L5754" s="473"/>
      <c r="M5754" s="473"/>
    </row>
    <row r="5755" spans="5:13">
      <c r="E5755" s="473"/>
      <c r="F5755" s="473"/>
      <c r="G5755" s="473"/>
      <c r="H5755" s="473"/>
      <c r="I5755" s="473"/>
      <c r="J5755" s="473"/>
      <c r="K5755" s="473"/>
      <c r="L5755" s="473"/>
      <c r="M5755" s="473"/>
    </row>
    <row r="5756" spans="5:13">
      <c r="E5756" s="473"/>
      <c r="F5756" s="473"/>
      <c r="G5756" s="473"/>
      <c r="H5756" s="473"/>
      <c r="I5756" s="473"/>
      <c r="J5756" s="473"/>
      <c r="K5756" s="473"/>
      <c r="L5756" s="473"/>
      <c r="M5756" s="473"/>
    </row>
    <row r="5757" spans="5:13">
      <c r="E5757" s="473"/>
      <c r="F5757" s="473"/>
      <c r="G5757" s="473"/>
      <c r="H5757" s="473"/>
      <c r="I5757" s="473"/>
      <c r="J5757" s="473"/>
      <c r="K5757" s="473"/>
      <c r="L5757" s="473"/>
      <c r="M5757" s="473"/>
    </row>
    <row r="5758" spans="5:13">
      <c r="E5758" s="473"/>
      <c r="F5758" s="473"/>
      <c r="G5758" s="473"/>
      <c r="H5758" s="473"/>
      <c r="I5758" s="473"/>
      <c r="J5758" s="473"/>
      <c r="K5758" s="473"/>
      <c r="L5758" s="473"/>
      <c r="M5758" s="473"/>
    </row>
    <row r="5759" spans="5:13">
      <c r="E5759" s="473"/>
      <c r="F5759" s="473"/>
      <c r="G5759" s="473"/>
      <c r="H5759" s="473"/>
      <c r="I5759" s="473"/>
      <c r="J5759" s="473"/>
      <c r="K5759" s="473"/>
      <c r="L5759" s="473"/>
      <c r="M5759" s="473"/>
    </row>
    <row r="5760" spans="5:13">
      <c r="E5760" s="473"/>
      <c r="F5760" s="473"/>
      <c r="G5760" s="473"/>
      <c r="H5760" s="473"/>
      <c r="I5760" s="473"/>
      <c r="J5760" s="473"/>
      <c r="K5760" s="473"/>
      <c r="L5760" s="473"/>
      <c r="M5760" s="473"/>
    </row>
    <row r="5761" spans="5:13">
      <c r="E5761" s="473"/>
      <c r="F5761" s="473"/>
      <c r="G5761" s="473"/>
      <c r="H5761" s="473"/>
      <c r="I5761" s="473"/>
      <c r="J5761" s="473"/>
      <c r="K5761" s="473"/>
      <c r="L5761" s="473"/>
      <c r="M5761" s="473"/>
    </row>
    <row r="5762" spans="5:13">
      <c r="E5762" s="473"/>
      <c r="F5762" s="473"/>
      <c r="G5762" s="473"/>
      <c r="H5762" s="473"/>
      <c r="I5762" s="473"/>
      <c r="J5762" s="473"/>
      <c r="K5762" s="473"/>
      <c r="L5762" s="473"/>
      <c r="M5762" s="473"/>
    </row>
    <row r="5763" spans="5:13">
      <c r="E5763" s="473"/>
      <c r="F5763" s="473"/>
      <c r="G5763" s="473"/>
      <c r="H5763" s="473"/>
      <c r="I5763" s="473"/>
      <c r="J5763" s="473"/>
      <c r="K5763" s="473"/>
      <c r="L5763" s="473"/>
      <c r="M5763" s="473"/>
    </row>
    <row r="5764" spans="5:13">
      <c r="E5764" s="473"/>
      <c r="F5764" s="473"/>
      <c r="G5764" s="473"/>
      <c r="H5764" s="473"/>
      <c r="I5764" s="473"/>
      <c r="J5764" s="473"/>
      <c r="K5764" s="473"/>
      <c r="L5764" s="473"/>
      <c r="M5764" s="473"/>
    </row>
    <row r="5765" spans="5:13">
      <c r="E5765" s="473"/>
      <c r="F5765" s="473"/>
      <c r="G5765" s="473"/>
      <c r="H5765" s="473"/>
      <c r="I5765" s="473"/>
      <c r="J5765" s="473"/>
      <c r="K5765" s="473"/>
      <c r="L5765" s="473"/>
      <c r="M5765" s="473"/>
    </row>
    <row r="5766" spans="5:13">
      <c r="E5766" s="473"/>
      <c r="F5766" s="473"/>
      <c r="G5766" s="473"/>
      <c r="H5766" s="473"/>
      <c r="I5766" s="473"/>
      <c r="J5766" s="473"/>
      <c r="K5766" s="473"/>
      <c r="L5766" s="473"/>
      <c r="M5766" s="473"/>
    </row>
    <row r="5767" spans="5:13">
      <c r="E5767" s="473"/>
      <c r="F5767" s="473"/>
      <c r="G5767" s="473"/>
      <c r="H5767" s="473"/>
      <c r="I5767" s="473"/>
      <c r="J5767" s="473"/>
      <c r="K5767" s="473"/>
      <c r="L5767" s="473"/>
      <c r="M5767" s="473"/>
    </row>
    <row r="5768" spans="5:13">
      <c r="E5768" s="473"/>
      <c r="F5768" s="473"/>
      <c r="G5768" s="473"/>
      <c r="H5768" s="473"/>
      <c r="I5768" s="473"/>
      <c r="J5768" s="473"/>
      <c r="K5768" s="473"/>
      <c r="L5768" s="473"/>
      <c r="M5768" s="473"/>
    </row>
    <row r="5769" spans="5:13">
      <c r="E5769" s="473"/>
      <c r="F5769" s="473"/>
      <c r="G5769" s="473"/>
      <c r="H5769" s="473"/>
      <c r="I5769" s="473"/>
      <c r="J5769" s="473"/>
      <c r="K5769" s="473"/>
      <c r="L5769" s="473"/>
      <c r="M5769" s="473"/>
    </row>
    <row r="5770" spans="5:13">
      <c r="E5770" s="473"/>
      <c r="F5770" s="473"/>
      <c r="G5770" s="473"/>
      <c r="H5770" s="473"/>
      <c r="I5770" s="473"/>
      <c r="J5770" s="473"/>
      <c r="K5770" s="473"/>
      <c r="L5770" s="473"/>
      <c r="M5770" s="473"/>
    </row>
    <row r="5771" spans="5:13">
      <c r="E5771" s="473"/>
      <c r="F5771" s="473"/>
      <c r="G5771" s="473"/>
      <c r="H5771" s="473"/>
      <c r="I5771" s="473"/>
      <c r="J5771" s="473"/>
      <c r="K5771" s="473"/>
      <c r="L5771" s="473"/>
      <c r="M5771" s="473"/>
    </row>
    <row r="5772" spans="5:13">
      <c r="E5772" s="473"/>
      <c r="F5772" s="473"/>
      <c r="G5772" s="473"/>
      <c r="H5772" s="473"/>
      <c r="I5772" s="473"/>
      <c r="J5772" s="473"/>
      <c r="K5772" s="473"/>
      <c r="L5772" s="473"/>
      <c r="M5772" s="473"/>
    </row>
    <row r="5773" spans="5:13">
      <c r="E5773" s="473"/>
      <c r="F5773" s="473"/>
      <c r="G5773" s="473"/>
      <c r="H5773" s="473"/>
      <c r="I5773" s="473"/>
      <c r="J5773" s="473"/>
      <c r="K5773" s="473"/>
      <c r="L5773" s="473"/>
      <c r="M5773" s="473"/>
    </row>
    <row r="5774" spans="5:13">
      <c r="E5774" s="473"/>
      <c r="F5774" s="473"/>
      <c r="G5774" s="473"/>
      <c r="H5774" s="473"/>
      <c r="I5774" s="473"/>
      <c r="J5774" s="473"/>
      <c r="K5774" s="473"/>
      <c r="L5774" s="473"/>
      <c r="M5774" s="473"/>
    </row>
    <row r="5775" spans="5:13">
      <c r="E5775" s="473"/>
      <c r="F5775" s="473"/>
      <c r="G5775" s="473"/>
      <c r="H5775" s="473"/>
      <c r="I5775" s="473"/>
      <c r="J5775" s="473"/>
      <c r="K5775" s="473"/>
      <c r="L5775" s="473"/>
      <c r="M5775" s="473"/>
    </row>
    <row r="5776" spans="5:13">
      <c r="E5776" s="473"/>
      <c r="F5776" s="473"/>
      <c r="G5776" s="473"/>
      <c r="H5776" s="473"/>
      <c r="I5776" s="473"/>
      <c r="J5776" s="473"/>
      <c r="K5776" s="473"/>
      <c r="L5776" s="473"/>
      <c r="M5776" s="473"/>
    </row>
    <row r="5777" spans="5:13">
      <c r="E5777" s="473"/>
      <c r="F5777" s="473"/>
      <c r="G5777" s="473"/>
      <c r="H5777" s="473"/>
      <c r="I5777" s="473"/>
      <c r="J5777" s="473"/>
      <c r="K5777" s="473"/>
      <c r="L5777" s="473"/>
      <c r="M5777" s="473"/>
    </row>
    <row r="5778" spans="5:13">
      <c r="E5778" s="473"/>
      <c r="F5778" s="473"/>
      <c r="G5778" s="473"/>
      <c r="H5778" s="473"/>
      <c r="I5778" s="473"/>
      <c r="J5778" s="473"/>
      <c r="K5778" s="473"/>
      <c r="L5778" s="473"/>
      <c r="M5778" s="473"/>
    </row>
    <row r="5779" spans="5:13">
      <c r="E5779" s="473"/>
      <c r="F5779" s="473"/>
      <c r="G5779" s="473"/>
      <c r="H5779" s="473"/>
      <c r="I5779" s="473"/>
      <c r="J5779" s="473"/>
      <c r="K5779" s="473"/>
      <c r="L5779" s="473"/>
      <c r="M5779" s="473"/>
    </row>
    <row r="5780" spans="5:13">
      <c r="E5780" s="473"/>
      <c r="F5780" s="473"/>
      <c r="G5780" s="473"/>
      <c r="H5780" s="473"/>
      <c r="I5780" s="473"/>
      <c r="J5780" s="473"/>
      <c r="K5780" s="473"/>
      <c r="L5780" s="473"/>
      <c r="M5780" s="473"/>
    </row>
    <row r="5781" spans="5:13">
      <c r="E5781" s="473"/>
      <c r="F5781" s="473"/>
      <c r="G5781" s="473"/>
      <c r="H5781" s="473"/>
      <c r="I5781" s="473"/>
      <c r="J5781" s="473"/>
      <c r="K5781" s="473"/>
      <c r="L5781" s="473"/>
      <c r="M5781" s="473"/>
    </row>
    <row r="5782" spans="5:13">
      <c r="E5782" s="473"/>
      <c r="F5782" s="473"/>
      <c r="G5782" s="473"/>
      <c r="H5782" s="473"/>
      <c r="I5782" s="473"/>
      <c r="J5782" s="473"/>
      <c r="K5782" s="473"/>
      <c r="L5782" s="473"/>
      <c r="M5782" s="473"/>
    </row>
    <row r="5783" spans="5:13">
      <c r="E5783" s="473"/>
      <c r="F5783" s="473"/>
      <c r="G5783" s="473"/>
      <c r="H5783" s="473"/>
      <c r="I5783" s="473"/>
      <c r="J5783" s="473"/>
      <c r="K5783" s="473"/>
      <c r="L5783" s="473"/>
      <c r="M5783" s="473"/>
    </row>
    <row r="5784" spans="5:13">
      <c r="E5784" s="473"/>
      <c r="F5784" s="473"/>
      <c r="G5784" s="473"/>
      <c r="H5784" s="473"/>
      <c r="I5784" s="473"/>
      <c r="J5784" s="473"/>
      <c r="K5784" s="473"/>
      <c r="L5784" s="473"/>
      <c r="M5784" s="473"/>
    </row>
    <row r="5785" spans="5:13">
      <c r="E5785" s="473"/>
      <c r="F5785" s="473"/>
      <c r="G5785" s="473"/>
      <c r="H5785" s="473"/>
      <c r="I5785" s="473"/>
      <c r="J5785" s="473"/>
      <c r="K5785" s="473"/>
      <c r="L5785" s="473"/>
      <c r="M5785" s="473"/>
    </row>
    <row r="5786" spans="5:13">
      <c r="E5786" s="473"/>
      <c r="F5786" s="473"/>
      <c r="G5786" s="473"/>
      <c r="H5786" s="473"/>
      <c r="I5786" s="473"/>
      <c r="J5786" s="473"/>
      <c r="K5786" s="473"/>
      <c r="L5786" s="473"/>
      <c r="M5786" s="473"/>
    </row>
    <row r="5787" spans="5:13">
      <c r="E5787" s="473"/>
      <c r="F5787" s="473"/>
      <c r="G5787" s="473"/>
      <c r="H5787" s="473"/>
      <c r="I5787" s="473"/>
      <c r="J5787" s="473"/>
      <c r="K5787" s="473"/>
      <c r="L5787" s="473"/>
      <c r="M5787" s="473"/>
    </row>
    <row r="5788" spans="5:13">
      <c r="E5788" s="473"/>
      <c r="F5788" s="473"/>
      <c r="G5788" s="473"/>
      <c r="H5788" s="473"/>
      <c r="I5788" s="473"/>
      <c r="J5788" s="473"/>
      <c r="K5788" s="473"/>
      <c r="L5788" s="473"/>
      <c r="M5788" s="473"/>
    </row>
    <row r="5789" spans="5:13">
      <c r="E5789" s="473"/>
      <c r="F5789" s="473"/>
      <c r="G5789" s="473"/>
      <c r="H5789" s="473"/>
      <c r="I5789" s="473"/>
      <c r="J5789" s="473"/>
      <c r="K5789" s="473"/>
      <c r="L5789" s="473"/>
      <c r="M5789" s="473"/>
    </row>
    <row r="5790" spans="5:13">
      <c r="E5790" s="473"/>
      <c r="F5790" s="473"/>
      <c r="G5790" s="473"/>
      <c r="H5790" s="473"/>
      <c r="I5790" s="473"/>
      <c r="J5790" s="473"/>
      <c r="K5790" s="473"/>
      <c r="L5790" s="473"/>
      <c r="M5790" s="473"/>
    </row>
    <row r="5791" spans="5:13">
      <c r="E5791" s="473"/>
      <c r="F5791" s="473"/>
      <c r="G5791" s="473"/>
      <c r="H5791" s="473"/>
      <c r="I5791" s="473"/>
      <c r="J5791" s="473"/>
      <c r="K5791" s="473"/>
      <c r="L5791" s="473"/>
      <c r="M5791" s="473"/>
    </row>
    <row r="5792" spans="5:13">
      <c r="E5792" s="473"/>
      <c r="F5792" s="473"/>
      <c r="G5792" s="473"/>
      <c r="H5792" s="473"/>
      <c r="I5792" s="473"/>
      <c r="J5792" s="473"/>
      <c r="K5792" s="473"/>
      <c r="L5792" s="473"/>
      <c r="M5792" s="473"/>
    </row>
    <row r="5793" spans="5:13">
      <c r="E5793" s="473"/>
      <c r="F5793" s="473"/>
      <c r="G5793" s="473"/>
      <c r="H5793" s="473"/>
      <c r="I5793" s="473"/>
      <c r="J5793" s="473"/>
      <c r="K5793" s="473"/>
      <c r="L5793" s="473"/>
      <c r="M5793" s="473"/>
    </row>
    <row r="5794" spans="5:13">
      <c r="E5794" s="473"/>
      <c r="F5794" s="473"/>
      <c r="G5794" s="473"/>
      <c r="H5794" s="473"/>
      <c r="I5794" s="473"/>
      <c r="J5794" s="473"/>
      <c r="K5794" s="473"/>
      <c r="L5794" s="473"/>
      <c r="M5794" s="473"/>
    </row>
    <row r="5795" spans="5:13">
      <c r="E5795" s="473"/>
      <c r="F5795" s="473"/>
      <c r="G5795" s="473"/>
      <c r="H5795" s="473"/>
      <c r="I5795" s="473"/>
      <c r="J5795" s="473"/>
      <c r="K5795" s="473"/>
      <c r="L5795" s="473"/>
      <c r="M5795" s="473"/>
    </row>
    <row r="5796" spans="5:13">
      <c r="E5796" s="473"/>
      <c r="F5796" s="473"/>
      <c r="G5796" s="473"/>
      <c r="H5796" s="473"/>
      <c r="I5796" s="473"/>
      <c r="J5796" s="473"/>
      <c r="K5796" s="473"/>
      <c r="L5796" s="473"/>
      <c r="M5796" s="473"/>
    </row>
    <row r="5797" spans="5:13">
      <c r="E5797" s="473"/>
      <c r="F5797" s="473"/>
      <c r="G5797" s="473"/>
      <c r="H5797" s="473"/>
      <c r="I5797" s="473"/>
      <c r="J5797" s="473"/>
      <c r="K5797" s="473"/>
      <c r="L5797" s="473"/>
      <c r="M5797" s="473"/>
    </row>
    <row r="5798" spans="5:13">
      <c r="E5798" s="473"/>
      <c r="F5798" s="473"/>
      <c r="G5798" s="473"/>
      <c r="H5798" s="473"/>
      <c r="I5798" s="473"/>
      <c r="J5798" s="473"/>
      <c r="K5798" s="473"/>
      <c r="L5798" s="473"/>
      <c r="M5798" s="473"/>
    </row>
    <row r="5799" spans="5:13">
      <c r="E5799" s="473"/>
      <c r="F5799" s="473"/>
      <c r="G5799" s="473"/>
      <c r="H5799" s="473"/>
      <c r="I5799" s="473"/>
      <c r="J5799" s="473"/>
      <c r="K5799" s="473"/>
      <c r="L5799" s="473"/>
      <c r="M5799" s="473"/>
    </row>
    <row r="5800" spans="5:13">
      <c r="E5800" s="473"/>
      <c r="F5800" s="473"/>
      <c r="G5800" s="473"/>
      <c r="H5800" s="473"/>
      <c r="I5800" s="473"/>
      <c r="J5800" s="473"/>
      <c r="K5800" s="473"/>
      <c r="L5800" s="473"/>
      <c r="M5800" s="473"/>
    </row>
    <row r="5801" spans="5:13">
      <c r="E5801" s="473"/>
      <c r="F5801" s="473"/>
      <c r="G5801" s="473"/>
      <c r="H5801" s="473"/>
      <c r="I5801" s="473"/>
      <c r="J5801" s="473"/>
      <c r="K5801" s="473"/>
      <c r="L5801" s="473"/>
      <c r="M5801" s="473"/>
    </row>
    <row r="5802" spans="5:13">
      <c r="E5802" s="473"/>
      <c r="F5802" s="473"/>
      <c r="G5802" s="473"/>
      <c r="H5802" s="473"/>
      <c r="I5802" s="473"/>
      <c r="J5802" s="473"/>
      <c r="K5802" s="473"/>
      <c r="L5802" s="473"/>
      <c r="M5802" s="473"/>
    </row>
    <row r="5803" spans="5:13">
      <c r="E5803" s="473"/>
      <c r="F5803" s="473"/>
      <c r="G5803" s="473"/>
      <c r="H5803" s="473"/>
      <c r="I5803" s="473"/>
      <c r="J5803" s="473"/>
      <c r="K5803" s="473"/>
      <c r="L5803" s="473"/>
      <c r="M5803" s="473"/>
    </row>
    <row r="5804" spans="5:13">
      <c r="E5804" s="473"/>
      <c r="F5804" s="473"/>
      <c r="G5804" s="473"/>
      <c r="H5804" s="473"/>
      <c r="I5804" s="473"/>
      <c r="J5804" s="473"/>
      <c r="K5804" s="473"/>
      <c r="L5804" s="473"/>
      <c r="M5804" s="473"/>
    </row>
    <row r="5805" spans="5:13">
      <c r="E5805" s="473"/>
      <c r="F5805" s="473"/>
      <c r="G5805" s="473"/>
      <c r="H5805" s="473"/>
      <c r="I5805" s="473"/>
      <c r="J5805" s="473"/>
      <c r="K5805" s="473"/>
      <c r="L5805" s="473"/>
      <c r="M5805" s="473"/>
    </row>
    <row r="5806" spans="5:13">
      <c r="E5806" s="473"/>
      <c r="F5806" s="473"/>
      <c r="G5806" s="473"/>
      <c r="H5806" s="473"/>
      <c r="I5806" s="473"/>
      <c r="J5806" s="473"/>
      <c r="K5806" s="473"/>
      <c r="L5806" s="473"/>
      <c r="M5806" s="473"/>
    </row>
    <row r="5807" spans="5:13">
      <c r="E5807" s="473"/>
      <c r="F5807" s="473"/>
      <c r="G5807" s="473"/>
      <c r="H5807" s="473"/>
      <c r="I5807" s="473"/>
      <c r="J5807" s="473"/>
      <c r="K5807" s="473"/>
      <c r="L5807" s="473"/>
      <c r="M5807" s="473"/>
    </row>
    <row r="5808" spans="5:13">
      <c r="E5808" s="473"/>
      <c r="F5808" s="473"/>
      <c r="G5808" s="473"/>
      <c r="H5808" s="473"/>
      <c r="I5808" s="473"/>
      <c r="J5808" s="473"/>
      <c r="K5808" s="473"/>
      <c r="L5808" s="473"/>
      <c r="M5808" s="473"/>
    </row>
    <row r="5809" spans="5:13">
      <c r="E5809" s="473"/>
      <c r="F5809" s="473"/>
      <c r="G5809" s="473"/>
      <c r="H5809" s="473"/>
      <c r="I5809" s="473"/>
      <c r="J5809" s="473"/>
      <c r="K5809" s="473"/>
      <c r="L5809" s="473"/>
      <c r="M5809" s="473"/>
    </row>
    <row r="5810" spans="5:13">
      <c r="E5810" s="473"/>
      <c r="F5810" s="473"/>
      <c r="G5810" s="473"/>
      <c r="H5810" s="473"/>
      <c r="I5810" s="473"/>
      <c r="J5810" s="473"/>
      <c r="K5810" s="473"/>
      <c r="L5810" s="473"/>
      <c r="M5810" s="473"/>
    </row>
    <row r="5811" spans="5:13">
      <c r="E5811" s="473"/>
      <c r="F5811" s="473"/>
      <c r="G5811" s="473"/>
      <c r="H5811" s="473"/>
      <c r="I5811" s="473"/>
      <c r="J5811" s="473"/>
      <c r="K5811" s="473"/>
      <c r="L5811" s="473"/>
      <c r="M5811" s="473"/>
    </row>
    <row r="5812" spans="5:13">
      <c r="E5812" s="473"/>
      <c r="F5812" s="473"/>
      <c r="G5812" s="473"/>
      <c r="H5812" s="473"/>
      <c r="I5812" s="473"/>
      <c r="J5812" s="473"/>
      <c r="K5812" s="473"/>
      <c r="L5812" s="473"/>
      <c r="M5812" s="473"/>
    </row>
    <row r="5813" spans="5:13">
      <c r="E5813" s="473"/>
      <c r="F5813" s="473"/>
      <c r="G5813" s="473"/>
      <c r="H5813" s="473"/>
      <c r="I5813" s="473"/>
      <c r="J5813" s="473"/>
      <c r="K5813" s="473"/>
      <c r="L5813" s="473"/>
      <c r="M5813" s="473"/>
    </row>
    <row r="5814" spans="5:13">
      <c r="E5814" s="473"/>
      <c r="F5814" s="473"/>
      <c r="G5814" s="473"/>
      <c r="H5814" s="473"/>
      <c r="I5814" s="473"/>
      <c r="J5814" s="473"/>
      <c r="K5814" s="473"/>
      <c r="L5814" s="473"/>
      <c r="M5814" s="473"/>
    </row>
    <row r="5815" spans="5:13">
      <c r="E5815" s="473"/>
      <c r="F5815" s="473"/>
      <c r="G5815" s="473"/>
      <c r="H5815" s="473"/>
      <c r="I5815" s="473"/>
      <c r="J5815" s="473"/>
      <c r="K5815" s="473"/>
      <c r="L5815" s="473"/>
      <c r="M5815" s="473"/>
    </row>
    <row r="5816" spans="5:13">
      <c r="E5816" s="473"/>
      <c r="F5816" s="473"/>
      <c r="G5816" s="473"/>
      <c r="H5816" s="473"/>
      <c r="I5816" s="473"/>
      <c r="J5816" s="473"/>
      <c r="K5816" s="473"/>
      <c r="L5816" s="473"/>
      <c r="M5816" s="473"/>
    </row>
    <row r="5817" spans="5:13">
      <c r="E5817" s="473"/>
      <c r="F5817" s="473"/>
      <c r="G5817" s="473"/>
      <c r="H5817" s="473"/>
      <c r="I5817" s="473"/>
      <c r="J5817" s="473"/>
      <c r="K5817" s="473"/>
      <c r="L5817" s="473"/>
      <c r="M5817" s="473"/>
    </row>
    <row r="5818" spans="5:13">
      <c r="E5818" s="473"/>
      <c r="F5818" s="473"/>
      <c r="G5818" s="473"/>
      <c r="H5818" s="473"/>
      <c r="I5818" s="473"/>
      <c r="J5818" s="473"/>
      <c r="K5818" s="473"/>
      <c r="L5818" s="473"/>
      <c r="M5818" s="473"/>
    </row>
    <row r="5819" spans="5:13">
      <c r="E5819" s="473"/>
      <c r="F5819" s="473"/>
      <c r="G5819" s="473"/>
      <c r="H5819" s="473"/>
      <c r="I5819" s="473"/>
      <c r="J5819" s="473"/>
      <c r="K5819" s="473"/>
      <c r="L5819" s="473"/>
      <c r="M5819" s="473"/>
    </row>
    <row r="5820" spans="5:13">
      <c r="E5820" s="473"/>
      <c r="F5820" s="473"/>
      <c r="G5820" s="473"/>
      <c r="H5820" s="473"/>
      <c r="I5820" s="473"/>
      <c r="J5820" s="473"/>
      <c r="K5820" s="473"/>
      <c r="L5820" s="473"/>
      <c r="M5820" s="473"/>
    </row>
    <row r="5821" spans="5:13">
      <c r="E5821" s="473"/>
      <c r="F5821" s="473"/>
      <c r="G5821" s="473"/>
      <c r="H5821" s="473"/>
      <c r="I5821" s="473"/>
      <c r="J5821" s="473"/>
      <c r="K5821" s="473"/>
      <c r="L5821" s="473"/>
      <c r="M5821" s="473"/>
    </row>
    <row r="5822" spans="5:13">
      <c r="E5822" s="473"/>
      <c r="F5822" s="473"/>
      <c r="G5822" s="473"/>
      <c r="H5822" s="473"/>
      <c r="I5822" s="473"/>
      <c r="J5822" s="473"/>
      <c r="K5822" s="473"/>
      <c r="L5822" s="473"/>
      <c r="M5822" s="473"/>
    </row>
    <row r="5823" spans="5:13">
      <c r="E5823" s="473"/>
      <c r="F5823" s="473"/>
      <c r="G5823" s="473"/>
      <c r="H5823" s="473"/>
      <c r="I5823" s="473"/>
      <c r="J5823" s="473"/>
      <c r="K5823" s="473"/>
      <c r="L5823" s="473"/>
      <c r="M5823" s="473"/>
    </row>
    <row r="5824" spans="5:13">
      <c r="E5824" s="473"/>
      <c r="F5824" s="473"/>
      <c r="G5824" s="473"/>
      <c r="H5824" s="473"/>
      <c r="I5824" s="473"/>
      <c r="J5824" s="473"/>
      <c r="K5824" s="473"/>
      <c r="L5824" s="473"/>
      <c r="M5824" s="473"/>
    </row>
    <row r="5825" spans="5:13">
      <c r="E5825" s="473"/>
      <c r="F5825" s="473"/>
      <c r="G5825" s="473"/>
      <c r="H5825" s="473"/>
      <c r="I5825" s="473"/>
      <c r="J5825" s="473"/>
      <c r="K5825" s="473"/>
      <c r="L5825" s="473"/>
      <c r="M5825" s="473"/>
    </row>
    <row r="5826" spans="5:13">
      <c r="E5826" s="473"/>
      <c r="F5826" s="473"/>
      <c r="G5826" s="473"/>
      <c r="H5826" s="473"/>
      <c r="I5826" s="473"/>
      <c r="J5826" s="473"/>
      <c r="K5826" s="473"/>
      <c r="L5826" s="473"/>
      <c r="M5826" s="473"/>
    </row>
    <row r="5827" spans="5:13">
      <c r="E5827" s="473"/>
      <c r="F5827" s="473"/>
      <c r="G5827" s="473"/>
      <c r="H5827" s="473"/>
      <c r="I5827" s="473"/>
      <c r="J5827" s="473"/>
      <c r="K5827" s="473"/>
      <c r="L5827" s="473"/>
      <c r="M5827" s="473"/>
    </row>
    <row r="5828" spans="5:13">
      <c r="E5828" s="473"/>
      <c r="F5828" s="473"/>
      <c r="G5828" s="473"/>
      <c r="H5828" s="473"/>
      <c r="I5828" s="473"/>
      <c r="J5828" s="473"/>
      <c r="K5828" s="473"/>
      <c r="L5828" s="473"/>
      <c r="M5828" s="473"/>
    </row>
    <row r="5829" spans="5:13">
      <c r="E5829" s="473"/>
      <c r="F5829" s="473"/>
      <c r="G5829" s="473"/>
      <c r="H5829" s="473"/>
      <c r="I5829" s="473"/>
      <c r="J5829" s="473"/>
      <c r="K5829" s="473"/>
      <c r="L5829" s="473"/>
      <c r="M5829" s="473"/>
    </row>
    <row r="5830" spans="5:13">
      <c r="E5830" s="473"/>
      <c r="F5830" s="473"/>
      <c r="G5830" s="473"/>
      <c r="H5830" s="473"/>
      <c r="I5830" s="473"/>
      <c r="J5830" s="473"/>
      <c r="K5830" s="473"/>
      <c r="L5830" s="473"/>
      <c r="M5830" s="473"/>
    </row>
    <row r="5831" spans="5:13">
      <c r="E5831" s="473"/>
      <c r="F5831" s="473"/>
      <c r="G5831" s="473"/>
      <c r="H5831" s="473"/>
      <c r="I5831" s="473"/>
      <c r="J5831" s="473"/>
      <c r="K5831" s="473"/>
      <c r="L5831" s="473"/>
      <c r="M5831" s="473"/>
    </row>
    <row r="5832" spans="5:13">
      <c r="E5832" s="473"/>
      <c r="F5832" s="473"/>
      <c r="G5832" s="473"/>
      <c r="H5832" s="473"/>
      <c r="I5832" s="473"/>
      <c r="J5832" s="473"/>
      <c r="K5832" s="473"/>
      <c r="L5832" s="473"/>
      <c r="M5832" s="473"/>
    </row>
    <row r="5833" spans="5:13">
      <c r="E5833" s="473"/>
      <c r="F5833" s="473"/>
      <c r="G5833" s="473"/>
      <c r="H5833" s="473"/>
      <c r="I5833" s="473"/>
      <c r="J5833" s="473"/>
      <c r="K5833" s="473"/>
      <c r="L5833" s="473"/>
      <c r="M5833" s="473"/>
    </row>
    <row r="5834" spans="5:13">
      <c r="E5834" s="473"/>
      <c r="F5834" s="473"/>
      <c r="G5834" s="473"/>
      <c r="H5834" s="473"/>
      <c r="I5834" s="473"/>
      <c r="J5834" s="473"/>
      <c r="K5834" s="473"/>
      <c r="L5834" s="473"/>
      <c r="M5834" s="473"/>
    </row>
    <row r="5835" spans="5:13">
      <c r="E5835" s="473"/>
      <c r="F5835" s="473"/>
      <c r="G5835" s="473"/>
      <c r="H5835" s="473"/>
      <c r="I5835" s="473"/>
      <c r="J5835" s="473"/>
      <c r="K5835" s="473"/>
      <c r="L5835" s="473"/>
      <c r="M5835" s="473"/>
    </row>
    <row r="5836" spans="5:13">
      <c r="E5836" s="473"/>
      <c r="F5836" s="473"/>
      <c r="G5836" s="473"/>
      <c r="H5836" s="473"/>
      <c r="I5836" s="473"/>
      <c r="J5836" s="473"/>
      <c r="K5836" s="473"/>
      <c r="L5836" s="473"/>
      <c r="M5836" s="473"/>
    </row>
    <row r="5837" spans="5:13">
      <c r="E5837" s="473"/>
      <c r="F5837" s="473"/>
      <c r="G5837" s="473"/>
      <c r="H5837" s="473"/>
      <c r="I5837" s="473"/>
      <c r="J5837" s="473"/>
      <c r="K5837" s="473"/>
      <c r="L5837" s="473"/>
      <c r="M5837" s="473"/>
    </row>
    <row r="5838" spans="5:13">
      <c r="E5838" s="473"/>
      <c r="F5838" s="473"/>
      <c r="G5838" s="473"/>
      <c r="H5838" s="473"/>
      <c r="I5838" s="473"/>
      <c r="J5838" s="473"/>
      <c r="K5838" s="473"/>
      <c r="L5838" s="473"/>
      <c r="M5838" s="473"/>
    </row>
    <row r="5839" spans="5:13">
      <c r="E5839" s="473"/>
      <c r="F5839" s="473"/>
      <c r="G5839" s="473"/>
      <c r="H5839" s="473"/>
      <c r="I5839" s="473"/>
      <c r="J5839" s="473"/>
      <c r="K5839" s="473"/>
      <c r="L5839" s="473"/>
      <c r="M5839" s="473"/>
    </row>
    <row r="5840" spans="5:13">
      <c r="E5840" s="473"/>
      <c r="F5840" s="473"/>
      <c r="G5840" s="473"/>
      <c r="H5840" s="473"/>
      <c r="I5840" s="473"/>
      <c r="J5840" s="473"/>
      <c r="K5840" s="473"/>
      <c r="L5840" s="473"/>
      <c r="M5840" s="473"/>
    </row>
    <row r="5841" spans="5:13">
      <c r="E5841" s="473"/>
      <c r="F5841" s="473"/>
      <c r="G5841" s="473"/>
      <c r="H5841" s="473"/>
      <c r="I5841" s="473"/>
      <c r="J5841" s="473"/>
      <c r="K5841" s="473"/>
      <c r="L5841" s="473"/>
      <c r="M5841" s="473"/>
    </row>
    <row r="5842" spans="5:13">
      <c r="E5842" s="473"/>
      <c r="F5842" s="473"/>
      <c r="G5842" s="473"/>
      <c r="H5842" s="473"/>
      <c r="I5842" s="473"/>
      <c r="J5842" s="473"/>
      <c r="K5842" s="473"/>
      <c r="L5842" s="473"/>
      <c r="M5842" s="473"/>
    </row>
    <row r="5843" spans="5:13">
      <c r="E5843" s="473"/>
      <c r="F5843" s="473"/>
      <c r="G5843" s="473"/>
      <c r="H5843" s="473"/>
      <c r="I5843" s="473"/>
      <c r="J5843" s="473"/>
      <c r="K5843" s="473"/>
      <c r="L5843" s="473"/>
      <c r="M5843" s="473"/>
    </row>
    <row r="5844" spans="5:13">
      <c r="E5844" s="473"/>
      <c r="F5844" s="473"/>
      <c r="G5844" s="473"/>
      <c r="H5844" s="473"/>
      <c r="I5844" s="473"/>
      <c r="J5844" s="473"/>
      <c r="K5844" s="473"/>
      <c r="L5844" s="473"/>
      <c r="M5844" s="473"/>
    </row>
    <row r="5845" spans="5:13">
      <c r="E5845" s="473"/>
      <c r="F5845" s="473"/>
      <c r="G5845" s="473"/>
      <c r="H5845" s="473"/>
      <c r="I5845" s="473"/>
      <c r="J5845" s="473"/>
      <c r="K5845" s="473"/>
      <c r="L5845" s="473"/>
      <c r="M5845" s="473"/>
    </row>
    <row r="5846" spans="5:13">
      <c r="E5846" s="473"/>
      <c r="F5846" s="473"/>
      <c r="G5846" s="473"/>
      <c r="H5846" s="473"/>
      <c r="I5846" s="473"/>
      <c r="J5846" s="473"/>
      <c r="K5846" s="473"/>
      <c r="L5846" s="473"/>
      <c r="M5846" s="473"/>
    </row>
    <row r="5847" spans="5:13">
      <c r="E5847" s="473"/>
      <c r="F5847" s="473"/>
      <c r="G5847" s="473"/>
      <c r="H5847" s="473"/>
      <c r="I5847" s="473"/>
      <c r="J5847" s="473"/>
      <c r="K5847" s="473"/>
      <c r="L5847" s="473"/>
      <c r="M5847" s="473"/>
    </row>
    <row r="5848" spans="5:13">
      <c r="E5848" s="473"/>
      <c r="F5848" s="473"/>
      <c r="G5848" s="473"/>
      <c r="H5848" s="473"/>
      <c r="I5848" s="473"/>
      <c r="J5848" s="473"/>
      <c r="K5848" s="473"/>
      <c r="L5848" s="473"/>
      <c r="M5848" s="473"/>
    </row>
    <row r="5849" spans="5:13">
      <c r="E5849" s="473"/>
      <c r="F5849" s="473"/>
      <c r="G5849" s="473"/>
      <c r="H5849" s="473"/>
      <c r="I5849" s="473"/>
      <c r="J5849" s="473"/>
      <c r="K5849" s="473"/>
      <c r="L5849" s="473"/>
      <c r="M5849" s="473"/>
    </row>
    <row r="5850" spans="5:13">
      <c r="E5850" s="473"/>
      <c r="F5850" s="473"/>
      <c r="G5850" s="473"/>
      <c r="H5850" s="473"/>
      <c r="I5850" s="473"/>
      <c r="J5850" s="473"/>
      <c r="K5850" s="473"/>
      <c r="L5850" s="473"/>
      <c r="M5850" s="473"/>
    </row>
    <row r="5851" spans="5:13">
      <c r="E5851" s="473"/>
      <c r="F5851" s="473"/>
      <c r="G5851" s="473"/>
      <c r="H5851" s="473"/>
      <c r="I5851" s="473"/>
      <c r="J5851" s="473"/>
      <c r="K5851" s="473"/>
      <c r="L5851" s="473"/>
      <c r="M5851" s="473"/>
    </row>
    <row r="5852" spans="5:13">
      <c r="E5852" s="473"/>
      <c r="F5852" s="473"/>
      <c r="G5852" s="473"/>
      <c r="H5852" s="473"/>
      <c r="I5852" s="473"/>
      <c r="J5852" s="473"/>
      <c r="K5852" s="473"/>
      <c r="L5852" s="473"/>
      <c r="M5852" s="473"/>
    </row>
    <row r="5853" spans="5:13">
      <c r="E5853" s="473"/>
      <c r="F5853" s="473"/>
      <c r="G5853" s="473"/>
      <c r="H5853" s="473"/>
      <c r="I5853" s="473"/>
      <c r="J5853" s="473"/>
      <c r="K5853" s="473"/>
      <c r="L5853" s="473"/>
      <c r="M5853" s="473"/>
    </row>
    <row r="5854" spans="5:13">
      <c r="E5854" s="473"/>
      <c r="F5854" s="473"/>
      <c r="G5854" s="473"/>
      <c r="H5854" s="473"/>
      <c r="I5854" s="473"/>
      <c r="J5854" s="473"/>
      <c r="K5854" s="473"/>
      <c r="L5854" s="473"/>
      <c r="M5854" s="473"/>
    </row>
    <row r="5855" spans="5:13">
      <c r="E5855" s="473"/>
      <c r="F5855" s="473"/>
      <c r="G5855" s="473"/>
      <c r="H5855" s="473"/>
      <c r="I5855" s="473"/>
      <c r="J5855" s="473"/>
      <c r="K5855" s="473"/>
      <c r="L5855" s="473"/>
      <c r="M5855" s="473"/>
    </row>
    <row r="5856" spans="5:13">
      <c r="E5856" s="473"/>
      <c r="F5856" s="473"/>
      <c r="G5856" s="473"/>
      <c r="H5856" s="473"/>
      <c r="I5856" s="473"/>
      <c r="J5856" s="473"/>
      <c r="K5856" s="473"/>
      <c r="L5856" s="473"/>
      <c r="M5856" s="473"/>
    </row>
    <row r="5857" spans="5:13">
      <c r="E5857" s="473"/>
      <c r="F5857" s="473"/>
      <c r="G5857" s="473"/>
      <c r="H5857" s="473"/>
      <c r="I5857" s="473"/>
      <c r="J5857" s="473"/>
      <c r="K5857" s="473"/>
      <c r="L5857" s="473"/>
      <c r="M5857" s="473"/>
    </row>
    <row r="5858" spans="5:13">
      <c r="E5858" s="473"/>
      <c r="F5858" s="473"/>
      <c r="G5858" s="473"/>
      <c r="H5858" s="473"/>
      <c r="I5858" s="473"/>
      <c r="J5858" s="473"/>
      <c r="K5858" s="473"/>
      <c r="L5858" s="473"/>
      <c r="M5858" s="473"/>
    </row>
    <row r="5859" spans="5:13">
      <c r="E5859" s="473"/>
      <c r="F5859" s="473"/>
      <c r="G5859" s="473"/>
      <c r="H5859" s="473"/>
      <c r="I5859" s="473"/>
      <c r="J5859" s="473"/>
      <c r="K5859" s="473"/>
      <c r="L5859" s="473"/>
      <c r="M5859" s="473"/>
    </row>
    <row r="5860" spans="5:13">
      <c r="E5860" s="473"/>
      <c r="F5860" s="473"/>
      <c r="G5860" s="473"/>
      <c r="H5860" s="473"/>
      <c r="I5860" s="473"/>
      <c r="J5860" s="473"/>
      <c r="K5860" s="473"/>
      <c r="L5860" s="473"/>
      <c r="M5860" s="473"/>
    </row>
    <row r="5861" spans="5:13">
      <c r="E5861" s="473"/>
      <c r="F5861" s="473"/>
      <c r="G5861" s="473"/>
      <c r="H5861" s="473"/>
      <c r="I5861" s="473"/>
      <c r="J5861" s="473"/>
      <c r="K5861" s="473"/>
      <c r="L5861" s="473"/>
      <c r="M5861" s="473"/>
    </row>
    <row r="5862" spans="5:13">
      <c r="E5862" s="473"/>
      <c r="F5862" s="473"/>
      <c r="G5862" s="473"/>
      <c r="H5862" s="473"/>
      <c r="I5862" s="473"/>
      <c r="J5862" s="473"/>
      <c r="K5862" s="473"/>
      <c r="L5862" s="473"/>
      <c r="M5862" s="473"/>
    </row>
    <row r="5863" spans="5:13">
      <c r="E5863" s="473"/>
      <c r="F5863" s="473"/>
      <c r="G5863" s="473"/>
      <c r="H5863" s="473"/>
      <c r="I5863" s="473"/>
      <c r="J5863" s="473"/>
      <c r="K5863" s="473"/>
      <c r="L5863" s="473"/>
      <c r="M5863" s="473"/>
    </row>
    <row r="5864" spans="5:13">
      <c r="E5864" s="473"/>
      <c r="F5864" s="473"/>
      <c r="G5864" s="473"/>
      <c r="H5864" s="473"/>
      <c r="I5864" s="473"/>
      <c r="J5864" s="473"/>
      <c r="K5864" s="473"/>
      <c r="L5864" s="473"/>
      <c r="M5864" s="473"/>
    </row>
    <row r="5865" spans="5:13">
      <c r="E5865" s="473"/>
      <c r="F5865" s="473"/>
      <c r="G5865" s="473"/>
      <c r="H5865" s="473"/>
      <c r="I5865" s="473"/>
      <c r="J5865" s="473"/>
      <c r="K5865" s="473"/>
      <c r="L5865" s="473"/>
      <c r="M5865" s="473"/>
    </row>
    <row r="5866" spans="5:13">
      <c r="E5866" s="473"/>
      <c r="F5866" s="473"/>
      <c r="G5866" s="473"/>
      <c r="H5866" s="473"/>
      <c r="I5866" s="473"/>
      <c r="J5866" s="473"/>
      <c r="K5866" s="473"/>
      <c r="L5866" s="473"/>
      <c r="M5866" s="473"/>
    </row>
    <row r="5867" spans="5:13">
      <c r="E5867" s="473"/>
      <c r="F5867" s="473"/>
      <c r="G5867" s="473"/>
      <c r="H5867" s="473"/>
      <c r="I5867" s="473"/>
      <c r="J5867" s="473"/>
      <c r="K5867" s="473"/>
      <c r="L5867" s="473"/>
      <c r="M5867" s="473"/>
    </row>
    <row r="5868" spans="5:13">
      <c r="E5868" s="473"/>
      <c r="F5868" s="473"/>
      <c r="G5868" s="473"/>
      <c r="H5868" s="473"/>
      <c r="I5868" s="473"/>
      <c r="J5868" s="473"/>
      <c r="K5868" s="473"/>
      <c r="L5868" s="473"/>
      <c r="M5868" s="473"/>
    </row>
    <row r="5869" spans="5:13">
      <c r="E5869" s="473"/>
      <c r="F5869" s="473"/>
      <c r="G5869" s="473"/>
      <c r="H5869" s="473"/>
      <c r="I5869" s="473"/>
      <c r="J5869" s="473"/>
      <c r="K5869" s="473"/>
      <c r="L5869" s="473"/>
      <c r="M5869" s="473"/>
    </row>
    <row r="5870" spans="5:13">
      <c r="E5870" s="473"/>
      <c r="F5870" s="473"/>
      <c r="G5870" s="473"/>
      <c r="H5870" s="473"/>
      <c r="I5870" s="473"/>
      <c r="J5870" s="473"/>
      <c r="K5870" s="473"/>
      <c r="L5870" s="473"/>
      <c r="M5870" s="473"/>
    </row>
    <row r="5871" spans="5:13">
      <c r="E5871" s="473"/>
      <c r="F5871" s="473"/>
      <c r="G5871" s="473"/>
      <c r="H5871" s="473"/>
      <c r="I5871" s="473"/>
      <c r="J5871" s="473"/>
      <c r="K5871" s="473"/>
      <c r="L5871" s="473"/>
      <c r="M5871" s="473"/>
    </row>
    <row r="5872" spans="5:13">
      <c r="E5872" s="473"/>
      <c r="F5872" s="473"/>
      <c r="G5872" s="473"/>
      <c r="H5872" s="473"/>
      <c r="I5872" s="473"/>
      <c r="J5872" s="473"/>
      <c r="K5872" s="473"/>
      <c r="L5872" s="473"/>
      <c r="M5872" s="473"/>
    </row>
    <row r="5873" spans="5:13">
      <c r="E5873" s="473"/>
      <c r="F5873" s="473"/>
      <c r="G5873" s="473"/>
      <c r="H5873" s="473"/>
      <c r="I5873" s="473"/>
      <c r="J5873" s="473"/>
      <c r="K5873" s="473"/>
      <c r="L5873" s="473"/>
      <c r="M5873" s="473"/>
    </row>
    <row r="5874" spans="5:13">
      <c r="E5874" s="473"/>
      <c r="F5874" s="473"/>
      <c r="G5874" s="473"/>
      <c r="H5874" s="473"/>
      <c r="I5874" s="473"/>
      <c r="J5874" s="473"/>
      <c r="K5874" s="473"/>
      <c r="L5874" s="473"/>
      <c r="M5874" s="473"/>
    </row>
    <row r="5875" spans="5:13">
      <c r="E5875" s="473"/>
      <c r="F5875" s="473"/>
      <c r="G5875" s="473"/>
      <c r="H5875" s="473"/>
      <c r="I5875" s="473"/>
      <c r="J5875" s="473"/>
      <c r="K5875" s="473"/>
      <c r="L5875" s="473"/>
      <c r="M5875" s="473"/>
    </row>
    <row r="5876" spans="5:13">
      <c r="E5876" s="473"/>
      <c r="F5876" s="473"/>
      <c r="G5876" s="473"/>
      <c r="H5876" s="473"/>
      <c r="I5876" s="473"/>
      <c r="J5876" s="473"/>
      <c r="K5876" s="473"/>
      <c r="L5876" s="473"/>
      <c r="M5876" s="473"/>
    </row>
    <row r="5877" spans="5:13">
      <c r="E5877" s="473"/>
      <c r="F5877" s="473"/>
      <c r="G5877" s="473"/>
      <c r="H5877" s="473"/>
      <c r="I5877" s="473"/>
      <c r="J5877" s="473"/>
      <c r="K5877" s="473"/>
      <c r="L5877" s="473"/>
      <c r="M5877" s="473"/>
    </row>
    <row r="5878" spans="5:13">
      <c r="E5878" s="473"/>
      <c r="F5878" s="473"/>
      <c r="G5878" s="473"/>
      <c r="H5878" s="473"/>
      <c r="I5878" s="473"/>
      <c r="J5878" s="473"/>
      <c r="K5878" s="473"/>
      <c r="L5878" s="473"/>
      <c r="M5878" s="473"/>
    </row>
    <row r="5879" spans="5:13">
      <c r="E5879" s="473"/>
      <c r="F5879" s="473"/>
      <c r="G5879" s="473"/>
      <c r="H5879" s="473"/>
      <c r="I5879" s="473"/>
      <c r="J5879" s="473"/>
      <c r="K5879" s="473"/>
      <c r="L5879" s="473"/>
      <c r="M5879" s="473"/>
    </row>
    <row r="5880" spans="5:13">
      <c r="E5880" s="473"/>
      <c r="F5880" s="473"/>
      <c r="G5880" s="473"/>
      <c r="H5880" s="473"/>
      <c r="I5880" s="473"/>
      <c r="J5880" s="473"/>
      <c r="K5880" s="473"/>
      <c r="L5880" s="473"/>
      <c r="M5880" s="473"/>
    </row>
    <row r="5881" spans="5:13">
      <c r="E5881" s="473"/>
      <c r="F5881" s="473"/>
      <c r="G5881" s="473"/>
      <c r="H5881" s="473"/>
      <c r="I5881" s="473"/>
      <c r="J5881" s="473"/>
      <c r="K5881" s="473"/>
      <c r="L5881" s="473"/>
      <c r="M5881" s="473"/>
    </row>
    <row r="5882" spans="5:13">
      <c r="E5882" s="473"/>
      <c r="F5882" s="473"/>
      <c r="G5882" s="473"/>
      <c r="H5882" s="473"/>
      <c r="I5882" s="473"/>
      <c r="J5882" s="473"/>
      <c r="K5882" s="473"/>
      <c r="L5882" s="473"/>
      <c r="M5882" s="473"/>
    </row>
    <row r="5883" spans="5:13">
      <c r="E5883" s="473"/>
      <c r="F5883" s="473"/>
      <c r="G5883" s="473"/>
      <c r="H5883" s="473"/>
      <c r="I5883" s="473"/>
      <c r="J5883" s="473"/>
      <c r="K5883" s="473"/>
      <c r="L5883" s="473"/>
      <c r="M5883" s="473"/>
    </row>
    <row r="5884" spans="5:13">
      <c r="E5884" s="473"/>
      <c r="F5884" s="473"/>
      <c r="G5884" s="473"/>
      <c r="H5884" s="473"/>
      <c r="I5884" s="473"/>
      <c r="J5884" s="473"/>
      <c r="K5884" s="473"/>
      <c r="L5884" s="473"/>
      <c r="M5884" s="473"/>
    </row>
    <row r="5885" spans="5:13">
      <c r="E5885" s="473"/>
      <c r="F5885" s="473"/>
      <c r="G5885" s="473"/>
      <c r="H5885" s="473"/>
      <c r="I5885" s="473"/>
      <c r="J5885" s="473"/>
      <c r="K5885" s="473"/>
      <c r="L5885" s="473"/>
      <c r="M5885" s="473"/>
    </row>
    <row r="5886" spans="5:13">
      <c r="E5886" s="473"/>
      <c r="F5886" s="473"/>
      <c r="G5886" s="473"/>
      <c r="H5886" s="473"/>
      <c r="I5886" s="473"/>
      <c r="J5886" s="473"/>
      <c r="K5886" s="473"/>
      <c r="L5886" s="473"/>
      <c r="M5886" s="473"/>
    </row>
    <row r="5887" spans="5:13">
      <c r="E5887" s="473"/>
      <c r="F5887" s="473"/>
      <c r="G5887" s="473"/>
      <c r="H5887" s="473"/>
      <c r="I5887" s="473"/>
      <c r="J5887" s="473"/>
      <c r="K5887" s="473"/>
      <c r="L5887" s="473"/>
      <c r="M5887" s="473"/>
    </row>
    <row r="5888" spans="5:13">
      <c r="E5888" s="473"/>
      <c r="F5888" s="473"/>
      <c r="G5888" s="473"/>
      <c r="H5888" s="473"/>
      <c r="I5888" s="473"/>
      <c r="J5888" s="473"/>
      <c r="K5888" s="473"/>
      <c r="L5888" s="473"/>
      <c r="M5888" s="473"/>
    </row>
    <row r="5889" spans="5:13">
      <c r="E5889" s="473"/>
      <c r="F5889" s="473"/>
      <c r="G5889" s="473"/>
      <c r="H5889" s="473"/>
      <c r="I5889" s="473"/>
      <c r="J5889" s="473"/>
      <c r="K5889" s="473"/>
      <c r="L5889" s="473"/>
      <c r="M5889" s="473"/>
    </row>
    <row r="5890" spans="5:13">
      <c r="E5890" s="473"/>
      <c r="F5890" s="473"/>
      <c r="G5890" s="473"/>
      <c r="H5890" s="473"/>
      <c r="I5890" s="473"/>
      <c r="J5890" s="473"/>
      <c r="K5890" s="473"/>
      <c r="L5890" s="473"/>
      <c r="M5890" s="473"/>
    </row>
    <row r="5891" spans="5:13">
      <c r="E5891" s="473"/>
      <c r="F5891" s="473"/>
      <c r="G5891" s="473"/>
      <c r="H5891" s="473"/>
      <c r="I5891" s="473"/>
      <c r="J5891" s="473"/>
      <c r="K5891" s="473"/>
      <c r="L5891" s="473"/>
      <c r="M5891" s="473"/>
    </row>
    <row r="5892" spans="5:13">
      <c r="E5892" s="473"/>
      <c r="F5892" s="473"/>
      <c r="G5892" s="473"/>
      <c r="H5892" s="473"/>
      <c r="I5892" s="473"/>
      <c r="J5892" s="473"/>
      <c r="K5892" s="473"/>
      <c r="L5892" s="473"/>
      <c r="M5892" s="473"/>
    </row>
    <row r="5893" spans="5:13">
      <c r="E5893" s="473"/>
      <c r="F5893" s="473"/>
      <c r="G5893" s="473"/>
      <c r="H5893" s="473"/>
      <c r="I5893" s="473"/>
      <c r="J5893" s="473"/>
      <c r="K5893" s="473"/>
      <c r="L5893" s="473"/>
      <c r="M5893" s="473"/>
    </row>
    <row r="5894" spans="5:13">
      <c r="E5894" s="473"/>
      <c r="F5894" s="473"/>
      <c r="G5894" s="473"/>
      <c r="H5894" s="473"/>
      <c r="I5894" s="473"/>
      <c r="J5894" s="473"/>
      <c r="K5894" s="473"/>
      <c r="L5894" s="473"/>
      <c r="M5894" s="473"/>
    </row>
    <row r="5895" spans="5:13">
      <c r="E5895" s="473"/>
      <c r="F5895" s="473"/>
      <c r="G5895" s="473"/>
      <c r="H5895" s="473"/>
      <c r="I5895" s="473"/>
      <c r="J5895" s="473"/>
      <c r="K5895" s="473"/>
      <c r="L5895" s="473"/>
      <c r="M5895" s="473"/>
    </row>
    <row r="5896" spans="5:13">
      <c r="E5896" s="473"/>
      <c r="F5896" s="473"/>
      <c r="G5896" s="473"/>
      <c r="H5896" s="473"/>
      <c r="I5896" s="473"/>
      <c r="J5896" s="473"/>
      <c r="K5896" s="473"/>
      <c r="L5896" s="473"/>
      <c r="M5896" s="473"/>
    </row>
    <row r="5897" spans="5:13">
      <c r="E5897" s="473"/>
      <c r="F5897" s="473"/>
      <c r="G5897" s="473"/>
      <c r="H5897" s="473"/>
      <c r="I5897" s="473"/>
      <c r="J5897" s="473"/>
      <c r="K5897" s="473"/>
      <c r="L5897" s="473"/>
      <c r="M5897" s="473"/>
    </row>
    <row r="5898" spans="5:13">
      <c r="E5898" s="473"/>
      <c r="F5898" s="473"/>
      <c r="G5898" s="473"/>
      <c r="H5898" s="473"/>
      <c r="I5898" s="473"/>
      <c r="J5898" s="473"/>
      <c r="K5898" s="473"/>
      <c r="L5898" s="473"/>
      <c r="M5898" s="473"/>
    </row>
    <row r="5899" spans="5:13">
      <c r="E5899" s="473"/>
      <c r="F5899" s="473"/>
      <c r="G5899" s="473"/>
      <c r="H5899" s="473"/>
      <c r="I5899" s="473"/>
      <c r="J5899" s="473"/>
      <c r="K5899" s="473"/>
      <c r="L5899" s="473"/>
      <c r="M5899" s="473"/>
    </row>
    <row r="5900" spans="5:13">
      <c r="E5900" s="473"/>
      <c r="F5900" s="473"/>
      <c r="G5900" s="473"/>
      <c r="H5900" s="473"/>
      <c r="I5900" s="473"/>
      <c r="J5900" s="473"/>
      <c r="K5900" s="473"/>
      <c r="L5900" s="473"/>
      <c r="M5900" s="473"/>
    </row>
    <row r="5901" spans="5:13">
      <c r="E5901" s="473"/>
      <c r="F5901" s="473"/>
      <c r="G5901" s="473"/>
      <c r="H5901" s="473"/>
      <c r="I5901" s="473"/>
      <c r="J5901" s="473"/>
      <c r="K5901" s="473"/>
      <c r="L5901" s="473"/>
      <c r="M5901" s="473"/>
    </row>
    <row r="5902" spans="5:13">
      <c r="E5902" s="473"/>
      <c r="F5902" s="473"/>
      <c r="G5902" s="473"/>
      <c r="H5902" s="473"/>
      <c r="I5902" s="473"/>
      <c r="J5902" s="473"/>
      <c r="K5902" s="473"/>
      <c r="L5902" s="473"/>
      <c r="M5902" s="473"/>
    </row>
    <row r="5903" spans="5:13">
      <c r="E5903" s="473"/>
      <c r="F5903" s="473"/>
      <c r="G5903" s="473"/>
      <c r="H5903" s="473"/>
      <c r="I5903" s="473"/>
      <c r="J5903" s="473"/>
      <c r="K5903" s="473"/>
      <c r="L5903" s="473"/>
      <c r="M5903" s="473"/>
    </row>
    <row r="5904" spans="5:13">
      <c r="E5904" s="473"/>
      <c r="F5904" s="473"/>
      <c r="G5904" s="473"/>
      <c r="H5904" s="473"/>
      <c r="I5904" s="473"/>
      <c r="J5904" s="473"/>
      <c r="K5904" s="473"/>
      <c r="L5904" s="473"/>
      <c r="M5904" s="473"/>
    </row>
    <row r="5905" spans="5:13">
      <c r="E5905" s="473"/>
      <c r="F5905" s="473"/>
      <c r="G5905" s="473"/>
      <c r="H5905" s="473"/>
      <c r="I5905" s="473"/>
      <c r="J5905" s="473"/>
      <c r="K5905" s="473"/>
      <c r="L5905" s="473"/>
      <c r="M5905" s="473"/>
    </row>
    <row r="5906" spans="5:13">
      <c r="E5906" s="473"/>
      <c r="F5906" s="473"/>
      <c r="G5906" s="473"/>
      <c r="H5906" s="473"/>
      <c r="I5906" s="473"/>
      <c r="J5906" s="473"/>
      <c r="K5906" s="473"/>
      <c r="L5906" s="473"/>
      <c r="M5906" s="473"/>
    </row>
    <row r="5907" spans="5:13">
      <c r="E5907" s="473"/>
      <c r="F5907" s="473"/>
      <c r="G5907" s="473"/>
      <c r="H5907" s="473"/>
      <c r="I5907" s="473"/>
      <c r="J5907" s="473"/>
      <c r="K5907" s="473"/>
      <c r="L5907" s="473"/>
      <c r="M5907" s="473"/>
    </row>
    <row r="5908" spans="5:13">
      <c r="E5908" s="473"/>
      <c r="F5908" s="473"/>
      <c r="G5908" s="473"/>
      <c r="H5908" s="473"/>
      <c r="I5908" s="473"/>
      <c r="J5908" s="473"/>
      <c r="K5908" s="473"/>
      <c r="L5908" s="473"/>
      <c r="M5908" s="473"/>
    </row>
    <row r="5909" spans="5:13">
      <c r="E5909" s="473"/>
      <c r="F5909" s="473"/>
      <c r="G5909" s="473"/>
      <c r="H5909" s="473"/>
      <c r="I5909" s="473"/>
      <c r="J5909" s="473"/>
      <c r="K5909" s="473"/>
      <c r="L5909" s="473"/>
      <c r="M5909" s="473"/>
    </row>
    <row r="5910" spans="5:13">
      <c r="E5910" s="473"/>
      <c r="F5910" s="473"/>
      <c r="G5910" s="473"/>
      <c r="H5910" s="473"/>
      <c r="I5910" s="473"/>
      <c r="J5910" s="473"/>
      <c r="K5910" s="473"/>
      <c r="L5910" s="473"/>
      <c r="M5910" s="473"/>
    </row>
    <row r="5911" spans="5:13">
      <c r="E5911" s="473"/>
      <c r="F5911" s="473"/>
      <c r="G5911" s="473"/>
      <c r="H5911" s="473"/>
      <c r="I5911" s="473"/>
      <c r="J5911" s="473"/>
      <c r="K5911" s="473"/>
      <c r="L5911" s="473"/>
      <c r="M5911" s="473"/>
    </row>
    <row r="5912" spans="5:13">
      <c r="E5912" s="473"/>
      <c r="F5912" s="473"/>
      <c r="G5912" s="473"/>
      <c r="H5912" s="473"/>
      <c r="I5912" s="473"/>
      <c r="J5912" s="473"/>
      <c r="K5912" s="473"/>
      <c r="L5912" s="473"/>
      <c r="M5912" s="473"/>
    </row>
    <row r="5913" spans="5:13">
      <c r="E5913" s="473"/>
      <c r="F5913" s="473"/>
      <c r="G5913" s="473"/>
      <c r="H5913" s="473"/>
      <c r="I5913" s="473"/>
      <c r="J5913" s="473"/>
      <c r="K5913" s="473"/>
      <c r="L5913" s="473"/>
      <c r="M5913" s="473"/>
    </row>
    <row r="5914" spans="5:13">
      <c r="E5914" s="473"/>
      <c r="F5914" s="473"/>
      <c r="G5914" s="473"/>
      <c r="H5914" s="473"/>
      <c r="I5914" s="473"/>
      <c r="J5914" s="473"/>
      <c r="K5914" s="473"/>
      <c r="L5914" s="473"/>
      <c r="M5914" s="473"/>
    </row>
    <row r="5915" spans="5:13">
      <c r="E5915" s="473"/>
      <c r="F5915" s="473"/>
      <c r="G5915" s="473"/>
      <c r="H5915" s="473"/>
      <c r="I5915" s="473"/>
      <c r="J5915" s="473"/>
      <c r="K5915" s="473"/>
      <c r="L5915" s="473"/>
      <c r="M5915" s="473"/>
    </row>
    <row r="5916" spans="5:13">
      <c r="E5916" s="473"/>
      <c r="F5916" s="473"/>
      <c r="G5916" s="473"/>
      <c r="H5916" s="473"/>
      <c r="I5916" s="473"/>
      <c r="J5916" s="473"/>
      <c r="K5916" s="473"/>
      <c r="L5916" s="473"/>
      <c r="M5916" s="473"/>
    </row>
    <row r="5917" spans="5:13">
      <c r="E5917" s="473"/>
      <c r="F5917" s="473"/>
      <c r="G5917" s="473"/>
      <c r="H5917" s="473"/>
      <c r="I5917" s="473"/>
      <c r="J5917" s="473"/>
      <c r="K5917" s="473"/>
      <c r="L5917" s="473"/>
      <c r="M5917" s="473"/>
    </row>
    <row r="5918" spans="5:13">
      <c r="E5918" s="473"/>
      <c r="F5918" s="473"/>
      <c r="G5918" s="473"/>
      <c r="H5918" s="473"/>
      <c r="I5918" s="473"/>
      <c r="J5918" s="473"/>
      <c r="K5918" s="473"/>
      <c r="L5918" s="473"/>
      <c r="M5918" s="473"/>
    </row>
    <row r="5919" spans="5:13">
      <c r="E5919" s="473"/>
      <c r="F5919" s="473"/>
      <c r="G5919" s="473"/>
      <c r="H5919" s="473"/>
      <c r="I5919" s="473"/>
      <c r="J5919" s="473"/>
      <c r="K5919" s="473"/>
      <c r="L5919" s="473"/>
      <c r="M5919" s="473"/>
    </row>
    <row r="5920" spans="5:13">
      <c r="E5920" s="473"/>
      <c r="F5920" s="473"/>
      <c r="G5920" s="473"/>
      <c r="H5920" s="473"/>
      <c r="I5920" s="473"/>
      <c r="J5920" s="473"/>
      <c r="K5920" s="473"/>
      <c r="L5920" s="473"/>
      <c r="M5920" s="473"/>
    </row>
    <row r="5921" spans="5:13">
      <c r="E5921" s="473"/>
      <c r="F5921" s="473"/>
      <c r="G5921" s="473"/>
      <c r="H5921" s="473"/>
      <c r="I5921" s="473"/>
      <c r="J5921" s="473"/>
      <c r="K5921" s="473"/>
      <c r="L5921" s="473"/>
      <c r="M5921" s="473"/>
    </row>
    <row r="5922" spans="5:13">
      <c r="E5922" s="473"/>
      <c r="F5922" s="473"/>
      <c r="G5922" s="473"/>
      <c r="H5922" s="473"/>
      <c r="I5922" s="473"/>
      <c r="J5922" s="473"/>
      <c r="K5922" s="473"/>
      <c r="L5922" s="473"/>
      <c r="M5922" s="473"/>
    </row>
    <row r="5923" spans="5:13">
      <c r="E5923" s="473"/>
      <c r="F5923" s="473"/>
      <c r="G5923" s="473"/>
      <c r="H5923" s="473"/>
      <c r="I5923" s="473"/>
      <c r="J5923" s="473"/>
      <c r="K5923" s="473"/>
      <c r="L5923" s="473"/>
      <c r="M5923" s="473"/>
    </row>
    <row r="5924" spans="5:13">
      <c r="E5924" s="473"/>
      <c r="F5924" s="473"/>
      <c r="G5924" s="473"/>
      <c r="H5924" s="473"/>
      <c r="I5924" s="473"/>
      <c r="J5924" s="473"/>
      <c r="K5924" s="473"/>
      <c r="L5924" s="473"/>
      <c r="M5924" s="473"/>
    </row>
    <row r="5925" spans="5:13">
      <c r="E5925" s="473"/>
      <c r="F5925" s="473"/>
      <c r="G5925" s="473"/>
      <c r="H5925" s="473"/>
      <c r="I5925" s="473"/>
      <c r="J5925" s="473"/>
      <c r="K5925" s="473"/>
      <c r="L5925" s="473"/>
      <c r="M5925" s="473"/>
    </row>
    <row r="5926" spans="5:13">
      <c r="E5926" s="473"/>
      <c r="F5926" s="473"/>
      <c r="G5926" s="473"/>
      <c r="H5926" s="473"/>
      <c r="I5926" s="473"/>
      <c r="J5926" s="473"/>
      <c r="K5926" s="473"/>
      <c r="L5926" s="473"/>
      <c r="M5926" s="473"/>
    </row>
    <row r="5927" spans="5:13">
      <c r="E5927" s="473"/>
      <c r="F5927" s="473"/>
      <c r="G5927" s="473"/>
      <c r="H5927" s="473"/>
      <c r="I5927" s="473"/>
      <c r="J5927" s="473"/>
      <c r="K5927" s="473"/>
      <c r="L5927" s="473"/>
      <c r="M5927" s="473"/>
    </row>
    <row r="5928" spans="5:13">
      <c r="E5928" s="473"/>
      <c r="F5928" s="473"/>
      <c r="G5928" s="473"/>
      <c r="H5928" s="473"/>
      <c r="I5928" s="473"/>
      <c r="J5928" s="473"/>
      <c r="K5928" s="473"/>
      <c r="L5928" s="473"/>
      <c r="M5928" s="473"/>
    </row>
    <row r="5929" spans="5:13">
      <c r="E5929" s="473"/>
      <c r="F5929" s="473"/>
      <c r="G5929" s="473"/>
      <c r="H5929" s="473"/>
      <c r="I5929" s="473"/>
      <c r="J5929" s="473"/>
      <c r="K5929" s="473"/>
      <c r="L5929" s="473"/>
      <c r="M5929" s="473"/>
    </row>
    <row r="5930" spans="5:13">
      <c r="E5930" s="473"/>
      <c r="F5930" s="473"/>
      <c r="G5930" s="473"/>
      <c r="H5930" s="473"/>
      <c r="I5930" s="473"/>
      <c r="J5930" s="473"/>
      <c r="K5930" s="473"/>
      <c r="L5930" s="473"/>
      <c r="M5930" s="473"/>
    </row>
    <row r="5931" spans="5:13">
      <c r="E5931" s="473"/>
      <c r="F5931" s="473"/>
      <c r="G5931" s="473"/>
      <c r="H5931" s="473"/>
      <c r="I5931" s="473"/>
      <c r="J5931" s="473"/>
      <c r="K5931" s="473"/>
      <c r="L5931" s="473"/>
      <c r="M5931" s="473"/>
    </row>
    <row r="5932" spans="5:13">
      <c r="E5932" s="473"/>
      <c r="F5932" s="473"/>
      <c r="G5932" s="473"/>
      <c r="H5932" s="473"/>
      <c r="I5932" s="473"/>
      <c r="J5932" s="473"/>
      <c r="K5932" s="473"/>
      <c r="L5932" s="473"/>
      <c r="M5932" s="473"/>
    </row>
    <row r="5933" spans="5:13">
      <c r="E5933" s="473"/>
      <c r="F5933" s="473"/>
      <c r="G5933" s="473"/>
      <c r="H5933" s="473"/>
      <c r="I5933" s="473"/>
      <c r="J5933" s="473"/>
      <c r="K5933" s="473"/>
      <c r="L5933" s="473"/>
      <c r="M5933" s="473"/>
    </row>
    <row r="5934" spans="5:13">
      <c r="E5934" s="473"/>
      <c r="F5934" s="473"/>
      <c r="G5934" s="473"/>
      <c r="H5934" s="473"/>
      <c r="I5934" s="473"/>
      <c r="J5934" s="473"/>
      <c r="K5934" s="473"/>
      <c r="L5934" s="473"/>
      <c r="M5934" s="473"/>
    </row>
    <row r="5935" spans="5:13">
      <c r="E5935" s="473"/>
      <c r="F5935" s="473"/>
      <c r="G5935" s="473"/>
      <c r="H5935" s="473"/>
      <c r="I5935" s="473"/>
      <c r="J5935" s="473"/>
      <c r="K5935" s="473"/>
      <c r="L5935" s="473"/>
      <c r="M5935" s="473"/>
    </row>
    <row r="5936" spans="5:13">
      <c r="E5936" s="473"/>
      <c r="F5936" s="473"/>
      <c r="G5936" s="473"/>
      <c r="H5936" s="473"/>
      <c r="I5936" s="473"/>
      <c r="J5936" s="473"/>
      <c r="K5936" s="473"/>
      <c r="L5936" s="473"/>
      <c r="M5936" s="473"/>
    </row>
    <row r="5937" spans="5:13">
      <c r="E5937" s="473"/>
      <c r="F5937" s="473"/>
      <c r="G5937" s="473"/>
      <c r="H5937" s="473"/>
      <c r="I5937" s="473"/>
      <c r="J5937" s="473"/>
      <c r="K5937" s="473"/>
      <c r="L5937" s="473"/>
      <c r="M5937" s="473"/>
    </row>
    <row r="5938" spans="5:13">
      <c r="E5938" s="473"/>
      <c r="F5938" s="473"/>
      <c r="G5938" s="473"/>
      <c r="H5938" s="473"/>
      <c r="I5938" s="473"/>
      <c r="J5938" s="473"/>
      <c r="K5938" s="473"/>
      <c r="L5938" s="473"/>
      <c r="M5938" s="473"/>
    </row>
    <row r="5939" spans="5:13">
      <c r="E5939" s="473"/>
      <c r="F5939" s="473"/>
      <c r="G5939" s="473"/>
      <c r="H5939" s="473"/>
      <c r="I5939" s="473"/>
      <c r="J5939" s="473"/>
      <c r="K5939" s="473"/>
      <c r="L5939" s="473"/>
      <c r="M5939" s="473"/>
    </row>
    <row r="5940" spans="5:13">
      <c r="E5940" s="473"/>
      <c r="F5940" s="473"/>
      <c r="G5940" s="473"/>
      <c r="H5940" s="473"/>
      <c r="I5940" s="473"/>
      <c r="J5940" s="473"/>
      <c r="K5940" s="473"/>
      <c r="L5940" s="473"/>
      <c r="M5940" s="473"/>
    </row>
    <row r="5941" spans="5:13">
      <c r="E5941" s="473"/>
      <c r="F5941" s="473"/>
      <c r="G5941" s="473"/>
      <c r="H5941" s="473"/>
      <c r="I5941" s="473"/>
      <c r="J5941" s="473"/>
      <c r="K5941" s="473"/>
      <c r="L5941" s="473"/>
      <c r="M5941" s="473"/>
    </row>
    <row r="5942" spans="5:13">
      <c r="E5942" s="473"/>
      <c r="F5942" s="473"/>
      <c r="G5942" s="473"/>
      <c r="H5942" s="473"/>
      <c r="I5942" s="473"/>
      <c r="J5942" s="473"/>
      <c r="K5942" s="473"/>
      <c r="L5942" s="473"/>
      <c r="M5942" s="473"/>
    </row>
    <row r="5943" spans="5:13">
      <c r="E5943" s="473"/>
      <c r="F5943" s="473"/>
      <c r="G5943" s="473"/>
      <c r="H5943" s="473"/>
      <c r="I5943" s="473"/>
      <c r="J5943" s="473"/>
      <c r="K5943" s="473"/>
      <c r="L5943" s="473"/>
      <c r="M5943" s="473"/>
    </row>
    <row r="5944" spans="5:13">
      <c r="E5944" s="473"/>
      <c r="F5944" s="473"/>
      <c r="G5944" s="473"/>
      <c r="H5944" s="473"/>
      <c r="I5944" s="473"/>
      <c r="J5944" s="473"/>
      <c r="K5944" s="473"/>
      <c r="L5944" s="473"/>
      <c r="M5944" s="473"/>
    </row>
    <row r="5945" spans="5:13">
      <c r="E5945" s="473"/>
      <c r="F5945" s="473"/>
      <c r="G5945" s="473"/>
      <c r="H5945" s="473"/>
      <c r="I5945" s="473"/>
      <c r="J5945" s="473"/>
      <c r="K5945" s="473"/>
      <c r="L5945" s="473"/>
      <c r="M5945" s="473"/>
    </row>
    <row r="5946" spans="5:13">
      <c r="E5946" s="473"/>
      <c r="F5946" s="473"/>
      <c r="G5946" s="473"/>
      <c r="H5946" s="473"/>
      <c r="I5946" s="473"/>
      <c r="J5946" s="473"/>
      <c r="K5946" s="473"/>
      <c r="L5946" s="473"/>
      <c r="M5946" s="473"/>
    </row>
    <row r="5947" spans="5:13">
      <c r="E5947" s="473"/>
      <c r="F5947" s="473"/>
      <c r="G5947" s="473"/>
      <c r="H5947" s="473"/>
      <c r="I5947" s="473"/>
      <c r="J5947" s="473"/>
      <c r="K5947" s="473"/>
      <c r="L5947" s="473"/>
      <c r="M5947" s="473"/>
    </row>
    <row r="5948" spans="5:13">
      <c r="E5948" s="473"/>
      <c r="F5948" s="473"/>
      <c r="G5948" s="473"/>
      <c r="H5948" s="473"/>
      <c r="I5948" s="473"/>
      <c r="J5948" s="473"/>
      <c r="K5948" s="473"/>
      <c r="L5948" s="473"/>
      <c r="M5948" s="473"/>
    </row>
    <row r="5949" spans="5:13">
      <c r="E5949" s="473"/>
      <c r="F5949" s="473"/>
      <c r="G5949" s="473"/>
      <c r="H5949" s="473"/>
      <c r="I5949" s="473"/>
      <c r="J5949" s="473"/>
      <c r="K5949" s="473"/>
      <c r="L5949" s="473"/>
      <c r="M5949" s="473"/>
    </row>
    <row r="5950" spans="5:13">
      <c r="E5950" s="473"/>
      <c r="F5950" s="473"/>
      <c r="G5950" s="473"/>
      <c r="H5950" s="473"/>
      <c r="I5950" s="473"/>
      <c r="J5950" s="473"/>
      <c r="K5950" s="473"/>
      <c r="L5950" s="473"/>
      <c r="M5950" s="473"/>
    </row>
    <row r="5951" spans="5:13">
      <c r="E5951" s="473"/>
      <c r="F5951" s="473"/>
      <c r="G5951" s="473"/>
      <c r="H5951" s="473"/>
      <c r="I5951" s="473"/>
      <c r="J5951" s="473"/>
      <c r="K5951" s="473"/>
      <c r="L5951" s="473"/>
      <c r="M5951" s="473"/>
    </row>
    <row r="5952" spans="5:13">
      <c r="E5952" s="473"/>
      <c r="F5952" s="473"/>
      <c r="G5952" s="473"/>
      <c r="H5952" s="473"/>
      <c r="I5952" s="473"/>
      <c r="J5952" s="473"/>
      <c r="K5952" s="473"/>
      <c r="L5952" s="473"/>
      <c r="M5952" s="473"/>
    </row>
    <row r="5953" spans="5:13">
      <c r="E5953" s="473"/>
      <c r="F5953" s="473"/>
      <c r="G5953" s="473"/>
      <c r="H5953" s="473"/>
      <c r="I5953" s="473"/>
      <c r="J5953" s="473"/>
      <c r="K5953" s="473"/>
      <c r="L5953" s="473"/>
      <c r="M5953" s="473"/>
    </row>
    <row r="5954" spans="5:13">
      <c r="E5954" s="473"/>
      <c r="F5954" s="473"/>
      <c r="G5954" s="473"/>
      <c r="H5954" s="473"/>
      <c r="I5954" s="473"/>
      <c r="J5954" s="473"/>
      <c r="K5954" s="473"/>
      <c r="L5954" s="473"/>
      <c r="M5954" s="473"/>
    </row>
    <row r="5955" spans="5:13">
      <c r="E5955" s="473"/>
      <c r="F5955" s="473"/>
      <c r="G5955" s="473"/>
      <c r="H5955" s="473"/>
      <c r="I5955" s="473"/>
      <c r="J5955" s="473"/>
      <c r="K5955" s="473"/>
      <c r="L5955" s="473"/>
      <c r="M5955" s="473"/>
    </row>
    <row r="5956" spans="5:13">
      <c r="E5956" s="473"/>
      <c r="F5956" s="473"/>
      <c r="G5956" s="473"/>
      <c r="H5956" s="473"/>
      <c r="I5956" s="473"/>
      <c r="J5956" s="473"/>
      <c r="K5956" s="473"/>
      <c r="L5956" s="473"/>
      <c r="M5956" s="473"/>
    </row>
    <row r="5957" spans="5:13">
      <c r="E5957" s="473"/>
      <c r="F5957" s="473"/>
      <c r="G5957" s="473"/>
      <c r="H5957" s="473"/>
      <c r="I5957" s="473"/>
      <c r="J5957" s="473"/>
      <c r="K5957" s="473"/>
      <c r="L5957" s="473"/>
      <c r="M5957" s="473"/>
    </row>
    <row r="5958" spans="5:13">
      <c r="E5958" s="473"/>
      <c r="F5958" s="473"/>
      <c r="G5958" s="473"/>
      <c r="H5958" s="473"/>
      <c r="I5958" s="473"/>
      <c r="J5958" s="473"/>
      <c r="K5958" s="473"/>
      <c r="L5958" s="473"/>
      <c r="M5958" s="473"/>
    </row>
    <row r="5959" spans="5:13">
      <c r="E5959" s="473"/>
      <c r="F5959" s="473"/>
      <c r="G5959" s="473"/>
      <c r="H5959" s="473"/>
      <c r="I5959" s="473"/>
      <c r="J5959" s="473"/>
      <c r="K5959" s="473"/>
      <c r="L5959" s="473"/>
      <c r="M5959" s="473"/>
    </row>
    <row r="5960" spans="5:13">
      <c r="E5960" s="473"/>
      <c r="F5960" s="473"/>
      <c r="G5960" s="473"/>
      <c r="H5960" s="473"/>
      <c r="I5960" s="473"/>
      <c r="J5960" s="473"/>
      <c r="K5960" s="473"/>
      <c r="L5960" s="473"/>
      <c r="M5960" s="473"/>
    </row>
    <row r="5961" spans="5:13">
      <c r="E5961" s="473"/>
      <c r="F5961" s="473"/>
      <c r="G5961" s="473"/>
      <c r="H5961" s="473"/>
      <c r="I5961" s="473"/>
      <c r="J5961" s="473"/>
      <c r="K5961" s="473"/>
      <c r="L5961" s="473"/>
      <c r="M5961" s="473"/>
    </row>
    <row r="5962" spans="5:13">
      <c r="E5962" s="473"/>
      <c r="F5962" s="473"/>
      <c r="G5962" s="473"/>
      <c r="H5962" s="473"/>
      <c r="I5962" s="473"/>
      <c r="J5962" s="473"/>
      <c r="K5962" s="473"/>
      <c r="L5962" s="473"/>
      <c r="M5962" s="473"/>
    </row>
    <row r="5963" spans="5:13">
      <c r="E5963" s="473"/>
      <c r="F5963" s="473"/>
      <c r="G5963" s="473"/>
      <c r="H5963" s="473"/>
      <c r="I5963" s="473"/>
      <c r="J5963" s="473"/>
      <c r="K5963" s="473"/>
      <c r="L5963" s="473"/>
      <c r="M5963" s="473"/>
    </row>
    <row r="5964" spans="5:13">
      <c r="E5964" s="473"/>
      <c r="F5964" s="473"/>
      <c r="G5964" s="473"/>
      <c r="H5964" s="473"/>
      <c r="I5964" s="473"/>
      <c r="J5964" s="473"/>
      <c r="K5964" s="473"/>
      <c r="L5964" s="473"/>
      <c r="M5964" s="473"/>
    </row>
    <row r="5965" spans="5:13">
      <c r="E5965" s="473"/>
      <c r="F5965" s="473"/>
      <c r="G5965" s="473"/>
      <c r="H5965" s="473"/>
      <c r="I5965" s="473"/>
      <c r="J5965" s="473"/>
      <c r="K5965" s="473"/>
      <c r="L5965" s="473"/>
      <c r="M5965" s="473"/>
    </row>
    <row r="5966" spans="5:13">
      <c r="E5966" s="473"/>
      <c r="F5966" s="473"/>
      <c r="G5966" s="473"/>
      <c r="H5966" s="473"/>
      <c r="I5966" s="473"/>
      <c r="J5966" s="473"/>
      <c r="K5966" s="473"/>
      <c r="L5966" s="473"/>
      <c r="M5966" s="473"/>
    </row>
    <row r="5967" spans="5:13">
      <c r="E5967" s="473"/>
      <c r="F5967" s="473"/>
      <c r="G5967" s="473"/>
      <c r="H5967" s="473"/>
      <c r="I5967" s="473"/>
      <c r="J5967" s="473"/>
      <c r="K5967" s="473"/>
      <c r="L5967" s="473"/>
      <c r="M5967" s="473"/>
    </row>
    <row r="5968" spans="5:13">
      <c r="E5968" s="473"/>
      <c r="F5968" s="473"/>
      <c r="G5968" s="473"/>
      <c r="H5968" s="473"/>
      <c r="I5968" s="473"/>
      <c r="J5968" s="473"/>
      <c r="K5968" s="473"/>
      <c r="L5968" s="473"/>
      <c r="M5968" s="473"/>
    </row>
    <row r="5969" spans="5:13">
      <c r="E5969" s="473"/>
      <c r="F5969" s="473"/>
      <c r="G5969" s="473"/>
      <c r="H5969" s="473"/>
      <c r="I5969" s="473"/>
      <c r="J5969" s="473"/>
      <c r="K5969" s="473"/>
      <c r="L5969" s="473"/>
      <c r="M5969" s="473"/>
    </row>
    <row r="5970" spans="5:13">
      <c r="E5970" s="473"/>
      <c r="F5970" s="473"/>
      <c r="G5970" s="473"/>
      <c r="H5970" s="473"/>
      <c r="I5970" s="473"/>
      <c r="J5970" s="473"/>
      <c r="K5970" s="473"/>
      <c r="L5970" s="473"/>
      <c r="M5970" s="473"/>
    </row>
    <row r="5971" spans="5:13">
      <c r="E5971" s="473"/>
      <c r="F5971" s="473"/>
      <c r="G5971" s="473"/>
      <c r="H5971" s="473"/>
      <c r="I5971" s="473"/>
      <c r="J5971" s="473"/>
      <c r="K5971" s="473"/>
      <c r="L5971" s="473"/>
      <c r="M5971" s="473"/>
    </row>
    <row r="5972" spans="5:13">
      <c r="E5972" s="473"/>
      <c r="F5972" s="473"/>
      <c r="G5972" s="473"/>
      <c r="H5972" s="473"/>
      <c r="I5972" s="473"/>
      <c r="J5972" s="473"/>
      <c r="K5972" s="473"/>
      <c r="L5972" s="473"/>
      <c r="M5972" s="473"/>
    </row>
    <row r="5973" spans="5:13">
      <c r="E5973" s="473"/>
      <c r="F5973" s="473"/>
      <c r="G5973" s="473"/>
      <c r="H5973" s="473"/>
      <c r="I5973" s="473"/>
      <c r="J5973" s="473"/>
      <c r="K5973" s="473"/>
      <c r="L5973" s="473"/>
      <c r="M5973" s="473"/>
    </row>
    <row r="5974" spans="5:13">
      <c r="E5974" s="473"/>
      <c r="F5974" s="473"/>
      <c r="G5974" s="473"/>
      <c r="H5974" s="473"/>
      <c r="I5974" s="473"/>
      <c r="J5974" s="473"/>
      <c r="K5974" s="473"/>
      <c r="L5974" s="473"/>
      <c r="M5974" s="473"/>
    </row>
    <row r="5975" spans="5:13">
      <c r="E5975" s="473"/>
      <c r="F5975" s="473"/>
      <c r="G5975" s="473"/>
      <c r="H5975" s="473"/>
      <c r="I5975" s="473"/>
      <c r="J5975" s="473"/>
      <c r="K5975" s="473"/>
      <c r="L5975" s="473"/>
      <c r="M5975" s="473"/>
    </row>
    <row r="5976" spans="5:13">
      <c r="E5976" s="473"/>
      <c r="F5976" s="473"/>
      <c r="G5976" s="473"/>
      <c r="H5976" s="473"/>
      <c r="I5976" s="473"/>
      <c r="J5976" s="473"/>
      <c r="K5976" s="473"/>
      <c r="L5976" s="473"/>
      <c r="M5976" s="473"/>
    </row>
    <row r="5977" spans="5:13">
      <c r="E5977" s="473"/>
      <c r="F5977" s="473"/>
      <c r="G5977" s="473"/>
      <c r="H5977" s="473"/>
      <c r="I5977" s="473"/>
      <c r="J5977" s="473"/>
      <c r="K5977" s="473"/>
      <c r="L5977" s="473"/>
      <c r="M5977" s="473"/>
    </row>
    <row r="5978" spans="5:13">
      <c r="E5978" s="473"/>
      <c r="F5978" s="473"/>
      <c r="G5978" s="473"/>
      <c r="H5978" s="473"/>
      <c r="I5978" s="473"/>
      <c r="J5978" s="473"/>
      <c r="K5978" s="473"/>
      <c r="L5978" s="473"/>
      <c r="M5978" s="473"/>
    </row>
    <row r="5979" spans="5:13">
      <c r="E5979" s="473"/>
      <c r="F5979" s="473"/>
      <c r="G5979" s="473"/>
      <c r="H5979" s="473"/>
      <c r="I5979" s="473"/>
      <c r="J5979" s="473"/>
      <c r="K5979" s="473"/>
      <c r="L5979" s="473"/>
      <c r="M5979" s="473"/>
    </row>
    <row r="5980" spans="5:13">
      <c r="E5980" s="473"/>
      <c r="F5980" s="473"/>
      <c r="G5980" s="473"/>
      <c r="H5980" s="473"/>
      <c r="I5980" s="473"/>
      <c r="J5980" s="473"/>
      <c r="K5980" s="473"/>
      <c r="L5980" s="473"/>
      <c r="M5980" s="473"/>
    </row>
    <row r="5981" spans="5:13">
      <c r="E5981" s="473"/>
      <c r="F5981" s="473"/>
      <c r="G5981" s="473"/>
      <c r="H5981" s="473"/>
      <c r="I5981" s="473"/>
      <c r="J5981" s="473"/>
      <c r="K5981" s="473"/>
      <c r="L5981" s="473"/>
      <c r="M5981" s="473"/>
    </row>
    <row r="5982" spans="5:13">
      <c r="E5982" s="473"/>
      <c r="F5982" s="473"/>
      <c r="G5982" s="473"/>
      <c r="H5982" s="473"/>
      <c r="I5982" s="473"/>
      <c r="J5982" s="473"/>
      <c r="K5982" s="473"/>
      <c r="L5982" s="473"/>
      <c r="M5982" s="473"/>
    </row>
    <row r="5983" spans="5:13">
      <c r="E5983" s="473"/>
      <c r="F5983" s="473"/>
      <c r="G5983" s="473"/>
      <c r="H5983" s="473"/>
      <c r="I5983" s="473"/>
      <c r="J5983" s="473"/>
      <c r="K5983" s="473"/>
      <c r="L5983" s="473"/>
      <c r="M5983" s="473"/>
    </row>
    <row r="5984" spans="5:13">
      <c r="E5984" s="473"/>
      <c r="F5984" s="473"/>
      <c r="G5984" s="473"/>
      <c r="H5984" s="473"/>
      <c r="I5984" s="473"/>
      <c r="J5984" s="473"/>
      <c r="K5984" s="473"/>
      <c r="L5984" s="473"/>
      <c r="M5984" s="473"/>
    </row>
    <row r="5985" spans="5:13">
      <c r="E5985" s="473"/>
      <c r="F5985" s="473"/>
      <c r="G5985" s="473"/>
      <c r="H5985" s="473"/>
      <c r="I5985" s="473"/>
      <c r="J5985" s="473"/>
      <c r="K5985" s="473"/>
      <c r="L5985" s="473"/>
      <c r="M5985" s="473"/>
    </row>
    <row r="5986" spans="5:13">
      <c r="E5986" s="473"/>
      <c r="F5986" s="473"/>
      <c r="G5986" s="473"/>
      <c r="H5986" s="473"/>
      <c r="I5986" s="473"/>
      <c r="J5986" s="473"/>
      <c r="K5986" s="473"/>
      <c r="L5986" s="473"/>
      <c r="M5986" s="473"/>
    </row>
    <row r="5987" spans="5:13">
      <c r="E5987" s="473"/>
      <c r="F5987" s="473"/>
      <c r="G5987" s="473"/>
      <c r="H5987" s="473"/>
      <c r="I5987" s="473"/>
      <c r="J5987" s="473"/>
      <c r="K5987" s="473"/>
      <c r="L5987" s="473"/>
      <c r="M5987" s="473"/>
    </row>
    <row r="5988" spans="5:13">
      <c r="E5988" s="473"/>
      <c r="F5988" s="473"/>
      <c r="G5988" s="473"/>
      <c r="H5988" s="473"/>
      <c r="I5988" s="473"/>
      <c r="J5988" s="473"/>
      <c r="K5988" s="473"/>
      <c r="L5988" s="473"/>
      <c r="M5988" s="473"/>
    </row>
    <row r="5989" spans="5:13">
      <c r="E5989" s="473"/>
      <c r="F5989" s="473"/>
      <c r="G5989" s="473"/>
      <c r="H5989" s="473"/>
      <c r="I5989" s="473"/>
      <c r="J5989" s="473"/>
      <c r="K5989" s="473"/>
      <c r="L5989" s="473"/>
      <c r="M5989" s="473"/>
    </row>
    <row r="5990" spans="5:13">
      <c r="E5990" s="473"/>
      <c r="F5990" s="473"/>
      <c r="G5990" s="473"/>
      <c r="H5990" s="473"/>
      <c r="I5990" s="473"/>
      <c r="J5990" s="473"/>
      <c r="K5990" s="473"/>
      <c r="L5990" s="473"/>
      <c r="M5990" s="473"/>
    </row>
    <row r="5991" spans="5:13">
      <c r="E5991" s="473"/>
      <c r="F5991" s="473"/>
      <c r="G5991" s="473"/>
      <c r="H5991" s="473"/>
      <c r="I5991" s="473"/>
      <c r="J5991" s="473"/>
      <c r="K5991" s="473"/>
      <c r="L5991" s="473"/>
      <c r="M5991" s="473"/>
    </row>
    <row r="5992" spans="5:13">
      <c r="E5992" s="473"/>
      <c r="F5992" s="473"/>
      <c r="G5992" s="473"/>
      <c r="H5992" s="473"/>
      <c r="I5992" s="473"/>
      <c r="J5992" s="473"/>
      <c r="K5992" s="473"/>
      <c r="L5992" s="473"/>
      <c r="M5992" s="473"/>
    </row>
    <row r="5993" spans="5:13">
      <c r="E5993" s="473"/>
      <c r="F5993" s="473"/>
      <c r="G5993" s="473"/>
      <c r="H5993" s="473"/>
      <c r="I5993" s="473"/>
      <c r="J5993" s="473"/>
      <c r="K5993" s="473"/>
      <c r="L5993" s="473"/>
      <c r="M5993" s="473"/>
    </row>
    <row r="5994" spans="5:13">
      <c r="E5994" s="473"/>
      <c r="F5994" s="473"/>
      <c r="G5994" s="473"/>
      <c r="H5994" s="473"/>
      <c r="I5994" s="473"/>
      <c r="J5994" s="473"/>
      <c r="K5994" s="473"/>
      <c r="L5994" s="473"/>
      <c r="M5994" s="473"/>
    </row>
    <row r="5995" spans="5:13">
      <c r="E5995" s="473"/>
      <c r="F5995" s="473"/>
      <c r="G5995" s="473"/>
      <c r="H5995" s="473"/>
      <c r="I5995" s="473"/>
      <c r="J5995" s="473"/>
      <c r="K5995" s="473"/>
      <c r="L5995" s="473"/>
      <c r="M5995" s="473"/>
    </row>
    <row r="5996" spans="5:13">
      <c r="E5996" s="473"/>
      <c r="F5996" s="473"/>
      <c r="G5996" s="473"/>
      <c r="H5996" s="473"/>
      <c r="I5996" s="473"/>
      <c r="J5996" s="473"/>
      <c r="K5996" s="473"/>
      <c r="L5996" s="473"/>
      <c r="M5996" s="473"/>
    </row>
    <row r="5997" spans="5:13">
      <c r="E5997" s="473"/>
      <c r="F5997" s="473"/>
      <c r="G5997" s="473"/>
      <c r="H5997" s="473"/>
      <c r="I5997" s="473"/>
      <c r="J5997" s="473"/>
      <c r="K5997" s="473"/>
      <c r="L5997" s="473"/>
      <c r="M5997" s="473"/>
    </row>
    <row r="5998" spans="5:13">
      <c r="E5998" s="473"/>
      <c r="F5998" s="473"/>
      <c r="G5998" s="473"/>
      <c r="H5998" s="473"/>
      <c r="I5998" s="473"/>
      <c r="J5998" s="473"/>
      <c r="K5998" s="473"/>
      <c r="L5998" s="473"/>
      <c r="M5998" s="473"/>
    </row>
    <row r="5999" spans="5:13">
      <c r="E5999" s="473"/>
      <c r="F5999" s="473"/>
      <c r="G5999" s="473"/>
      <c r="H5999" s="473"/>
      <c r="I5999" s="473"/>
      <c r="J5999" s="473"/>
      <c r="K5999" s="473"/>
      <c r="L5999" s="473"/>
      <c r="M5999" s="473"/>
    </row>
    <row r="6000" spans="5:13">
      <c r="E6000" s="473"/>
      <c r="F6000" s="473"/>
      <c r="G6000" s="473"/>
      <c r="H6000" s="473"/>
      <c r="I6000" s="473"/>
      <c r="J6000" s="473"/>
      <c r="K6000" s="473"/>
      <c r="L6000" s="473"/>
      <c r="M6000" s="473"/>
    </row>
    <row r="6001" spans="5:13">
      <c r="E6001" s="473"/>
      <c r="F6001" s="473"/>
      <c r="G6001" s="473"/>
      <c r="H6001" s="473"/>
      <c r="I6001" s="473"/>
      <c r="J6001" s="473"/>
      <c r="K6001" s="473"/>
      <c r="L6001" s="473"/>
      <c r="M6001" s="473"/>
    </row>
    <row r="6002" spans="5:13">
      <c r="E6002" s="473"/>
      <c r="F6002" s="473"/>
      <c r="G6002" s="473"/>
      <c r="H6002" s="473"/>
      <c r="I6002" s="473"/>
      <c r="J6002" s="473"/>
      <c r="K6002" s="473"/>
      <c r="L6002" s="473"/>
      <c r="M6002" s="473"/>
    </row>
    <row r="6003" spans="5:13">
      <c r="E6003" s="473"/>
      <c r="F6003" s="473"/>
      <c r="G6003" s="473"/>
      <c r="H6003" s="473"/>
      <c r="I6003" s="473"/>
      <c r="J6003" s="473"/>
      <c r="K6003" s="473"/>
      <c r="L6003" s="473"/>
      <c r="M6003" s="473"/>
    </row>
    <row r="6004" spans="5:13">
      <c r="E6004" s="473"/>
      <c r="F6004" s="473"/>
      <c r="G6004" s="473"/>
      <c r="H6004" s="473"/>
      <c r="I6004" s="473"/>
      <c r="J6004" s="473"/>
      <c r="K6004" s="473"/>
      <c r="L6004" s="473"/>
      <c r="M6004" s="473"/>
    </row>
    <row r="6005" spans="5:13">
      <c r="E6005" s="473"/>
      <c r="F6005" s="473"/>
      <c r="G6005" s="473"/>
      <c r="H6005" s="473"/>
      <c r="I6005" s="473"/>
      <c r="J6005" s="473"/>
      <c r="K6005" s="473"/>
      <c r="L6005" s="473"/>
      <c r="M6005" s="473"/>
    </row>
    <row r="6006" spans="5:13">
      <c r="E6006" s="473"/>
      <c r="F6006" s="473"/>
      <c r="G6006" s="473"/>
      <c r="H6006" s="473"/>
      <c r="I6006" s="473"/>
      <c r="J6006" s="473"/>
      <c r="K6006" s="473"/>
      <c r="L6006" s="473"/>
      <c r="M6006" s="473"/>
    </row>
    <row r="6007" spans="5:13">
      <c r="E6007" s="473"/>
      <c r="F6007" s="473"/>
      <c r="G6007" s="473"/>
      <c r="H6007" s="473"/>
      <c r="I6007" s="473"/>
      <c r="J6007" s="473"/>
      <c r="K6007" s="473"/>
      <c r="L6007" s="473"/>
      <c r="M6007" s="473"/>
    </row>
    <row r="6008" spans="5:13">
      <c r="E6008" s="473"/>
      <c r="F6008" s="473"/>
      <c r="G6008" s="473"/>
      <c r="H6008" s="473"/>
      <c r="I6008" s="473"/>
      <c r="J6008" s="473"/>
      <c r="K6008" s="473"/>
      <c r="L6008" s="473"/>
      <c r="M6008" s="473"/>
    </row>
    <row r="6009" spans="5:13">
      <c r="E6009" s="473"/>
      <c r="F6009" s="473"/>
      <c r="G6009" s="473"/>
      <c r="H6009" s="473"/>
      <c r="I6009" s="473"/>
      <c r="J6009" s="473"/>
      <c r="K6009" s="473"/>
      <c r="L6009" s="473"/>
      <c r="M6009" s="473"/>
    </row>
    <row r="6010" spans="5:13">
      <c r="E6010" s="473"/>
      <c r="F6010" s="473"/>
      <c r="G6010" s="473"/>
      <c r="H6010" s="473"/>
      <c r="I6010" s="473"/>
      <c r="J6010" s="473"/>
      <c r="K6010" s="473"/>
      <c r="L6010" s="473"/>
      <c r="M6010" s="473"/>
    </row>
    <row r="6011" spans="5:13">
      <c r="E6011" s="473"/>
      <c r="F6011" s="473"/>
      <c r="G6011" s="473"/>
      <c r="H6011" s="473"/>
      <c r="I6011" s="473"/>
      <c r="J6011" s="473"/>
      <c r="K6011" s="473"/>
      <c r="L6011" s="473"/>
      <c r="M6011" s="473"/>
    </row>
    <row r="6012" spans="5:13">
      <c r="E6012" s="473"/>
      <c r="F6012" s="473"/>
      <c r="G6012" s="473"/>
      <c r="H6012" s="473"/>
      <c r="I6012" s="473"/>
      <c r="J6012" s="473"/>
      <c r="K6012" s="473"/>
      <c r="L6012" s="473"/>
      <c r="M6012" s="473"/>
    </row>
    <row r="6013" spans="5:13">
      <c r="E6013" s="473"/>
      <c r="F6013" s="473"/>
      <c r="G6013" s="473"/>
      <c r="H6013" s="473"/>
      <c r="I6013" s="473"/>
      <c r="J6013" s="473"/>
      <c r="K6013" s="473"/>
      <c r="L6013" s="473"/>
      <c r="M6013" s="473"/>
    </row>
    <row r="6014" spans="5:13">
      <c r="E6014" s="473"/>
      <c r="F6014" s="473"/>
      <c r="G6014" s="473"/>
      <c r="H6014" s="473"/>
      <c r="I6014" s="473"/>
      <c r="J6014" s="473"/>
      <c r="K6014" s="473"/>
      <c r="L6014" s="473"/>
      <c r="M6014" s="473"/>
    </row>
    <row r="6015" spans="5:13">
      <c r="E6015" s="473"/>
      <c r="F6015" s="473"/>
      <c r="G6015" s="473"/>
      <c r="H6015" s="473"/>
      <c r="I6015" s="473"/>
      <c r="J6015" s="473"/>
      <c r="K6015" s="473"/>
      <c r="L6015" s="473"/>
      <c r="M6015" s="473"/>
    </row>
    <row r="6016" spans="5:13">
      <c r="E6016" s="473"/>
      <c r="F6016" s="473"/>
      <c r="G6016" s="473"/>
      <c r="H6016" s="473"/>
      <c r="I6016" s="473"/>
      <c r="J6016" s="473"/>
      <c r="K6016" s="473"/>
      <c r="L6016" s="473"/>
      <c r="M6016" s="473"/>
    </row>
    <row r="6017" spans="5:13">
      <c r="E6017" s="473"/>
      <c r="F6017" s="473"/>
      <c r="G6017" s="473"/>
      <c r="H6017" s="473"/>
      <c r="I6017" s="473"/>
      <c r="J6017" s="473"/>
      <c r="K6017" s="473"/>
      <c r="L6017" s="473"/>
      <c r="M6017" s="473"/>
    </row>
    <row r="6018" spans="5:13">
      <c r="E6018" s="473"/>
      <c r="F6018" s="473"/>
      <c r="G6018" s="473"/>
      <c r="H6018" s="473"/>
      <c r="I6018" s="473"/>
      <c r="J6018" s="473"/>
      <c r="K6018" s="473"/>
      <c r="L6018" s="473"/>
      <c r="M6018" s="473"/>
    </row>
    <row r="6019" spans="5:13">
      <c r="E6019" s="473"/>
      <c r="F6019" s="473"/>
      <c r="G6019" s="473"/>
      <c r="H6019" s="473"/>
      <c r="I6019" s="473"/>
      <c r="J6019" s="473"/>
      <c r="K6019" s="473"/>
      <c r="L6019" s="473"/>
      <c r="M6019" s="473"/>
    </row>
    <row r="6020" spans="5:13">
      <c r="E6020" s="473"/>
      <c r="F6020" s="473"/>
      <c r="G6020" s="473"/>
      <c r="H6020" s="473"/>
      <c r="I6020" s="473"/>
      <c r="J6020" s="473"/>
      <c r="K6020" s="473"/>
      <c r="L6020" s="473"/>
      <c r="M6020" s="473"/>
    </row>
    <row r="6021" spans="5:13">
      <c r="E6021" s="473"/>
      <c r="F6021" s="473"/>
      <c r="G6021" s="473"/>
      <c r="H6021" s="473"/>
      <c r="I6021" s="473"/>
      <c r="J6021" s="473"/>
      <c r="K6021" s="473"/>
      <c r="L6021" s="473"/>
      <c r="M6021" s="473"/>
    </row>
    <row r="6022" spans="5:13">
      <c r="E6022" s="473"/>
      <c r="F6022" s="473"/>
      <c r="G6022" s="473"/>
      <c r="H6022" s="473"/>
      <c r="I6022" s="473"/>
      <c r="J6022" s="473"/>
      <c r="K6022" s="473"/>
      <c r="L6022" s="473"/>
      <c r="M6022" s="473"/>
    </row>
    <row r="6023" spans="5:13">
      <c r="E6023" s="473"/>
      <c r="F6023" s="473"/>
      <c r="G6023" s="473"/>
      <c r="H6023" s="473"/>
      <c r="I6023" s="473"/>
      <c r="J6023" s="473"/>
      <c r="K6023" s="473"/>
      <c r="L6023" s="473"/>
      <c r="M6023" s="473"/>
    </row>
    <row r="6024" spans="5:13">
      <c r="E6024" s="473"/>
      <c r="F6024" s="473"/>
      <c r="G6024" s="473"/>
      <c r="H6024" s="473"/>
      <c r="I6024" s="473"/>
      <c r="J6024" s="473"/>
      <c r="K6024" s="473"/>
      <c r="L6024" s="473"/>
      <c r="M6024" s="473"/>
    </row>
    <row r="6025" spans="5:13">
      <c r="E6025" s="473"/>
      <c r="F6025" s="473"/>
      <c r="G6025" s="473"/>
      <c r="H6025" s="473"/>
      <c r="I6025" s="473"/>
      <c r="J6025" s="473"/>
      <c r="K6025" s="473"/>
      <c r="L6025" s="473"/>
      <c r="M6025" s="473"/>
    </row>
    <row r="6026" spans="5:13">
      <c r="E6026" s="473"/>
      <c r="F6026" s="473"/>
      <c r="G6026" s="473"/>
      <c r="H6026" s="473"/>
      <c r="I6026" s="473"/>
      <c r="J6026" s="473"/>
      <c r="K6026" s="473"/>
      <c r="L6026" s="473"/>
      <c r="M6026" s="473"/>
    </row>
    <row r="6027" spans="5:13">
      <c r="E6027" s="473"/>
      <c r="F6027" s="473"/>
      <c r="G6027" s="473"/>
      <c r="H6027" s="473"/>
      <c r="I6027" s="473"/>
      <c r="J6027" s="473"/>
      <c r="K6027" s="473"/>
      <c r="L6027" s="473"/>
      <c r="M6027" s="473"/>
    </row>
    <row r="6028" spans="5:13">
      <c r="E6028" s="473"/>
      <c r="F6028" s="473"/>
      <c r="G6028" s="473"/>
      <c r="H6028" s="473"/>
      <c r="I6028" s="473"/>
      <c r="J6028" s="473"/>
      <c r="K6028" s="473"/>
      <c r="L6028" s="473"/>
      <c r="M6028" s="473"/>
    </row>
    <row r="6029" spans="5:13">
      <c r="E6029" s="473"/>
      <c r="F6029" s="473"/>
      <c r="G6029" s="473"/>
      <c r="H6029" s="473"/>
      <c r="I6029" s="473"/>
      <c r="J6029" s="473"/>
      <c r="K6029" s="473"/>
      <c r="L6029" s="473"/>
      <c r="M6029" s="473"/>
    </row>
    <row r="6030" spans="5:13">
      <c r="E6030" s="473"/>
      <c r="F6030" s="473"/>
      <c r="G6030" s="473"/>
      <c r="H6030" s="473"/>
      <c r="I6030" s="473"/>
      <c r="J6030" s="473"/>
      <c r="K6030" s="473"/>
      <c r="L6030" s="473"/>
      <c r="M6030" s="473"/>
    </row>
    <row r="6031" spans="5:13">
      <c r="E6031" s="473"/>
      <c r="F6031" s="473"/>
      <c r="G6031" s="473"/>
      <c r="H6031" s="473"/>
      <c r="I6031" s="473"/>
      <c r="J6031" s="473"/>
      <c r="K6031" s="473"/>
      <c r="L6031" s="473"/>
      <c r="M6031" s="473"/>
    </row>
    <row r="6032" spans="5:13">
      <c r="E6032" s="473"/>
      <c r="F6032" s="473"/>
      <c r="G6032" s="473"/>
      <c r="H6032" s="473"/>
      <c r="I6032" s="473"/>
      <c r="J6032" s="473"/>
      <c r="K6032" s="473"/>
      <c r="L6032" s="473"/>
      <c r="M6032" s="473"/>
    </row>
    <row r="6033" spans="5:13">
      <c r="E6033" s="473"/>
      <c r="F6033" s="473"/>
      <c r="G6033" s="473"/>
      <c r="H6033" s="473"/>
      <c r="I6033" s="473"/>
      <c r="J6033" s="473"/>
      <c r="K6033" s="473"/>
      <c r="L6033" s="473"/>
      <c r="M6033" s="473"/>
    </row>
    <row r="6034" spans="5:13">
      <c r="E6034" s="473"/>
      <c r="F6034" s="473"/>
      <c r="G6034" s="473"/>
      <c r="H6034" s="473"/>
      <c r="I6034" s="473"/>
      <c r="J6034" s="473"/>
      <c r="K6034" s="473"/>
      <c r="L6034" s="473"/>
      <c r="M6034" s="473"/>
    </row>
    <row r="6035" spans="5:13">
      <c r="E6035" s="473"/>
      <c r="F6035" s="473"/>
      <c r="G6035" s="473"/>
      <c r="H6035" s="473"/>
      <c r="I6035" s="473"/>
      <c r="J6035" s="473"/>
      <c r="K6035" s="473"/>
      <c r="L6035" s="473"/>
      <c r="M6035" s="473"/>
    </row>
    <row r="6036" spans="5:13">
      <c r="E6036" s="473"/>
      <c r="F6036" s="473"/>
      <c r="G6036" s="473"/>
      <c r="H6036" s="473"/>
      <c r="I6036" s="473"/>
      <c r="J6036" s="473"/>
      <c r="K6036" s="473"/>
      <c r="L6036" s="473"/>
      <c r="M6036" s="473"/>
    </row>
    <row r="6037" spans="5:13">
      <c r="E6037" s="473"/>
      <c r="F6037" s="473"/>
      <c r="G6037" s="473"/>
      <c r="H6037" s="473"/>
      <c r="I6037" s="473"/>
      <c r="J6037" s="473"/>
      <c r="K6037" s="473"/>
      <c r="L6037" s="473"/>
      <c r="M6037" s="473"/>
    </row>
    <row r="6038" spans="5:13">
      <c r="E6038" s="473"/>
      <c r="F6038" s="473"/>
      <c r="G6038" s="473"/>
      <c r="H6038" s="473"/>
      <c r="I6038" s="473"/>
      <c r="J6038" s="473"/>
      <c r="K6038" s="473"/>
      <c r="L6038" s="473"/>
      <c r="M6038" s="473"/>
    </row>
    <row r="6039" spans="5:13">
      <c r="E6039" s="473"/>
      <c r="F6039" s="473"/>
      <c r="G6039" s="473"/>
      <c r="H6039" s="473"/>
      <c r="I6039" s="473"/>
      <c r="J6039" s="473"/>
      <c r="K6039" s="473"/>
      <c r="L6039" s="473"/>
      <c r="M6039" s="473"/>
    </row>
    <row r="6040" spans="5:13">
      <c r="E6040" s="473"/>
      <c r="F6040" s="473"/>
      <c r="G6040" s="473"/>
      <c r="H6040" s="473"/>
      <c r="I6040" s="473"/>
      <c r="J6040" s="473"/>
      <c r="K6040" s="473"/>
      <c r="L6040" s="473"/>
      <c r="M6040" s="473"/>
    </row>
    <row r="6041" spans="5:13">
      <c r="E6041" s="473"/>
      <c r="F6041" s="473"/>
      <c r="G6041" s="473"/>
      <c r="H6041" s="473"/>
      <c r="I6041" s="473"/>
      <c r="J6041" s="473"/>
      <c r="K6041" s="473"/>
      <c r="L6041" s="473"/>
      <c r="M6041" s="473"/>
    </row>
    <row r="6042" spans="5:13">
      <c r="E6042" s="473"/>
      <c r="F6042" s="473"/>
      <c r="G6042" s="473"/>
      <c r="H6042" s="473"/>
      <c r="I6042" s="473"/>
      <c r="J6042" s="473"/>
      <c r="K6042" s="473"/>
      <c r="L6042" s="473"/>
      <c r="M6042" s="473"/>
    </row>
    <row r="6043" spans="5:13">
      <c r="E6043" s="473"/>
      <c r="F6043" s="473"/>
      <c r="G6043" s="473"/>
      <c r="H6043" s="473"/>
      <c r="I6043" s="473"/>
      <c r="J6043" s="473"/>
      <c r="K6043" s="473"/>
      <c r="L6043" s="473"/>
      <c r="M6043" s="473"/>
    </row>
    <row r="6044" spans="5:13">
      <c r="E6044" s="473"/>
      <c r="F6044" s="473"/>
      <c r="G6044" s="473"/>
      <c r="H6044" s="473"/>
      <c r="I6044" s="473"/>
      <c r="J6044" s="473"/>
      <c r="K6044" s="473"/>
      <c r="L6044" s="473"/>
      <c r="M6044" s="473"/>
    </row>
    <row r="6045" spans="5:13">
      <c r="E6045" s="473"/>
      <c r="F6045" s="473"/>
      <c r="G6045" s="473"/>
      <c r="H6045" s="473"/>
      <c r="I6045" s="473"/>
      <c r="J6045" s="473"/>
      <c r="K6045" s="473"/>
      <c r="L6045" s="473"/>
      <c r="M6045" s="473"/>
    </row>
    <row r="6046" spans="5:13">
      <c r="E6046" s="473"/>
      <c r="F6046" s="473"/>
      <c r="G6046" s="473"/>
      <c r="H6046" s="473"/>
      <c r="I6046" s="473"/>
      <c r="J6046" s="473"/>
      <c r="K6046" s="473"/>
      <c r="L6046" s="473"/>
      <c r="M6046" s="473"/>
    </row>
    <row r="6047" spans="5:13">
      <c r="E6047" s="473"/>
      <c r="F6047" s="473"/>
      <c r="G6047" s="473"/>
      <c r="H6047" s="473"/>
      <c r="I6047" s="473"/>
      <c r="J6047" s="473"/>
      <c r="K6047" s="473"/>
      <c r="L6047" s="473"/>
      <c r="M6047" s="473"/>
    </row>
    <row r="6048" spans="5:13">
      <c r="E6048" s="473"/>
      <c r="F6048" s="473"/>
      <c r="G6048" s="473"/>
      <c r="H6048" s="473"/>
      <c r="I6048" s="473"/>
      <c r="J6048" s="473"/>
      <c r="K6048" s="473"/>
      <c r="L6048" s="473"/>
      <c r="M6048" s="473"/>
    </row>
    <row r="6049" spans="5:13">
      <c r="E6049" s="473"/>
      <c r="F6049" s="473"/>
      <c r="G6049" s="473"/>
      <c r="H6049" s="473"/>
      <c r="I6049" s="473"/>
      <c r="J6049" s="473"/>
      <c r="K6049" s="473"/>
      <c r="L6049" s="473"/>
      <c r="M6049" s="473"/>
    </row>
    <row r="6050" spans="5:13">
      <c r="E6050" s="473"/>
      <c r="F6050" s="473"/>
      <c r="G6050" s="473"/>
      <c r="H6050" s="473"/>
      <c r="I6050" s="473"/>
      <c r="J6050" s="473"/>
      <c r="K6050" s="473"/>
      <c r="L6050" s="473"/>
      <c r="M6050" s="473"/>
    </row>
    <row r="6051" spans="5:13">
      <c r="E6051" s="473"/>
      <c r="F6051" s="473"/>
      <c r="G6051" s="473"/>
      <c r="H6051" s="473"/>
      <c r="I6051" s="473"/>
      <c r="J6051" s="473"/>
      <c r="K6051" s="473"/>
      <c r="L6051" s="473"/>
      <c r="M6051" s="473"/>
    </row>
    <row r="6052" spans="5:13">
      <c r="E6052" s="473"/>
      <c r="F6052" s="473"/>
      <c r="G6052" s="473"/>
      <c r="H6052" s="473"/>
      <c r="I6052" s="473"/>
      <c r="J6052" s="473"/>
      <c r="K6052" s="473"/>
      <c r="L6052" s="473"/>
      <c r="M6052" s="473"/>
    </row>
    <row r="6053" spans="5:13">
      <c r="E6053" s="473"/>
      <c r="F6053" s="473"/>
      <c r="G6053" s="473"/>
      <c r="H6053" s="473"/>
      <c r="I6053" s="473"/>
      <c r="J6053" s="473"/>
      <c r="K6053" s="473"/>
      <c r="L6053" s="473"/>
      <c r="M6053" s="473"/>
    </row>
    <row r="6054" spans="5:13">
      <c r="E6054" s="473"/>
      <c r="F6054" s="473"/>
      <c r="G6054" s="473"/>
      <c r="H6054" s="473"/>
      <c r="I6054" s="473"/>
      <c r="J6054" s="473"/>
      <c r="K6054" s="473"/>
      <c r="L6054" s="473"/>
      <c r="M6054" s="473"/>
    </row>
    <row r="6055" spans="5:13">
      <c r="E6055" s="473"/>
      <c r="F6055" s="473"/>
      <c r="G6055" s="473"/>
      <c r="H6055" s="473"/>
      <c r="I6055" s="473"/>
      <c r="J6055" s="473"/>
      <c r="K6055" s="473"/>
      <c r="L6055" s="473"/>
      <c r="M6055" s="473"/>
    </row>
    <row r="6056" spans="5:13">
      <c r="E6056" s="473"/>
      <c r="F6056" s="473"/>
      <c r="G6056" s="473"/>
      <c r="H6056" s="473"/>
      <c r="I6056" s="473"/>
      <c r="J6056" s="473"/>
      <c r="K6056" s="473"/>
      <c r="L6056" s="473"/>
      <c r="M6056" s="473"/>
    </row>
    <row r="6057" spans="5:13">
      <c r="E6057" s="473"/>
      <c r="F6057" s="473"/>
      <c r="G6057" s="473"/>
      <c r="H6057" s="473"/>
      <c r="I6057" s="473"/>
      <c r="J6057" s="473"/>
      <c r="K6057" s="473"/>
      <c r="L6057" s="473"/>
      <c r="M6057" s="473"/>
    </row>
    <row r="6058" spans="5:13">
      <c r="E6058" s="473"/>
      <c r="F6058" s="473"/>
      <c r="G6058" s="473"/>
      <c r="H6058" s="473"/>
      <c r="I6058" s="473"/>
      <c r="J6058" s="473"/>
      <c r="K6058" s="473"/>
      <c r="L6058" s="473"/>
      <c r="M6058" s="473"/>
    </row>
    <row r="6059" spans="5:13">
      <c r="E6059" s="473"/>
      <c r="F6059" s="473"/>
      <c r="G6059" s="473"/>
      <c r="H6059" s="473"/>
      <c r="I6059" s="473"/>
      <c r="J6059" s="473"/>
      <c r="K6059" s="473"/>
      <c r="L6059" s="473"/>
      <c r="M6059" s="473"/>
    </row>
    <row r="6060" spans="5:13">
      <c r="E6060" s="473"/>
      <c r="F6060" s="473"/>
      <c r="G6060" s="473"/>
      <c r="H6060" s="473"/>
      <c r="I6060" s="473"/>
      <c r="J6060" s="473"/>
      <c r="K6060" s="473"/>
      <c r="L6060" s="473"/>
      <c r="M6060" s="473"/>
    </row>
    <row r="6061" spans="5:13">
      <c r="E6061" s="473"/>
      <c r="F6061" s="473"/>
      <c r="G6061" s="473"/>
      <c r="H6061" s="473"/>
      <c r="I6061" s="473"/>
      <c r="J6061" s="473"/>
      <c r="K6061" s="473"/>
      <c r="L6061" s="473"/>
      <c r="M6061" s="473"/>
    </row>
    <row r="6062" spans="5:13">
      <c r="E6062" s="473"/>
      <c r="F6062" s="473"/>
      <c r="G6062" s="473"/>
      <c r="H6062" s="473"/>
      <c r="I6062" s="473"/>
      <c r="J6062" s="473"/>
      <c r="K6062" s="473"/>
      <c r="L6062" s="473"/>
      <c r="M6062" s="473"/>
    </row>
    <row r="6063" spans="5:13">
      <c r="E6063" s="473"/>
      <c r="F6063" s="473"/>
      <c r="G6063" s="473"/>
      <c r="H6063" s="473"/>
      <c r="I6063" s="473"/>
      <c r="J6063" s="473"/>
      <c r="K6063" s="473"/>
      <c r="L6063" s="473"/>
      <c r="M6063" s="473"/>
    </row>
    <row r="6064" spans="5:13">
      <c r="E6064" s="473"/>
      <c r="F6064" s="473"/>
      <c r="G6064" s="473"/>
      <c r="H6064" s="473"/>
      <c r="I6064" s="473"/>
      <c r="J6064" s="473"/>
      <c r="K6064" s="473"/>
      <c r="L6064" s="473"/>
      <c r="M6064" s="473"/>
    </row>
    <row r="6065" spans="5:13">
      <c r="E6065" s="473"/>
      <c r="F6065" s="473"/>
      <c r="G6065" s="473"/>
      <c r="H6065" s="473"/>
      <c r="I6065" s="473"/>
      <c r="J6065" s="473"/>
      <c r="K6065" s="473"/>
      <c r="L6065" s="473"/>
      <c r="M6065" s="473"/>
    </row>
    <row r="6066" spans="5:13">
      <c r="E6066" s="473"/>
      <c r="F6066" s="473"/>
      <c r="G6066" s="473"/>
      <c r="H6066" s="473"/>
      <c r="I6066" s="473"/>
      <c r="J6066" s="473"/>
      <c r="K6066" s="473"/>
      <c r="L6066" s="473"/>
      <c r="M6066" s="473"/>
    </row>
    <row r="6067" spans="5:13">
      <c r="E6067" s="473"/>
      <c r="F6067" s="473"/>
      <c r="G6067" s="473"/>
      <c r="H6067" s="473"/>
      <c r="I6067" s="473"/>
      <c r="J6067" s="473"/>
      <c r="K6067" s="473"/>
      <c r="L6067" s="473"/>
      <c r="M6067" s="473"/>
    </row>
    <row r="6068" spans="5:13">
      <c r="E6068" s="473"/>
      <c r="F6068" s="473"/>
      <c r="G6068" s="473"/>
      <c r="H6068" s="473"/>
      <c r="I6068" s="473"/>
      <c r="J6068" s="473"/>
      <c r="K6068" s="473"/>
      <c r="L6068" s="473"/>
      <c r="M6068" s="473"/>
    </row>
    <row r="6069" spans="5:13">
      <c r="E6069" s="473"/>
      <c r="F6069" s="473"/>
      <c r="G6069" s="473"/>
      <c r="H6069" s="473"/>
      <c r="I6069" s="473"/>
      <c r="J6069" s="473"/>
      <c r="K6069" s="473"/>
      <c r="L6069" s="473"/>
      <c r="M6069" s="473"/>
    </row>
    <row r="6070" spans="5:13">
      <c r="E6070" s="473"/>
      <c r="F6070" s="473"/>
      <c r="G6070" s="473"/>
      <c r="H6070" s="473"/>
      <c r="I6070" s="473"/>
      <c r="J6070" s="473"/>
      <c r="K6070" s="473"/>
      <c r="L6070" s="473"/>
      <c r="M6070" s="473"/>
    </row>
    <row r="6071" spans="5:13">
      <c r="E6071" s="473"/>
      <c r="F6071" s="473"/>
      <c r="G6071" s="473"/>
      <c r="H6071" s="473"/>
      <c r="I6071" s="473"/>
      <c r="J6071" s="473"/>
      <c r="K6071" s="473"/>
      <c r="L6071" s="473"/>
      <c r="M6071" s="473"/>
    </row>
    <row r="6072" spans="5:13">
      <c r="E6072" s="473"/>
      <c r="F6072" s="473"/>
      <c r="G6072" s="473"/>
      <c r="H6072" s="473"/>
      <c r="I6072" s="473"/>
      <c r="J6072" s="473"/>
      <c r="K6072" s="473"/>
      <c r="L6072" s="473"/>
      <c r="M6072" s="473"/>
    </row>
    <row r="6073" spans="5:13">
      <c r="E6073" s="473"/>
      <c r="F6073" s="473"/>
      <c r="G6073" s="473"/>
      <c r="H6073" s="473"/>
      <c r="I6073" s="473"/>
      <c r="J6073" s="473"/>
      <c r="K6073" s="473"/>
      <c r="L6073" s="473"/>
      <c r="M6073" s="473"/>
    </row>
    <row r="6074" spans="5:13">
      <c r="E6074" s="473"/>
      <c r="F6074" s="473"/>
      <c r="G6074" s="473"/>
      <c r="H6074" s="473"/>
      <c r="I6074" s="473"/>
      <c r="J6074" s="473"/>
      <c r="K6074" s="473"/>
      <c r="L6074" s="473"/>
      <c r="M6074" s="473"/>
    </row>
    <row r="6075" spans="5:13">
      <c r="E6075" s="473"/>
      <c r="F6075" s="473"/>
      <c r="G6075" s="473"/>
      <c r="H6075" s="473"/>
      <c r="I6075" s="473"/>
      <c r="J6075" s="473"/>
      <c r="K6075" s="473"/>
      <c r="L6075" s="473"/>
      <c r="M6075" s="473"/>
    </row>
    <row r="6076" spans="5:13">
      <c r="E6076" s="473"/>
      <c r="F6076" s="473"/>
      <c r="G6076" s="473"/>
      <c r="H6076" s="473"/>
      <c r="I6076" s="473"/>
      <c r="J6076" s="473"/>
      <c r="K6076" s="473"/>
      <c r="L6076" s="473"/>
      <c r="M6076" s="473"/>
    </row>
    <row r="6077" spans="5:13">
      <c r="E6077" s="473"/>
      <c r="F6077" s="473"/>
      <c r="G6077" s="473"/>
      <c r="H6077" s="473"/>
      <c r="I6077" s="473"/>
      <c r="J6077" s="473"/>
      <c r="K6077" s="473"/>
      <c r="L6077" s="473"/>
      <c r="M6077" s="473"/>
    </row>
    <row r="6078" spans="5:13">
      <c r="E6078" s="473"/>
      <c r="F6078" s="473"/>
      <c r="G6078" s="473"/>
      <c r="H6078" s="473"/>
      <c r="I6078" s="473"/>
      <c r="J6078" s="473"/>
      <c r="K6078" s="473"/>
      <c r="L6078" s="473"/>
      <c r="M6078" s="473"/>
    </row>
    <row r="6079" spans="5:13">
      <c r="E6079" s="473"/>
      <c r="F6079" s="473"/>
      <c r="G6079" s="473"/>
      <c r="H6079" s="473"/>
      <c r="I6079" s="473"/>
      <c r="J6079" s="473"/>
      <c r="K6079" s="473"/>
      <c r="L6079" s="473"/>
      <c r="M6079" s="473"/>
    </row>
    <row r="6080" spans="5:13">
      <c r="E6080" s="473"/>
      <c r="F6080" s="473"/>
      <c r="G6080" s="473"/>
      <c r="H6080" s="473"/>
      <c r="I6080" s="473"/>
      <c r="J6080" s="473"/>
      <c r="K6080" s="473"/>
      <c r="L6080" s="473"/>
      <c r="M6080" s="473"/>
    </row>
    <row r="6081" spans="5:13">
      <c r="E6081" s="473"/>
      <c r="F6081" s="473"/>
      <c r="G6081" s="473"/>
      <c r="H6081" s="473"/>
      <c r="I6081" s="473"/>
      <c r="J6081" s="473"/>
      <c r="K6081" s="473"/>
      <c r="L6081" s="473"/>
      <c r="M6081" s="473"/>
    </row>
    <row r="6082" spans="5:13">
      <c r="E6082" s="473"/>
      <c r="F6082" s="473"/>
      <c r="G6082" s="473"/>
      <c r="H6082" s="473"/>
      <c r="I6082" s="473"/>
      <c r="J6082" s="473"/>
      <c r="K6082" s="473"/>
      <c r="L6082" s="473"/>
      <c r="M6082" s="473"/>
    </row>
    <row r="6083" spans="5:13">
      <c r="E6083" s="473"/>
      <c r="F6083" s="473"/>
      <c r="G6083" s="473"/>
      <c r="H6083" s="473"/>
      <c r="I6083" s="473"/>
      <c r="J6083" s="473"/>
      <c r="K6083" s="473"/>
      <c r="L6083" s="473"/>
      <c r="M6083" s="473"/>
    </row>
    <row r="6084" spans="5:13">
      <c r="E6084" s="473"/>
      <c r="F6084" s="473"/>
      <c r="G6084" s="473"/>
      <c r="H6084" s="473"/>
      <c r="I6084" s="473"/>
      <c r="J6084" s="473"/>
      <c r="K6084" s="473"/>
      <c r="L6084" s="473"/>
      <c r="M6084" s="473"/>
    </row>
    <row r="6085" spans="5:13">
      <c r="E6085" s="473"/>
      <c r="F6085" s="473"/>
      <c r="G6085" s="473"/>
      <c r="H6085" s="473"/>
      <c r="I6085" s="473"/>
      <c r="J6085" s="473"/>
      <c r="K6085" s="473"/>
      <c r="L6085" s="473"/>
      <c r="M6085" s="473"/>
    </row>
    <row r="6086" spans="5:13">
      <c r="E6086" s="473"/>
      <c r="F6086" s="473"/>
      <c r="G6086" s="473"/>
      <c r="H6086" s="473"/>
      <c r="I6086" s="473"/>
      <c r="J6086" s="473"/>
      <c r="K6086" s="473"/>
      <c r="L6086" s="473"/>
      <c r="M6086" s="473"/>
    </row>
    <row r="6087" spans="5:13">
      <c r="E6087" s="473"/>
      <c r="F6087" s="473"/>
      <c r="G6087" s="473"/>
      <c r="H6087" s="473"/>
      <c r="I6087" s="473"/>
      <c r="J6087" s="473"/>
      <c r="K6087" s="473"/>
      <c r="L6087" s="473"/>
      <c r="M6087" s="473"/>
    </row>
    <row r="6088" spans="5:13">
      <c r="E6088" s="473"/>
      <c r="F6088" s="473"/>
      <c r="G6088" s="473"/>
      <c r="H6088" s="473"/>
      <c r="I6088" s="473"/>
      <c r="J6088" s="473"/>
      <c r="K6088" s="473"/>
      <c r="L6088" s="473"/>
      <c r="M6088" s="473"/>
    </row>
    <row r="6089" spans="5:13">
      <c r="E6089" s="473"/>
      <c r="F6089" s="473"/>
      <c r="G6089" s="473"/>
      <c r="H6089" s="473"/>
      <c r="I6089" s="473"/>
      <c r="J6089" s="473"/>
      <c r="K6089" s="473"/>
      <c r="L6089" s="473"/>
      <c r="M6089" s="473"/>
    </row>
    <row r="6090" spans="5:13">
      <c r="E6090" s="473"/>
      <c r="F6090" s="473"/>
      <c r="G6090" s="473"/>
      <c r="H6090" s="473"/>
      <c r="I6090" s="473"/>
      <c r="J6090" s="473"/>
      <c r="K6090" s="473"/>
      <c r="L6090" s="473"/>
      <c r="M6090" s="473"/>
    </row>
    <row r="6091" spans="5:13">
      <c r="E6091" s="473"/>
      <c r="F6091" s="473"/>
      <c r="G6091" s="473"/>
      <c r="H6091" s="473"/>
      <c r="I6091" s="473"/>
      <c r="J6091" s="473"/>
      <c r="K6091" s="473"/>
      <c r="L6091" s="473"/>
      <c r="M6091" s="473"/>
    </row>
    <row r="6092" spans="5:13">
      <c r="E6092" s="473"/>
      <c r="F6092" s="473"/>
      <c r="G6092" s="473"/>
      <c r="H6092" s="473"/>
      <c r="I6092" s="473"/>
      <c r="J6092" s="473"/>
      <c r="K6092" s="473"/>
      <c r="L6092" s="473"/>
      <c r="M6092" s="473"/>
    </row>
    <row r="6093" spans="5:13">
      <c r="E6093" s="473"/>
      <c r="F6093" s="473"/>
      <c r="G6093" s="473"/>
      <c r="H6093" s="473"/>
      <c r="I6093" s="473"/>
      <c r="J6093" s="473"/>
      <c r="K6093" s="473"/>
      <c r="L6093" s="473"/>
      <c r="M6093" s="473"/>
    </row>
    <row r="6094" spans="5:13">
      <c r="E6094" s="473"/>
      <c r="F6094" s="473"/>
      <c r="G6094" s="473"/>
      <c r="H6094" s="473"/>
      <c r="I6094" s="473"/>
      <c r="J6094" s="473"/>
      <c r="K6094" s="473"/>
      <c r="L6094" s="473"/>
      <c r="M6094" s="473"/>
    </row>
    <row r="6095" spans="5:13">
      <c r="E6095" s="473"/>
      <c r="F6095" s="473"/>
      <c r="G6095" s="473"/>
      <c r="H6095" s="473"/>
      <c r="I6095" s="473"/>
      <c r="J6095" s="473"/>
      <c r="K6095" s="473"/>
      <c r="L6095" s="473"/>
      <c r="M6095" s="473"/>
    </row>
    <row r="6096" spans="5:13">
      <c r="E6096" s="473"/>
      <c r="F6096" s="473"/>
      <c r="G6096" s="473"/>
      <c r="H6096" s="473"/>
      <c r="I6096" s="473"/>
      <c r="J6096" s="473"/>
      <c r="K6096" s="473"/>
      <c r="L6096" s="473"/>
      <c r="M6096" s="473"/>
    </row>
    <row r="6097" spans="5:13">
      <c r="E6097" s="473"/>
      <c r="F6097" s="473"/>
      <c r="G6097" s="473"/>
      <c r="H6097" s="473"/>
      <c r="I6097" s="473"/>
      <c r="J6097" s="473"/>
      <c r="K6097" s="473"/>
      <c r="L6097" s="473"/>
      <c r="M6097" s="473"/>
    </row>
    <row r="6098" spans="5:13">
      <c r="E6098" s="473"/>
      <c r="F6098" s="473"/>
      <c r="G6098" s="473"/>
      <c r="H6098" s="473"/>
      <c r="I6098" s="473"/>
      <c r="J6098" s="473"/>
      <c r="K6098" s="473"/>
      <c r="L6098" s="473"/>
      <c r="M6098" s="473"/>
    </row>
    <row r="6099" spans="5:13">
      <c r="E6099" s="473"/>
      <c r="F6099" s="473"/>
      <c r="G6099" s="473"/>
      <c r="H6099" s="473"/>
      <c r="I6099" s="473"/>
      <c r="J6099" s="473"/>
      <c r="K6099" s="473"/>
      <c r="L6099" s="473"/>
      <c r="M6099" s="473"/>
    </row>
    <row r="6100" spans="5:13">
      <c r="E6100" s="473"/>
      <c r="F6100" s="473"/>
      <c r="G6100" s="473"/>
      <c r="H6100" s="473"/>
      <c r="I6100" s="473"/>
      <c r="J6100" s="473"/>
      <c r="K6100" s="473"/>
      <c r="L6100" s="473"/>
      <c r="M6100" s="473"/>
    </row>
    <row r="6101" spans="5:13">
      <c r="E6101" s="473"/>
      <c r="F6101" s="473"/>
      <c r="G6101" s="473"/>
      <c r="H6101" s="473"/>
      <c r="I6101" s="473"/>
      <c r="J6101" s="473"/>
      <c r="K6101" s="473"/>
      <c r="L6101" s="473"/>
      <c r="M6101" s="473"/>
    </row>
    <row r="6102" spans="5:13">
      <c r="E6102" s="473"/>
      <c r="F6102" s="473"/>
      <c r="G6102" s="473"/>
      <c r="H6102" s="473"/>
      <c r="I6102" s="473"/>
      <c r="J6102" s="473"/>
      <c r="K6102" s="473"/>
      <c r="L6102" s="473"/>
      <c r="M6102" s="473"/>
    </row>
    <row r="6103" spans="5:13">
      <c r="E6103" s="473"/>
      <c r="F6103" s="473"/>
      <c r="G6103" s="473"/>
      <c r="H6103" s="473"/>
      <c r="I6103" s="473"/>
      <c r="J6103" s="473"/>
      <c r="K6103" s="473"/>
      <c r="L6103" s="473"/>
      <c r="M6103" s="473"/>
    </row>
    <row r="6104" spans="5:13">
      <c r="E6104" s="473"/>
      <c r="F6104" s="473"/>
      <c r="G6104" s="473"/>
      <c r="H6104" s="473"/>
      <c r="I6104" s="473"/>
      <c r="J6104" s="473"/>
      <c r="K6104" s="473"/>
      <c r="L6104" s="473"/>
      <c r="M6104" s="473"/>
    </row>
    <row r="6105" spans="5:13">
      <c r="E6105" s="473"/>
      <c r="F6105" s="473"/>
      <c r="G6105" s="473"/>
      <c r="H6105" s="473"/>
      <c r="I6105" s="473"/>
      <c r="J6105" s="473"/>
      <c r="K6105" s="473"/>
      <c r="L6105" s="473"/>
      <c r="M6105" s="473"/>
    </row>
    <row r="6106" spans="5:13">
      <c r="E6106" s="473"/>
      <c r="F6106" s="473"/>
      <c r="G6106" s="473"/>
      <c r="H6106" s="473"/>
      <c r="I6106" s="473"/>
      <c r="J6106" s="473"/>
      <c r="K6106" s="473"/>
      <c r="L6106" s="473"/>
      <c r="M6106" s="473"/>
    </row>
    <row r="6107" spans="5:13">
      <c r="E6107" s="473"/>
      <c r="F6107" s="473"/>
      <c r="G6107" s="473"/>
      <c r="H6107" s="473"/>
      <c r="I6107" s="473"/>
      <c r="J6107" s="473"/>
      <c r="K6107" s="473"/>
      <c r="L6107" s="473"/>
      <c r="M6107" s="473"/>
    </row>
    <row r="6108" spans="5:13">
      <c r="E6108" s="473"/>
      <c r="F6108" s="473"/>
      <c r="G6108" s="473"/>
      <c r="H6108" s="473"/>
      <c r="I6108" s="473"/>
      <c r="J6108" s="473"/>
      <c r="K6108" s="473"/>
      <c r="L6108" s="473"/>
      <c r="M6108" s="473"/>
    </row>
    <row r="6109" spans="5:13">
      <c r="E6109" s="473"/>
      <c r="F6109" s="473"/>
      <c r="G6109" s="473"/>
      <c r="H6109" s="473"/>
      <c r="I6109" s="473"/>
      <c r="J6109" s="473"/>
      <c r="K6109" s="473"/>
      <c r="L6109" s="473"/>
      <c r="M6109" s="473"/>
    </row>
    <row r="6110" spans="5:13">
      <c r="E6110" s="473"/>
      <c r="F6110" s="473"/>
      <c r="G6110" s="473"/>
      <c r="H6110" s="473"/>
      <c r="I6110" s="473"/>
      <c r="J6110" s="473"/>
      <c r="K6110" s="473"/>
      <c r="L6110" s="473"/>
      <c r="M6110" s="473"/>
    </row>
    <row r="6111" spans="5:13">
      <c r="E6111" s="473"/>
      <c r="F6111" s="473"/>
      <c r="G6111" s="473"/>
      <c r="H6111" s="473"/>
      <c r="I6111" s="473"/>
      <c r="J6111" s="473"/>
      <c r="K6111" s="473"/>
      <c r="L6111" s="473"/>
      <c r="M6111" s="473"/>
    </row>
    <row r="6112" spans="5:13">
      <c r="E6112" s="473"/>
      <c r="F6112" s="473"/>
      <c r="G6112" s="473"/>
      <c r="H6112" s="473"/>
      <c r="I6112" s="473"/>
      <c r="J6112" s="473"/>
      <c r="K6112" s="473"/>
      <c r="L6112" s="473"/>
      <c r="M6112" s="473"/>
    </row>
    <row r="6113" spans="5:13">
      <c r="E6113" s="473"/>
      <c r="F6113" s="473"/>
      <c r="G6113" s="473"/>
      <c r="H6113" s="473"/>
      <c r="I6113" s="473"/>
      <c r="J6113" s="473"/>
      <c r="K6113" s="473"/>
      <c r="L6113" s="473"/>
      <c r="M6113" s="473"/>
    </row>
    <row r="6114" spans="5:13">
      <c r="E6114" s="473"/>
      <c r="F6114" s="473"/>
      <c r="G6114" s="473"/>
      <c r="H6114" s="473"/>
      <c r="I6114" s="473"/>
      <c r="J6114" s="473"/>
      <c r="K6114" s="473"/>
      <c r="L6114" s="473"/>
      <c r="M6114" s="473"/>
    </row>
    <row r="6115" spans="5:13">
      <c r="E6115" s="473"/>
      <c r="F6115" s="473"/>
      <c r="G6115" s="473"/>
      <c r="H6115" s="473"/>
      <c r="I6115" s="473"/>
      <c r="J6115" s="473"/>
      <c r="K6115" s="473"/>
      <c r="L6115" s="473"/>
      <c r="M6115" s="473"/>
    </row>
    <row r="6116" spans="5:13">
      <c r="E6116" s="473"/>
      <c r="F6116" s="473"/>
      <c r="G6116" s="473"/>
      <c r="H6116" s="473"/>
      <c r="I6116" s="473"/>
      <c r="J6116" s="473"/>
      <c r="K6116" s="473"/>
      <c r="L6116" s="473"/>
      <c r="M6116" s="473"/>
    </row>
    <row r="6117" spans="5:13">
      <c r="E6117" s="473"/>
      <c r="F6117" s="473"/>
      <c r="G6117" s="473"/>
      <c r="H6117" s="473"/>
      <c r="I6117" s="473"/>
      <c r="J6117" s="473"/>
      <c r="K6117" s="473"/>
      <c r="L6117" s="473"/>
      <c r="M6117" s="473"/>
    </row>
    <row r="6118" spans="5:13">
      <c r="E6118" s="473"/>
      <c r="F6118" s="473"/>
      <c r="G6118" s="473"/>
      <c r="H6118" s="473"/>
      <c r="I6118" s="473"/>
      <c r="J6118" s="473"/>
      <c r="K6118" s="473"/>
      <c r="L6118" s="473"/>
      <c r="M6118" s="473"/>
    </row>
    <row r="6119" spans="5:13">
      <c r="E6119" s="473"/>
      <c r="F6119" s="473"/>
      <c r="G6119" s="473"/>
      <c r="H6119" s="473"/>
      <c r="I6119" s="473"/>
      <c r="J6119" s="473"/>
      <c r="K6119" s="473"/>
      <c r="L6119" s="473"/>
      <c r="M6119" s="473"/>
    </row>
    <row r="6120" spans="5:13">
      <c r="E6120" s="473"/>
      <c r="F6120" s="473"/>
      <c r="G6120" s="473"/>
      <c r="H6120" s="473"/>
      <c r="I6120" s="473"/>
      <c r="J6120" s="473"/>
      <c r="K6120" s="473"/>
      <c r="L6120" s="473"/>
      <c r="M6120" s="473"/>
    </row>
    <row r="6121" spans="5:13">
      <c r="E6121" s="473"/>
      <c r="F6121" s="473"/>
      <c r="G6121" s="473"/>
      <c r="H6121" s="473"/>
      <c r="I6121" s="473"/>
      <c r="J6121" s="473"/>
      <c r="K6121" s="473"/>
      <c r="L6121" s="473"/>
      <c r="M6121" s="473"/>
    </row>
    <row r="6122" spans="5:13">
      <c r="E6122" s="473"/>
      <c r="F6122" s="473"/>
      <c r="G6122" s="473"/>
      <c r="H6122" s="473"/>
      <c r="I6122" s="473"/>
      <c r="J6122" s="473"/>
      <c r="K6122" s="473"/>
      <c r="L6122" s="473"/>
      <c r="M6122" s="473"/>
    </row>
    <row r="6123" spans="5:13">
      <c r="E6123" s="473"/>
      <c r="F6123" s="473"/>
      <c r="G6123" s="473"/>
      <c r="H6123" s="473"/>
      <c r="I6123" s="473"/>
      <c r="J6123" s="473"/>
      <c r="K6123" s="473"/>
      <c r="L6123" s="473"/>
      <c r="M6123" s="473"/>
    </row>
    <row r="6124" spans="5:13">
      <c r="E6124" s="473"/>
      <c r="F6124" s="473"/>
      <c r="G6124" s="473"/>
      <c r="H6124" s="473"/>
      <c r="I6124" s="473"/>
      <c r="J6124" s="473"/>
      <c r="K6124" s="473"/>
      <c r="L6124" s="473"/>
      <c r="M6124" s="473"/>
    </row>
    <row r="6125" spans="5:13">
      <c r="E6125" s="473"/>
      <c r="F6125" s="473"/>
      <c r="G6125" s="473"/>
      <c r="H6125" s="473"/>
      <c r="I6125" s="473"/>
      <c r="J6125" s="473"/>
      <c r="K6125" s="473"/>
      <c r="L6125" s="473"/>
      <c r="M6125" s="473"/>
    </row>
    <row r="6126" spans="5:13">
      <c r="E6126" s="473"/>
      <c r="F6126" s="473"/>
      <c r="G6126" s="473"/>
      <c r="H6126" s="473"/>
      <c r="I6126" s="473"/>
      <c r="J6126" s="473"/>
      <c r="K6126" s="473"/>
      <c r="L6126" s="473"/>
      <c r="M6126" s="473"/>
    </row>
    <row r="6127" spans="5:13">
      <c r="E6127" s="473"/>
      <c r="F6127" s="473"/>
      <c r="G6127" s="473"/>
      <c r="H6127" s="473"/>
      <c r="I6127" s="473"/>
      <c r="J6127" s="473"/>
      <c r="K6127" s="473"/>
      <c r="L6127" s="473"/>
      <c r="M6127" s="473"/>
    </row>
    <row r="6128" spans="5:13">
      <c r="E6128" s="473"/>
      <c r="F6128" s="473"/>
      <c r="G6128" s="473"/>
      <c r="H6128" s="473"/>
      <c r="I6128" s="473"/>
      <c r="J6128" s="473"/>
      <c r="K6128" s="473"/>
      <c r="L6128" s="473"/>
      <c r="M6128" s="473"/>
    </row>
    <row r="6129" spans="5:13">
      <c r="E6129" s="473"/>
      <c r="F6129" s="473"/>
      <c r="G6129" s="473"/>
      <c r="H6129" s="473"/>
      <c r="I6129" s="473"/>
      <c r="J6129" s="473"/>
      <c r="K6129" s="473"/>
      <c r="L6129" s="473"/>
      <c r="M6129" s="473"/>
    </row>
    <row r="6130" spans="5:13">
      <c r="E6130" s="473"/>
      <c r="F6130" s="473"/>
      <c r="G6130" s="473"/>
      <c r="H6130" s="473"/>
      <c r="I6130" s="473"/>
      <c r="J6130" s="473"/>
      <c r="K6130" s="473"/>
      <c r="L6130" s="473"/>
      <c r="M6130" s="473"/>
    </row>
    <row r="6131" spans="5:13">
      <c r="E6131" s="473"/>
      <c r="F6131" s="473"/>
      <c r="G6131" s="473"/>
      <c r="H6131" s="473"/>
      <c r="I6131" s="473"/>
      <c r="J6131" s="473"/>
      <c r="K6131" s="473"/>
      <c r="L6131" s="473"/>
      <c r="M6131" s="473"/>
    </row>
    <row r="6132" spans="5:13">
      <c r="E6132" s="473"/>
      <c r="F6132" s="473"/>
      <c r="G6132" s="473"/>
      <c r="H6132" s="473"/>
      <c r="I6132" s="473"/>
      <c r="J6132" s="473"/>
      <c r="K6132" s="473"/>
      <c r="L6132" s="473"/>
      <c r="M6132" s="473"/>
    </row>
    <row r="6133" spans="5:13">
      <c r="E6133" s="473"/>
      <c r="F6133" s="473"/>
      <c r="G6133" s="473"/>
      <c r="H6133" s="473"/>
      <c r="I6133" s="473"/>
      <c r="J6133" s="473"/>
      <c r="K6133" s="473"/>
      <c r="L6133" s="473"/>
      <c r="M6133" s="473"/>
    </row>
    <row r="6134" spans="5:13">
      <c r="E6134" s="473"/>
      <c r="F6134" s="473"/>
      <c r="G6134" s="473"/>
      <c r="H6134" s="473"/>
      <c r="I6134" s="473"/>
      <c r="J6134" s="473"/>
      <c r="K6134" s="473"/>
      <c r="L6134" s="473"/>
      <c r="M6134" s="473"/>
    </row>
    <row r="6135" spans="5:13">
      <c r="E6135" s="473"/>
      <c r="F6135" s="473"/>
      <c r="G6135" s="473"/>
      <c r="H6135" s="473"/>
      <c r="I6135" s="473"/>
      <c r="J6135" s="473"/>
      <c r="K6135" s="473"/>
      <c r="L6135" s="473"/>
      <c r="M6135" s="473"/>
    </row>
    <row r="6136" spans="5:13">
      <c r="E6136" s="473"/>
      <c r="F6136" s="473"/>
      <c r="G6136" s="473"/>
      <c r="H6136" s="473"/>
      <c r="I6136" s="473"/>
      <c r="J6136" s="473"/>
      <c r="K6136" s="473"/>
      <c r="L6136" s="473"/>
      <c r="M6136" s="473"/>
    </row>
    <row r="6137" spans="5:13">
      <c r="E6137" s="473"/>
      <c r="F6137" s="473"/>
      <c r="G6137" s="473"/>
      <c r="H6137" s="473"/>
      <c r="I6137" s="473"/>
      <c r="J6137" s="473"/>
      <c r="K6137" s="473"/>
      <c r="L6137" s="473"/>
      <c r="M6137" s="473"/>
    </row>
    <row r="6138" spans="5:13">
      <c r="E6138" s="473"/>
      <c r="F6138" s="473"/>
      <c r="G6138" s="473"/>
      <c r="H6138" s="473"/>
      <c r="I6138" s="473"/>
      <c r="J6138" s="473"/>
      <c r="K6138" s="473"/>
      <c r="L6138" s="473"/>
      <c r="M6138" s="473"/>
    </row>
    <row r="6139" spans="5:13">
      <c r="E6139" s="473"/>
      <c r="F6139" s="473"/>
      <c r="G6139" s="473"/>
      <c r="H6139" s="473"/>
      <c r="I6139" s="473"/>
      <c r="J6139" s="473"/>
      <c r="K6139" s="473"/>
      <c r="L6139" s="473"/>
      <c r="M6139" s="473"/>
    </row>
    <row r="6140" spans="5:13">
      <c r="E6140" s="473"/>
      <c r="F6140" s="473"/>
      <c r="G6140" s="473"/>
      <c r="H6140" s="473"/>
      <c r="I6140" s="473"/>
      <c r="J6140" s="473"/>
      <c r="K6140" s="473"/>
      <c r="L6140" s="473"/>
      <c r="M6140" s="473"/>
    </row>
    <row r="6141" spans="5:13">
      <c r="E6141" s="473"/>
      <c r="F6141" s="473"/>
      <c r="G6141" s="473"/>
      <c r="H6141" s="473"/>
      <c r="I6141" s="473"/>
      <c r="J6141" s="473"/>
      <c r="K6141" s="473"/>
      <c r="L6141" s="473"/>
      <c r="M6141" s="473"/>
    </row>
    <row r="6142" spans="5:13">
      <c r="E6142" s="473"/>
      <c r="F6142" s="473"/>
      <c r="G6142" s="473"/>
      <c r="H6142" s="473"/>
      <c r="I6142" s="473"/>
      <c r="J6142" s="473"/>
      <c r="K6142" s="473"/>
      <c r="L6142" s="473"/>
      <c r="M6142" s="473"/>
    </row>
    <row r="6143" spans="5:13">
      <c r="E6143" s="473"/>
      <c r="F6143" s="473"/>
      <c r="G6143" s="473"/>
      <c r="H6143" s="473"/>
      <c r="I6143" s="473"/>
      <c r="J6143" s="473"/>
      <c r="K6143" s="473"/>
      <c r="L6143" s="473"/>
      <c r="M6143" s="473"/>
    </row>
    <row r="6144" spans="5:13">
      <c r="E6144" s="473"/>
      <c r="F6144" s="473"/>
      <c r="G6144" s="473"/>
      <c r="H6144" s="473"/>
      <c r="I6144" s="473"/>
      <c r="J6144" s="473"/>
      <c r="K6144" s="473"/>
      <c r="L6144" s="473"/>
      <c r="M6144" s="473"/>
    </row>
    <row r="6145" spans="5:13">
      <c r="E6145" s="473"/>
      <c r="F6145" s="473"/>
      <c r="G6145" s="473"/>
      <c r="H6145" s="473"/>
      <c r="I6145" s="473"/>
      <c r="J6145" s="473"/>
      <c r="K6145" s="473"/>
      <c r="L6145" s="473"/>
      <c r="M6145" s="473"/>
    </row>
    <row r="6146" spans="5:13">
      <c r="E6146" s="473"/>
      <c r="F6146" s="473"/>
      <c r="G6146" s="473"/>
      <c r="H6146" s="473"/>
      <c r="I6146" s="473"/>
      <c r="J6146" s="473"/>
      <c r="K6146" s="473"/>
      <c r="L6146" s="473"/>
      <c r="M6146" s="473"/>
    </row>
    <row r="6147" spans="5:13">
      <c r="E6147" s="473"/>
      <c r="F6147" s="473"/>
      <c r="G6147" s="473"/>
      <c r="H6147" s="473"/>
      <c r="I6147" s="473"/>
      <c r="J6147" s="473"/>
      <c r="K6147" s="473"/>
      <c r="L6147" s="473"/>
      <c r="M6147" s="473"/>
    </row>
    <row r="6148" spans="5:13">
      <c r="E6148" s="473"/>
      <c r="F6148" s="473"/>
      <c r="G6148" s="473"/>
      <c r="H6148" s="473"/>
      <c r="I6148" s="473"/>
      <c r="J6148" s="473"/>
      <c r="K6148" s="473"/>
      <c r="L6148" s="473"/>
      <c r="M6148" s="473"/>
    </row>
    <row r="6149" spans="5:13">
      <c r="E6149" s="473"/>
      <c r="F6149" s="473"/>
      <c r="G6149" s="473"/>
      <c r="H6149" s="473"/>
      <c r="I6149" s="473"/>
      <c r="J6149" s="473"/>
      <c r="K6149" s="473"/>
      <c r="L6149" s="473"/>
      <c r="M6149" s="473"/>
    </row>
    <row r="6150" spans="5:13">
      <c r="E6150" s="473"/>
      <c r="F6150" s="473"/>
      <c r="G6150" s="473"/>
      <c r="H6150" s="473"/>
      <c r="I6150" s="473"/>
      <c r="J6150" s="473"/>
      <c r="K6150" s="473"/>
      <c r="L6150" s="473"/>
      <c r="M6150" s="473"/>
    </row>
    <row r="6151" spans="5:13">
      <c r="E6151" s="473"/>
      <c r="F6151" s="473"/>
      <c r="G6151" s="473"/>
      <c r="H6151" s="473"/>
      <c r="I6151" s="473"/>
      <c r="J6151" s="473"/>
      <c r="K6151" s="473"/>
      <c r="L6151" s="473"/>
      <c r="M6151" s="473"/>
    </row>
    <row r="6152" spans="5:13">
      <c r="E6152" s="473"/>
      <c r="F6152" s="473"/>
      <c r="G6152" s="473"/>
      <c r="H6152" s="473"/>
      <c r="I6152" s="473"/>
      <c r="J6152" s="473"/>
      <c r="K6152" s="473"/>
      <c r="L6152" s="473"/>
      <c r="M6152" s="473"/>
    </row>
    <row r="6153" spans="5:13">
      <c r="E6153" s="473"/>
      <c r="F6153" s="473"/>
      <c r="G6153" s="473"/>
      <c r="H6153" s="473"/>
      <c r="I6153" s="473"/>
      <c r="J6153" s="473"/>
      <c r="K6153" s="473"/>
      <c r="L6153" s="473"/>
      <c r="M6153" s="473"/>
    </row>
    <row r="6154" spans="5:13">
      <c r="E6154" s="473"/>
      <c r="F6154" s="473"/>
      <c r="G6154" s="473"/>
      <c r="H6154" s="473"/>
      <c r="I6154" s="473"/>
      <c r="J6154" s="473"/>
      <c r="K6154" s="473"/>
      <c r="L6154" s="473"/>
      <c r="M6154" s="473"/>
    </row>
    <row r="6155" spans="5:13">
      <c r="E6155" s="473"/>
      <c r="F6155" s="473"/>
      <c r="G6155" s="473"/>
      <c r="H6155" s="473"/>
      <c r="I6155" s="473"/>
      <c r="J6155" s="473"/>
      <c r="K6155" s="473"/>
      <c r="L6155" s="473"/>
      <c r="M6155" s="473"/>
    </row>
    <row r="6156" spans="5:13">
      <c r="E6156" s="473"/>
      <c r="F6156" s="473"/>
      <c r="G6156" s="473"/>
      <c r="H6156" s="473"/>
      <c r="I6156" s="473"/>
      <c r="J6156" s="473"/>
      <c r="K6156" s="473"/>
      <c r="L6156" s="473"/>
      <c r="M6156" s="473"/>
    </row>
    <row r="6157" spans="5:13">
      <c r="E6157" s="473"/>
      <c r="F6157" s="473"/>
      <c r="G6157" s="473"/>
      <c r="H6157" s="473"/>
      <c r="I6157" s="473"/>
      <c r="J6157" s="473"/>
      <c r="K6157" s="473"/>
      <c r="L6157" s="473"/>
      <c r="M6157" s="473"/>
    </row>
    <row r="6158" spans="5:13">
      <c r="E6158" s="473"/>
      <c r="F6158" s="473"/>
      <c r="G6158" s="473"/>
      <c r="H6158" s="473"/>
      <c r="I6158" s="473"/>
      <c r="J6158" s="473"/>
      <c r="K6158" s="473"/>
      <c r="L6158" s="473"/>
      <c r="M6158" s="473"/>
    </row>
    <row r="6159" spans="5:13">
      <c r="E6159" s="473"/>
      <c r="F6159" s="473"/>
      <c r="G6159" s="473"/>
      <c r="H6159" s="473"/>
      <c r="I6159" s="473"/>
      <c r="J6159" s="473"/>
      <c r="K6159" s="473"/>
      <c r="L6159" s="473"/>
      <c r="M6159" s="473"/>
    </row>
    <row r="6160" spans="5:13">
      <c r="E6160" s="473"/>
      <c r="F6160" s="473"/>
      <c r="G6160" s="473"/>
      <c r="H6160" s="473"/>
      <c r="I6160" s="473"/>
      <c r="J6160" s="473"/>
      <c r="K6160" s="473"/>
      <c r="L6160" s="473"/>
      <c r="M6160" s="473"/>
    </row>
    <row r="6161" spans="5:13">
      <c r="E6161" s="473"/>
      <c r="F6161" s="473"/>
      <c r="G6161" s="473"/>
      <c r="H6161" s="473"/>
      <c r="I6161" s="473"/>
      <c r="J6161" s="473"/>
      <c r="K6161" s="473"/>
      <c r="L6161" s="473"/>
      <c r="M6161" s="473"/>
    </row>
    <row r="6162" spans="5:13">
      <c r="E6162" s="473"/>
      <c r="F6162" s="473"/>
      <c r="G6162" s="473"/>
      <c r="H6162" s="473"/>
      <c r="I6162" s="473"/>
      <c r="J6162" s="473"/>
      <c r="K6162" s="473"/>
      <c r="L6162" s="473"/>
      <c r="M6162" s="473"/>
    </row>
    <row r="6163" spans="5:13">
      <c r="E6163" s="473"/>
      <c r="F6163" s="473"/>
      <c r="G6163" s="473"/>
      <c r="H6163" s="473"/>
      <c r="I6163" s="473"/>
      <c r="J6163" s="473"/>
      <c r="K6163" s="473"/>
      <c r="L6163" s="473"/>
      <c r="M6163" s="473"/>
    </row>
    <row r="6164" spans="5:13">
      <c r="E6164" s="473"/>
      <c r="F6164" s="473"/>
      <c r="G6164" s="473"/>
      <c r="H6164" s="473"/>
      <c r="I6164" s="473"/>
      <c r="J6164" s="473"/>
      <c r="K6164" s="473"/>
      <c r="L6164" s="473"/>
      <c r="M6164" s="473"/>
    </row>
    <row r="6165" spans="5:13">
      <c r="E6165" s="473"/>
      <c r="F6165" s="473"/>
      <c r="G6165" s="473"/>
      <c r="H6165" s="473"/>
      <c r="I6165" s="473"/>
      <c r="J6165" s="473"/>
      <c r="K6165" s="473"/>
      <c r="L6165" s="473"/>
      <c r="M6165" s="473"/>
    </row>
    <row r="6166" spans="5:13">
      <c r="E6166" s="473"/>
      <c r="F6166" s="473"/>
      <c r="G6166" s="473"/>
      <c r="H6166" s="473"/>
      <c r="I6166" s="473"/>
      <c r="J6166" s="473"/>
      <c r="K6166" s="473"/>
      <c r="L6166" s="473"/>
      <c r="M6166" s="473"/>
    </row>
    <row r="6167" spans="5:13">
      <c r="E6167" s="473"/>
      <c r="F6167" s="473"/>
      <c r="G6167" s="473"/>
      <c r="H6167" s="473"/>
      <c r="I6167" s="473"/>
      <c r="J6167" s="473"/>
      <c r="K6167" s="473"/>
      <c r="L6167" s="473"/>
      <c r="M6167" s="473"/>
    </row>
    <row r="6168" spans="5:13">
      <c r="E6168" s="473"/>
      <c r="F6168" s="473"/>
      <c r="G6168" s="473"/>
      <c r="H6168" s="473"/>
      <c r="I6168" s="473"/>
      <c r="J6168" s="473"/>
      <c r="K6168" s="473"/>
      <c r="L6168" s="473"/>
      <c r="M6168" s="473"/>
    </row>
    <row r="6169" spans="5:13">
      <c r="E6169" s="473"/>
      <c r="F6169" s="473"/>
      <c r="G6169" s="473"/>
      <c r="H6169" s="473"/>
      <c r="I6169" s="473"/>
      <c r="J6169" s="473"/>
      <c r="K6169" s="473"/>
      <c r="L6169" s="473"/>
      <c r="M6169" s="473"/>
    </row>
    <row r="6170" spans="5:13">
      <c r="E6170" s="473"/>
      <c r="F6170" s="473"/>
      <c r="G6170" s="473"/>
      <c r="H6170" s="473"/>
      <c r="I6170" s="473"/>
      <c r="J6170" s="473"/>
      <c r="K6170" s="473"/>
      <c r="L6170" s="473"/>
      <c r="M6170" s="473"/>
    </row>
    <row r="6171" spans="5:13">
      <c r="E6171" s="473"/>
      <c r="F6171" s="473"/>
      <c r="G6171" s="473"/>
      <c r="H6171" s="473"/>
      <c r="I6171" s="473"/>
      <c r="J6171" s="473"/>
      <c r="K6171" s="473"/>
      <c r="L6171" s="473"/>
      <c r="M6171" s="473"/>
    </row>
    <row r="6172" spans="5:13">
      <c r="E6172" s="473"/>
      <c r="F6172" s="473"/>
      <c r="G6172" s="473"/>
      <c r="H6172" s="473"/>
      <c r="I6172" s="473"/>
      <c r="J6172" s="473"/>
      <c r="K6172" s="473"/>
      <c r="L6172" s="473"/>
      <c r="M6172" s="473"/>
    </row>
    <row r="6173" spans="5:13">
      <c r="E6173" s="473"/>
      <c r="F6173" s="473"/>
      <c r="G6173" s="473"/>
      <c r="H6173" s="473"/>
      <c r="I6173" s="473"/>
      <c r="J6173" s="473"/>
      <c r="K6173" s="473"/>
      <c r="L6173" s="473"/>
      <c r="M6173" s="473"/>
    </row>
    <row r="6174" spans="5:13">
      <c r="E6174" s="473"/>
      <c r="F6174" s="473"/>
      <c r="G6174" s="473"/>
      <c r="H6174" s="473"/>
      <c r="I6174" s="473"/>
      <c r="J6174" s="473"/>
      <c r="K6174" s="473"/>
      <c r="L6174" s="473"/>
      <c r="M6174" s="473"/>
    </row>
    <row r="6175" spans="5:13">
      <c r="E6175" s="473"/>
      <c r="F6175" s="473"/>
      <c r="G6175" s="473"/>
      <c r="H6175" s="473"/>
      <c r="I6175" s="473"/>
      <c r="J6175" s="473"/>
      <c r="K6175" s="473"/>
      <c r="L6175" s="473"/>
      <c r="M6175" s="473"/>
    </row>
    <row r="6176" spans="5:13">
      <c r="E6176" s="473"/>
      <c r="F6176" s="473"/>
      <c r="G6176" s="473"/>
      <c r="H6176" s="473"/>
      <c r="I6176" s="473"/>
      <c r="J6176" s="473"/>
      <c r="K6176" s="473"/>
      <c r="L6176" s="473"/>
      <c r="M6176" s="473"/>
    </row>
    <row r="6177" spans="5:13">
      <c r="E6177" s="473"/>
      <c r="F6177" s="473"/>
      <c r="G6177" s="473"/>
      <c r="H6177" s="473"/>
      <c r="I6177" s="473"/>
      <c r="J6177" s="473"/>
      <c r="K6177" s="473"/>
      <c r="L6177" s="473"/>
      <c r="M6177" s="473"/>
    </row>
    <row r="6178" spans="5:13">
      <c r="E6178" s="473"/>
      <c r="F6178" s="473"/>
      <c r="G6178" s="473"/>
      <c r="H6178" s="473"/>
      <c r="I6178" s="473"/>
      <c r="J6178" s="473"/>
      <c r="K6178" s="473"/>
      <c r="L6178" s="473"/>
      <c r="M6178" s="473"/>
    </row>
    <row r="6179" spans="5:13">
      <c r="E6179" s="473"/>
      <c r="F6179" s="473"/>
      <c r="G6179" s="473"/>
      <c r="H6179" s="473"/>
      <c r="I6179" s="473"/>
      <c r="J6179" s="473"/>
      <c r="K6179" s="473"/>
      <c r="L6179" s="473"/>
      <c r="M6179" s="473"/>
    </row>
    <row r="6180" spans="5:13">
      <c r="E6180" s="473"/>
      <c r="F6180" s="473"/>
      <c r="G6180" s="473"/>
      <c r="H6180" s="473"/>
      <c r="I6180" s="473"/>
      <c r="J6180" s="473"/>
      <c r="K6180" s="473"/>
      <c r="L6180" s="473"/>
      <c r="M6180" s="473"/>
    </row>
    <row r="6181" spans="5:13">
      <c r="E6181" s="473"/>
      <c r="F6181" s="473"/>
      <c r="G6181" s="473"/>
      <c r="H6181" s="473"/>
      <c r="I6181" s="473"/>
      <c r="J6181" s="473"/>
      <c r="K6181" s="473"/>
      <c r="L6181" s="473"/>
      <c r="M6181" s="473"/>
    </row>
    <row r="6182" spans="5:13">
      <c r="E6182" s="473"/>
      <c r="F6182" s="473"/>
      <c r="G6182" s="473"/>
      <c r="H6182" s="473"/>
      <c r="I6182" s="473"/>
      <c r="J6182" s="473"/>
      <c r="K6182" s="473"/>
      <c r="L6182" s="473"/>
      <c r="M6182" s="473"/>
    </row>
    <row r="6183" spans="5:13">
      <c r="E6183" s="473"/>
      <c r="F6183" s="473"/>
      <c r="G6183" s="473"/>
      <c r="H6183" s="473"/>
      <c r="I6183" s="473"/>
      <c r="J6183" s="473"/>
      <c r="K6183" s="473"/>
      <c r="L6183" s="473"/>
      <c r="M6183" s="473"/>
    </row>
    <row r="6184" spans="5:13">
      <c r="E6184" s="473"/>
      <c r="F6184" s="473"/>
      <c r="G6184" s="473"/>
      <c r="H6184" s="473"/>
      <c r="I6184" s="473"/>
      <c r="J6184" s="473"/>
      <c r="K6184" s="473"/>
      <c r="L6184" s="473"/>
      <c r="M6184" s="473"/>
    </row>
    <row r="6185" spans="5:13">
      <c r="E6185" s="473"/>
      <c r="F6185" s="473"/>
      <c r="G6185" s="473"/>
      <c r="H6185" s="473"/>
      <c r="I6185" s="473"/>
      <c r="J6185" s="473"/>
      <c r="K6185" s="473"/>
      <c r="L6185" s="473"/>
      <c r="M6185" s="473"/>
    </row>
    <row r="6186" spans="5:13">
      <c r="E6186" s="473"/>
      <c r="F6186" s="473"/>
      <c r="G6186" s="473"/>
      <c r="H6186" s="473"/>
      <c r="I6186" s="473"/>
      <c r="J6186" s="473"/>
      <c r="K6186" s="473"/>
      <c r="L6186" s="473"/>
      <c r="M6186" s="473"/>
    </row>
    <row r="6187" spans="5:13">
      <c r="E6187" s="473"/>
      <c r="F6187" s="473"/>
      <c r="G6187" s="473"/>
      <c r="H6187" s="473"/>
      <c r="I6187" s="473"/>
      <c r="J6187" s="473"/>
      <c r="K6187" s="473"/>
      <c r="L6187" s="473"/>
      <c r="M6187" s="473"/>
    </row>
    <row r="6188" spans="5:13">
      <c r="E6188" s="473"/>
      <c r="F6188" s="473"/>
      <c r="G6188" s="473"/>
      <c r="H6188" s="473"/>
      <c r="I6188" s="473"/>
      <c r="J6188" s="473"/>
      <c r="K6188" s="473"/>
      <c r="L6188" s="473"/>
      <c r="M6188" s="473"/>
    </row>
    <row r="6189" spans="5:13">
      <c r="E6189" s="473"/>
      <c r="F6189" s="473"/>
      <c r="G6189" s="473"/>
      <c r="H6189" s="473"/>
      <c r="I6189" s="473"/>
      <c r="J6189" s="473"/>
      <c r="K6189" s="473"/>
      <c r="L6189" s="473"/>
      <c r="M6189" s="473"/>
    </row>
    <row r="6190" spans="5:13">
      <c r="E6190" s="473"/>
      <c r="F6190" s="473"/>
      <c r="G6190" s="473"/>
      <c r="H6190" s="473"/>
      <c r="I6190" s="473"/>
      <c r="J6190" s="473"/>
      <c r="K6190" s="473"/>
      <c r="L6190" s="473"/>
      <c r="M6190" s="473"/>
    </row>
    <row r="6191" spans="5:13">
      <c r="E6191" s="473"/>
      <c r="F6191" s="473"/>
      <c r="G6191" s="473"/>
      <c r="H6191" s="473"/>
      <c r="I6191" s="473"/>
      <c r="J6191" s="473"/>
      <c r="K6191" s="473"/>
      <c r="L6191" s="473"/>
      <c r="M6191" s="473"/>
    </row>
    <row r="6192" spans="5:13">
      <c r="E6192" s="473"/>
      <c r="F6192" s="473"/>
      <c r="G6192" s="473"/>
      <c r="H6192" s="473"/>
      <c r="I6192" s="473"/>
      <c r="J6192" s="473"/>
      <c r="K6192" s="473"/>
      <c r="L6192" s="473"/>
      <c r="M6192" s="473"/>
    </row>
    <row r="6193" spans="5:13">
      <c r="E6193" s="473"/>
      <c r="F6193" s="473"/>
      <c r="G6193" s="473"/>
      <c r="H6193" s="473"/>
      <c r="I6193" s="473"/>
      <c r="J6193" s="473"/>
      <c r="K6193" s="473"/>
      <c r="L6193" s="473"/>
      <c r="M6193" s="473"/>
    </row>
    <row r="6194" spans="5:13">
      <c r="E6194" s="473"/>
      <c r="F6194" s="473"/>
      <c r="G6194" s="473"/>
      <c r="H6194" s="473"/>
      <c r="I6194" s="473"/>
      <c r="J6194" s="473"/>
      <c r="K6194" s="473"/>
      <c r="L6194" s="473"/>
      <c r="M6194" s="473"/>
    </row>
    <row r="6195" spans="5:13">
      <c r="E6195" s="473"/>
      <c r="F6195" s="473"/>
      <c r="G6195" s="473"/>
      <c r="H6195" s="473"/>
      <c r="I6195" s="473"/>
      <c r="J6195" s="473"/>
      <c r="K6195" s="473"/>
      <c r="L6195" s="473"/>
      <c r="M6195" s="473"/>
    </row>
    <row r="6196" spans="5:13">
      <c r="E6196" s="473"/>
      <c r="F6196" s="473"/>
      <c r="G6196" s="473"/>
      <c r="H6196" s="473"/>
      <c r="I6196" s="473"/>
      <c r="J6196" s="473"/>
      <c r="K6196" s="473"/>
      <c r="L6196" s="473"/>
      <c r="M6196" s="473"/>
    </row>
    <row r="6197" spans="5:13">
      <c r="E6197" s="473"/>
      <c r="F6197" s="473"/>
      <c r="G6197" s="473"/>
      <c r="H6197" s="473"/>
      <c r="I6197" s="473"/>
      <c r="J6197" s="473"/>
      <c r="K6197" s="473"/>
      <c r="L6197" s="473"/>
      <c r="M6197" s="473"/>
    </row>
    <row r="6198" spans="5:13">
      <c r="E6198" s="473"/>
      <c r="F6198" s="473"/>
      <c r="G6198" s="473"/>
      <c r="H6198" s="473"/>
      <c r="I6198" s="473"/>
      <c r="J6198" s="473"/>
      <c r="K6198" s="473"/>
      <c r="L6198" s="473"/>
      <c r="M6198" s="473"/>
    </row>
    <row r="6199" spans="5:13">
      <c r="E6199" s="473"/>
      <c r="F6199" s="473"/>
      <c r="G6199" s="473"/>
      <c r="H6199" s="473"/>
      <c r="I6199" s="473"/>
      <c r="J6199" s="473"/>
      <c r="K6199" s="473"/>
      <c r="L6199" s="473"/>
      <c r="M6199" s="473"/>
    </row>
    <row r="6200" spans="5:13">
      <c r="E6200" s="473"/>
      <c r="F6200" s="473"/>
      <c r="G6200" s="473"/>
      <c r="H6200" s="473"/>
      <c r="I6200" s="473"/>
      <c r="J6200" s="473"/>
      <c r="K6200" s="473"/>
      <c r="L6200" s="473"/>
      <c r="M6200" s="473"/>
    </row>
    <row r="6201" spans="5:13">
      <c r="E6201" s="473"/>
      <c r="F6201" s="473"/>
      <c r="G6201" s="473"/>
      <c r="H6201" s="473"/>
      <c r="I6201" s="473"/>
      <c r="J6201" s="473"/>
      <c r="K6201" s="473"/>
      <c r="L6201" s="473"/>
      <c r="M6201" s="473"/>
    </row>
    <row r="6202" spans="5:13">
      <c r="E6202" s="473"/>
      <c r="F6202" s="473"/>
      <c r="G6202" s="473"/>
      <c r="H6202" s="473"/>
      <c r="I6202" s="473"/>
      <c r="J6202" s="473"/>
      <c r="K6202" s="473"/>
      <c r="L6202" s="473"/>
      <c r="M6202" s="473"/>
    </row>
    <row r="6203" spans="5:13">
      <c r="E6203" s="473"/>
      <c r="F6203" s="473"/>
      <c r="G6203" s="473"/>
      <c r="H6203" s="473"/>
      <c r="I6203" s="473"/>
      <c r="J6203" s="473"/>
      <c r="K6203" s="473"/>
      <c r="L6203" s="473"/>
      <c r="M6203" s="473"/>
    </row>
    <row r="6204" spans="5:13">
      <c r="E6204" s="473"/>
      <c r="F6204" s="473"/>
      <c r="G6204" s="473"/>
      <c r="H6204" s="473"/>
      <c r="I6204" s="473"/>
      <c r="J6204" s="473"/>
      <c r="K6204" s="473"/>
      <c r="L6204" s="473"/>
      <c r="M6204" s="473"/>
    </row>
    <row r="6205" spans="5:13">
      <c r="E6205" s="473"/>
      <c r="F6205" s="473"/>
      <c r="G6205" s="473"/>
      <c r="H6205" s="473"/>
      <c r="I6205" s="473"/>
      <c r="J6205" s="473"/>
      <c r="K6205" s="473"/>
      <c r="L6205" s="473"/>
      <c r="M6205" s="473"/>
    </row>
    <row r="6206" spans="5:13">
      <c r="E6206" s="473"/>
      <c r="F6206" s="473"/>
      <c r="G6206" s="473"/>
      <c r="H6206" s="473"/>
      <c r="I6206" s="473"/>
      <c r="J6206" s="473"/>
      <c r="K6206" s="473"/>
      <c r="L6206" s="473"/>
      <c r="M6206" s="473"/>
    </row>
    <row r="6207" spans="5:13">
      <c r="E6207" s="473"/>
      <c r="F6207" s="473"/>
      <c r="G6207" s="473"/>
      <c r="H6207" s="473"/>
      <c r="I6207" s="473"/>
      <c r="J6207" s="473"/>
      <c r="K6207" s="473"/>
      <c r="L6207" s="473"/>
      <c r="M6207" s="473"/>
    </row>
    <row r="6208" spans="5:13">
      <c r="E6208" s="473"/>
      <c r="F6208" s="473"/>
      <c r="G6208" s="473"/>
      <c r="H6208" s="473"/>
      <c r="I6208" s="473"/>
      <c r="J6208" s="473"/>
      <c r="K6208" s="473"/>
      <c r="L6208" s="473"/>
      <c r="M6208" s="473"/>
    </row>
    <row r="6209" spans="5:13">
      <c r="E6209" s="473"/>
      <c r="F6209" s="473"/>
      <c r="G6209" s="473"/>
      <c r="H6209" s="473"/>
      <c r="I6209" s="473"/>
      <c r="J6209" s="473"/>
      <c r="K6209" s="473"/>
      <c r="L6209" s="473"/>
      <c r="M6209" s="473"/>
    </row>
    <row r="6210" spans="5:13">
      <c r="E6210" s="473"/>
      <c r="F6210" s="473"/>
      <c r="G6210" s="473"/>
      <c r="H6210" s="473"/>
      <c r="I6210" s="473"/>
      <c r="J6210" s="473"/>
      <c r="K6210" s="473"/>
      <c r="L6210" s="473"/>
      <c r="M6210" s="473"/>
    </row>
    <row r="6211" spans="5:13">
      <c r="E6211" s="473"/>
      <c r="F6211" s="473"/>
      <c r="G6211" s="473"/>
      <c r="H6211" s="473"/>
      <c r="I6211" s="473"/>
      <c r="J6211" s="473"/>
      <c r="K6211" s="473"/>
      <c r="L6211" s="473"/>
      <c r="M6211" s="473"/>
    </row>
    <row r="6212" spans="5:13">
      <c r="E6212" s="473"/>
      <c r="F6212" s="473"/>
      <c r="G6212" s="473"/>
      <c r="H6212" s="473"/>
      <c r="I6212" s="473"/>
      <c r="J6212" s="473"/>
      <c r="K6212" s="473"/>
      <c r="L6212" s="473"/>
      <c r="M6212" s="473"/>
    </row>
    <row r="6213" spans="5:13">
      <c r="E6213" s="473"/>
      <c r="F6213" s="473"/>
      <c r="G6213" s="473"/>
      <c r="H6213" s="473"/>
      <c r="I6213" s="473"/>
      <c r="J6213" s="473"/>
      <c r="K6213" s="473"/>
      <c r="L6213" s="473"/>
      <c r="M6213" s="473"/>
    </row>
    <row r="6214" spans="5:13">
      <c r="E6214" s="473"/>
      <c r="F6214" s="473"/>
      <c r="G6214" s="473"/>
      <c r="H6214" s="473"/>
      <c r="I6214" s="473"/>
      <c r="J6214" s="473"/>
      <c r="K6214" s="473"/>
      <c r="L6214" s="473"/>
      <c r="M6214" s="473"/>
    </row>
    <row r="6215" spans="5:13">
      <c r="E6215" s="473"/>
      <c r="F6215" s="473"/>
      <c r="G6215" s="473"/>
      <c r="H6215" s="473"/>
      <c r="I6215" s="473"/>
      <c r="J6215" s="473"/>
      <c r="K6215" s="473"/>
      <c r="L6215" s="473"/>
      <c r="M6215" s="473"/>
    </row>
    <row r="6216" spans="5:13">
      <c r="E6216" s="473"/>
      <c r="F6216" s="473"/>
      <c r="G6216" s="473"/>
      <c r="H6216" s="473"/>
      <c r="I6216" s="473"/>
      <c r="J6216" s="473"/>
      <c r="K6216" s="473"/>
      <c r="L6216" s="473"/>
      <c r="M6216" s="473"/>
    </row>
    <row r="6217" spans="5:13">
      <c r="E6217" s="473"/>
      <c r="F6217" s="473"/>
      <c r="G6217" s="473"/>
      <c r="H6217" s="473"/>
      <c r="I6217" s="473"/>
      <c r="J6217" s="473"/>
      <c r="K6217" s="473"/>
      <c r="L6217" s="473"/>
      <c r="M6217" s="473"/>
    </row>
    <row r="6218" spans="5:13">
      <c r="E6218" s="473"/>
      <c r="F6218" s="473"/>
      <c r="G6218" s="473"/>
      <c r="H6218" s="473"/>
      <c r="I6218" s="473"/>
      <c r="J6218" s="473"/>
      <c r="K6218" s="473"/>
      <c r="L6218" s="473"/>
      <c r="M6218" s="473"/>
    </row>
    <row r="6219" spans="5:13">
      <c r="E6219" s="473"/>
      <c r="F6219" s="473"/>
      <c r="G6219" s="473"/>
      <c r="H6219" s="473"/>
      <c r="I6219" s="473"/>
      <c r="J6219" s="473"/>
      <c r="K6219" s="473"/>
      <c r="L6219" s="473"/>
      <c r="M6219" s="473"/>
    </row>
    <row r="6220" spans="5:13">
      <c r="E6220" s="473"/>
      <c r="F6220" s="473"/>
      <c r="G6220" s="473"/>
      <c r="H6220" s="473"/>
      <c r="I6220" s="473"/>
      <c r="J6220" s="473"/>
      <c r="K6220" s="473"/>
      <c r="L6220" s="473"/>
      <c r="M6220" s="473"/>
    </row>
    <row r="6221" spans="5:13">
      <c r="E6221" s="473"/>
      <c r="F6221" s="473"/>
      <c r="G6221" s="473"/>
      <c r="H6221" s="473"/>
      <c r="I6221" s="473"/>
      <c r="J6221" s="473"/>
      <c r="K6221" s="473"/>
      <c r="L6221" s="473"/>
      <c r="M6221" s="473"/>
    </row>
    <row r="6222" spans="5:13">
      <c r="E6222" s="473"/>
      <c r="F6222" s="473"/>
      <c r="G6222" s="473"/>
      <c r="H6222" s="473"/>
      <c r="I6222" s="473"/>
      <c r="J6222" s="473"/>
      <c r="K6222" s="473"/>
      <c r="L6222" s="473"/>
      <c r="M6222" s="473"/>
    </row>
    <row r="6223" spans="5:13">
      <c r="E6223" s="473"/>
      <c r="F6223" s="473"/>
      <c r="G6223" s="473"/>
      <c r="H6223" s="473"/>
      <c r="I6223" s="473"/>
      <c r="J6223" s="473"/>
      <c r="K6223" s="473"/>
      <c r="L6223" s="473"/>
      <c r="M6223" s="473"/>
    </row>
    <row r="6224" spans="5:13">
      <c r="E6224" s="473"/>
      <c r="F6224" s="473"/>
      <c r="G6224" s="473"/>
      <c r="H6224" s="473"/>
      <c r="I6224" s="473"/>
      <c r="J6224" s="473"/>
      <c r="K6224" s="473"/>
      <c r="L6224" s="473"/>
      <c r="M6224" s="473"/>
    </row>
    <row r="6225" spans="5:13">
      <c r="E6225" s="473"/>
      <c r="F6225" s="473"/>
      <c r="G6225" s="473"/>
      <c r="H6225" s="473"/>
      <c r="I6225" s="473"/>
      <c r="J6225" s="473"/>
      <c r="K6225" s="473"/>
      <c r="L6225" s="473"/>
      <c r="M6225" s="473"/>
    </row>
    <row r="6226" spans="5:13">
      <c r="E6226" s="473"/>
      <c r="F6226" s="473"/>
      <c r="G6226" s="473"/>
      <c r="H6226" s="473"/>
      <c r="I6226" s="473"/>
      <c r="J6226" s="473"/>
      <c r="K6226" s="473"/>
      <c r="L6226" s="473"/>
      <c r="M6226" s="473"/>
    </row>
    <row r="6227" spans="5:13">
      <c r="E6227" s="473"/>
      <c r="F6227" s="473"/>
      <c r="G6227" s="473"/>
      <c r="H6227" s="473"/>
      <c r="I6227" s="473"/>
      <c r="J6227" s="473"/>
      <c r="K6227" s="473"/>
      <c r="L6227" s="473"/>
      <c r="M6227" s="473"/>
    </row>
    <row r="6228" spans="5:13">
      <c r="E6228" s="473"/>
      <c r="F6228" s="473"/>
      <c r="G6228" s="473"/>
      <c r="H6228" s="473"/>
      <c r="I6228" s="473"/>
      <c r="J6228" s="473"/>
      <c r="K6228" s="473"/>
      <c r="L6228" s="473"/>
      <c r="M6228" s="473"/>
    </row>
    <row r="6229" spans="5:13">
      <c r="E6229" s="473"/>
      <c r="F6229" s="473"/>
      <c r="G6229" s="473"/>
      <c r="H6229" s="473"/>
      <c r="I6229" s="473"/>
      <c r="J6229" s="473"/>
      <c r="K6229" s="473"/>
      <c r="L6229" s="473"/>
      <c r="M6229" s="473"/>
    </row>
    <row r="6230" spans="5:13">
      <c r="E6230" s="473"/>
      <c r="F6230" s="473"/>
      <c r="G6230" s="473"/>
      <c r="H6230" s="473"/>
      <c r="I6230" s="473"/>
      <c r="J6230" s="473"/>
      <c r="K6230" s="473"/>
      <c r="L6230" s="473"/>
      <c r="M6230" s="473"/>
    </row>
    <row r="6231" spans="5:13">
      <c r="E6231" s="473"/>
      <c r="F6231" s="473"/>
      <c r="G6231" s="473"/>
      <c r="H6231" s="473"/>
      <c r="I6231" s="473"/>
      <c r="J6231" s="473"/>
      <c r="K6231" s="473"/>
      <c r="L6231" s="473"/>
      <c r="M6231" s="473"/>
    </row>
    <row r="6232" spans="5:13">
      <c r="E6232" s="473"/>
      <c r="F6232" s="473"/>
      <c r="G6232" s="473"/>
      <c r="H6232" s="473"/>
      <c r="I6232" s="473"/>
      <c r="J6232" s="473"/>
      <c r="K6232" s="473"/>
      <c r="L6232" s="473"/>
      <c r="M6232" s="473"/>
    </row>
    <row r="6233" spans="5:13">
      <c r="E6233" s="473"/>
      <c r="F6233" s="473"/>
      <c r="G6233" s="473"/>
      <c r="H6233" s="473"/>
      <c r="I6233" s="473"/>
      <c r="J6233" s="473"/>
      <c r="K6233" s="473"/>
      <c r="L6233" s="473"/>
      <c r="M6233" s="473"/>
    </row>
    <row r="6234" spans="5:13">
      <c r="E6234" s="473"/>
      <c r="F6234" s="473"/>
      <c r="G6234" s="473"/>
      <c r="H6234" s="473"/>
      <c r="I6234" s="473"/>
      <c r="J6234" s="473"/>
      <c r="K6234" s="473"/>
      <c r="L6234" s="473"/>
      <c r="M6234" s="473"/>
    </row>
    <row r="6235" spans="5:13">
      <c r="E6235" s="473"/>
      <c r="F6235" s="473"/>
      <c r="G6235" s="473"/>
      <c r="H6235" s="473"/>
      <c r="I6235" s="473"/>
      <c r="J6235" s="473"/>
      <c r="K6235" s="473"/>
      <c r="L6235" s="473"/>
      <c r="M6235" s="473"/>
    </row>
    <row r="6236" spans="5:13">
      <c r="E6236" s="473"/>
      <c r="F6236" s="473"/>
      <c r="G6236" s="473"/>
      <c r="H6236" s="473"/>
      <c r="I6236" s="473"/>
      <c r="J6236" s="473"/>
      <c r="K6236" s="473"/>
      <c r="L6236" s="473"/>
      <c r="M6236" s="473"/>
    </row>
    <row r="6237" spans="5:13">
      <c r="E6237" s="473"/>
      <c r="F6237" s="473"/>
      <c r="G6237" s="473"/>
      <c r="H6237" s="473"/>
      <c r="I6237" s="473"/>
      <c r="J6237" s="473"/>
      <c r="K6237" s="473"/>
      <c r="L6237" s="473"/>
      <c r="M6237" s="473"/>
    </row>
    <row r="6238" spans="5:13">
      <c r="E6238" s="473"/>
      <c r="F6238" s="473"/>
      <c r="G6238" s="473"/>
      <c r="H6238" s="473"/>
      <c r="I6238" s="473"/>
      <c r="J6238" s="473"/>
      <c r="K6238" s="473"/>
      <c r="L6238" s="473"/>
      <c r="M6238" s="473"/>
    </row>
    <row r="6239" spans="5:13">
      <c r="E6239" s="473"/>
      <c r="F6239" s="473"/>
      <c r="G6239" s="473"/>
      <c r="H6239" s="473"/>
      <c r="I6239" s="473"/>
      <c r="J6239" s="473"/>
      <c r="K6239" s="473"/>
      <c r="L6239" s="473"/>
      <c r="M6239" s="473"/>
    </row>
    <row r="6240" spans="5:13">
      <c r="E6240" s="473"/>
      <c r="F6240" s="473"/>
      <c r="G6240" s="473"/>
      <c r="H6240" s="473"/>
      <c r="I6240" s="473"/>
      <c r="J6240" s="473"/>
      <c r="K6240" s="473"/>
      <c r="L6240" s="473"/>
      <c r="M6240" s="473"/>
    </row>
    <row r="6241" spans="5:13">
      <c r="E6241" s="473"/>
      <c r="F6241" s="473"/>
      <c r="G6241" s="473"/>
      <c r="H6241" s="473"/>
      <c r="I6241" s="473"/>
      <c r="J6241" s="473"/>
      <c r="K6241" s="473"/>
      <c r="L6241" s="473"/>
      <c r="M6241" s="473"/>
    </row>
    <row r="6242" spans="5:13">
      <c r="E6242" s="473"/>
      <c r="F6242" s="473"/>
      <c r="G6242" s="473"/>
      <c r="H6242" s="473"/>
      <c r="I6242" s="473"/>
      <c r="J6242" s="473"/>
      <c r="K6242" s="473"/>
      <c r="L6242" s="473"/>
      <c r="M6242" s="473"/>
    </row>
    <row r="6243" spans="5:13">
      <c r="E6243" s="473"/>
      <c r="F6243" s="473"/>
      <c r="G6243" s="473"/>
      <c r="H6243" s="473"/>
      <c r="I6243" s="473"/>
      <c r="J6243" s="473"/>
      <c r="K6243" s="473"/>
      <c r="L6243" s="473"/>
      <c r="M6243" s="473"/>
    </row>
    <row r="6244" spans="5:13">
      <c r="E6244" s="473"/>
      <c r="F6244" s="473"/>
      <c r="G6244" s="473"/>
      <c r="H6244" s="473"/>
      <c r="I6244" s="473"/>
      <c r="J6244" s="473"/>
      <c r="K6244" s="473"/>
      <c r="L6244" s="473"/>
      <c r="M6244" s="473"/>
    </row>
    <row r="6245" spans="5:13">
      <c r="E6245" s="473"/>
      <c r="F6245" s="473"/>
      <c r="G6245" s="473"/>
      <c r="H6245" s="473"/>
      <c r="I6245" s="473"/>
      <c r="J6245" s="473"/>
      <c r="K6245" s="473"/>
      <c r="L6245" s="473"/>
      <c r="M6245" s="473"/>
    </row>
    <row r="6246" spans="5:13">
      <c r="E6246" s="473"/>
      <c r="F6246" s="473"/>
      <c r="G6246" s="473"/>
      <c r="H6246" s="473"/>
      <c r="I6246" s="473"/>
      <c r="J6246" s="473"/>
      <c r="K6246" s="473"/>
      <c r="L6246" s="473"/>
      <c r="M6246" s="473"/>
    </row>
    <row r="6247" spans="5:13">
      <c r="E6247" s="473"/>
      <c r="F6247" s="473"/>
      <c r="G6247" s="473"/>
      <c r="H6247" s="473"/>
      <c r="I6247" s="473"/>
      <c r="J6247" s="473"/>
      <c r="K6247" s="473"/>
      <c r="L6247" s="473"/>
      <c r="M6247" s="473"/>
    </row>
    <row r="6248" spans="5:13">
      <c r="E6248" s="473"/>
      <c r="F6248" s="473"/>
      <c r="G6248" s="473"/>
      <c r="H6248" s="473"/>
      <c r="I6248" s="473"/>
      <c r="J6248" s="473"/>
      <c r="K6248" s="473"/>
      <c r="L6248" s="473"/>
      <c r="M6248" s="473"/>
    </row>
    <row r="6249" spans="5:13">
      <c r="E6249" s="473"/>
      <c r="F6249" s="473"/>
      <c r="G6249" s="473"/>
      <c r="H6249" s="473"/>
      <c r="I6249" s="473"/>
      <c r="J6249" s="473"/>
      <c r="K6249" s="473"/>
      <c r="L6249" s="473"/>
      <c r="M6249" s="473"/>
    </row>
    <row r="6250" spans="5:13">
      <c r="E6250" s="473"/>
      <c r="F6250" s="473"/>
      <c r="G6250" s="473"/>
      <c r="H6250" s="473"/>
      <c r="I6250" s="473"/>
      <c r="J6250" s="473"/>
      <c r="K6250" s="473"/>
      <c r="L6250" s="473"/>
      <c r="M6250" s="473"/>
    </row>
    <row r="6251" spans="5:13">
      <c r="E6251" s="473"/>
      <c r="F6251" s="473"/>
      <c r="G6251" s="473"/>
      <c r="H6251" s="473"/>
      <c r="I6251" s="473"/>
      <c r="J6251" s="473"/>
      <c r="K6251" s="473"/>
      <c r="L6251" s="473"/>
      <c r="M6251" s="473"/>
    </row>
    <row r="6252" spans="5:13">
      <c r="E6252" s="473"/>
      <c r="F6252" s="473"/>
      <c r="G6252" s="473"/>
      <c r="H6252" s="473"/>
      <c r="I6252" s="473"/>
      <c r="J6252" s="473"/>
      <c r="K6252" s="473"/>
      <c r="L6252" s="473"/>
      <c r="M6252" s="473"/>
    </row>
    <row r="6253" spans="5:13">
      <c r="E6253" s="473"/>
      <c r="F6253" s="473"/>
      <c r="G6253" s="473"/>
      <c r="H6253" s="473"/>
      <c r="I6253" s="473"/>
      <c r="J6253" s="473"/>
      <c r="K6253" s="473"/>
      <c r="L6253" s="473"/>
      <c r="M6253" s="473"/>
    </row>
    <row r="6254" spans="5:13">
      <c r="E6254" s="473"/>
      <c r="F6254" s="473"/>
      <c r="G6254" s="473"/>
      <c r="H6254" s="473"/>
      <c r="I6254" s="473"/>
      <c r="J6254" s="473"/>
      <c r="K6254" s="473"/>
      <c r="L6254" s="473"/>
      <c r="M6254" s="473"/>
    </row>
    <row r="6255" spans="5:13">
      <c r="E6255" s="473"/>
      <c r="F6255" s="473"/>
      <c r="G6255" s="473"/>
      <c r="H6255" s="473"/>
      <c r="I6255" s="473"/>
      <c r="J6255" s="473"/>
      <c r="K6255" s="473"/>
      <c r="L6255" s="473"/>
      <c r="M6255" s="473"/>
    </row>
    <row r="6256" spans="5:13">
      <c r="E6256" s="473"/>
      <c r="F6256" s="473"/>
      <c r="G6256" s="473"/>
      <c r="H6256" s="473"/>
      <c r="I6256" s="473"/>
      <c r="J6256" s="473"/>
      <c r="K6256" s="473"/>
      <c r="L6256" s="473"/>
      <c r="M6256" s="473"/>
    </row>
    <row r="6257" spans="5:13">
      <c r="E6257" s="473"/>
      <c r="F6257" s="473"/>
      <c r="G6257" s="473"/>
      <c r="H6257" s="473"/>
      <c r="I6257" s="473"/>
      <c r="J6257" s="473"/>
      <c r="K6257" s="473"/>
      <c r="L6257" s="473"/>
      <c r="M6257" s="473"/>
    </row>
    <row r="6258" spans="5:13">
      <c r="E6258" s="473"/>
      <c r="F6258" s="473"/>
      <c r="G6258" s="473"/>
      <c r="H6258" s="473"/>
      <c r="I6258" s="473"/>
      <c r="J6258" s="473"/>
      <c r="K6258" s="473"/>
      <c r="L6258" s="473"/>
      <c r="M6258" s="473"/>
    </row>
    <row r="6259" spans="5:13">
      <c r="E6259" s="473"/>
      <c r="F6259" s="473"/>
      <c r="G6259" s="473"/>
      <c r="H6259" s="473"/>
      <c r="I6259" s="473"/>
      <c r="J6259" s="473"/>
      <c r="K6259" s="473"/>
      <c r="L6259" s="473"/>
      <c r="M6259" s="473"/>
    </row>
    <row r="6260" spans="5:13">
      <c r="E6260" s="473"/>
      <c r="F6260" s="473"/>
      <c r="G6260" s="473"/>
      <c r="H6260" s="473"/>
      <c r="I6260" s="473"/>
      <c r="J6260" s="473"/>
      <c r="K6260" s="473"/>
      <c r="L6260" s="473"/>
      <c r="M6260" s="473"/>
    </row>
    <row r="6261" spans="5:13">
      <c r="E6261" s="473"/>
      <c r="F6261" s="473"/>
      <c r="G6261" s="473"/>
      <c r="H6261" s="473"/>
      <c r="I6261" s="473"/>
      <c r="J6261" s="473"/>
      <c r="K6261" s="473"/>
      <c r="L6261" s="473"/>
      <c r="M6261" s="473"/>
    </row>
    <row r="6262" spans="5:13">
      <c r="E6262" s="473"/>
      <c r="F6262" s="473"/>
      <c r="G6262" s="473"/>
      <c r="H6262" s="473"/>
      <c r="I6262" s="473"/>
      <c r="J6262" s="473"/>
      <c r="K6262" s="473"/>
      <c r="L6262" s="473"/>
      <c r="M6262" s="473"/>
    </row>
    <row r="6263" spans="5:13">
      <c r="E6263" s="473"/>
      <c r="F6263" s="473"/>
      <c r="G6263" s="473"/>
      <c r="H6263" s="473"/>
      <c r="I6263" s="473"/>
      <c r="J6263" s="473"/>
      <c r="K6263" s="473"/>
      <c r="L6263" s="473"/>
      <c r="M6263" s="473"/>
    </row>
    <row r="6264" spans="5:13">
      <c r="E6264" s="473"/>
      <c r="F6264" s="473"/>
      <c r="G6264" s="473"/>
      <c r="H6264" s="473"/>
      <c r="I6264" s="473"/>
      <c r="J6264" s="473"/>
      <c r="K6264" s="473"/>
      <c r="L6264" s="473"/>
      <c r="M6264" s="473"/>
    </row>
    <row r="6265" spans="5:13">
      <c r="E6265" s="473"/>
      <c r="F6265" s="473"/>
      <c r="G6265" s="473"/>
      <c r="H6265" s="473"/>
      <c r="I6265" s="473"/>
      <c r="J6265" s="473"/>
      <c r="K6265" s="473"/>
      <c r="L6265" s="473"/>
      <c r="M6265" s="473"/>
    </row>
    <row r="6266" spans="5:13">
      <c r="E6266" s="473"/>
      <c r="F6266" s="473"/>
      <c r="G6266" s="473"/>
      <c r="H6266" s="473"/>
      <c r="I6266" s="473"/>
      <c r="J6266" s="473"/>
      <c r="K6266" s="473"/>
      <c r="L6266" s="473"/>
      <c r="M6266" s="473"/>
    </row>
    <row r="6267" spans="5:13">
      <c r="E6267" s="473"/>
      <c r="F6267" s="473"/>
      <c r="G6267" s="473"/>
      <c r="H6267" s="473"/>
      <c r="I6267" s="473"/>
      <c r="J6267" s="473"/>
      <c r="K6267" s="473"/>
      <c r="L6267" s="473"/>
      <c r="M6267" s="473"/>
    </row>
    <row r="6268" spans="5:13">
      <c r="E6268" s="473"/>
      <c r="F6268" s="473"/>
      <c r="G6268" s="473"/>
      <c r="H6268" s="473"/>
      <c r="I6268" s="473"/>
      <c r="J6268" s="473"/>
      <c r="K6268" s="473"/>
      <c r="L6268" s="473"/>
      <c r="M6268" s="473"/>
    </row>
    <row r="6269" spans="5:13">
      <c r="E6269" s="473"/>
      <c r="F6269" s="473"/>
      <c r="G6269" s="473"/>
      <c r="H6269" s="473"/>
      <c r="I6269" s="473"/>
      <c r="J6269" s="473"/>
      <c r="K6269" s="473"/>
      <c r="L6269" s="473"/>
      <c r="M6269" s="473"/>
    </row>
    <row r="6270" spans="5:13">
      <c r="E6270" s="473"/>
      <c r="F6270" s="473"/>
      <c r="G6270" s="473"/>
      <c r="H6270" s="473"/>
      <c r="I6270" s="473"/>
      <c r="J6270" s="473"/>
      <c r="K6270" s="473"/>
      <c r="L6270" s="473"/>
      <c r="M6270" s="473"/>
    </row>
    <row r="6271" spans="5:13">
      <c r="E6271" s="473"/>
      <c r="F6271" s="473"/>
      <c r="G6271" s="473"/>
      <c r="H6271" s="473"/>
      <c r="I6271" s="473"/>
      <c r="J6271" s="473"/>
      <c r="K6271" s="473"/>
      <c r="L6271" s="473"/>
      <c r="M6271" s="473"/>
    </row>
    <row r="6272" spans="5:13">
      <c r="E6272" s="473"/>
      <c r="F6272" s="473"/>
      <c r="G6272" s="473"/>
      <c r="H6272" s="473"/>
      <c r="I6272" s="473"/>
      <c r="J6272" s="473"/>
      <c r="K6272" s="473"/>
      <c r="L6272" s="473"/>
      <c r="M6272" s="473"/>
    </row>
    <row r="6273" spans="5:13">
      <c r="E6273" s="473"/>
      <c r="F6273" s="473"/>
      <c r="G6273" s="473"/>
      <c r="H6273" s="473"/>
      <c r="I6273" s="473"/>
      <c r="J6273" s="473"/>
      <c r="K6273" s="473"/>
      <c r="L6273" s="473"/>
      <c r="M6273" s="473"/>
    </row>
    <row r="6274" spans="5:13">
      <c r="E6274" s="473"/>
      <c r="F6274" s="473"/>
      <c r="G6274" s="473"/>
      <c r="H6274" s="473"/>
      <c r="I6274" s="473"/>
      <c r="J6274" s="473"/>
      <c r="K6274" s="473"/>
      <c r="L6274" s="473"/>
      <c r="M6274" s="473"/>
    </row>
    <row r="6275" spans="5:13">
      <c r="E6275" s="473"/>
      <c r="F6275" s="473"/>
      <c r="G6275" s="473"/>
      <c r="H6275" s="473"/>
      <c r="I6275" s="473"/>
      <c r="J6275" s="473"/>
      <c r="K6275" s="473"/>
      <c r="L6275" s="473"/>
      <c r="M6275" s="473"/>
    </row>
    <row r="6276" spans="5:13">
      <c r="E6276" s="473"/>
      <c r="F6276" s="473"/>
      <c r="G6276" s="473"/>
      <c r="H6276" s="473"/>
      <c r="I6276" s="473"/>
      <c r="J6276" s="473"/>
      <c r="K6276" s="473"/>
      <c r="L6276" s="473"/>
      <c r="M6276" s="473"/>
    </row>
    <row r="6277" spans="5:13">
      <c r="E6277" s="473"/>
      <c r="F6277" s="473"/>
      <c r="G6277" s="473"/>
      <c r="H6277" s="473"/>
      <c r="I6277" s="473"/>
      <c r="J6277" s="473"/>
      <c r="K6277" s="473"/>
      <c r="L6277" s="473"/>
      <c r="M6277" s="473"/>
    </row>
    <row r="6278" spans="5:13">
      <c r="E6278" s="473"/>
      <c r="F6278" s="473"/>
      <c r="G6278" s="473"/>
      <c r="H6278" s="473"/>
      <c r="I6278" s="473"/>
      <c r="J6278" s="473"/>
      <c r="K6278" s="473"/>
      <c r="L6278" s="473"/>
      <c r="M6278" s="473"/>
    </row>
    <row r="6279" spans="5:13">
      <c r="E6279" s="473"/>
      <c r="F6279" s="473"/>
      <c r="G6279" s="473"/>
      <c r="H6279" s="473"/>
      <c r="I6279" s="473"/>
      <c r="J6279" s="473"/>
      <c r="K6279" s="473"/>
      <c r="L6279" s="473"/>
      <c r="M6279" s="473"/>
    </row>
    <row r="6280" spans="5:13">
      <c r="E6280" s="473"/>
      <c r="F6280" s="473"/>
      <c r="G6280" s="473"/>
      <c r="H6280" s="473"/>
      <c r="I6280" s="473"/>
      <c r="J6280" s="473"/>
      <c r="K6280" s="473"/>
      <c r="L6280" s="473"/>
      <c r="M6280" s="473"/>
    </row>
    <row r="6281" spans="5:13">
      <c r="E6281" s="473"/>
      <c r="F6281" s="473"/>
      <c r="G6281" s="473"/>
      <c r="H6281" s="473"/>
      <c r="I6281" s="473"/>
      <c r="J6281" s="473"/>
      <c r="K6281" s="473"/>
      <c r="L6281" s="473"/>
      <c r="M6281" s="473"/>
    </row>
    <row r="6282" spans="5:13">
      <c r="E6282" s="473"/>
      <c r="F6282" s="473"/>
      <c r="G6282" s="473"/>
      <c r="H6282" s="473"/>
      <c r="I6282" s="473"/>
      <c r="J6282" s="473"/>
      <c r="K6282" s="473"/>
      <c r="L6282" s="473"/>
      <c r="M6282" s="473"/>
    </row>
    <row r="6283" spans="5:13">
      <c r="E6283" s="473"/>
      <c r="F6283" s="473"/>
      <c r="G6283" s="473"/>
      <c r="H6283" s="473"/>
      <c r="I6283" s="473"/>
      <c r="J6283" s="473"/>
      <c r="K6283" s="473"/>
      <c r="L6283" s="473"/>
      <c r="M6283" s="473"/>
    </row>
    <row r="6284" spans="5:13">
      <c r="E6284" s="473"/>
      <c r="F6284" s="473"/>
      <c r="G6284" s="473"/>
      <c r="H6284" s="473"/>
      <c r="I6284" s="473"/>
      <c r="J6284" s="473"/>
      <c r="K6284" s="473"/>
      <c r="L6284" s="473"/>
      <c r="M6284" s="473"/>
    </row>
    <row r="6285" spans="5:13">
      <c r="E6285" s="473"/>
      <c r="F6285" s="473"/>
      <c r="G6285" s="473"/>
      <c r="H6285" s="473"/>
      <c r="I6285" s="473"/>
      <c r="J6285" s="473"/>
      <c r="K6285" s="473"/>
      <c r="L6285" s="473"/>
      <c r="M6285" s="473"/>
    </row>
    <row r="6286" spans="5:13">
      <c r="E6286" s="473"/>
      <c r="F6286" s="473"/>
      <c r="G6286" s="473"/>
      <c r="H6286" s="473"/>
      <c r="I6286" s="473"/>
      <c r="J6286" s="473"/>
      <c r="K6286" s="473"/>
      <c r="L6286" s="473"/>
      <c r="M6286" s="473"/>
    </row>
    <row r="6287" spans="5:13">
      <c r="E6287" s="473"/>
      <c r="F6287" s="473"/>
      <c r="G6287" s="473"/>
      <c r="H6287" s="473"/>
      <c r="I6287" s="473"/>
      <c r="J6287" s="473"/>
      <c r="K6287" s="473"/>
      <c r="L6287" s="473"/>
      <c r="M6287" s="473"/>
    </row>
    <row r="6288" spans="5:13">
      <c r="E6288" s="473"/>
      <c r="F6288" s="473"/>
      <c r="G6288" s="473"/>
      <c r="H6288" s="473"/>
      <c r="I6288" s="473"/>
      <c r="J6288" s="473"/>
      <c r="K6288" s="473"/>
      <c r="L6288" s="473"/>
      <c r="M6288" s="473"/>
    </row>
    <row r="6289" spans="5:13">
      <c r="E6289" s="473"/>
      <c r="F6289" s="473"/>
      <c r="G6289" s="473"/>
      <c r="H6289" s="473"/>
      <c r="I6289" s="473"/>
      <c r="J6289" s="473"/>
      <c r="K6289" s="473"/>
      <c r="L6289" s="473"/>
      <c r="M6289" s="473"/>
    </row>
    <row r="6290" spans="5:13">
      <c r="E6290" s="473"/>
      <c r="F6290" s="473"/>
      <c r="G6290" s="473"/>
      <c r="H6290" s="473"/>
      <c r="I6290" s="473"/>
      <c r="J6290" s="473"/>
      <c r="K6290" s="473"/>
      <c r="L6290" s="473"/>
      <c r="M6290" s="473"/>
    </row>
    <row r="6291" spans="5:13">
      <c r="E6291" s="473"/>
      <c r="F6291" s="473"/>
      <c r="G6291" s="473"/>
      <c r="H6291" s="473"/>
      <c r="I6291" s="473"/>
      <c r="J6291" s="473"/>
      <c r="K6291" s="473"/>
      <c r="L6291" s="473"/>
      <c r="M6291" s="473"/>
    </row>
    <row r="6292" spans="5:13">
      <c r="E6292" s="473"/>
      <c r="F6292" s="473"/>
      <c r="G6292" s="473"/>
      <c r="H6292" s="473"/>
      <c r="I6292" s="473"/>
      <c r="J6292" s="473"/>
      <c r="K6292" s="473"/>
      <c r="L6292" s="473"/>
      <c r="M6292" s="473"/>
    </row>
    <row r="6293" spans="5:13">
      <c r="E6293" s="473"/>
      <c r="F6293" s="473"/>
      <c r="G6293" s="473"/>
      <c r="H6293" s="473"/>
      <c r="I6293" s="473"/>
      <c r="J6293" s="473"/>
      <c r="K6293" s="473"/>
      <c r="L6293" s="473"/>
      <c r="M6293" s="473"/>
    </row>
    <row r="6294" spans="5:13">
      <c r="E6294" s="473"/>
      <c r="F6294" s="473"/>
      <c r="G6294" s="473"/>
      <c r="H6294" s="473"/>
      <c r="I6294" s="473"/>
      <c r="J6294" s="473"/>
      <c r="K6294" s="473"/>
      <c r="L6294" s="473"/>
      <c r="M6294" s="473"/>
    </row>
    <row r="6295" spans="5:13">
      <c r="E6295" s="473"/>
      <c r="F6295" s="473"/>
      <c r="G6295" s="473"/>
      <c r="H6295" s="473"/>
      <c r="I6295" s="473"/>
      <c r="J6295" s="473"/>
      <c r="K6295" s="473"/>
      <c r="L6295" s="473"/>
      <c r="M6295" s="473"/>
    </row>
    <row r="6296" spans="5:13">
      <c r="E6296" s="473"/>
      <c r="F6296" s="473"/>
      <c r="G6296" s="473"/>
      <c r="H6296" s="473"/>
      <c r="I6296" s="473"/>
      <c r="J6296" s="473"/>
      <c r="K6296" s="473"/>
      <c r="L6296" s="473"/>
      <c r="M6296" s="473"/>
    </row>
    <row r="6297" spans="5:13">
      <c r="E6297" s="473"/>
      <c r="F6297" s="473"/>
      <c r="G6297" s="473"/>
      <c r="H6297" s="473"/>
      <c r="I6297" s="473"/>
      <c r="J6297" s="473"/>
      <c r="K6297" s="473"/>
      <c r="L6297" s="473"/>
      <c r="M6297" s="473"/>
    </row>
    <row r="6298" spans="5:13">
      <c r="E6298" s="473"/>
      <c r="F6298" s="473"/>
      <c r="G6298" s="473"/>
      <c r="H6298" s="473"/>
      <c r="I6298" s="473"/>
      <c r="J6298" s="473"/>
      <c r="K6298" s="473"/>
      <c r="L6298" s="473"/>
      <c r="M6298" s="473"/>
    </row>
    <row r="6299" spans="5:13">
      <c r="E6299" s="473"/>
      <c r="F6299" s="473"/>
      <c r="G6299" s="473"/>
      <c r="H6299" s="473"/>
      <c r="I6299" s="473"/>
      <c r="J6299" s="473"/>
      <c r="K6299" s="473"/>
      <c r="L6299" s="473"/>
      <c r="M6299" s="473"/>
    </row>
    <row r="6300" spans="5:13">
      <c r="E6300" s="473"/>
      <c r="F6300" s="473"/>
      <c r="G6300" s="473"/>
      <c r="H6300" s="473"/>
      <c r="I6300" s="473"/>
      <c r="J6300" s="473"/>
      <c r="K6300" s="473"/>
      <c r="L6300" s="473"/>
      <c r="M6300" s="473"/>
    </row>
    <row r="6301" spans="5:13">
      <c r="E6301" s="473"/>
      <c r="F6301" s="473"/>
      <c r="G6301" s="473"/>
      <c r="H6301" s="473"/>
      <c r="I6301" s="473"/>
      <c r="J6301" s="473"/>
      <c r="K6301" s="473"/>
      <c r="L6301" s="473"/>
      <c r="M6301" s="473"/>
    </row>
    <row r="6302" spans="5:13">
      <c r="E6302" s="473"/>
      <c r="F6302" s="473"/>
      <c r="G6302" s="473"/>
      <c r="H6302" s="473"/>
      <c r="I6302" s="473"/>
      <c r="J6302" s="473"/>
      <c r="K6302" s="473"/>
      <c r="L6302" s="473"/>
      <c r="M6302" s="473"/>
    </row>
    <row r="6303" spans="5:13">
      <c r="E6303" s="473"/>
      <c r="F6303" s="473"/>
      <c r="G6303" s="473"/>
      <c r="H6303" s="473"/>
      <c r="I6303" s="473"/>
      <c r="J6303" s="473"/>
      <c r="K6303" s="473"/>
      <c r="L6303" s="473"/>
      <c r="M6303" s="473"/>
    </row>
    <row r="6304" spans="5:13">
      <c r="E6304" s="473"/>
      <c r="F6304" s="473"/>
      <c r="G6304" s="473"/>
      <c r="H6304" s="473"/>
      <c r="I6304" s="473"/>
      <c r="J6304" s="473"/>
      <c r="K6304" s="473"/>
      <c r="L6304" s="473"/>
      <c r="M6304" s="473"/>
    </row>
    <row r="6305" spans="5:13">
      <c r="E6305" s="473"/>
      <c r="F6305" s="473"/>
      <c r="G6305" s="473"/>
      <c r="H6305" s="473"/>
      <c r="I6305" s="473"/>
      <c r="J6305" s="473"/>
      <c r="K6305" s="473"/>
      <c r="L6305" s="473"/>
      <c r="M6305" s="473"/>
    </row>
    <row r="6306" spans="5:13">
      <c r="E6306" s="473"/>
      <c r="F6306" s="473"/>
      <c r="G6306" s="473"/>
      <c r="H6306" s="473"/>
      <c r="I6306" s="473"/>
      <c r="J6306" s="473"/>
      <c r="K6306" s="473"/>
      <c r="L6306" s="473"/>
      <c r="M6306" s="473"/>
    </row>
    <row r="6307" spans="5:13">
      <c r="E6307" s="473"/>
      <c r="F6307" s="473"/>
      <c r="G6307" s="473"/>
      <c r="H6307" s="473"/>
      <c r="I6307" s="473"/>
      <c r="J6307" s="473"/>
      <c r="K6307" s="473"/>
      <c r="L6307" s="473"/>
      <c r="M6307" s="473"/>
    </row>
    <row r="6308" spans="5:13">
      <c r="E6308" s="473"/>
      <c r="F6308" s="473"/>
      <c r="G6308" s="473"/>
      <c r="H6308" s="473"/>
      <c r="I6308" s="473"/>
      <c r="J6308" s="473"/>
      <c r="K6308" s="473"/>
      <c r="L6308" s="473"/>
      <c r="M6308" s="473"/>
    </row>
    <row r="6309" spans="5:13">
      <c r="E6309" s="473"/>
      <c r="F6309" s="473"/>
      <c r="G6309" s="473"/>
      <c r="H6309" s="473"/>
      <c r="I6309" s="473"/>
      <c r="J6309" s="473"/>
      <c r="K6309" s="473"/>
      <c r="L6309" s="473"/>
      <c r="M6309" s="473"/>
    </row>
    <row r="6310" spans="5:13">
      <c r="E6310" s="473"/>
      <c r="F6310" s="473"/>
      <c r="G6310" s="473"/>
      <c r="H6310" s="473"/>
      <c r="I6310" s="473"/>
      <c r="J6310" s="473"/>
      <c r="K6310" s="473"/>
      <c r="L6310" s="473"/>
      <c r="M6310" s="473"/>
    </row>
    <row r="6311" spans="5:13">
      <c r="E6311" s="473"/>
      <c r="F6311" s="473"/>
      <c r="G6311" s="473"/>
      <c r="H6311" s="473"/>
      <c r="I6311" s="473"/>
      <c r="J6311" s="473"/>
      <c r="K6311" s="473"/>
      <c r="L6311" s="473"/>
      <c r="M6311" s="473"/>
    </row>
    <row r="6312" spans="5:13">
      <c r="E6312" s="473"/>
      <c r="F6312" s="473"/>
      <c r="G6312" s="473"/>
      <c r="H6312" s="473"/>
      <c r="I6312" s="473"/>
      <c r="J6312" s="473"/>
      <c r="K6312" s="473"/>
      <c r="L6312" s="473"/>
      <c r="M6312" s="473"/>
    </row>
    <row r="6313" spans="5:13">
      <c r="E6313" s="473"/>
      <c r="F6313" s="473"/>
      <c r="G6313" s="473"/>
      <c r="H6313" s="473"/>
      <c r="I6313" s="473"/>
      <c r="J6313" s="473"/>
      <c r="K6313" s="473"/>
      <c r="L6313" s="473"/>
      <c r="M6313" s="473"/>
    </row>
    <row r="6314" spans="5:13">
      <c r="E6314" s="473"/>
      <c r="F6314" s="473"/>
      <c r="G6314" s="473"/>
      <c r="H6314" s="473"/>
      <c r="I6314" s="473"/>
      <c r="J6314" s="473"/>
      <c r="K6314" s="473"/>
      <c r="L6314" s="473"/>
      <c r="M6314" s="473"/>
    </row>
    <row r="6315" spans="5:13">
      <c r="E6315" s="473"/>
      <c r="F6315" s="473"/>
      <c r="G6315" s="473"/>
      <c r="H6315" s="473"/>
      <c r="I6315" s="473"/>
      <c r="J6315" s="473"/>
      <c r="K6315" s="473"/>
      <c r="L6315" s="473"/>
      <c r="M6315" s="473"/>
    </row>
    <row r="6316" spans="5:13">
      <c r="E6316" s="473"/>
      <c r="F6316" s="473"/>
      <c r="G6316" s="473"/>
      <c r="H6316" s="473"/>
      <c r="I6316" s="473"/>
      <c r="J6316" s="473"/>
      <c r="K6316" s="473"/>
      <c r="L6316" s="473"/>
      <c r="M6316" s="473"/>
    </row>
    <row r="6317" spans="5:13">
      <c r="E6317" s="473"/>
      <c r="F6317" s="473"/>
      <c r="G6317" s="473"/>
      <c r="H6317" s="473"/>
      <c r="I6317" s="473"/>
      <c r="J6317" s="473"/>
      <c r="K6317" s="473"/>
      <c r="L6317" s="473"/>
      <c r="M6317" s="473"/>
    </row>
    <row r="6318" spans="5:13">
      <c r="E6318" s="473"/>
      <c r="F6318" s="473"/>
      <c r="G6318" s="473"/>
      <c r="H6318" s="473"/>
      <c r="I6318" s="473"/>
      <c r="J6318" s="473"/>
      <c r="K6318" s="473"/>
      <c r="L6318" s="473"/>
      <c r="M6318" s="473"/>
    </row>
    <row r="6319" spans="5:13">
      <c r="E6319" s="473"/>
      <c r="F6319" s="473"/>
      <c r="G6319" s="473"/>
      <c r="H6319" s="473"/>
      <c r="I6319" s="473"/>
      <c r="J6319" s="473"/>
      <c r="K6319" s="473"/>
      <c r="L6319" s="473"/>
      <c r="M6319" s="473"/>
    </row>
    <row r="6320" spans="5:13">
      <c r="E6320" s="473"/>
      <c r="F6320" s="473"/>
      <c r="G6320" s="473"/>
      <c r="H6320" s="473"/>
      <c r="I6320" s="473"/>
      <c r="J6320" s="473"/>
      <c r="K6320" s="473"/>
      <c r="L6320" s="473"/>
      <c r="M6320" s="473"/>
    </row>
    <row r="6321" spans="5:13">
      <c r="E6321" s="473"/>
      <c r="F6321" s="473"/>
      <c r="G6321" s="473"/>
      <c r="H6321" s="473"/>
      <c r="I6321" s="473"/>
      <c r="J6321" s="473"/>
      <c r="K6321" s="473"/>
      <c r="L6321" s="473"/>
      <c r="M6321" s="473"/>
    </row>
    <row r="6322" spans="5:13">
      <c r="E6322" s="473"/>
      <c r="F6322" s="473"/>
      <c r="G6322" s="473"/>
      <c r="H6322" s="473"/>
      <c r="I6322" s="473"/>
      <c r="J6322" s="473"/>
      <c r="K6322" s="473"/>
      <c r="L6322" s="473"/>
      <c r="M6322" s="473"/>
    </row>
    <row r="6323" spans="5:13">
      <c r="E6323" s="473"/>
      <c r="F6323" s="473"/>
      <c r="G6323" s="473"/>
      <c r="H6323" s="473"/>
      <c r="I6323" s="473"/>
      <c r="J6323" s="473"/>
      <c r="K6323" s="473"/>
      <c r="L6323" s="473"/>
      <c r="M6323" s="473"/>
    </row>
    <row r="6324" spans="5:13">
      <c r="E6324" s="473"/>
      <c r="F6324" s="473"/>
      <c r="G6324" s="473"/>
      <c r="H6324" s="473"/>
      <c r="I6324" s="473"/>
      <c r="J6324" s="473"/>
      <c r="K6324" s="473"/>
      <c r="L6324" s="473"/>
      <c r="M6324" s="473"/>
    </row>
    <row r="6325" spans="5:13">
      <c r="E6325" s="473"/>
      <c r="F6325" s="473"/>
      <c r="G6325" s="473"/>
      <c r="H6325" s="473"/>
      <c r="I6325" s="473"/>
      <c r="J6325" s="473"/>
      <c r="K6325" s="473"/>
      <c r="L6325" s="473"/>
      <c r="M6325" s="473"/>
    </row>
    <row r="6326" spans="5:13">
      <c r="E6326" s="473"/>
      <c r="F6326" s="473"/>
      <c r="G6326" s="473"/>
      <c r="H6326" s="473"/>
      <c r="I6326" s="473"/>
      <c r="J6326" s="473"/>
      <c r="K6326" s="473"/>
      <c r="L6326" s="473"/>
      <c r="M6326" s="473"/>
    </row>
    <row r="6327" spans="5:13">
      <c r="E6327" s="473"/>
      <c r="F6327" s="473"/>
      <c r="G6327" s="473"/>
      <c r="H6327" s="473"/>
      <c r="I6327" s="473"/>
      <c r="J6327" s="473"/>
      <c r="K6327" s="473"/>
      <c r="L6327" s="473"/>
      <c r="M6327" s="473"/>
    </row>
    <row r="6328" spans="5:13">
      <c r="E6328" s="473"/>
      <c r="F6328" s="473"/>
      <c r="G6328" s="473"/>
      <c r="H6328" s="473"/>
      <c r="I6328" s="473"/>
      <c r="J6328" s="473"/>
      <c r="K6328" s="473"/>
      <c r="L6328" s="473"/>
      <c r="M6328" s="473"/>
    </row>
    <row r="6329" spans="5:13">
      <c r="E6329" s="473"/>
      <c r="F6329" s="473"/>
      <c r="G6329" s="473"/>
      <c r="H6329" s="473"/>
      <c r="I6329" s="473"/>
      <c r="J6329" s="473"/>
      <c r="K6329" s="473"/>
      <c r="L6329" s="473"/>
      <c r="M6329" s="473"/>
    </row>
    <row r="6330" spans="5:13">
      <c r="E6330" s="473"/>
      <c r="F6330" s="473"/>
      <c r="G6330" s="473"/>
      <c r="H6330" s="473"/>
      <c r="I6330" s="473"/>
      <c r="J6330" s="473"/>
      <c r="K6330" s="473"/>
      <c r="L6330" s="473"/>
      <c r="M6330" s="473"/>
    </row>
    <row r="6331" spans="5:13">
      <c r="E6331" s="473"/>
      <c r="F6331" s="473"/>
      <c r="G6331" s="473"/>
      <c r="H6331" s="473"/>
      <c r="I6331" s="473"/>
      <c r="J6331" s="473"/>
      <c r="K6331" s="473"/>
      <c r="L6331" s="473"/>
      <c r="M6331" s="473"/>
    </row>
    <row r="6332" spans="5:13">
      <c r="E6332" s="473"/>
      <c r="F6332" s="473"/>
      <c r="G6332" s="473"/>
      <c r="H6332" s="473"/>
      <c r="I6332" s="473"/>
      <c r="J6332" s="473"/>
      <c r="K6332" s="473"/>
      <c r="L6332" s="473"/>
      <c r="M6332" s="473"/>
    </row>
    <row r="6333" spans="5:13">
      <c r="E6333" s="473"/>
      <c r="F6333" s="473"/>
      <c r="G6333" s="473"/>
      <c r="H6333" s="473"/>
      <c r="I6333" s="473"/>
      <c r="J6333" s="473"/>
      <c r="K6333" s="473"/>
      <c r="L6333" s="473"/>
      <c r="M6333" s="473"/>
    </row>
    <row r="6334" spans="5:13">
      <c r="E6334" s="473"/>
      <c r="F6334" s="473"/>
      <c r="G6334" s="473"/>
      <c r="H6334" s="473"/>
      <c r="I6334" s="473"/>
      <c r="J6334" s="473"/>
      <c r="K6334" s="473"/>
      <c r="L6334" s="473"/>
      <c r="M6334" s="473"/>
    </row>
    <row r="6335" spans="5:13">
      <c r="E6335" s="473"/>
      <c r="F6335" s="473"/>
      <c r="G6335" s="473"/>
      <c r="H6335" s="473"/>
      <c r="I6335" s="473"/>
      <c r="J6335" s="473"/>
      <c r="K6335" s="473"/>
      <c r="L6335" s="473"/>
      <c r="M6335" s="473"/>
    </row>
    <row r="6336" spans="5:13">
      <c r="E6336" s="473"/>
      <c r="F6336" s="473"/>
      <c r="G6336" s="473"/>
      <c r="H6336" s="473"/>
      <c r="I6336" s="473"/>
      <c r="J6336" s="473"/>
      <c r="K6336" s="473"/>
      <c r="L6336" s="473"/>
      <c r="M6336" s="473"/>
    </row>
    <row r="6337" spans="5:13">
      <c r="E6337" s="473"/>
      <c r="F6337" s="473"/>
      <c r="G6337" s="473"/>
      <c r="H6337" s="473"/>
      <c r="I6337" s="473"/>
      <c r="J6337" s="473"/>
      <c r="K6337" s="473"/>
      <c r="L6337" s="473"/>
      <c r="M6337" s="473"/>
    </row>
    <row r="6338" spans="5:13">
      <c r="E6338" s="473"/>
      <c r="F6338" s="473"/>
      <c r="G6338" s="473"/>
      <c r="H6338" s="473"/>
      <c r="I6338" s="473"/>
      <c r="J6338" s="473"/>
      <c r="K6338" s="473"/>
      <c r="L6338" s="473"/>
      <c r="M6338" s="473"/>
    </row>
    <row r="6339" spans="5:13">
      <c r="E6339" s="473"/>
      <c r="F6339" s="473"/>
      <c r="G6339" s="473"/>
      <c r="H6339" s="473"/>
      <c r="I6339" s="473"/>
      <c r="J6339" s="473"/>
      <c r="K6339" s="473"/>
      <c r="L6339" s="473"/>
      <c r="M6339" s="473"/>
    </row>
    <row r="6340" spans="5:13">
      <c r="E6340" s="473"/>
      <c r="F6340" s="473"/>
      <c r="G6340" s="473"/>
      <c r="H6340" s="473"/>
      <c r="I6340" s="473"/>
      <c r="J6340" s="473"/>
      <c r="K6340" s="473"/>
      <c r="L6340" s="473"/>
      <c r="M6340" s="473"/>
    </row>
    <row r="6341" spans="5:13">
      <c r="E6341" s="473"/>
      <c r="F6341" s="473"/>
      <c r="G6341" s="473"/>
      <c r="H6341" s="473"/>
      <c r="I6341" s="473"/>
      <c r="J6341" s="473"/>
      <c r="K6341" s="473"/>
      <c r="L6341" s="473"/>
      <c r="M6341" s="473"/>
    </row>
    <row r="6342" spans="5:13">
      <c r="E6342" s="473"/>
      <c r="F6342" s="473"/>
      <c r="G6342" s="473"/>
      <c r="H6342" s="473"/>
      <c r="I6342" s="473"/>
      <c r="J6342" s="473"/>
      <c r="K6342" s="473"/>
      <c r="L6342" s="473"/>
      <c r="M6342" s="473"/>
    </row>
    <row r="6343" spans="5:13">
      <c r="E6343" s="473"/>
      <c r="F6343" s="473"/>
      <c r="G6343" s="473"/>
      <c r="H6343" s="473"/>
      <c r="I6343" s="473"/>
      <c r="J6343" s="473"/>
      <c r="K6343" s="473"/>
      <c r="L6343" s="473"/>
      <c r="M6343" s="473"/>
    </row>
    <row r="6344" spans="5:13">
      <c r="E6344" s="473"/>
      <c r="F6344" s="473"/>
      <c r="G6344" s="473"/>
      <c r="H6344" s="473"/>
      <c r="I6344" s="473"/>
      <c r="J6344" s="473"/>
      <c r="K6344" s="473"/>
      <c r="L6344" s="473"/>
      <c r="M6344" s="473"/>
    </row>
    <row r="6345" spans="5:13">
      <c r="E6345" s="473"/>
      <c r="F6345" s="473"/>
      <c r="G6345" s="473"/>
      <c r="H6345" s="473"/>
      <c r="I6345" s="473"/>
      <c r="J6345" s="473"/>
      <c r="K6345" s="473"/>
      <c r="L6345" s="473"/>
      <c r="M6345" s="473"/>
    </row>
    <row r="6346" spans="5:13">
      <c r="E6346" s="473"/>
      <c r="F6346" s="473"/>
      <c r="G6346" s="473"/>
      <c r="H6346" s="473"/>
      <c r="I6346" s="473"/>
      <c r="J6346" s="473"/>
      <c r="K6346" s="473"/>
      <c r="L6346" s="473"/>
      <c r="M6346" s="473"/>
    </row>
    <row r="6347" spans="5:13">
      <c r="E6347" s="473"/>
      <c r="F6347" s="473"/>
      <c r="G6347" s="473"/>
      <c r="H6347" s="473"/>
      <c r="I6347" s="473"/>
      <c r="J6347" s="473"/>
      <c r="K6347" s="473"/>
      <c r="L6347" s="473"/>
      <c r="M6347" s="473"/>
    </row>
    <row r="6348" spans="5:13">
      <c r="E6348" s="473"/>
      <c r="F6348" s="473"/>
      <c r="G6348" s="473"/>
      <c r="H6348" s="473"/>
      <c r="I6348" s="473"/>
      <c r="J6348" s="473"/>
      <c r="K6348" s="473"/>
      <c r="L6348" s="473"/>
      <c r="M6348" s="473"/>
    </row>
    <row r="6349" spans="5:13">
      <c r="E6349" s="473"/>
      <c r="F6349" s="473"/>
      <c r="G6349" s="473"/>
      <c r="H6349" s="473"/>
      <c r="I6349" s="473"/>
      <c r="J6349" s="473"/>
      <c r="K6349" s="473"/>
      <c r="L6349" s="473"/>
      <c r="M6349" s="473"/>
    </row>
    <row r="6350" spans="5:13">
      <c r="E6350" s="473"/>
      <c r="F6350" s="473"/>
      <c r="G6350" s="473"/>
      <c r="H6350" s="473"/>
      <c r="I6350" s="473"/>
      <c r="J6350" s="473"/>
      <c r="K6350" s="473"/>
      <c r="L6350" s="473"/>
      <c r="M6350" s="473"/>
    </row>
    <row r="6351" spans="5:13">
      <c r="E6351" s="473"/>
      <c r="F6351" s="473"/>
      <c r="G6351" s="473"/>
      <c r="H6351" s="473"/>
      <c r="I6351" s="473"/>
      <c r="J6351" s="473"/>
      <c r="K6351" s="473"/>
      <c r="L6351" s="473"/>
      <c r="M6351" s="473"/>
    </row>
    <row r="6352" spans="5:13">
      <c r="E6352" s="473"/>
      <c r="F6352" s="473"/>
      <c r="G6352" s="473"/>
      <c r="H6352" s="473"/>
      <c r="I6352" s="473"/>
      <c r="J6352" s="473"/>
      <c r="K6352" s="473"/>
      <c r="L6352" s="473"/>
      <c r="M6352" s="473"/>
    </row>
    <row r="6353" spans="5:13">
      <c r="E6353" s="473"/>
      <c r="F6353" s="473"/>
      <c r="G6353" s="473"/>
      <c r="H6353" s="473"/>
      <c r="I6353" s="473"/>
      <c r="J6353" s="473"/>
      <c r="K6353" s="473"/>
      <c r="L6353" s="473"/>
      <c r="M6353" s="473"/>
    </row>
    <row r="6354" spans="5:13">
      <c r="E6354" s="473"/>
      <c r="F6354" s="473"/>
      <c r="G6354" s="473"/>
      <c r="H6354" s="473"/>
      <c r="I6354" s="473"/>
      <c r="J6354" s="473"/>
      <c r="K6354" s="473"/>
      <c r="L6354" s="473"/>
      <c r="M6354" s="473"/>
    </row>
    <row r="6355" spans="5:13">
      <c r="E6355" s="473"/>
      <c r="F6355" s="473"/>
      <c r="G6355" s="473"/>
      <c r="H6355" s="473"/>
      <c r="I6355" s="473"/>
      <c r="J6355" s="473"/>
      <c r="K6355" s="473"/>
      <c r="L6355" s="473"/>
      <c r="M6355" s="473"/>
    </row>
    <row r="6356" spans="5:13">
      <c r="E6356" s="473"/>
      <c r="F6356" s="473"/>
      <c r="G6356" s="473"/>
      <c r="H6356" s="473"/>
      <c r="I6356" s="473"/>
      <c r="J6356" s="473"/>
      <c r="K6356" s="473"/>
      <c r="L6356" s="473"/>
      <c r="M6356" s="473"/>
    </row>
    <row r="6357" spans="5:13">
      <c r="E6357" s="473"/>
      <c r="F6357" s="473"/>
      <c r="G6357" s="473"/>
      <c r="H6357" s="473"/>
      <c r="I6357" s="473"/>
      <c r="J6357" s="473"/>
      <c r="K6357" s="473"/>
      <c r="L6357" s="473"/>
      <c r="M6357" s="473"/>
    </row>
    <row r="6358" spans="5:13">
      <c r="E6358" s="473"/>
      <c r="F6358" s="473"/>
      <c r="G6358" s="473"/>
      <c r="H6358" s="473"/>
      <c r="I6358" s="473"/>
      <c r="J6358" s="473"/>
      <c r="K6358" s="473"/>
      <c r="L6358" s="473"/>
      <c r="M6358" s="473"/>
    </row>
    <row r="6359" spans="5:13">
      <c r="E6359" s="473"/>
      <c r="F6359" s="473"/>
      <c r="G6359" s="473"/>
      <c r="H6359" s="473"/>
      <c r="I6359" s="473"/>
      <c r="J6359" s="473"/>
      <c r="K6359" s="473"/>
      <c r="L6359" s="473"/>
      <c r="M6359" s="473"/>
    </row>
    <row r="6360" spans="5:13">
      <c r="E6360" s="473"/>
      <c r="F6360" s="473"/>
      <c r="G6360" s="473"/>
      <c r="H6360" s="473"/>
      <c r="I6360" s="473"/>
      <c r="J6360" s="473"/>
      <c r="K6360" s="473"/>
      <c r="L6360" s="473"/>
      <c r="M6360" s="473"/>
    </row>
    <row r="6361" spans="5:13">
      <c r="E6361" s="473"/>
      <c r="F6361" s="473"/>
      <c r="G6361" s="473"/>
      <c r="H6361" s="473"/>
      <c r="I6361" s="473"/>
      <c r="J6361" s="473"/>
      <c r="K6361" s="473"/>
      <c r="L6361" s="473"/>
      <c r="M6361" s="473"/>
    </row>
    <row r="6362" spans="5:13">
      <c r="E6362" s="473"/>
      <c r="F6362" s="473"/>
      <c r="G6362" s="473"/>
      <c r="H6362" s="473"/>
      <c r="I6362" s="473"/>
      <c r="J6362" s="473"/>
      <c r="K6362" s="473"/>
      <c r="L6362" s="473"/>
      <c r="M6362" s="473"/>
    </row>
    <row r="6363" spans="5:13">
      <c r="E6363" s="473"/>
      <c r="F6363" s="473"/>
      <c r="G6363" s="473"/>
      <c r="H6363" s="473"/>
      <c r="I6363" s="473"/>
      <c r="J6363" s="473"/>
      <c r="K6363" s="473"/>
      <c r="L6363" s="473"/>
      <c r="M6363" s="473"/>
    </row>
    <row r="6364" spans="5:13">
      <c r="E6364" s="473"/>
      <c r="F6364" s="473"/>
      <c r="G6364" s="473"/>
      <c r="H6364" s="473"/>
      <c r="I6364" s="473"/>
      <c r="J6364" s="473"/>
      <c r="K6364" s="473"/>
      <c r="L6364" s="473"/>
      <c r="M6364" s="473"/>
    </row>
    <row r="6365" spans="5:13">
      <c r="E6365" s="473"/>
      <c r="F6365" s="473"/>
      <c r="G6365" s="473"/>
      <c r="H6365" s="473"/>
      <c r="I6365" s="473"/>
      <c r="J6365" s="473"/>
      <c r="K6365" s="473"/>
      <c r="L6365" s="473"/>
      <c r="M6365" s="473"/>
    </row>
    <row r="6366" spans="5:13">
      <c r="E6366" s="473"/>
      <c r="F6366" s="473"/>
      <c r="G6366" s="473"/>
      <c r="H6366" s="473"/>
      <c r="I6366" s="473"/>
      <c r="J6366" s="473"/>
      <c r="K6366" s="473"/>
      <c r="L6366" s="473"/>
      <c r="M6366" s="473"/>
    </row>
    <row r="6367" spans="5:13">
      <c r="E6367" s="473"/>
      <c r="F6367" s="473"/>
      <c r="G6367" s="473"/>
      <c r="H6367" s="473"/>
      <c r="I6367" s="473"/>
      <c r="J6367" s="473"/>
      <c r="K6367" s="473"/>
      <c r="L6367" s="473"/>
      <c r="M6367" s="473"/>
    </row>
    <row r="6368" spans="5:13">
      <c r="E6368" s="473"/>
      <c r="F6368" s="473"/>
      <c r="G6368" s="473"/>
      <c r="H6368" s="473"/>
      <c r="I6368" s="473"/>
      <c r="J6368" s="473"/>
      <c r="K6368" s="473"/>
      <c r="L6368" s="473"/>
      <c r="M6368" s="473"/>
    </row>
    <row r="6369" spans="5:13">
      <c r="E6369" s="473"/>
      <c r="F6369" s="473"/>
      <c r="G6369" s="473"/>
      <c r="H6369" s="473"/>
      <c r="I6369" s="473"/>
      <c r="J6369" s="473"/>
      <c r="K6369" s="473"/>
      <c r="L6369" s="473"/>
      <c r="M6369" s="473"/>
    </row>
    <row r="6370" spans="5:13">
      <c r="E6370" s="473"/>
      <c r="F6370" s="473"/>
      <c r="G6370" s="473"/>
      <c r="H6370" s="473"/>
      <c r="I6370" s="473"/>
      <c r="J6370" s="473"/>
      <c r="K6370" s="473"/>
      <c r="L6370" s="473"/>
      <c r="M6370" s="473"/>
    </row>
    <row r="6371" spans="5:13">
      <c r="E6371" s="473"/>
      <c r="F6371" s="473"/>
      <c r="G6371" s="473"/>
      <c r="H6371" s="473"/>
      <c r="I6371" s="473"/>
      <c r="J6371" s="473"/>
      <c r="K6371" s="473"/>
      <c r="L6371" s="473"/>
      <c r="M6371" s="473"/>
    </row>
    <row r="6372" spans="5:13">
      <c r="E6372" s="473"/>
      <c r="F6372" s="473"/>
      <c r="G6372" s="473"/>
      <c r="H6372" s="473"/>
      <c r="I6372" s="473"/>
      <c r="J6372" s="473"/>
      <c r="K6372" s="473"/>
      <c r="L6372" s="473"/>
      <c r="M6372" s="473"/>
    </row>
    <row r="6373" spans="5:13">
      <c r="E6373" s="473"/>
      <c r="F6373" s="473"/>
      <c r="G6373" s="473"/>
      <c r="H6373" s="473"/>
      <c r="I6373" s="473"/>
      <c r="J6373" s="473"/>
      <c r="K6373" s="473"/>
      <c r="L6373" s="473"/>
      <c r="M6373" s="473"/>
    </row>
    <row r="6374" spans="5:13">
      <c r="E6374" s="473"/>
      <c r="F6374" s="473"/>
      <c r="G6374" s="473"/>
      <c r="H6374" s="473"/>
      <c r="I6374" s="473"/>
      <c r="J6374" s="473"/>
      <c r="K6374" s="473"/>
      <c r="L6374" s="473"/>
      <c r="M6374" s="473"/>
    </row>
    <row r="6375" spans="5:13">
      <c r="E6375" s="473"/>
      <c r="F6375" s="473"/>
      <c r="G6375" s="473"/>
      <c r="H6375" s="473"/>
      <c r="I6375" s="473"/>
      <c r="J6375" s="473"/>
      <c r="K6375" s="473"/>
      <c r="L6375" s="473"/>
      <c r="M6375" s="473"/>
    </row>
    <row r="6376" spans="5:13">
      <c r="E6376" s="473"/>
      <c r="F6376" s="473"/>
      <c r="G6376" s="473"/>
      <c r="H6376" s="473"/>
      <c r="I6376" s="473"/>
      <c r="J6376" s="473"/>
      <c r="K6376" s="473"/>
      <c r="L6376" s="473"/>
      <c r="M6376" s="473"/>
    </row>
    <row r="6377" spans="5:13">
      <c r="E6377" s="473"/>
      <c r="F6377" s="473"/>
      <c r="G6377" s="473"/>
      <c r="H6377" s="473"/>
      <c r="I6377" s="473"/>
      <c r="J6377" s="473"/>
      <c r="K6377" s="473"/>
      <c r="L6377" s="473"/>
      <c r="M6377" s="473"/>
    </row>
    <row r="6378" spans="5:13">
      <c r="E6378" s="473"/>
      <c r="F6378" s="473"/>
      <c r="G6378" s="473"/>
      <c r="H6378" s="473"/>
      <c r="I6378" s="473"/>
      <c r="J6378" s="473"/>
      <c r="K6378" s="473"/>
      <c r="L6378" s="473"/>
      <c r="M6378" s="473"/>
    </row>
    <row r="6379" spans="5:13">
      <c r="E6379" s="473"/>
      <c r="F6379" s="473"/>
      <c r="G6379" s="473"/>
      <c r="H6379" s="473"/>
      <c r="I6379" s="473"/>
      <c r="J6379" s="473"/>
      <c r="K6379" s="473"/>
      <c r="L6379" s="473"/>
      <c r="M6379" s="473"/>
    </row>
    <row r="6380" spans="5:13">
      <c r="E6380" s="473"/>
      <c r="F6380" s="473"/>
      <c r="G6380" s="473"/>
      <c r="H6380" s="473"/>
      <c r="I6380" s="473"/>
      <c r="J6380" s="473"/>
      <c r="K6380" s="473"/>
      <c r="L6380" s="473"/>
      <c r="M6380" s="473"/>
    </row>
    <row r="6381" spans="5:13">
      <c r="E6381" s="473"/>
      <c r="F6381" s="473"/>
      <c r="G6381" s="473"/>
      <c r="H6381" s="473"/>
      <c r="I6381" s="473"/>
      <c r="J6381" s="473"/>
      <c r="K6381" s="473"/>
      <c r="L6381" s="473"/>
      <c r="M6381" s="473"/>
    </row>
    <row r="6382" spans="5:13">
      <c r="E6382" s="473"/>
      <c r="F6382" s="473"/>
      <c r="G6382" s="473"/>
      <c r="H6382" s="473"/>
      <c r="I6382" s="473"/>
      <c r="J6382" s="473"/>
      <c r="K6382" s="473"/>
      <c r="L6382" s="473"/>
      <c r="M6382" s="473"/>
    </row>
    <row r="6383" spans="5:13">
      <c r="E6383" s="473"/>
      <c r="F6383" s="473"/>
      <c r="G6383" s="473"/>
      <c r="H6383" s="473"/>
      <c r="I6383" s="473"/>
      <c r="J6383" s="473"/>
      <c r="K6383" s="473"/>
      <c r="L6383" s="473"/>
      <c r="M6383" s="473"/>
    </row>
    <row r="6384" spans="5:13">
      <c r="E6384" s="473"/>
      <c r="F6384" s="473"/>
      <c r="G6384" s="473"/>
      <c r="H6384" s="473"/>
      <c r="I6384" s="473"/>
      <c r="J6384" s="473"/>
      <c r="K6384" s="473"/>
      <c r="L6384" s="473"/>
      <c r="M6384" s="473"/>
    </row>
    <row r="6385" spans="5:13">
      <c r="E6385" s="473"/>
      <c r="F6385" s="473"/>
      <c r="G6385" s="473"/>
      <c r="H6385" s="473"/>
      <c r="I6385" s="473"/>
      <c r="J6385" s="473"/>
      <c r="K6385" s="473"/>
      <c r="L6385" s="473"/>
      <c r="M6385" s="473"/>
    </row>
    <row r="6386" spans="5:13">
      <c r="E6386" s="473"/>
      <c r="F6386" s="473"/>
      <c r="G6386" s="473"/>
      <c r="H6386" s="473"/>
      <c r="I6386" s="473"/>
      <c r="J6386" s="473"/>
      <c r="K6386" s="473"/>
      <c r="L6386" s="473"/>
      <c r="M6386" s="473"/>
    </row>
    <row r="6387" spans="5:13">
      <c r="E6387" s="473"/>
      <c r="F6387" s="473"/>
      <c r="G6387" s="473"/>
      <c r="H6387" s="473"/>
      <c r="I6387" s="473"/>
      <c r="J6387" s="473"/>
      <c r="K6387" s="473"/>
      <c r="L6387" s="473"/>
      <c r="M6387" s="473"/>
    </row>
    <row r="6388" spans="5:13">
      <c r="E6388" s="473"/>
      <c r="F6388" s="473"/>
      <c r="G6388" s="473"/>
      <c r="H6388" s="473"/>
      <c r="I6388" s="473"/>
      <c r="J6388" s="473"/>
      <c r="K6388" s="473"/>
      <c r="L6388" s="473"/>
      <c r="M6388" s="473"/>
    </row>
    <row r="6389" spans="5:13">
      <c r="E6389" s="473"/>
      <c r="F6389" s="473"/>
      <c r="G6389" s="473"/>
      <c r="H6389" s="473"/>
      <c r="I6389" s="473"/>
      <c r="J6389" s="473"/>
      <c r="K6389" s="473"/>
      <c r="L6389" s="473"/>
      <c r="M6389" s="473"/>
    </row>
    <row r="6390" spans="5:13">
      <c r="E6390" s="473"/>
      <c r="F6390" s="473"/>
      <c r="G6390" s="473"/>
      <c r="H6390" s="473"/>
      <c r="I6390" s="473"/>
      <c r="J6390" s="473"/>
      <c r="K6390" s="473"/>
      <c r="L6390" s="473"/>
      <c r="M6390" s="473"/>
    </row>
    <row r="6391" spans="5:13">
      <c r="E6391" s="473"/>
      <c r="F6391" s="473"/>
      <c r="G6391" s="473"/>
      <c r="H6391" s="473"/>
      <c r="I6391" s="473"/>
      <c r="J6391" s="473"/>
      <c r="K6391" s="473"/>
      <c r="L6391" s="473"/>
      <c r="M6391" s="473"/>
    </row>
    <row r="6392" spans="5:13">
      <c r="E6392" s="473"/>
      <c r="F6392" s="473"/>
      <c r="G6392" s="473"/>
      <c r="H6392" s="473"/>
      <c r="I6392" s="473"/>
      <c r="J6392" s="473"/>
      <c r="K6392" s="473"/>
      <c r="L6392" s="473"/>
      <c r="M6392" s="473"/>
    </row>
    <row r="6393" spans="5:13">
      <c r="E6393" s="473"/>
      <c r="F6393" s="473"/>
      <c r="G6393" s="473"/>
      <c r="H6393" s="473"/>
      <c r="I6393" s="473"/>
      <c r="J6393" s="473"/>
      <c r="K6393" s="473"/>
      <c r="L6393" s="473"/>
      <c r="M6393" s="473"/>
    </row>
    <row r="6394" spans="5:13">
      <c r="E6394" s="473"/>
      <c r="F6394" s="473"/>
      <c r="G6394" s="473"/>
      <c r="H6394" s="473"/>
      <c r="I6394" s="473"/>
      <c r="J6394" s="473"/>
      <c r="K6394" s="473"/>
      <c r="L6394" s="473"/>
      <c r="M6394" s="473"/>
    </row>
    <row r="6395" spans="5:13">
      <c r="E6395" s="473"/>
      <c r="F6395" s="473"/>
      <c r="G6395" s="473"/>
      <c r="H6395" s="473"/>
      <c r="I6395" s="473"/>
      <c r="J6395" s="473"/>
      <c r="K6395" s="473"/>
      <c r="L6395" s="473"/>
      <c r="M6395" s="473"/>
    </row>
    <row r="6396" spans="5:13">
      <c r="E6396" s="473"/>
      <c r="F6396" s="473"/>
      <c r="G6396" s="473"/>
      <c r="H6396" s="473"/>
      <c r="I6396" s="473"/>
      <c r="J6396" s="473"/>
      <c r="K6396" s="473"/>
      <c r="L6396" s="473"/>
      <c r="M6396" s="473"/>
    </row>
    <row r="6397" spans="5:13">
      <c r="E6397" s="473"/>
      <c r="F6397" s="473"/>
      <c r="G6397" s="473"/>
      <c r="H6397" s="473"/>
      <c r="I6397" s="473"/>
      <c r="J6397" s="473"/>
      <c r="K6397" s="473"/>
      <c r="L6397" s="473"/>
      <c r="M6397" s="473"/>
    </row>
    <row r="6398" spans="5:13">
      <c r="E6398" s="473"/>
      <c r="F6398" s="473"/>
      <c r="G6398" s="473"/>
      <c r="H6398" s="473"/>
      <c r="I6398" s="473"/>
      <c r="J6398" s="473"/>
      <c r="K6398" s="473"/>
      <c r="L6398" s="473"/>
      <c r="M6398" s="473"/>
    </row>
    <row r="6399" spans="5:13">
      <c r="E6399" s="473"/>
      <c r="F6399" s="473"/>
      <c r="G6399" s="473"/>
      <c r="H6399" s="473"/>
      <c r="I6399" s="473"/>
      <c r="J6399" s="473"/>
      <c r="K6399" s="473"/>
      <c r="L6399" s="473"/>
      <c r="M6399" s="473"/>
    </row>
    <row r="6400" spans="5:13">
      <c r="E6400" s="473"/>
      <c r="F6400" s="473"/>
      <c r="G6400" s="473"/>
      <c r="H6400" s="473"/>
      <c r="I6400" s="473"/>
      <c r="J6400" s="473"/>
      <c r="K6400" s="473"/>
      <c r="L6400" s="473"/>
      <c r="M6400" s="473"/>
    </row>
    <row r="6401" spans="5:13">
      <c r="E6401" s="473"/>
      <c r="F6401" s="473"/>
      <c r="G6401" s="473"/>
      <c r="H6401" s="473"/>
      <c r="I6401" s="473"/>
      <c r="J6401" s="473"/>
      <c r="K6401" s="473"/>
      <c r="L6401" s="473"/>
      <c r="M6401" s="473"/>
    </row>
    <row r="6402" spans="5:13">
      <c r="E6402" s="473"/>
      <c r="F6402" s="473"/>
      <c r="G6402" s="473"/>
      <c r="H6402" s="473"/>
      <c r="I6402" s="473"/>
      <c r="J6402" s="473"/>
      <c r="K6402" s="473"/>
      <c r="L6402" s="473"/>
      <c r="M6402" s="473"/>
    </row>
    <row r="6403" spans="5:13">
      <c r="E6403" s="473"/>
      <c r="F6403" s="473"/>
      <c r="G6403" s="473"/>
      <c r="H6403" s="473"/>
      <c r="I6403" s="473"/>
      <c r="J6403" s="473"/>
      <c r="K6403" s="473"/>
      <c r="L6403" s="473"/>
      <c r="M6403" s="473"/>
    </row>
    <row r="6404" spans="5:13">
      <c r="E6404" s="473"/>
      <c r="F6404" s="473"/>
      <c r="G6404" s="473"/>
      <c r="H6404" s="473"/>
      <c r="I6404" s="473"/>
      <c r="J6404" s="473"/>
      <c r="K6404" s="473"/>
      <c r="L6404" s="473"/>
      <c r="M6404" s="473"/>
    </row>
    <row r="6405" spans="5:13">
      <c r="E6405" s="473"/>
      <c r="F6405" s="473"/>
      <c r="G6405" s="473"/>
      <c r="H6405" s="473"/>
      <c r="I6405" s="473"/>
      <c r="J6405" s="473"/>
      <c r="K6405" s="473"/>
      <c r="L6405" s="473"/>
      <c r="M6405" s="473"/>
    </row>
    <row r="6406" spans="5:13">
      <c r="E6406" s="473"/>
      <c r="F6406" s="473"/>
      <c r="G6406" s="473"/>
      <c r="H6406" s="473"/>
      <c r="I6406" s="473"/>
      <c r="J6406" s="473"/>
      <c r="K6406" s="473"/>
      <c r="L6406" s="473"/>
      <c r="M6406" s="473"/>
    </row>
    <row r="6407" spans="5:13">
      <c r="E6407" s="473"/>
      <c r="F6407" s="473"/>
      <c r="G6407" s="473"/>
      <c r="H6407" s="473"/>
      <c r="I6407" s="473"/>
      <c r="J6407" s="473"/>
      <c r="K6407" s="473"/>
      <c r="L6407" s="473"/>
      <c r="M6407" s="473"/>
    </row>
    <row r="6408" spans="5:13">
      <c r="E6408" s="473"/>
      <c r="F6408" s="473"/>
      <c r="G6408" s="473"/>
      <c r="H6408" s="473"/>
      <c r="I6408" s="473"/>
      <c r="J6408" s="473"/>
      <c r="K6408" s="473"/>
      <c r="L6408" s="473"/>
      <c r="M6408" s="473"/>
    </row>
    <row r="6409" spans="5:13">
      <c r="E6409" s="473"/>
      <c r="F6409" s="473"/>
      <c r="G6409" s="473"/>
      <c r="H6409" s="473"/>
      <c r="I6409" s="473"/>
      <c r="J6409" s="473"/>
      <c r="K6409" s="473"/>
      <c r="L6409" s="473"/>
      <c r="M6409" s="473"/>
    </row>
    <row r="6410" spans="5:13">
      <c r="E6410" s="473"/>
      <c r="F6410" s="473"/>
      <c r="G6410" s="473"/>
      <c r="H6410" s="473"/>
      <c r="I6410" s="473"/>
      <c r="J6410" s="473"/>
      <c r="K6410" s="473"/>
      <c r="L6410" s="473"/>
      <c r="M6410" s="473"/>
    </row>
    <row r="6411" spans="5:13">
      <c r="E6411" s="473"/>
      <c r="F6411" s="473"/>
      <c r="G6411" s="473"/>
      <c r="H6411" s="473"/>
      <c r="I6411" s="473"/>
      <c r="J6411" s="473"/>
      <c r="K6411" s="473"/>
      <c r="L6411" s="473"/>
      <c r="M6411" s="473"/>
    </row>
    <row r="6412" spans="5:13">
      <c r="E6412" s="473"/>
      <c r="F6412" s="473"/>
      <c r="G6412" s="473"/>
      <c r="H6412" s="473"/>
      <c r="I6412" s="473"/>
      <c r="J6412" s="473"/>
      <c r="K6412" s="473"/>
      <c r="L6412" s="473"/>
      <c r="M6412" s="473"/>
    </row>
    <row r="6413" spans="5:13">
      <c r="E6413" s="473"/>
      <c r="F6413" s="473"/>
      <c r="G6413" s="473"/>
      <c r="H6413" s="473"/>
      <c r="I6413" s="473"/>
      <c r="J6413" s="473"/>
      <c r="K6413" s="473"/>
      <c r="L6413" s="473"/>
      <c r="M6413" s="473"/>
    </row>
    <row r="6414" spans="5:13">
      <c r="E6414" s="473"/>
      <c r="F6414" s="473"/>
      <c r="G6414" s="473"/>
      <c r="H6414" s="473"/>
      <c r="I6414" s="473"/>
      <c r="J6414" s="473"/>
      <c r="K6414" s="473"/>
      <c r="L6414" s="473"/>
      <c r="M6414" s="473"/>
    </row>
    <row r="6415" spans="5:13">
      <c r="E6415" s="473"/>
      <c r="F6415" s="473"/>
      <c r="G6415" s="473"/>
      <c r="H6415" s="473"/>
      <c r="I6415" s="473"/>
      <c r="J6415" s="473"/>
      <c r="K6415" s="473"/>
      <c r="L6415" s="473"/>
      <c r="M6415" s="473"/>
    </row>
    <row r="6416" spans="5:13">
      <c r="E6416" s="473"/>
      <c r="F6416" s="473"/>
      <c r="G6416" s="473"/>
      <c r="H6416" s="473"/>
      <c r="I6416" s="473"/>
      <c r="J6416" s="473"/>
      <c r="K6416" s="473"/>
      <c r="L6416" s="473"/>
      <c r="M6416" s="473"/>
    </row>
    <row r="6417" spans="5:13">
      <c r="E6417" s="473"/>
      <c r="F6417" s="473"/>
      <c r="G6417" s="473"/>
      <c r="H6417" s="473"/>
      <c r="I6417" s="473"/>
      <c r="J6417" s="473"/>
      <c r="K6417" s="473"/>
      <c r="L6417" s="473"/>
      <c r="M6417" s="473"/>
    </row>
    <row r="6418" spans="5:13">
      <c r="E6418" s="473"/>
      <c r="F6418" s="473"/>
      <c r="G6418" s="473"/>
      <c r="H6418" s="473"/>
      <c r="I6418" s="473"/>
      <c r="J6418" s="473"/>
      <c r="K6418" s="473"/>
      <c r="L6418" s="473"/>
      <c r="M6418" s="473"/>
    </row>
    <row r="6419" spans="5:13">
      <c r="E6419" s="473"/>
      <c r="F6419" s="473"/>
      <c r="G6419" s="473"/>
      <c r="H6419" s="473"/>
      <c r="I6419" s="473"/>
      <c r="J6419" s="473"/>
      <c r="K6419" s="473"/>
      <c r="L6419" s="473"/>
      <c r="M6419" s="473"/>
    </row>
    <row r="6420" spans="5:13">
      <c r="E6420" s="473"/>
      <c r="F6420" s="473"/>
      <c r="G6420" s="473"/>
      <c r="H6420" s="473"/>
      <c r="I6420" s="473"/>
      <c r="J6420" s="473"/>
      <c r="K6420" s="473"/>
      <c r="L6420" s="473"/>
      <c r="M6420" s="473"/>
    </row>
    <row r="6421" spans="5:13">
      <c r="E6421" s="473"/>
      <c r="F6421" s="473"/>
      <c r="G6421" s="473"/>
      <c r="H6421" s="473"/>
      <c r="I6421" s="473"/>
      <c r="J6421" s="473"/>
      <c r="K6421" s="473"/>
      <c r="L6421" s="473"/>
      <c r="M6421" s="473"/>
    </row>
    <row r="6422" spans="5:13">
      <c r="E6422" s="473"/>
      <c r="F6422" s="473"/>
      <c r="G6422" s="473"/>
      <c r="H6422" s="473"/>
      <c r="I6422" s="473"/>
      <c r="J6422" s="473"/>
      <c r="K6422" s="473"/>
      <c r="L6422" s="473"/>
      <c r="M6422" s="473"/>
    </row>
    <row r="6423" spans="5:13">
      <c r="E6423" s="473"/>
      <c r="F6423" s="473"/>
      <c r="G6423" s="473"/>
      <c r="H6423" s="473"/>
      <c r="I6423" s="473"/>
      <c r="J6423" s="473"/>
      <c r="K6423" s="473"/>
      <c r="L6423" s="473"/>
      <c r="M6423" s="473"/>
    </row>
    <row r="6424" spans="5:13">
      <c r="E6424" s="473"/>
      <c r="F6424" s="473"/>
      <c r="G6424" s="473"/>
      <c r="H6424" s="473"/>
      <c r="I6424" s="473"/>
      <c r="J6424" s="473"/>
      <c r="K6424" s="473"/>
      <c r="L6424" s="473"/>
      <c r="M6424" s="473"/>
    </row>
    <row r="6425" spans="5:13">
      <c r="E6425" s="473"/>
      <c r="F6425" s="473"/>
      <c r="G6425" s="473"/>
      <c r="H6425" s="473"/>
      <c r="I6425" s="473"/>
      <c r="J6425" s="473"/>
      <c r="K6425" s="473"/>
      <c r="L6425" s="473"/>
      <c r="M6425" s="473"/>
    </row>
    <row r="6426" spans="5:13">
      <c r="E6426" s="473"/>
      <c r="F6426" s="473"/>
      <c r="G6426" s="473"/>
      <c r="H6426" s="473"/>
      <c r="I6426" s="473"/>
      <c r="J6426" s="473"/>
      <c r="K6426" s="473"/>
      <c r="L6426" s="473"/>
      <c r="M6426" s="473"/>
    </row>
    <row r="6427" spans="5:13">
      <c r="E6427" s="473"/>
      <c r="F6427" s="473"/>
      <c r="G6427" s="473"/>
      <c r="H6427" s="473"/>
      <c r="I6427" s="473"/>
      <c r="J6427" s="473"/>
      <c r="K6427" s="473"/>
      <c r="L6427" s="473"/>
      <c r="M6427" s="473"/>
    </row>
    <row r="6428" spans="5:13">
      <c r="E6428" s="473"/>
      <c r="F6428" s="473"/>
      <c r="G6428" s="473"/>
      <c r="H6428" s="473"/>
      <c r="I6428" s="473"/>
      <c r="J6428" s="473"/>
      <c r="K6428" s="473"/>
      <c r="L6428" s="473"/>
      <c r="M6428" s="473"/>
    </row>
    <row r="6429" spans="5:13">
      <c r="E6429" s="473"/>
      <c r="F6429" s="473"/>
      <c r="G6429" s="473"/>
      <c r="H6429" s="473"/>
      <c r="I6429" s="473"/>
      <c r="J6429" s="473"/>
      <c r="K6429" s="473"/>
      <c r="L6429" s="473"/>
      <c r="M6429" s="473"/>
    </row>
    <row r="6430" spans="5:13">
      <c r="E6430" s="473"/>
      <c r="F6430" s="473"/>
      <c r="G6430" s="473"/>
      <c r="H6430" s="473"/>
      <c r="I6430" s="473"/>
      <c r="J6430" s="473"/>
      <c r="K6430" s="473"/>
      <c r="L6430" s="473"/>
      <c r="M6430" s="473"/>
    </row>
    <row r="6431" spans="5:13">
      <c r="E6431" s="473"/>
      <c r="F6431" s="473"/>
      <c r="G6431" s="473"/>
      <c r="H6431" s="473"/>
      <c r="I6431" s="473"/>
      <c r="J6431" s="473"/>
      <c r="K6431" s="473"/>
      <c r="L6431" s="473"/>
      <c r="M6431" s="473"/>
    </row>
    <row r="6432" spans="5:13">
      <c r="E6432" s="473"/>
      <c r="F6432" s="473"/>
      <c r="G6432" s="473"/>
      <c r="H6432" s="473"/>
      <c r="I6432" s="473"/>
      <c r="J6432" s="473"/>
      <c r="K6432" s="473"/>
      <c r="L6432" s="473"/>
      <c r="M6432" s="473"/>
    </row>
    <row r="6433" spans="5:13">
      <c r="E6433" s="473"/>
      <c r="F6433" s="473"/>
      <c r="G6433" s="473"/>
      <c r="H6433" s="473"/>
      <c r="I6433" s="473"/>
      <c r="J6433" s="473"/>
      <c r="K6433" s="473"/>
      <c r="L6433" s="473"/>
      <c r="M6433" s="473"/>
    </row>
    <row r="6434" spans="5:13">
      <c r="E6434" s="473"/>
      <c r="F6434" s="473"/>
      <c r="G6434" s="473"/>
      <c r="H6434" s="473"/>
      <c r="I6434" s="473"/>
      <c r="J6434" s="473"/>
      <c r="K6434" s="473"/>
      <c r="L6434" s="473"/>
      <c r="M6434" s="473"/>
    </row>
    <row r="6435" spans="5:13">
      <c r="E6435" s="473"/>
      <c r="F6435" s="473"/>
      <c r="G6435" s="473"/>
      <c r="H6435" s="473"/>
      <c r="I6435" s="473"/>
      <c r="J6435" s="473"/>
      <c r="K6435" s="473"/>
      <c r="L6435" s="473"/>
      <c r="M6435" s="473"/>
    </row>
    <row r="6436" spans="5:13">
      <c r="E6436" s="473"/>
      <c r="F6436" s="473"/>
      <c r="G6436" s="473"/>
      <c r="H6436" s="473"/>
      <c r="I6436" s="473"/>
      <c r="J6436" s="473"/>
      <c r="K6436" s="473"/>
      <c r="L6436" s="473"/>
      <c r="M6436" s="473"/>
    </row>
    <row r="6437" spans="5:13">
      <c r="E6437" s="473"/>
      <c r="F6437" s="473"/>
      <c r="G6437" s="473"/>
      <c r="H6437" s="473"/>
      <c r="I6437" s="473"/>
      <c r="J6437" s="473"/>
      <c r="K6437" s="473"/>
      <c r="L6437" s="473"/>
      <c r="M6437" s="473"/>
    </row>
    <row r="6438" spans="5:13">
      <c r="E6438" s="473"/>
      <c r="F6438" s="473"/>
      <c r="G6438" s="473"/>
      <c r="H6438" s="473"/>
      <c r="I6438" s="473"/>
      <c r="J6438" s="473"/>
      <c r="K6438" s="473"/>
      <c r="L6438" s="473"/>
      <c r="M6438" s="473"/>
    </row>
    <row r="6439" spans="5:13">
      <c r="E6439" s="473"/>
      <c r="F6439" s="473"/>
      <c r="G6439" s="473"/>
      <c r="H6439" s="473"/>
      <c r="I6439" s="473"/>
      <c r="J6439" s="473"/>
      <c r="K6439" s="473"/>
      <c r="L6439" s="473"/>
      <c r="M6439" s="473"/>
    </row>
    <row r="6440" spans="5:13">
      <c r="E6440" s="473"/>
      <c r="F6440" s="473"/>
      <c r="G6440" s="473"/>
      <c r="H6440" s="473"/>
      <c r="I6440" s="473"/>
      <c r="J6440" s="473"/>
      <c r="K6440" s="473"/>
      <c r="L6440" s="473"/>
      <c r="M6440" s="473"/>
    </row>
    <row r="6441" spans="5:13">
      <c r="E6441" s="473"/>
      <c r="F6441" s="473"/>
      <c r="G6441" s="473"/>
      <c r="H6441" s="473"/>
      <c r="I6441" s="473"/>
      <c r="J6441" s="473"/>
      <c r="K6441" s="473"/>
      <c r="L6441" s="473"/>
      <c r="M6441" s="473"/>
    </row>
    <row r="6442" spans="5:13">
      <c r="E6442" s="473"/>
      <c r="F6442" s="473"/>
      <c r="G6442" s="473"/>
      <c r="H6442" s="473"/>
      <c r="I6442" s="473"/>
      <c r="J6442" s="473"/>
      <c r="K6442" s="473"/>
      <c r="L6442" s="473"/>
      <c r="M6442" s="473"/>
    </row>
    <row r="6443" spans="5:13">
      <c r="E6443" s="473"/>
      <c r="F6443" s="473"/>
      <c r="G6443" s="473"/>
      <c r="H6443" s="473"/>
      <c r="I6443" s="473"/>
      <c r="J6443" s="473"/>
      <c r="K6443" s="473"/>
      <c r="L6443" s="473"/>
      <c r="M6443" s="473"/>
    </row>
    <row r="6444" spans="5:13">
      <c r="E6444" s="473"/>
      <c r="F6444" s="473"/>
      <c r="G6444" s="473"/>
      <c r="H6444" s="473"/>
      <c r="I6444" s="473"/>
      <c r="J6444" s="473"/>
      <c r="K6444" s="473"/>
      <c r="L6444" s="473"/>
      <c r="M6444" s="473"/>
    </row>
    <row r="6445" spans="5:13">
      <c r="E6445" s="473"/>
      <c r="F6445" s="473"/>
      <c r="G6445" s="473"/>
      <c r="H6445" s="473"/>
      <c r="I6445" s="473"/>
      <c r="J6445" s="473"/>
      <c r="K6445" s="473"/>
      <c r="L6445" s="473"/>
      <c r="M6445" s="473"/>
    </row>
    <row r="6446" spans="5:13">
      <c r="E6446" s="473"/>
      <c r="F6446" s="473"/>
      <c r="G6446" s="473"/>
      <c r="H6446" s="473"/>
      <c r="I6446" s="473"/>
      <c r="J6446" s="473"/>
      <c r="K6446" s="473"/>
      <c r="L6446" s="473"/>
      <c r="M6446" s="473"/>
    </row>
    <row r="6447" spans="5:13">
      <c r="E6447" s="473"/>
      <c r="F6447" s="473"/>
      <c r="G6447" s="473"/>
      <c r="H6447" s="473"/>
      <c r="I6447" s="473"/>
      <c r="J6447" s="473"/>
      <c r="K6447" s="473"/>
      <c r="L6447" s="473"/>
      <c r="M6447" s="473"/>
    </row>
    <row r="6448" spans="5:13">
      <c r="E6448" s="473"/>
      <c r="F6448" s="473"/>
      <c r="G6448" s="473"/>
      <c r="H6448" s="473"/>
      <c r="I6448" s="473"/>
      <c r="J6448" s="473"/>
      <c r="K6448" s="473"/>
      <c r="L6448" s="473"/>
      <c r="M6448" s="473"/>
    </row>
    <row r="6449" spans="5:13">
      <c r="E6449" s="473"/>
      <c r="F6449" s="473"/>
      <c r="G6449" s="473"/>
      <c r="H6449" s="473"/>
      <c r="I6449" s="473"/>
      <c r="J6449" s="473"/>
      <c r="K6449" s="473"/>
      <c r="L6449" s="473"/>
      <c r="M6449" s="473"/>
    </row>
    <row r="6450" spans="5:13">
      <c r="E6450" s="473"/>
      <c r="F6450" s="473"/>
      <c r="G6450" s="473"/>
      <c r="H6450" s="473"/>
      <c r="I6450" s="473"/>
      <c r="J6450" s="473"/>
      <c r="K6450" s="473"/>
      <c r="L6450" s="473"/>
      <c r="M6450" s="473"/>
    </row>
    <row r="6451" spans="5:13">
      <c r="E6451" s="473"/>
      <c r="F6451" s="473"/>
      <c r="G6451" s="473"/>
      <c r="H6451" s="473"/>
      <c r="I6451" s="473"/>
      <c r="J6451" s="473"/>
      <c r="K6451" s="473"/>
      <c r="L6451" s="473"/>
      <c r="M6451" s="473"/>
    </row>
    <row r="6452" spans="5:13">
      <c r="E6452" s="473"/>
      <c r="F6452" s="473"/>
      <c r="G6452" s="473"/>
      <c r="H6452" s="473"/>
      <c r="I6452" s="473"/>
      <c r="J6452" s="473"/>
      <c r="K6452" s="473"/>
      <c r="L6452" s="473"/>
      <c r="M6452" s="473"/>
    </row>
    <row r="6453" spans="5:13">
      <c r="E6453" s="473"/>
      <c r="F6453" s="473"/>
      <c r="G6453" s="473"/>
      <c r="H6453" s="473"/>
      <c r="I6453" s="473"/>
      <c r="J6453" s="473"/>
      <c r="K6453" s="473"/>
      <c r="L6453" s="473"/>
      <c r="M6453" s="473"/>
    </row>
    <row r="6454" spans="5:13">
      <c r="E6454" s="473"/>
      <c r="F6454" s="473"/>
      <c r="G6454" s="473"/>
      <c r="H6454" s="473"/>
      <c r="I6454" s="473"/>
      <c r="J6454" s="473"/>
      <c r="K6454" s="473"/>
      <c r="L6454" s="473"/>
      <c r="M6454" s="473"/>
    </row>
    <row r="6455" spans="5:13">
      <c r="E6455" s="473"/>
      <c r="F6455" s="473"/>
      <c r="G6455" s="473"/>
      <c r="H6455" s="473"/>
      <c r="I6455" s="473"/>
      <c r="J6455" s="473"/>
      <c r="K6455" s="473"/>
      <c r="L6455" s="473"/>
      <c r="M6455" s="473"/>
    </row>
    <row r="6456" spans="5:13">
      <c r="E6456" s="473"/>
      <c r="F6456" s="473"/>
      <c r="G6456" s="473"/>
      <c r="H6456" s="473"/>
      <c r="I6456" s="473"/>
      <c r="J6456" s="473"/>
      <c r="K6456" s="473"/>
      <c r="L6456" s="473"/>
      <c r="M6456" s="473"/>
    </row>
    <row r="6457" spans="5:13">
      <c r="E6457" s="473"/>
      <c r="F6457" s="473"/>
      <c r="G6457" s="473"/>
      <c r="H6457" s="473"/>
      <c r="I6457" s="473"/>
      <c r="J6457" s="473"/>
      <c r="K6457" s="473"/>
      <c r="L6457" s="473"/>
      <c r="M6457" s="473"/>
    </row>
    <row r="6458" spans="5:13">
      <c r="E6458" s="473"/>
      <c r="F6458" s="473"/>
      <c r="G6458" s="473"/>
      <c r="H6458" s="473"/>
      <c r="I6458" s="473"/>
      <c r="J6458" s="473"/>
      <c r="K6458" s="473"/>
      <c r="L6458" s="473"/>
      <c r="M6458" s="473"/>
    </row>
    <row r="6459" spans="5:13">
      <c r="E6459" s="473"/>
      <c r="F6459" s="473"/>
      <c r="G6459" s="473"/>
      <c r="H6459" s="473"/>
      <c r="I6459" s="473"/>
      <c r="J6459" s="473"/>
      <c r="K6459" s="473"/>
      <c r="L6459" s="473"/>
      <c r="M6459" s="473"/>
    </row>
    <row r="6460" spans="5:13">
      <c r="E6460" s="473"/>
      <c r="F6460" s="473"/>
      <c r="G6460" s="473"/>
      <c r="H6460" s="473"/>
      <c r="I6460" s="473"/>
      <c r="J6460" s="473"/>
      <c r="K6460" s="473"/>
      <c r="L6460" s="473"/>
      <c r="M6460" s="473"/>
    </row>
    <row r="6461" spans="5:13">
      <c r="E6461" s="473"/>
      <c r="F6461" s="473"/>
      <c r="G6461" s="473"/>
      <c r="H6461" s="473"/>
      <c r="I6461" s="473"/>
      <c r="J6461" s="473"/>
      <c r="K6461" s="473"/>
      <c r="L6461" s="473"/>
      <c r="M6461" s="473"/>
    </row>
    <row r="6462" spans="5:13">
      <c r="E6462" s="473"/>
      <c r="F6462" s="473"/>
      <c r="G6462" s="473"/>
      <c r="H6462" s="473"/>
      <c r="I6462" s="473"/>
      <c r="J6462" s="473"/>
      <c r="K6462" s="473"/>
      <c r="L6462" s="473"/>
      <c r="M6462" s="473"/>
    </row>
    <row r="6463" spans="5:13">
      <c r="E6463" s="473"/>
      <c r="F6463" s="473"/>
      <c r="G6463" s="473"/>
      <c r="H6463" s="473"/>
      <c r="I6463" s="473"/>
      <c r="J6463" s="473"/>
      <c r="K6463" s="473"/>
      <c r="L6463" s="473"/>
      <c r="M6463" s="473"/>
    </row>
    <row r="6464" spans="5:13">
      <c r="E6464" s="473"/>
      <c r="F6464" s="473"/>
      <c r="G6464" s="473"/>
      <c r="H6464" s="473"/>
      <c r="I6464" s="473"/>
      <c r="J6464" s="473"/>
      <c r="K6464" s="473"/>
      <c r="L6464" s="473"/>
      <c r="M6464" s="473"/>
    </row>
    <row r="6465" spans="5:13">
      <c r="E6465" s="473"/>
      <c r="F6465" s="473"/>
      <c r="G6465" s="473"/>
      <c r="H6465" s="473"/>
      <c r="I6465" s="473"/>
      <c r="J6465" s="473"/>
      <c r="K6465" s="473"/>
      <c r="L6465" s="473"/>
      <c r="M6465" s="473"/>
    </row>
    <row r="6466" spans="5:13">
      <c r="E6466" s="473"/>
      <c r="F6466" s="473"/>
      <c r="G6466" s="473"/>
      <c r="H6466" s="473"/>
      <c r="I6466" s="473"/>
      <c r="J6466" s="473"/>
      <c r="K6466" s="473"/>
      <c r="L6466" s="473"/>
      <c r="M6466" s="473"/>
    </row>
    <row r="6467" spans="5:13">
      <c r="E6467" s="473"/>
      <c r="F6467" s="473"/>
      <c r="G6467" s="473"/>
      <c r="H6467" s="473"/>
      <c r="I6467" s="473"/>
      <c r="J6467" s="473"/>
      <c r="K6467" s="473"/>
      <c r="L6467" s="473"/>
      <c r="M6467" s="473"/>
    </row>
    <row r="6468" spans="5:13">
      <c r="E6468" s="473"/>
      <c r="F6468" s="473"/>
      <c r="G6468" s="473"/>
      <c r="H6468" s="473"/>
      <c r="I6468" s="473"/>
      <c r="J6468" s="473"/>
      <c r="K6468" s="473"/>
      <c r="L6468" s="473"/>
      <c r="M6468" s="473"/>
    </row>
    <row r="6469" spans="5:13">
      <c r="E6469" s="473"/>
      <c r="F6469" s="473"/>
      <c r="G6469" s="473"/>
      <c r="H6469" s="473"/>
      <c r="I6469" s="473"/>
      <c r="J6469" s="473"/>
      <c r="K6469" s="473"/>
      <c r="L6469" s="473"/>
      <c r="M6469" s="473"/>
    </row>
    <row r="6470" spans="5:13">
      <c r="E6470" s="473"/>
      <c r="F6470" s="473"/>
      <c r="G6470" s="473"/>
      <c r="H6470" s="473"/>
      <c r="I6470" s="473"/>
      <c r="J6470" s="473"/>
      <c r="K6470" s="473"/>
      <c r="L6470" s="473"/>
      <c r="M6470" s="473"/>
    </row>
    <row r="6471" spans="5:13">
      <c r="E6471" s="473"/>
      <c r="F6471" s="473"/>
      <c r="G6471" s="473"/>
      <c r="H6471" s="473"/>
      <c r="I6471" s="473"/>
      <c r="J6471" s="473"/>
      <c r="K6471" s="473"/>
      <c r="L6471" s="473"/>
      <c r="M6471" s="473"/>
    </row>
    <row r="6472" spans="5:13">
      <c r="E6472" s="473"/>
      <c r="F6472" s="473"/>
      <c r="G6472" s="473"/>
      <c r="H6472" s="473"/>
      <c r="I6472" s="473"/>
      <c r="J6472" s="473"/>
      <c r="K6472" s="473"/>
      <c r="L6472" s="473"/>
      <c r="M6472" s="473"/>
    </row>
    <row r="6473" spans="5:13">
      <c r="E6473" s="473"/>
      <c r="F6473" s="473"/>
      <c r="G6473" s="473"/>
      <c r="H6473" s="473"/>
      <c r="I6473" s="473"/>
      <c r="J6473" s="473"/>
      <c r="K6473" s="473"/>
      <c r="L6473" s="473"/>
      <c r="M6473" s="473"/>
    </row>
    <row r="6474" spans="5:13">
      <c r="E6474" s="473"/>
      <c r="F6474" s="473"/>
      <c r="G6474" s="473"/>
      <c r="H6474" s="473"/>
      <c r="I6474" s="473"/>
      <c r="J6474" s="473"/>
      <c r="K6474" s="473"/>
      <c r="L6474" s="473"/>
      <c r="M6474" s="473"/>
    </row>
    <row r="6475" spans="5:13">
      <c r="E6475" s="473"/>
      <c r="F6475" s="473"/>
      <c r="G6475" s="473"/>
      <c r="H6475" s="473"/>
      <c r="I6475" s="473"/>
      <c r="J6475" s="473"/>
      <c r="K6475" s="473"/>
      <c r="L6475" s="473"/>
      <c r="M6475" s="473"/>
    </row>
    <row r="6476" spans="5:13">
      <c r="E6476" s="473"/>
      <c r="F6476" s="473"/>
      <c r="G6476" s="473"/>
      <c r="H6476" s="473"/>
      <c r="I6476" s="473"/>
      <c r="J6476" s="473"/>
      <c r="K6476" s="473"/>
      <c r="L6476" s="473"/>
      <c r="M6476" s="473"/>
    </row>
    <row r="6477" spans="5:13">
      <c r="E6477" s="473"/>
      <c r="F6477" s="473"/>
      <c r="G6477" s="473"/>
      <c r="H6477" s="473"/>
      <c r="I6477" s="473"/>
      <c r="J6477" s="473"/>
      <c r="K6477" s="473"/>
      <c r="L6477" s="473"/>
      <c r="M6477" s="473"/>
    </row>
    <row r="6478" spans="5:13">
      <c r="E6478" s="473"/>
      <c r="F6478" s="473"/>
      <c r="G6478" s="473"/>
      <c r="H6478" s="473"/>
      <c r="I6478" s="473"/>
      <c r="J6478" s="473"/>
      <c r="K6478" s="473"/>
      <c r="L6478" s="473"/>
      <c r="M6478" s="473"/>
    </row>
    <row r="6479" spans="5:13">
      <c r="E6479" s="473"/>
      <c r="F6479" s="473"/>
      <c r="G6479" s="473"/>
      <c r="H6479" s="473"/>
      <c r="I6479" s="473"/>
      <c r="J6479" s="473"/>
      <c r="K6479" s="473"/>
      <c r="L6479" s="473"/>
      <c r="M6479" s="473"/>
    </row>
    <row r="6480" spans="5:13">
      <c r="E6480" s="473"/>
      <c r="F6480" s="473"/>
      <c r="G6480" s="473"/>
      <c r="H6480" s="473"/>
      <c r="I6480" s="473"/>
      <c r="J6480" s="473"/>
      <c r="K6480" s="473"/>
      <c r="L6480" s="473"/>
      <c r="M6480" s="473"/>
    </row>
    <row r="6481" spans="5:13">
      <c r="E6481" s="473"/>
      <c r="F6481" s="473"/>
      <c r="G6481" s="473"/>
      <c r="H6481" s="473"/>
      <c r="I6481" s="473"/>
      <c r="J6481" s="473"/>
      <c r="K6481" s="473"/>
      <c r="L6481" s="473"/>
      <c r="M6481" s="473"/>
    </row>
    <row r="6482" spans="5:13">
      <c r="E6482" s="473"/>
      <c r="F6482" s="473"/>
      <c r="G6482" s="473"/>
      <c r="H6482" s="473"/>
      <c r="I6482" s="473"/>
      <c r="J6482" s="473"/>
      <c r="K6482" s="473"/>
      <c r="L6482" s="473"/>
      <c r="M6482" s="473"/>
    </row>
    <row r="6483" spans="5:13">
      <c r="E6483" s="473"/>
      <c r="F6483" s="473"/>
      <c r="G6483" s="473"/>
      <c r="H6483" s="473"/>
      <c r="I6483" s="473"/>
      <c r="J6483" s="473"/>
      <c r="K6483" s="473"/>
      <c r="L6483" s="473"/>
      <c r="M6483" s="473"/>
    </row>
    <row r="6484" spans="5:13">
      <c r="E6484" s="473"/>
      <c r="F6484" s="473"/>
      <c r="G6484" s="473"/>
      <c r="H6484" s="473"/>
      <c r="I6484" s="473"/>
      <c r="J6484" s="473"/>
      <c r="K6484" s="473"/>
      <c r="L6484" s="473"/>
      <c r="M6484" s="473"/>
    </row>
    <row r="6485" spans="5:13">
      <c r="E6485" s="473"/>
      <c r="F6485" s="473"/>
      <c r="G6485" s="473"/>
      <c r="H6485" s="473"/>
      <c r="I6485" s="473"/>
      <c r="J6485" s="473"/>
      <c r="K6485" s="473"/>
      <c r="L6485" s="473"/>
      <c r="M6485" s="473"/>
    </row>
    <row r="6486" spans="5:13">
      <c r="E6486" s="473"/>
      <c r="F6486" s="473"/>
      <c r="G6486" s="473"/>
      <c r="H6486" s="473"/>
      <c r="I6486" s="473"/>
      <c r="J6486" s="473"/>
      <c r="K6486" s="473"/>
      <c r="L6486" s="473"/>
      <c r="M6486" s="473"/>
    </row>
    <row r="6487" spans="5:13">
      <c r="E6487" s="473"/>
      <c r="F6487" s="473"/>
      <c r="G6487" s="473"/>
      <c r="H6487" s="473"/>
      <c r="I6487" s="473"/>
      <c r="J6487" s="473"/>
      <c r="K6487" s="473"/>
      <c r="L6487" s="473"/>
      <c r="M6487" s="473"/>
    </row>
    <row r="6488" spans="5:13">
      <c r="E6488" s="473"/>
      <c r="F6488" s="473"/>
      <c r="G6488" s="473"/>
      <c r="H6488" s="473"/>
      <c r="I6488" s="473"/>
      <c r="J6488" s="473"/>
      <c r="K6488" s="473"/>
      <c r="L6488" s="473"/>
      <c r="M6488" s="473"/>
    </row>
    <row r="6489" spans="5:13">
      <c r="E6489" s="473"/>
      <c r="F6489" s="473"/>
      <c r="G6489" s="473"/>
      <c r="H6489" s="473"/>
      <c r="I6489" s="473"/>
      <c r="J6489" s="473"/>
      <c r="K6489" s="473"/>
      <c r="L6489" s="473"/>
      <c r="M6489" s="473"/>
    </row>
    <row r="6490" spans="5:13">
      <c r="E6490" s="473"/>
      <c r="F6490" s="473"/>
      <c r="G6490" s="473"/>
      <c r="H6490" s="473"/>
      <c r="I6490" s="473"/>
      <c r="J6490" s="473"/>
      <c r="K6490" s="473"/>
      <c r="L6490" s="473"/>
      <c r="M6490" s="473"/>
    </row>
    <row r="6491" spans="5:13">
      <c r="E6491" s="473"/>
      <c r="F6491" s="473"/>
      <c r="G6491" s="473"/>
      <c r="H6491" s="473"/>
      <c r="I6491" s="473"/>
      <c r="J6491" s="473"/>
      <c r="K6491" s="473"/>
      <c r="L6491" s="473"/>
      <c r="M6491" s="473"/>
    </row>
    <row r="6492" spans="5:13">
      <c r="E6492" s="473"/>
      <c r="F6492" s="473"/>
      <c r="G6492" s="473"/>
      <c r="H6492" s="473"/>
      <c r="I6492" s="473"/>
      <c r="J6492" s="473"/>
      <c r="K6492" s="473"/>
      <c r="L6492" s="473"/>
      <c r="M6492" s="473"/>
    </row>
    <row r="6493" spans="5:13">
      <c r="E6493" s="473"/>
      <c r="F6493" s="473"/>
      <c r="G6493" s="473"/>
      <c r="H6493" s="473"/>
      <c r="I6493" s="473"/>
      <c r="J6493" s="473"/>
      <c r="K6493" s="473"/>
      <c r="L6493" s="473"/>
      <c r="M6493" s="473"/>
    </row>
    <row r="6494" spans="5:13">
      <c r="E6494" s="473"/>
      <c r="F6494" s="473"/>
      <c r="G6494" s="473"/>
      <c r="H6494" s="473"/>
      <c r="I6494" s="473"/>
      <c r="J6494" s="473"/>
      <c r="K6494" s="473"/>
      <c r="L6494" s="473"/>
      <c r="M6494" s="473"/>
    </row>
    <row r="6495" spans="5:13">
      <c r="E6495" s="473"/>
      <c r="F6495" s="473"/>
      <c r="G6495" s="473"/>
      <c r="H6495" s="473"/>
      <c r="I6495" s="473"/>
      <c r="J6495" s="473"/>
      <c r="K6495" s="473"/>
      <c r="L6495" s="473"/>
      <c r="M6495" s="473"/>
    </row>
    <row r="6496" spans="5:13">
      <c r="E6496" s="473"/>
      <c r="F6496" s="473"/>
      <c r="G6496" s="473"/>
      <c r="H6496" s="473"/>
      <c r="I6496" s="473"/>
      <c r="J6496" s="473"/>
      <c r="K6496" s="473"/>
      <c r="L6496" s="473"/>
      <c r="M6496" s="473"/>
    </row>
    <row r="6497" spans="5:13">
      <c r="E6497" s="473"/>
      <c r="F6497" s="473"/>
      <c r="G6497" s="473"/>
      <c r="H6497" s="473"/>
      <c r="I6497" s="473"/>
      <c r="J6497" s="473"/>
      <c r="K6497" s="473"/>
      <c r="L6497" s="473"/>
      <c r="M6497" s="473"/>
    </row>
    <row r="6498" spans="5:13">
      <c r="E6498" s="473"/>
      <c r="F6498" s="473"/>
      <c r="G6498" s="473"/>
      <c r="H6498" s="473"/>
      <c r="I6498" s="473"/>
      <c r="J6498" s="473"/>
      <c r="K6498" s="473"/>
      <c r="L6498" s="473"/>
      <c r="M6498" s="473"/>
    </row>
    <row r="6499" spans="5:13">
      <c r="E6499" s="473"/>
      <c r="F6499" s="473"/>
      <c r="G6499" s="473"/>
      <c r="H6499" s="473"/>
      <c r="I6499" s="473"/>
      <c r="J6499" s="473"/>
      <c r="K6499" s="473"/>
      <c r="L6499" s="473"/>
      <c r="M6499" s="473"/>
    </row>
    <row r="6500" spans="5:13">
      <c r="E6500" s="473"/>
      <c r="F6500" s="473"/>
      <c r="G6500" s="473"/>
      <c r="H6500" s="473"/>
      <c r="I6500" s="473"/>
      <c r="J6500" s="473"/>
      <c r="K6500" s="473"/>
      <c r="L6500" s="473"/>
      <c r="M6500" s="473"/>
    </row>
    <row r="6501" spans="5:13">
      <c r="E6501" s="473"/>
      <c r="F6501" s="473"/>
      <c r="G6501" s="473"/>
      <c r="H6501" s="473"/>
      <c r="I6501" s="473"/>
      <c r="J6501" s="473"/>
      <c r="K6501" s="473"/>
      <c r="L6501" s="473"/>
      <c r="M6501" s="473"/>
    </row>
    <row r="6502" spans="5:13">
      <c r="E6502" s="473"/>
      <c r="F6502" s="473"/>
      <c r="G6502" s="473"/>
      <c r="H6502" s="473"/>
      <c r="I6502" s="473"/>
      <c r="J6502" s="473"/>
      <c r="K6502" s="473"/>
      <c r="L6502" s="473"/>
      <c r="M6502" s="473"/>
    </row>
    <row r="6503" spans="5:13">
      <c r="E6503" s="473"/>
      <c r="F6503" s="473"/>
      <c r="G6503" s="473"/>
      <c r="H6503" s="473"/>
      <c r="I6503" s="473"/>
      <c r="J6503" s="473"/>
      <c r="K6503" s="473"/>
      <c r="L6503" s="473"/>
      <c r="M6503" s="473"/>
    </row>
    <row r="6504" spans="5:13">
      <c r="E6504" s="473"/>
      <c r="F6504" s="473"/>
      <c r="G6504" s="473"/>
      <c r="H6504" s="473"/>
      <c r="I6504" s="473"/>
      <c r="J6504" s="473"/>
      <c r="K6504" s="473"/>
      <c r="L6504" s="473"/>
      <c r="M6504" s="473"/>
    </row>
    <row r="6505" spans="5:13">
      <c r="E6505" s="473"/>
      <c r="F6505" s="473"/>
      <c r="G6505" s="473"/>
      <c r="H6505" s="473"/>
      <c r="I6505" s="473"/>
      <c r="J6505" s="473"/>
      <c r="K6505" s="473"/>
      <c r="L6505" s="473"/>
      <c r="M6505" s="473"/>
    </row>
    <row r="6506" spans="5:13">
      <c r="E6506" s="473"/>
      <c r="F6506" s="473"/>
      <c r="G6506" s="473"/>
      <c r="H6506" s="473"/>
      <c r="I6506" s="473"/>
      <c r="J6506" s="473"/>
      <c r="K6506" s="473"/>
      <c r="L6506" s="473"/>
      <c r="M6506" s="473"/>
    </row>
    <row r="6507" spans="5:13">
      <c r="E6507" s="473"/>
      <c r="F6507" s="473"/>
      <c r="G6507" s="473"/>
      <c r="H6507" s="473"/>
      <c r="I6507" s="473"/>
      <c r="J6507" s="473"/>
      <c r="K6507" s="473"/>
      <c r="L6507" s="473"/>
      <c r="M6507" s="473"/>
    </row>
    <row r="6508" spans="5:13">
      <c r="E6508" s="473"/>
      <c r="F6508" s="473"/>
      <c r="G6508" s="473"/>
      <c r="H6508" s="473"/>
      <c r="I6508" s="473"/>
      <c r="J6508" s="473"/>
      <c r="K6508" s="473"/>
      <c r="L6508" s="473"/>
      <c r="M6508" s="473"/>
    </row>
    <row r="6509" spans="5:13">
      <c r="E6509" s="473"/>
      <c r="F6509" s="473"/>
      <c r="G6509" s="473"/>
      <c r="H6509" s="473"/>
      <c r="I6509" s="473"/>
      <c r="J6509" s="473"/>
      <c r="K6509" s="473"/>
      <c r="L6509" s="473"/>
      <c r="M6509" s="473"/>
    </row>
    <row r="6510" spans="5:13">
      <c r="E6510" s="473"/>
      <c r="F6510" s="473"/>
      <c r="G6510" s="473"/>
      <c r="H6510" s="473"/>
      <c r="I6510" s="473"/>
      <c r="J6510" s="473"/>
      <c r="K6510" s="473"/>
      <c r="L6510" s="473"/>
      <c r="M6510" s="473"/>
    </row>
    <row r="6511" spans="5:13">
      <c r="E6511" s="473"/>
      <c r="F6511" s="473"/>
      <c r="G6511" s="473"/>
      <c r="H6511" s="473"/>
      <c r="I6511" s="473"/>
      <c r="J6511" s="473"/>
      <c r="K6511" s="473"/>
      <c r="L6511" s="473"/>
      <c r="M6511" s="473"/>
    </row>
    <row r="6512" spans="5:13">
      <c r="E6512" s="473"/>
      <c r="F6512" s="473"/>
      <c r="G6512" s="473"/>
      <c r="H6512" s="473"/>
      <c r="I6512" s="473"/>
      <c r="J6512" s="473"/>
      <c r="K6512" s="473"/>
      <c r="L6512" s="473"/>
      <c r="M6512" s="473"/>
    </row>
    <row r="6513" spans="5:13">
      <c r="E6513" s="473"/>
      <c r="F6513" s="473"/>
      <c r="G6513" s="473"/>
      <c r="H6513" s="473"/>
      <c r="I6513" s="473"/>
      <c r="J6513" s="473"/>
      <c r="K6513" s="473"/>
      <c r="L6513" s="473"/>
      <c r="M6513" s="473"/>
    </row>
    <row r="6514" spans="5:13">
      <c r="E6514" s="473"/>
      <c r="F6514" s="473"/>
      <c r="G6514" s="473"/>
      <c r="H6514" s="473"/>
      <c r="I6514" s="473"/>
      <c r="J6514" s="473"/>
      <c r="K6514" s="473"/>
      <c r="L6514" s="473"/>
      <c r="M6514" s="473"/>
    </row>
    <row r="6515" spans="5:13">
      <c r="E6515" s="473"/>
      <c r="F6515" s="473"/>
      <c r="G6515" s="473"/>
      <c r="H6515" s="473"/>
      <c r="I6515" s="473"/>
      <c r="J6515" s="473"/>
      <c r="K6515" s="473"/>
      <c r="L6515" s="473"/>
      <c r="M6515" s="473"/>
    </row>
    <row r="6516" spans="5:13">
      <c r="E6516" s="473"/>
      <c r="F6516" s="473"/>
      <c r="G6516" s="473"/>
      <c r="H6516" s="473"/>
      <c r="I6516" s="473"/>
      <c r="J6516" s="473"/>
      <c r="K6516" s="473"/>
      <c r="L6516" s="473"/>
      <c r="M6516" s="473"/>
    </row>
    <row r="6517" spans="5:13">
      <c r="E6517" s="473"/>
      <c r="F6517" s="473"/>
      <c r="G6517" s="473"/>
      <c r="H6517" s="473"/>
      <c r="I6517" s="473"/>
      <c r="J6517" s="473"/>
      <c r="K6517" s="473"/>
      <c r="L6517" s="473"/>
      <c r="M6517" s="473"/>
    </row>
    <row r="6518" spans="5:13">
      <c r="E6518" s="473"/>
      <c r="F6518" s="473"/>
      <c r="G6518" s="473"/>
      <c r="H6518" s="473"/>
      <c r="I6518" s="473"/>
      <c r="J6518" s="473"/>
      <c r="K6518" s="473"/>
      <c r="L6518" s="473"/>
      <c r="M6518" s="473"/>
    </row>
    <row r="6519" spans="5:13">
      <c r="E6519" s="473"/>
      <c r="F6519" s="473"/>
      <c r="G6519" s="473"/>
      <c r="H6519" s="473"/>
      <c r="I6519" s="473"/>
      <c r="J6519" s="473"/>
      <c r="K6519" s="473"/>
      <c r="L6519" s="473"/>
      <c r="M6519" s="473"/>
    </row>
    <row r="6520" spans="5:13">
      <c r="E6520" s="473"/>
      <c r="F6520" s="473"/>
      <c r="G6520" s="473"/>
      <c r="H6520" s="473"/>
      <c r="I6520" s="473"/>
      <c r="J6520" s="473"/>
      <c r="K6520" s="473"/>
      <c r="L6520" s="473"/>
      <c r="M6520" s="473"/>
    </row>
    <row r="6521" spans="5:13">
      <c r="E6521" s="473"/>
      <c r="F6521" s="473"/>
      <c r="G6521" s="473"/>
      <c r="H6521" s="473"/>
      <c r="I6521" s="473"/>
      <c r="J6521" s="473"/>
      <c r="K6521" s="473"/>
      <c r="L6521" s="473"/>
      <c r="M6521" s="473"/>
    </row>
    <row r="6522" spans="5:13">
      <c r="E6522" s="473"/>
      <c r="F6522" s="473"/>
      <c r="G6522" s="473"/>
      <c r="H6522" s="473"/>
      <c r="I6522" s="473"/>
      <c r="J6522" s="473"/>
      <c r="K6522" s="473"/>
      <c r="L6522" s="473"/>
      <c r="M6522" s="473"/>
    </row>
    <row r="6523" spans="5:13">
      <c r="E6523" s="473"/>
      <c r="F6523" s="473"/>
      <c r="G6523" s="473"/>
      <c r="H6523" s="473"/>
      <c r="I6523" s="473"/>
      <c r="J6523" s="473"/>
      <c r="K6523" s="473"/>
      <c r="L6523" s="473"/>
      <c r="M6523" s="473"/>
    </row>
    <row r="6524" spans="5:13">
      <c r="E6524" s="473"/>
      <c r="F6524" s="473"/>
      <c r="G6524" s="473"/>
      <c r="H6524" s="473"/>
      <c r="I6524" s="473"/>
      <c r="J6524" s="473"/>
      <c r="K6524" s="473"/>
      <c r="L6524" s="473"/>
      <c r="M6524" s="473"/>
    </row>
    <row r="6525" spans="5:13">
      <c r="E6525" s="473"/>
      <c r="F6525" s="473"/>
      <c r="G6525" s="473"/>
      <c r="H6525" s="473"/>
      <c r="I6525" s="473"/>
      <c r="J6525" s="473"/>
      <c r="K6525" s="473"/>
      <c r="L6525" s="473"/>
      <c r="M6525" s="473"/>
    </row>
    <row r="6526" spans="5:13">
      <c r="E6526" s="473"/>
      <c r="F6526" s="473"/>
      <c r="G6526" s="473"/>
      <c r="H6526" s="473"/>
      <c r="I6526" s="473"/>
      <c r="J6526" s="473"/>
      <c r="K6526" s="473"/>
      <c r="L6526" s="473"/>
      <c r="M6526" s="473"/>
    </row>
    <row r="6527" spans="5:13">
      <c r="E6527" s="473"/>
      <c r="F6527" s="473"/>
      <c r="G6527" s="473"/>
      <c r="H6527" s="473"/>
      <c r="I6527" s="473"/>
      <c r="J6527" s="473"/>
      <c r="K6527" s="473"/>
      <c r="L6527" s="473"/>
      <c r="M6527" s="473"/>
    </row>
    <row r="6528" spans="5:13">
      <c r="E6528" s="473"/>
      <c r="F6528" s="473"/>
      <c r="G6528" s="473"/>
      <c r="H6528" s="473"/>
      <c r="I6528" s="473"/>
      <c r="J6528" s="473"/>
      <c r="K6528" s="473"/>
      <c r="L6528" s="473"/>
      <c r="M6528" s="473"/>
    </row>
    <row r="6529" spans="5:13">
      <c r="E6529" s="473"/>
      <c r="F6529" s="473"/>
      <c r="G6529" s="473"/>
      <c r="H6529" s="473"/>
      <c r="I6529" s="473"/>
      <c r="J6529" s="473"/>
      <c r="K6529" s="473"/>
      <c r="L6529" s="473"/>
      <c r="M6529" s="473"/>
    </row>
    <row r="6530" spans="5:13">
      <c r="E6530" s="473"/>
      <c r="F6530" s="473"/>
      <c r="G6530" s="473"/>
      <c r="H6530" s="473"/>
      <c r="I6530" s="473"/>
      <c r="J6530" s="473"/>
      <c r="K6530" s="473"/>
      <c r="L6530" s="473"/>
      <c r="M6530" s="473"/>
    </row>
    <row r="6531" spans="5:13">
      <c r="E6531" s="473"/>
      <c r="F6531" s="473"/>
      <c r="G6531" s="473"/>
      <c r="H6531" s="473"/>
      <c r="I6531" s="473"/>
      <c r="J6531" s="473"/>
      <c r="K6531" s="473"/>
      <c r="L6531" s="473"/>
      <c r="M6531" s="473"/>
    </row>
    <row r="6532" spans="5:13">
      <c r="E6532" s="473"/>
      <c r="F6532" s="473"/>
      <c r="G6532" s="473"/>
      <c r="H6532" s="473"/>
      <c r="I6532" s="473"/>
      <c r="J6532" s="473"/>
      <c r="K6532" s="473"/>
      <c r="L6532" s="473"/>
      <c r="M6532" s="473"/>
    </row>
    <row r="6533" spans="5:13">
      <c r="E6533" s="473"/>
      <c r="F6533" s="473"/>
      <c r="G6533" s="473"/>
      <c r="H6533" s="473"/>
      <c r="I6533" s="473"/>
      <c r="J6533" s="473"/>
      <c r="K6533" s="473"/>
      <c r="L6533" s="473"/>
      <c r="M6533" s="473"/>
    </row>
    <row r="6534" spans="5:13">
      <c r="E6534" s="473"/>
      <c r="F6534" s="473"/>
      <c r="G6534" s="473"/>
      <c r="H6534" s="473"/>
      <c r="I6534" s="473"/>
      <c r="J6534" s="473"/>
      <c r="K6534" s="473"/>
      <c r="L6534" s="473"/>
      <c r="M6534" s="473"/>
    </row>
    <row r="6535" spans="5:13">
      <c r="E6535" s="473"/>
      <c r="F6535" s="473"/>
      <c r="G6535" s="473"/>
      <c r="H6535" s="473"/>
      <c r="I6535" s="473"/>
      <c r="J6535" s="473"/>
      <c r="K6535" s="473"/>
      <c r="L6535" s="473"/>
      <c r="M6535" s="473"/>
    </row>
    <row r="6536" spans="5:13">
      <c r="E6536" s="473"/>
      <c r="F6536" s="473"/>
      <c r="G6536" s="473"/>
      <c r="H6536" s="473"/>
      <c r="I6536" s="473"/>
      <c r="J6536" s="473"/>
      <c r="K6536" s="473"/>
      <c r="L6536" s="473"/>
      <c r="M6536" s="473"/>
    </row>
    <row r="6537" spans="5:13">
      <c r="E6537" s="473"/>
      <c r="F6537" s="473"/>
      <c r="G6537" s="473"/>
      <c r="H6537" s="473"/>
      <c r="I6537" s="473"/>
      <c r="J6537" s="473"/>
      <c r="K6537" s="473"/>
      <c r="L6537" s="473"/>
      <c r="M6537" s="473"/>
    </row>
    <row r="6538" spans="5:13">
      <c r="E6538" s="473"/>
      <c r="F6538" s="473"/>
      <c r="G6538" s="473"/>
      <c r="H6538" s="473"/>
      <c r="I6538" s="473"/>
      <c r="J6538" s="473"/>
      <c r="K6538" s="473"/>
      <c r="L6538" s="473"/>
      <c r="M6538" s="473"/>
    </row>
    <row r="6539" spans="5:13">
      <c r="E6539" s="473"/>
      <c r="F6539" s="473"/>
      <c r="G6539" s="473"/>
      <c r="H6539" s="473"/>
      <c r="I6539" s="473"/>
      <c r="J6539" s="473"/>
      <c r="K6539" s="473"/>
      <c r="L6539" s="473"/>
      <c r="M6539" s="473"/>
    </row>
    <row r="6540" spans="5:13">
      <c r="E6540" s="473"/>
      <c r="F6540" s="473"/>
      <c r="G6540" s="473"/>
      <c r="H6540" s="473"/>
      <c r="I6540" s="473"/>
      <c r="J6540" s="473"/>
      <c r="K6540" s="473"/>
      <c r="L6540" s="473"/>
      <c r="M6540" s="473"/>
    </row>
    <row r="6541" spans="5:13">
      <c r="E6541" s="473"/>
      <c r="F6541" s="473"/>
      <c r="G6541" s="473"/>
      <c r="H6541" s="473"/>
      <c r="I6541" s="473"/>
      <c r="J6541" s="473"/>
      <c r="K6541" s="473"/>
      <c r="L6541" s="473"/>
      <c r="M6541" s="473"/>
    </row>
    <row r="6542" spans="5:13">
      <c r="E6542" s="473"/>
      <c r="F6542" s="473"/>
      <c r="G6542" s="473"/>
      <c r="H6542" s="473"/>
      <c r="I6542" s="473"/>
      <c r="J6542" s="473"/>
      <c r="K6542" s="473"/>
      <c r="L6542" s="473"/>
      <c r="M6542" s="473"/>
    </row>
    <row r="6543" spans="5:13">
      <c r="E6543" s="473"/>
      <c r="F6543" s="473"/>
      <c r="G6543" s="473"/>
      <c r="H6543" s="473"/>
      <c r="I6543" s="473"/>
      <c r="J6543" s="473"/>
      <c r="K6543" s="473"/>
      <c r="L6543" s="473"/>
      <c r="M6543" s="473"/>
    </row>
    <row r="6544" spans="5:13">
      <c r="E6544" s="473"/>
      <c r="F6544" s="473"/>
      <c r="G6544" s="473"/>
      <c r="H6544" s="473"/>
      <c r="I6544" s="473"/>
      <c r="J6544" s="473"/>
      <c r="K6544" s="473"/>
      <c r="L6544" s="473"/>
      <c r="M6544" s="473"/>
    </row>
    <row r="6545" spans="5:13">
      <c r="E6545" s="473"/>
      <c r="F6545" s="473"/>
      <c r="G6545" s="473"/>
      <c r="H6545" s="473"/>
      <c r="I6545" s="473"/>
      <c r="J6545" s="473"/>
      <c r="K6545" s="473"/>
      <c r="L6545" s="473"/>
      <c r="M6545" s="473"/>
    </row>
    <row r="6546" spans="5:13">
      <c r="E6546" s="473"/>
      <c r="F6546" s="473"/>
      <c r="G6546" s="473"/>
      <c r="H6546" s="473"/>
      <c r="I6546" s="473"/>
      <c r="J6546" s="473"/>
      <c r="K6546" s="473"/>
      <c r="L6546" s="473"/>
      <c r="M6546" s="473"/>
    </row>
    <row r="6547" spans="5:13">
      <c r="E6547" s="473"/>
      <c r="F6547" s="473"/>
      <c r="G6547" s="473"/>
      <c r="H6547" s="473"/>
      <c r="I6547" s="473"/>
      <c r="J6547" s="473"/>
      <c r="K6547" s="473"/>
      <c r="L6547" s="473"/>
      <c r="M6547" s="473"/>
    </row>
    <row r="6548" spans="5:13">
      <c r="E6548" s="473"/>
      <c r="F6548" s="473"/>
      <c r="G6548" s="473"/>
      <c r="H6548" s="473"/>
      <c r="I6548" s="473"/>
      <c r="J6548" s="473"/>
      <c r="K6548" s="473"/>
      <c r="L6548" s="473"/>
      <c r="M6548" s="473"/>
    </row>
    <row r="6549" spans="5:13">
      <c r="E6549" s="473"/>
      <c r="F6549" s="473"/>
      <c r="G6549" s="473"/>
      <c r="H6549" s="473"/>
      <c r="I6549" s="473"/>
      <c r="J6549" s="473"/>
      <c r="K6549" s="473"/>
      <c r="L6549" s="473"/>
      <c r="M6549" s="473"/>
    </row>
    <row r="6550" spans="5:13">
      <c r="E6550" s="473"/>
      <c r="F6550" s="473"/>
      <c r="G6550" s="473"/>
      <c r="H6550" s="473"/>
      <c r="I6550" s="473"/>
      <c r="J6550" s="473"/>
      <c r="K6550" s="473"/>
      <c r="L6550" s="473"/>
      <c r="M6550" s="473"/>
    </row>
    <row r="6551" spans="5:13">
      <c r="E6551" s="473"/>
      <c r="F6551" s="473"/>
      <c r="G6551" s="473"/>
      <c r="H6551" s="473"/>
      <c r="I6551" s="473"/>
      <c r="J6551" s="473"/>
      <c r="K6551" s="473"/>
      <c r="L6551" s="473"/>
      <c r="M6551" s="473"/>
    </row>
    <row r="6552" spans="5:13">
      <c r="E6552" s="473"/>
      <c r="F6552" s="473"/>
      <c r="G6552" s="473"/>
      <c r="H6552" s="473"/>
      <c r="I6552" s="473"/>
      <c r="J6552" s="473"/>
      <c r="K6552" s="473"/>
      <c r="L6552" s="473"/>
      <c r="M6552" s="473"/>
    </row>
    <row r="6553" spans="5:13">
      <c r="E6553" s="473"/>
      <c r="F6553" s="473"/>
      <c r="G6553" s="473"/>
      <c r="H6553" s="473"/>
      <c r="I6553" s="473"/>
      <c r="J6553" s="473"/>
      <c r="K6553" s="473"/>
      <c r="L6553" s="473"/>
      <c r="M6553" s="473"/>
    </row>
    <row r="6554" spans="5:13">
      <c r="E6554" s="473"/>
      <c r="F6554" s="473"/>
      <c r="G6554" s="473"/>
      <c r="H6554" s="473"/>
      <c r="I6554" s="473"/>
      <c r="J6554" s="473"/>
      <c r="K6554" s="473"/>
      <c r="L6554" s="473"/>
      <c r="M6554" s="473"/>
    </row>
    <row r="6555" spans="5:13">
      <c r="E6555" s="473"/>
      <c r="F6555" s="473"/>
      <c r="G6555" s="473"/>
      <c r="H6555" s="473"/>
      <c r="I6555" s="473"/>
      <c r="J6555" s="473"/>
      <c r="K6555" s="473"/>
      <c r="L6555" s="473"/>
      <c r="M6555" s="473"/>
    </row>
    <row r="6556" spans="5:13">
      <c r="E6556" s="473"/>
      <c r="F6556" s="473"/>
      <c r="G6556" s="473"/>
      <c r="H6556" s="473"/>
      <c r="I6556" s="473"/>
      <c r="J6556" s="473"/>
      <c r="K6556" s="473"/>
      <c r="L6556" s="473"/>
      <c r="M6556" s="473"/>
    </row>
    <row r="6557" spans="5:13">
      <c r="E6557" s="473"/>
      <c r="F6557" s="473"/>
      <c r="G6557" s="473"/>
      <c r="H6557" s="473"/>
      <c r="I6557" s="473"/>
      <c r="J6557" s="473"/>
      <c r="K6557" s="473"/>
      <c r="L6557" s="473"/>
      <c r="M6557" s="473"/>
    </row>
    <row r="6558" spans="5:13">
      <c r="E6558" s="473"/>
      <c r="F6558" s="473"/>
      <c r="G6558" s="473"/>
      <c r="H6558" s="473"/>
      <c r="I6558" s="473"/>
      <c r="J6558" s="473"/>
      <c r="K6558" s="473"/>
      <c r="L6558" s="473"/>
      <c r="M6558" s="473"/>
    </row>
    <row r="6559" spans="5:13">
      <c r="E6559" s="473"/>
      <c r="F6559" s="473"/>
      <c r="G6559" s="473"/>
      <c r="H6559" s="473"/>
      <c r="I6559" s="473"/>
      <c r="J6559" s="473"/>
      <c r="K6559" s="473"/>
      <c r="L6559" s="473"/>
      <c r="M6559" s="473"/>
    </row>
    <row r="6560" spans="5:13">
      <c r="E6560" s="473"/>
      <c r="F6560" s="473"/>
      <c r="G6560" s="473"/>
      <c r="H6560" s="473"/>
      <c r="I6560" s="473"/>
      <c r="J6560" s="473"/>
      <c r="K6560" s="473"/>
      <c r="L6560" s="473"/>
      <c r="M6560" s="473"/>
    </row>
    <row r="6561" spans="5:13">
      <c r="E6561" s="473"/>
      <c r="F6561" s="473"/>
      <c r="G6561" s="473"/>
      <c r="H6561" s="473"/>
      <c r="I6561" s="473"/>
      <c r="J6561" s="473"/>
      <c r="K6561" s="473"/>
      <c r="L6561" s="473"/>
      <c r="M6561" s="473"/>
    </row>
    <row r="6562" spans="5:13">
      <c r="E6562" s="473"/>
      <c r="F6562" s="473"/>
      <c r="G6562" s="473"/>
      <c r="H6562" s="473"/>
      <c r="I6562" s="473"/>
      <c r="J6562" s="473"/>
      <c r="K6562" s="473"/>
      <c r="L6562" s="473"/>
      <c r="M6562" s="473"/>
    </row>
    <row r="6563" spans="5:13">
      <c r="E6563" s="473"/>
      <c r="F6563" s="473"/>
      <c r="G6563" s="473"/>
      <c r="H6563" s="473"/>
      <c r="I6563" s="473"/>
      <c r="J6563" s="473"/>
      <c r="K6563" s="473"/>
      <c r="L6563" s="473"/>
      <c r="M6563" s="473"/>
    </row>
    <row r="6564" spans="5:13">
      <c r="E6564" s="473"/>
      <c r="F6564" s="473"/>
      <c r="G6564" s="473"/>
      <c r="H6564" s="473"/>
      <c r="I6564" s="473"/>
      <c r="J6564" s="473"/>
      <c r="K6564" s="473"/>
      <c r="L6564" s="473"/>
      <c r="M6564" s="473"/>
    </row>
    <row r="6565" spans="5:13">
      <c r="E6565" s="473"/>
      <c r="F6565" s="473"/>
      <c r="G6565" s="473"/>
      <c r="H6565" s="473"/>
      <c r="I6565" s="473"/>
      <c r="J6565" s="473"/>
      <c r="K6565" s="473"/>
      <c r="L6565" s="473"/>
      <c r="M6565" s="473"/>
    </row>
    <row r="6566" spans="5:13">
      <c r="E6566" s="473"/>
      <c r="F6566" s="473"/>
      <c r="G6566" s="473"/>
      <c r="H6566" s="473"/>
      <c r="I6566" s="473"/>
      <c r="J6566" s="473"/>
      <c r="K6566" s="473"/>
      <c r="L6566" s="473"/>
      <c r="M6566" s="473"/>
    </row>
    <row r="6567" spans="5:13">
      <c r="E6567" s="473"/>
      <c r="F6567" s="473"/>
      <c r="G6567" s="473"/>
      <c r="H6567" s="473"/>
      <c r="I6567" s="473"/>
      <c r="J6567" s="473"/>
      <c r="K6567" s="473"/>
      <c r="L6567" s="473"/>
      <c r="M6567" s="473"/>
    </row>
    <row r="6568" spans="5:13">
      <c r="E6568" s="473"/>
      <c r="F6568" s="473"/>
      <c r="G6568" s="473"/>
      <c r="H6568" s="473"/>
      <c r="I6568" s="473"/>
      <c r="J6568" s="473"/>
      <c r="K6568" s="473"/>
      <c r="L6568" s="473"/>
      <c r="M6568" s="473"/>
    </row>
    <row r="6569" spans="5:13">
      <c r="E6569" s="473"/>
      <c r="F6569" s="473"/>
      <c r="G6569" s="473"/>
      <c r="H6569" s="473"/>
      <c r="I6569" s="473"/>
      <c r="J6569" s="473"/>
      <c r="K6569" s="473"/>
      <c r="L6569" s="473"/>
      <c r="M6569" s="473"/>
    </row>
    <row r="6570" spans="5:13">
      <c r="E6570" s="473"/>
      <c r="F6570" s="473"/>
      <c r="G6570" s="473"/>
      <c r="H6570" s="473"/>
      <c r="I6570" s="473"/>
      <c r="J6570" s="473"/>
      <c r="K6570" s="473"/>
      <c r="L6570" s="473"/>
      <c r="M6570" s="473"/>
    </row>
    <row r="6571" spans="5:13">
      <c r="E6571" s="473"/>
      <c r="F6571" s="473"/>
      <c r="G6571" s="473"/>
      <c r="H6571" s="473"/>
      <c r="I6571" s="473"/>
      <c r="J6571" s="473"/>
      <c r="K6571" s="473"/>
      <c r="L6571" s="473"/>
      <c r="M6571" s="473"/>
    </row>
    <row r="6572" spans="5:13">
      <c r="E6572" s="473"/>
      <c r="F6572" s="473"/>
      <c r="G6572" s="473"/>
      <c r="H6572" s="473"/>
      <c r="I6572" s="473"/>
      <c r="J6572" s="473"/>
      <c r="K6572" s="473"/>
      <c r="L6572" s="473"/>
      <c r="M6572" s="473"/>
    </row>
    <row r="6573" spans="5:13">
      <c r="E6573" s="473"/>
      <c r="F6573" s="473"/>
      <c r="G6573" s="473"/>
      <c r="H6573" s="473"/>
      <c r="I6573" s="473"/>
      <c r="J6573" s="473"/>
      <c r="K6573" s="473"/>
      <c r="L6573" s="473"/>
      <c r="M6573" s="473"/>
    </row>
    <row r="6574" spans="5:13">
      <c r="E6574" s="473"/>
      <c r="F6574" s="473"/>
      <c r="G6574" s="473"/>
      <c r="H6574" s="473"/>
      <c r="I6574" s="473"/>
      <c r="J6574" s="473"/>
      <c r="K6574" s="473"/>
      <c r="L6574" s="473"/>
      <c r="M6574" s="473"/>
    </row>
    <row r="6575" spans="5:13">
      <c r="E6575" s="473"/>
      <c r="F6575" s="473"/>
      <c r="G6575" s="473"/>
      <c r="H6575" s="473"/>
      <c r="I6575" s="473"/>
      <c r="J6575" s="473"/>
      <c r="K6575" s="473"/>
      <c r="L6575" s="473"/>
      <c r="M6575" s="473"/>
    </row>
    <row r="6576" spans="5:13">
      <c r="E6576" s="473"/>
      <c r="F6576" s="473"/>
      <c r="G6576" s="473"/>
      <c r="H6576" s="473"/>
      <c r="I6576" s="473"/>
      <c r="J6576" s="473"/>
      <c r="K6576" s="473"/>
      <c r="L6576" s="473"/>
      <c r="M6576" s="473"/>
    </row>
    <row r="6577" spans="5:13">
      <c r="E6577" s="473"/>
      <c r="F6577" s="473"/>
      <c r="G6577" s="473"/>
      <c r="H6577" s="473"/>
      <c r="I6577" s="473"/>
      <c r="J6577" s="473"/>
      <c r="K6577" s="473"/>
      <c r="L6577" s="473"/>
      <c r="M6577" s="473"/>
    </row>
    <row r="6578" spans="5:13">
      <c r="E6578" s="473"/>
      <c r="F6578" s="473"/>
      <c r="G6578" s="473"/>
      <c r="H6578" s="473"/>
      <c r="I6578" s="473"/>
      <c r="J6578" s="473"/>
      <c r="K6578" s="473"/>
      <c r="L6578" s="473"/>
      <c r="M6578" s="473"/>
    </row>
    <row r="6579" spans="5:13">
      <c r="E6579" s="473"/>
      <c r="F6579" s="473"/>
      <c r="G6579" s="473"/>
      <c r="H6579" s="473"/>
      <c r="I6579" s="473"/>
      <c r="J6579" s="473"/>
      <c r="K6579" s="473"/>
      <c r="L6579" s="473"/>
      <c r="M6579" s="473"/>
    </row>
    <row r="6580" spans="5:13">
      <c r="E6580" s="473"/>
      <c r="F6580" s="473"/>
      <c r="G6580" s="473"/>
      <c r="H6580" s="473"/>
      <c r="I6580" s="473"/>
      <c r="J6580" s="473"/>
      <c r="K6580" s="473"/>
      <c r="L6580" s="473"/>
      <c r="M6580" s="473"/>
    </row>
    <row r="6581" spans="5:13">
      <c r="E6581" s="473"/>
      <c r="F6581" s="473"/>
      <c r="G6581" s="473"/>
      <c r="H6581" s="473"/>
      <c r="I6581" s="473"/>
      <c r="J6581" s="473"/>
      <c r="K6581" s="473"/>
      <c r="L6581" s="473"/>
      <c r="M6581" s="473"/>
    </row>
    <row r="6582" spans="5:13">
      <c r="E6582" s="473"/>
      <c r="F6582" s="473"/>
      <c r="G6582" s="473"/>
      <c r="H6582" s="473"/>
      <c r="I6582" s="473"/>
      <c r="J6582" s="473"/>
      <c r="K6582" s="473"/>
      <c r="L6582" s="473"/>
      <c r="M6582" s="473"/>
    </row>
    <row r="6583" spans="5:13">
      <c r="E6583" s="473"/>
      <c r="F6583" s="473"/>
      <c r="G6583" s="473"/>
      <c r="H6583" s="473"/>
      <c r="I6583" s="473"/>
      <c r="J6583" s="473"/>
      <c r="K6583" s="473"/>
      <c r="L6583" s="473"/>
      <c r="M6583" s="473"/>
    </row>
    <row r="6584" spans="5:13">
      <c r="E6584" s="473"/>
      <c r="F6584" s="473"/>
      <c r="G6584" s="473"/>
      <c r="H6584" s="473"/>
      <c r="I6584" s="473"/>
      <c r="J6584" s="473"/>
      <c r="K6584" s="473"/>
      <c r="L6584" s="473"/>
      <c r="M6584" s="473"/>
    </row>
    <row r="6585" spans="5:13">
      <c r="E6585" s="473"/>
      <c r="F6585" s="473"/>
      <c r="G6585" s="473"/>
      <c r="H6585" s="473"/>
      <c r="I6585" s="473"/>
      <c r="J6585" s="473"/>
      <c r="K6585" s="473"/>
      <c r="L6585" s="473"/>
      <c r="M6585" s="473"/>
    </row>
    <row r="6586" spans="5:13">
      <c r="E6586" s="473"/>
      <c r="F6586" s="473"/>
      <c r="G6586" s="473"/>
      <c r="H6586" s="473"/>
      <c r="I6586" s="473"/>
      <c r="J6586" s="473"/>
      <c r="K6586" s="473"/>
      <c r="L6586" s="473"/>
      <c r="M6586" s="473"/>
    </row>
    <row r="6587" spans="5:13">
      <c r="E6587" s="473"/>
      <c r="F6587" s="473"/>
      <c r="G6587" s="473"/>
      <c r="H6587" s="473"/>
      <c r="I6587" s="473"/>
      <c r="J6587" s="473"/>
      <c r="K6587" s="473"/>
      <c r="L6587" s="473"/>
      <c r="M6587" s="473"/>
    </row>
    <row r="6588" spans="5:13">
      <c r="E6588" s="473"/>
      <c r="F6588" s="473"/>
      <c r="G6588" s="473"/>
      <c r="H6588" s="473"/>
      <c r="I6588" s="473"/>
      <c r="J6588" s="473"/>
      <c r="K6588" s="473"/>
      <c r="L6588" s="473"/>
      <c r="M6588" s="473"/>
    </row>
    <row r="6589" spans="5:13">
      <c r="E6589" s="473"/>
      <c r="F6589" s="473"/>
      <c r="G6589" s="473"/>
      <c r="H6589" s="473"/>
      <c r="I6589" s="473"/>
      <c r="J6589" s="473"/>
      <c r="K6589" s="473"/>
      <c r="L6589" s="473"/>
      <c r="M6589" s="473"/>
    </row>
    <row r="6590" spans="5:13">
      <c r="E6590" s="473"/>
      <c r="F6590" s="473"/>
      <c r="G6590" s="473"/>
      <c r="H6590" s="473"/>
      <c r="I6590" s="473"/>
      <c r="J6590" s="473"/>
      <c r="K6590" s="473"/>
      <c r="L6590" s="473"/>
      <c r="M6590" s="473"/>
    </row>
    <row r="6591" spans="5:13">
      <c r="E6591" s="473"/>
      <c r="F6591" s="473"/>
      <c r="G6591" s="473"/>
      <c r="H6591" s="473"/>
      <c r="I6591" s="473"/>
      <c r="J6591" s="473"/>
      <c r="K6591" s="473"/>
      <c r="L6591" s="473"/>
      <c r="M6591" s="473"/>
    </row>
    <row r="6592" spans="5:13">
      <c r="E6592" s="473"/>
      <c r="F6592" s="473"/>
      <c r="G6592" s="473"/>
      <c r="H6592" s="473"/>
      <c r="I6592" s="473"/>
      <c r="J6592" s="473"/>
      <c r="K6592" s="473"/>
      <c r="L6592" s="473"/>
      <c r="M6592" s="473"/>
    </row>
    <row r="6593" spans="5:13">
      <c r="E6593" s="473"/>
      <c r="F6593" s="473"/>
      <c r="G6593" s="473"/>
      <c r="H6593" s="473"/>
      <c r="I6593" s="473"/>
      <c r="J6593" s="473"/>
      <c r="K6593" s="473"/>
      <c r="L6593" s="473"/>
      <c r="M6593" s="473"/>
    </row>
    <row r="6594" spans="5:13">
      <c r="E6594" s="473"/>
      <c r="F6594" s="473"/>
      <c r="G6594" s="473"/>
      <c r="H6594" s="473"/>
      <c r="I6594" s="473"/>
      <c r="J6594" s="473"/>
      <c r="K6594" s="473"/>
      <c r="L6594" s="473"/>
      <c r="M6594" s="473"/>
    </row>
    <row r="6595" spans="5:13">
      <c r="E6595" s="473"/>
      <c r="F6595" s="473"/>
      <c r="G6595" s="473"/>
      <c r="H6595" s="473"/>
      <c r="I6595" s="473"/>
      <c r="J6595" s="473"/>
      <c r="K6595" s="473"/>
      <c r="L6595" s="473"/>
      <c r="M6595" s="473"/>
    </row>
    <row r="6596" spans="5:13">
      <c r="E6596" s="473"/>
      <c r="F6596" s="473"/>
      <c r="G6596" s="473"/>
      <c r="H6596" s="473"/>
      <c r="I6596" s="473"/>
      <c r="J6596" s="473"/>
      <c r="K6596" s="473"/>
      <c r="L6596" s="473"/>
      <c r="M6596" s="473"/>
    </row>
    <row r="6597" spans="5:13">
      <c r="E6597" s="473"/>
      <c r="F6597" s="473"/>
      <c r="G6597" s="473"/>
      <c r="H6597" s="473"/>
      <c r="I6597" s="473"/>
      <c r="J6597" s="473"/>
      <c r="K6597" s="473"/>
      <c r="L6597" s="473"/>
      <c r="M6597" s="473"/>
    </row>
    <row r="6598" spans="5:13">
      <c r="E6598" s="473"/>
      <c r="F6598" s="473"/>
      <c r="G6598" s="473"/>
      <c r="H6598" s="473"/>
      <c r="I6598" s="473"/>
      <c r="J6598" s="473"/>
      <c r="K6598" s="473"/>
      <c r="L6598" s="473"/>
      <c r="M6598" s="473"/>
    </row>
    <row r="6599" spans="5:13">
      <c r="E6599" s="473"/>
      <c r="F6599" s="473"/>
      <c r="G6599" s="473"/>
      <c r="H6599" s="473"/>
      <c r="I6599" s="473"/>
      <c r="J6599" s="473"/>
      <c r="K6599" s="473"/>
      <c r="L6599" s="473"/>
      <c r="M6599" s="473"/>
    </row>
    <row r="6600" spans="5:13">
      <c r="E6600" s="473"/>
      <c r="F6600" s="473"/>
      <c r="G6600" s="473"/>
      <c r="H6600" s="473"/>
      <c r="I6600" s="473"/>
      <c r="J6600" s="473"/>
      <c r="K6600" s="473"/>
      <c r="L6600" s="473"/>
      <c r="M6600" s="473"/>
    </row>
    <row r="6601" spans="5:13">
      <c r="E6601" s="473"/>
      <c r="F6601" s="473"/>
      <c r="G6601" s="473"/>
      <c r="H6601" s="473"/>
      <c r="I6601" s="473"/>
      <c r="J6601" s="473"/>
      <c r="K6601" s="473"/>
      <c r="L6601" s="473"/>
      <c r="M6601" s="473"/>
    </row>
    <row r="6602" spans="5:13">
      <c r="E6602" s="473"/>
      <c r="F6602" s="473"/>
      <c r="G6602" s="473"/>
      <c r="H6602" s="473"/>
      <c r="I6602" s="473"/>
      <c r="J6602" s="473"/>
      <c r="K6602" s="473"/>
      <c r="L6602" s="473"/>
      <c r="M6602" s="473"/>
    </row>
    <row r="6603" spans="5:13">
      <c r="E6603" s="473"/>
      <c r="F6603" s="473"/>
      <c r="G6603" s="473"/>
      <c r="H6603" s="473"/>
      <c r="I6603" s="473"/>
      <c r="J6603" s="473"/>
      <c r="K6603" s="473"/>
      <c r="L6603" s="473"/>
      <c r="M6603" s="473"/>
    </row>
    <row r="6604" spans="5:13">
      <c r="E6604" s="473"/>
      <c r="F6604" s="473"/>
      <c r="G6604" s="473"/>
      <c r="H6604" s="473"/>
      <c r="I6604" s="473"/>
      <c r="J6604" s="473"/>
      <c r="K6604" s="473"/>
      <c r="L6604" s="473"/>
      <c r="M6604" s="473"/>
    </row>
    <row r="6605" spans="5:13">
      <c r="E6605" s="473"/>
      <c r="F6605" s="473"/>
      <c r="G6605" s="473"/>
      <c r="H6605" s="473"/>
      <c r="I6605" s="473"/>
      <c r="J6605" s="473"/>
      <c r="K6605" s="473"/>
      <c r="L6605" s="473"/>
      <c r="M6605" s="473"/>
    </row>
    <row r="6606" spans="5:13">
      <c r="E6606" s="473"/>
      <c r="F6606" s="473"/>
      <c r="G6606" s="473"/>
      <c r="H6606" s="473"/>
      <c r="I6606" s="473"/>
      <c r="J6606" s="473"/>
      <c r="K6606" s="473"/>
      <c r="L6606" s="473"/>
      <c r="M6606" s="473"/>
    </row>
    <row r="6607" spans="5:13">
      <c r="E6607" s="473"/>
      <c r="F6607" s="473"/>
      <c r="G6607" s="473"/>
      <c r="H6607" s="473"/>
      <c r="I6607" s="473"/>
      <c r="J6607" s="473"/>
      <c r="K6607" s="473"/>
      <c r="L6607" s="473"/>
      <c r="M6607" s="473"/>
    </row>
    <row r="6608" spans="5:13">
      <c r="E6608" s="473"/>
      <c r="F6608" s="473"/>
      <c r="G6608" s="473"/>
      <c r="H6608" s="473"/>
      <c r="I6608" s="473"/>
      <c r="J6608" s="473"/>
      <c r="K6608" s="473"/>
      <c r="L6608" s="473"/>
      <c r="M6608" s="473"/>
    </row>
    <row r="6609" spans="5:13">
      <c r="E6609" s="473"/>
      <c r="F6609" s="473"/>
      <c r="G6609" s="473"/>
      <c r="H6609" s="473"/>
      <c r="I6609" s="473"/>
      <c r="J6609" s="473"/>
      <c r="K6609" s="473"/>
      <c r="L6609" s="473"/>
      <c r="M6609" s="473"/>
    </row>
    <row r="6610" spans="5:13">
      <c r="E6610" s="473"/>
      <c r="F6610" s="473"/>
      <c r="G6610" s="473"/>
      <c r="H6610" s="473"/>
      <c r="I6610" s="473"/>
      <c r="J6610" s="473"/>
      <c r="K6610" s="473"/>
      <c r="L6610" s="473"/>
      <c r="M6610" s="473"/>
    </row>
    <row r="6611" spans="5:13">
      <c r="E6611" s="473"/>
      <c r="F6611" s="473"/>
      <c r="G6611" s="473"/>
      <c r="H6611" s="473"/>
      <c r="I6611" s="473"/>
      <c r="J6611" s="473"/>
      <c r="K6611" s="473"/>
      <c r="L6611" s="473"/>
      <c r="M6611" s="473"/>
    </row>
    <row r="6612" spans="5:13">
      <c r="E6612" s="473"/>
      <c r="F6612" s="473"/>
      <c r="G6612" s="473"/>
      <c r="H6612" s="473"/>
      <c r="I6612" s="473"/>
      <c r="J6612" s="473"/>
      <c r="K6612" s="473"/>
      <c r="L6612" s="473"/>
      <c r="M6612" s="473"/>
    </row>
    <row r="6613" spans="5:13">
      <c r="E6613" s="473"/>
      <c r="F6613" s="473"/>
      <c r="G6613" s="473"/>
      <c r="H6613" s="473"/>
      <c r="I6613" s="473"/>
      <c r="J6613" s="473"/>
      <c r="K6613" s="473"/>
      <c r="L6613" s="473"/>
      <c r="M6613" s="473"/>
    </row>
    <row r="6614" spans="5:13">
      <c r="E6614" s="473"/>
      <c r="F6614" s="473"/>
      <c r="G6614" s="473"/>
      <c r="H6614" s="473"/>
      <c r="I6614" s="473"/>
      <c r="J6614" s="473"/>
      <c r="K6614" s="473"/>
      <c r="L6614" s="473"/>
      <c r="M6614" s="473"/>
    </row>
    <row r="6615" spans="5:13">
      <c r="E6615" s="473"/>
      <c r="F6615" s="473"/>
      <c r="G6615" s="473"/>
      <c r="H6615" s="473"/>
      <c r="I6615" s="473"/>
      <c r="J6615" s="473"/>
      <c r="K6615" s="473"/>
      <c r="L6615" s="473"/>
      <c r="M6615" s="473"/>
    </row>
    <row r="6616" spans="5:13">
      <c r="E6616" s="473"/>
      <c r="F6616" s="473"/>
      <c r="G6616" s="473"/>
      <c r="H6616" s="473"/>
      <c r="I6616" s="473"/>
      <c r="J6616" s="473"/>
      <c r="K6616" s="473"/>
      <c r="L6616" s="473"/>
      <c r="M6616" s="473"/>
    </row>
    <row r="6617" spans="5:13">
      <c r="E6617" s="473"/>
      <c r="F6617" s="473"/>
      <c r="G6617" s="473"/>
      <c r="H6617" s="473"/>
      <c r="I6617" s="473"/>
      <c r="J6617" s="473"/>
      <c r="K6617" s="473"/>
      <c r="L6617" s="473"/>
      <c r="M6617" s="473"/>
    </row>
    <row r="6618" spans="5:13">
      <c r="E6618" s="473"/>
      <c r="F6618" s="473"/>
      <c r="G6618" s="473"/>
      <c r="H6618" s="473"/>
      <c r="I6618" s="473"/>
      <c r="J6618" s="473"/>
      <c r="K6618" s="473"/>
      <c r="L6618" s="473"/>
      <c r="M6618" s="473"/>
    </row>
    <row r="6619" spans="5:13">
      <c r="E6619" s="473"/>
      <c r="F6619" s="473"/>
      <c r="G6619" s="473"/>
      <c r="H6619" s="473"/>
      <c r="I6619" s="473"/>
      <c r="J6619" s="473"/>
      <c r="K6619" s="473"/>
      <c r="L6619" s="473"/>
      <c r="M6619" s="473"/>
    </row>
    <row r="6620" spans="5:13">
      <c r="E6620" s="473"/>
      <c r="F6620" s="473"/>
      <c r="G6620" s="473"/>
      <c r="H6620" s="473"/>
      <c r="I6620" s="473"/>
      <c r="J6620" s="473"/>
      <c r="K6620" s="473"/>
      <c r="L6620" s="473"/>
      <c r="M6620" s="473"/>
    </row>
    <row r="6621" spans="5:13">
      <c r="E6621" s="473"/>
      <c r="F6621" s="473"/>
      <c r="G6621" s="473"/>
      <c r="H6621" s="473"/>
      <c r="I6621" s="473"/>
      <c r="J6621" s="473"/>
      <c r="K6621" s="473"/>
      <c r="L6621" s="473"/>
      <c r="M6621" s="473"/>
    </row>
    <row r="6622" spans="5:13">
      <c r="E6622" s="473"/>
      <c r="F6622" s="473"/>
      <c r="G6622" s="473"/>
      <c r="H6622" s="473"/>
      <c r="I6622" s="473"/>
      <c r="J6622" s="473"/>
      <c r="K6622" s="473"/>
      <c r="L6622" s="473"/>
      <c r="M6622" s="473"/>
    </row>
    <row r="6623" spans="5:13">
      <c r="E6623" s="473"/>
      <c r="F6623" s="473"/>
      <c r="G6623" s="473"/>
      <c r="H6623" s="473"/>
      <c r="I6623" s="473"/>
      <c r="J6623" s="473"/>
      <c r="K6623" s="473"/>
      <c r="L6623" s="473"/>
      <c r="M6623" s="473"/>
    </row>
    <row r="6624" spans="5:13">
      <c r="E6624" s="473"/>
      <c r="F6624" s="473"/>
      <c r="G6624" s="473"/>
      <c r="H6624" s="473"/>
      <c r="I6624" s="473"/>
      <c r="J6624" s="473"/>
      <c r="K6624" s="473"/>
      <c r="L6624" s="473"/>
      <c r="M6624" s="473"/>
    </row>
    <row r="6625" spans="5:13">
      <c r="E6625" s="473"/>
      <c r="F6625" s="473"/>
      <c r="G6625" s="473"/>
      <c r="H6625" s="473"/>
      <c r="I6625" s="473"/>
      <c r="J6625" s="473"/>
      <c r="K6625" s="473"/>
      <c r="L6625" s="473"/>
      <c r="M6625" s="473"/>
    </row>
    <row r="6626" spans="5:13">
      <c r="E6626" s="473"/>
      <c r="F6626" s="473"/>
      <c r="G6626" s="473"/>
      <c r="H6626" s="473"/>
      <c r="I6626" s="473"/>
      <c r="J6626" s="473"/>
      <c r="K6626" s="473"/>
      <c r="L6626" s="473"/>
      <c r="M6626" s="473"/>
    </row>
    <row r="6627" spans="5:13">
      <c r="E6627" s="473"/>
      <c r="F6627" s="473"/>
      <c r="G6627" s="473"/>
      <c r="H6627" s="473"/>
      <c r="I6627" s="473"/>
      <c r="J6627" s="473"/>
      <c r="K6627" s="473"/>
      <c r="L6627" s="473"/>
      <c r="M6627" s="473"/>
    </row>
    <row r="6628" spans="5:13">
      <c r="E6628" s="473"/>
      <c r="F6628" s="473"/>
      <c r="G6628" s="473"/>
      <c r="H6628" s="473"/>
      <c r="I6628" s="473"/>
      <c r="J6628" s="473"/>
      <c r="K6628" s="473"/>
      <c r="L6628" s="473"/>
      <c r="M6628" s="473"/>
    </row>
    <row r="6629" spans="5:13">
      <c r="E6629" s="473"/>
      <c r="F6629" s="473"/>
      <c r="G6629" s="473"/>
      <c r="H6629" s="473"/>
      <c r="I6629" s="473"/>
      <c r="J6629" s="473"/>
      <c r="K6629" s="473"/>
      <c r="L6629" s="473"/>
      <c r="M6629" s="473"/>
    </row>
    <row r="6630" spans="5:13">
      <c r="E6630" s="473"/>
      <c r="F6630" s="473"/>
      <c r="G6630" s="473"/>
      <c r="H6630" s="473"/>
      <c r="I6630" s="473"/>
      <c r="J6630" s="473"/>
      <c r="K6630" s="473"/>
      <c r="L6630" s="473"/>
      <c r="M6630" s="473"/>
    </row>
    <row r="6631" spans="5:13">
      <c r="E6631" s="473"/>
      <c r="F6631" s="473"/>
      <c r="G6631" s="473"/>
      <c r="H6631" s="473"/>
      <c r="I6631" s="473"/>
      <c r="J6631" s="473"/>
      <c r="K6631" s="473"/>
      <c r="L6631" s="473"/>
      <c r="M6631" s="473"/>
    </row>
    <row r="6632" spans="5:13">
      <c r="E6632" s="473"/>
      <c r="F6632" s="473"/>
      <c r="G6632" s="473"/>
      <c r="H6632" s="473"/>
      <c r="I6632" s="473"/>
      <c r="J6632" s="473"/>
      <c r="K6632" s="473"/>
      <c r="L6632" s="473"/>
      <c r="M6632" s="473"/>
    </row>
    <row r="6633" spans="5:13">
      <c r="E6633" s="473"/>
      <c r="F6633" s="473"/>
      <c r="G6633" s="473"/>
      <c r="H6633" s="473"/>
      <c r="I6633" s="473"/>
      <c r="J6633" s="473"/>
      <c r="K6633" s="473"/>
      <c r="L6633" s="473"/>
      <c r="M6633" s="473"/>
    </row>
    <row r="6634" spans="5:13">
      <c r="E6634" s="473"/>
      <c r="F6634" s="473"/>
      <c r="G6634" s="473"/>
      <c r="H6634" s="473"/>
      <c r="I6634" s="473"/>
      <c r="J6634" s="473"/>
      <c r="K6634" s="473"/>
      <c r="L6634" s="473"/>
      <c r="M6634" s="473"/>
    </row>
    <row r="6635" spans="5:13">
      <c r="E6635" s="473"/>
      <c r="F6635" s="473"/>
      <c r="G6635" s="473"/>
      <c r="H6635" s="473"/>
      <c r="I6635" s="473"/>
      <c r="J6635" s="473"/>
      <c r="K6635" s="473"/>
      <c r="L6635" s="473"/>
      <c r="M6635" s="473"/>
    </row>
    <row r="6636" spans="5:13">
      <c r="E6636" s="473"/>
      <c r="F6636" s="473"/>
      <c r="G6636" s="473"/>
      <c r="H6636" s="473"/>
      <c r="I6636" s="473"/>
      <c r="J6636" s="473"/>
      <c r="K6636" s="473"/>
      <c r="L6636" s="473"/>
      <c r="M6636" s="473"/>
    </row>
    <row r="6637" spans="5:13">
      <c r="E6637" s="473"/>
      <c r="F6637" s="473"/>
      <c r="G6637" s="473"/>
      <c r="H6637" s="473"/>
      <c r="I6637" s="473"/>
      <c r="J6637" s="473"/>
      <c r="K6637" s="473"/>
      <c r="L6637" s="473"/>
      <c r="M6637" s="473"/>
    </row>
    <row r="6638" spans="5:13">
      <c r="E6638" s="473"/>
      <c r="F6638" s="473"/>
      <c r="G6638" s="473"/>
      <c r="H6638" s="473"/>
      <c r="I6638" s="473"/>
      <c r="J6638" s="473"/>
      <c r="K6638" s="473"/>
      <c r="L6638" s="473"/>
      <c r="M6638" s="473"/>
    </row>
    <row r="6639" spans="5:13">
      <c r="E6639" s="473"/>
      <c r="F6639" s="473"/>
      <c r="G6639" s="473"/>
      <c r="H6639" s="473"/>
      <c r="I6639" s="473"/>
      <c r="J6639" s="473"/>
      <c r="K6639" s="473"/>
      <c r="L6639" s="473"/>
      <c r="M6639" s="473"/>
    </row>
    <row r="6640" spans="5:13">
      <c r="E6640" s="473"/>
      <c r="F6640" s="473"/>
      <c r="G6640" s="473"/>
      <c r="H6640" s="473"/>
      <c r="I6640" s="473"/>
      <c r="J6640" s="473"/>
      <c r="K6640" s="473"/>
      <c r="L6640" s="473"/>
      <c r="M6640" s="473"/>
    </row>
    <row r="6641" spans="5:13">
      <c r="E6641" s="473"/>
      <c r="F6641" s="473"/>
      <c r="G6641" s="473"/>
      <c r="H6641" s="473"/>
      <c r="I6641" s="473"/>
      <c r="J6641" s="473"/>
      <c r="K6641" s="473"/>
      <c r="L6641" s="473"/>
      <c r="M6641" s="473"/>
    </row>
    <row r="6642" spans="5:13">
      <c r="E6642" s="473"/>
      <c r="F6642" s="473"/>
      <c r="G6642" s="473"/>
      <c r="H6642" s="473"/>
      <c r="I6642" s="473"/>
      <c r="J6642" s="473"/>
      <c r="K6642" s="473"/>
      <c r="L6642" s="473"/>
      <c r="M6642" s="473"/>
    </row>
    <row r="6643" spans="5:13">
      <c r="E6643" s="473"/>
      <c r="F6643" s="473"/>
      <c r="G6643" s="473"/>
      <c r="H6643" s="473"/>
      <c r="I6643" s="473"/>
      <c r="J6643" s="473"/>
      <c r="K6643" s="473"/>
      <c r="L6643" s="473"/>
      <c r="M6643" s="473"/>
    </row>
    <row r="6644" spans="5:13">
      <c r="E6644" s="473"/>
      <c r="F6644" s="473"/>
      <c r="G6644" s="473"/>
      <c r="H6644" s="473"/>
      <c r="I6644" s="473"/>
      <c r="J6644" s="473"/>
      <c r="K6644" s="473"/>
      <c r="L6644" s="473"/>
      <c r="M6644" s="473"/>
    </row>
    <row r="6645" spans="5:13">
      <c r="E6645" s="473"/>
      <c r="F6645" s="473"/>
      <c r="G6645" s="473"/>
      <c r="H6645" s="473"/>
      <c r="I6645" s="473"/>
      <c r="J6645" s="473"/>
      <c r="K6645" s="473"/>
      <c r="L6645" s="473"/>
      <c r="M6645" s="473"/>
    </row>
    <row r="6646" spans="5:13">
      <c r="E6646" s="473"/>
      <c r="F6646" s="473"/>
      <c r="G6646" s="473"/>
      <c r="H6646" s="473"/>
      <c r="I6646" s="473"/>
      <c r="J6646" s="473"/>
      <c r="K6646" s="473"/>
      <c r="L6646" s="473"/>
      <c r="M6646" s="473"/>
    </row>
    <row r="6647" spans="5:13">
      <c r="E6647" s="473"/>
      <c r="F6647" s="473"/>
      <c r="G6647" s="473"/>
      <c r="H6647" s="473"/>
      <c r="I6647" s="473"/>
      <c r="J6647" s="473"/>
      <c r="K6647" s="473"/>
      <c r="L6647" s="473"/>
      <c r="M6647" s="473"/>
    </row>
    <row r="6648" spans="5:13">
      <c r="E6648" s="473"/>
      <c r="F6648" s="473"/>
      <c r="G6648" s="473"/>
      <c r="H6648" s="473"/>
      <c r="I6648" s="473"/>
      <c r="J6648" s="473"/>
      <c r="K6648" s="473"/>
      <c r="L6648" s="473"/>
      <c r="M6648" s="473"/>
    </row>
    <row r="6649" spans="5:13">
      <c r="E6649" s="473"/>
      <c r="F6649" s="473"/>
      <c r="G6649" s="473"/>
      <c r="H6649" s="473"/>
      <c r="I6649" s="473"/>
      <c r="J6649" s="473"/>
      <c r="K6649" s="473"/>
      <c r="L6649" s="473"/>
      <c r="M6649" s="473"/>
    </row>
    <row r="6650" spans="5:13">
      <c r="E6650" s="473"/>
      <c r="F6650" s="473"/>
      <c r="G6650" s="473"/>
      <c r="H6650" s="473"/>
      <c r="I6650" s="473"/>
      <c r="J6650" s="473"/>
      <c r="K6650" s="473"/>
      <c r="L6650" s="473"/>
      <c r="M6650" s="473"/>
    </row>
    <row r="6651" spans="5:13">
      <c r="E6651" s="473"/>
      <c r="F6651" s="473"/>
      <c r="G6651" s="473"/>
      <c r="H6651" s="473"/>
      <c r="I6651" s="473"/>
      <c r="J6651" s="473"/>
      <c r="K6651" s="473"/>
      <c r="L6651" s="473"/>
      <c r="M6651" s="473"/>
    </row>
    <row r="6652" spans="5:13">
      <c r="E6652" s="473"/>
      <c r="F6652" s="473"/>
      <c r="G6652" s="473"/>
      <c r="H6652" s="473"/>
      <c r="I6652" s="473"/>
      <c r="J6652" s="473"/>
      <c r="K6652" s="473"/>
      <c r="L6652" s="473"/>
      <c r="M6652" s="473"/>
    </row>
    <row r="6653" spans="5:13">
      <c r="E6653" s="473"/>
      <c r="F6653" s="473"/>
      <c r="G6653" s="473"/>
      <c r="H6653" s="473"/>
      <c r="I6653" s="473"/>
      <c r="J6653" s="473"/>
      <c r="K6653" s="473"/>
      <c r="L6653" s="473"/>
      <c r="M6653" s="473"/>
    </row>
    <row r="6654" spans="5:13">
      <c r="E6654" s="473"/>
      <c r="F6654" s="473"/>
      <c r="G6654" s="473"/>
      <c r="H6654" s="473"/>
      <c r="I6654" s="473"/>
      <c r="J6654" s="473"/>
      <c r="K6654" s="473"/>
      <c r="L6654" s="473"/>
      <c r="M6654" s="473"/>
    </row>
    <row r="6655" spans="5:13">
      <c r="E6655" s="473"/>
      <c r="F6655" s="473"/>
      <c r="G6655" s="473"/>
      <c r="H6655" s="473"/>
      <c r="I6655" s="473"/>
      <c r="J6655" s="473"/>
      <c r="K6655" s="473"/>
      <c r="L6655" s="473"/>
      <c r="M6655" s="473"/>
    </row>
    <row r="6656" spans="5:13">
      <c r="E6656" s="473"/>
      <c r="F6656" s="473"/>
      <c r="G6656" s="473"/>
      <c r="H6656" s="473"/>
      <c r="I6656" s="473"/>
      <c r="J6656" s="473"/>
      <c r="K6656" s="473"/>
      <c r="L6656" s="473"/>
      <c r="M6656" s="473"/>
    </row>
    <row r="6657" spans="5:13">
      <c r="E6657" s="473"/>
      <c r="F6657" s="473"/>
      <c r="G6657" s="473"/>
      <c r="H6657" s="473"/>
      <c r="I6657" s="473"/>
      <c r="J6657" s="473"/>
      <c r="K6657" s="473"/>
      <c r="L6657" s="473"/>
      <c r="M6657" s="473"/>
    </row>
    <row r="6658" spans="5:13">
      <c r="E6658" s="473"/>
      <c r="F6658" s="473"/>
      <c r="G6658" s="473"/>
      <c r="H6658" s="473"/>
      <c r="I6658" s="473"/>
      <c r="J6658" s="473"/>
      <c r="K6658" s="473"/>
      <c r="L6658" s="473"/>
      <c r="M6658" s="473"/>
    </row>
    <row r="6659" spans="5:13">
      <c r="E6659" s="473"/>
      <c r="F6659" s="473"/>
      <c r="G6659" s="473"/>
      <c r="H6659" s="473"/>
      <c r="I6659" s="473"/>
      <c r="J6659" s="473"/>
      <c r="K6659" s="473"/>
      <c r="L6659" s="473"/>
      <c r="M6659" s="473"/>
    </row>
    <row r="6660" spans="5:13">
      <c r="E6660" s="473"/>
      <c r="F6660" s="473"/>
      <c r="G6660" s="473"/>
      <c r="H6660" s="473"/>
      <c r="I6660" s="473"/>
      <c r="J6660" s="473"/>
      <c r="K6660" s="473"/>
      <c r="L6660" s="473"/>
      <c r="M6660" s="473"/>
    </row>
    <row r="6661" spans="5:13">
      <c r="E6661" s="473"/>
      <c r="F6661" s="473"/>
      <c r="G6661" s="473"/>
      <c r="H6661" s="473"/>
      <c r="I6661" s="473"/>
      <c r="J6661" s="473"/>
      <c r="K6661" s="473"/>
      <c r="L6661" s="473"/>
      <c r="M6661" s="473"/>
    </row>
    <row r="6662" spans="5:13">
      <c r="E6662" s="473"/>
      <c r="F6662" s="473"/>
      <c r="G6662" s="473"/>
      <c r="H6662" s="473"/>
      <c r="I6662" s="473"/>
      <c r="J6662" s="473"/>
      <c r="K6662" s="473"/>
      <c r="L6662" s="473"/>
      <c r="M6662" s="473"/>
    </row>
    <row r="6663" spans="5:13">
      <c r="E6663" s="473"/>
      <c r="F6663" s="473"/>
      <c r="G6663" s="473"/>
      <c r="H6663" s="473"/>
      <c r="I6663" s="473"/>
      <c r="J6663" s="473"/>
      <c r="K6663" s="473"/>
      <c r="L6663" s="473"/>
      <c r="M6663" s="473"/>
    </row>
    <row r="6664" spans="5:13">
      <c r="E6664" s="473"/>
      <c r="F6664" s="473"/>
      <c r="G6664" s="473"/>
      <c r="H6664" s="473"/>
      <c r="I6664" s="473"/>
      <c r="J6664" s="473"/>
      <c r="K6664" s="473"/>
      <c r="L6664" s="473"/>
      <c r="M6664" s="473"/>
    </row>
    <row r="6665" spans="5:13">
      <c r="E6665" s="473"/>
      <c r="F6665" s="473"/>
      <c r="G6665" s="473"/>
      <c r="H6665" s="473"/>
      <c r="I6665" s="473"/>
      <c r="J6665" s="473"/>
      <c r="K6665" s="473"/>
      <c r="L6665" s="473"/>
      <c r="M6665" s="473"/>
    </row>
    <row r="6666" spans="5:13">
      <c r="E6666" s="473"/>
      <c r="F6666" s="473"/>
      <c r="G6666" s="473"/>
      <c r="H6666" s="473"/>
      <c r="I6666" s="473"/>
      <c r="J6666" s="473"/>
      <c r="K6666" s="473"/>
      <c r="L6666" s="473"/>
      <c r="M6666" s="473"/>
    </row>
    <row r="6667" spans="5:13">
      <c r="E6667" s="473"/>
      <c r="F6667" s="473"/>
      <c r="G6667" s="473"/>
      <c r="H6667" s="473"/>
      <c r="I6667" s="473"/>
      <c r="J6667" s="473"/>
      <c r="K6667" s="473"/>
      <c r="L6667" s="473"/>
      <c r="M6667" s="473"/>
    </row>
    <row r="6668" spans="5:13">
      <c r="E6668" s="473"/>
      <c r="F6668" s="473"/>
      <c r="G6668" s="473"/>
      <c r="H6668" s="473"/>
      <c r="I6668" s="473"/>
      <c r="J6668" s="473"/>
      <c r="K6668" s="473"/>
      <c r="L6668" s="473"/>
      <c r="M6668" s="473"/>
    </row>
    <row r="6669" spans="5:13">
      <c r="E6669" s="473"/>
      <c r="F6669" s="473"/>
      <c r="G6669" s="473"/>
      <c r="H6669" s="473"/>
      <c r="I6669" s="473"/>
      <c r="J6669" s="473"/>
      <c r="K6669" s="473"/>
      <c r="L6669" s="473"/>
      <c r="M6669" s="473"/>
    </row>
    <row r="6670" spans="5:13">
      <c r="E6670" s="473"/>
      <c r="F6670" s="473"/>
      <c r="G6670" s="473"/>
      <c r="H6670" s="473"/>
      <c r="I6670" s="473"/>
      <c r="J6670" s="473"/>
      <c r="K6670" s="473"/>
      <c r="L6670" s="473"/>
      <c r="M6670" s="473"/>
    </row>
    <row r="6671" spans="5:13">
      <c r="E6671" s="473"/>
      <c r="F6671" s="473"/>
      <c r="G6671" s="473"/>
      <c r="H6671" s="473"/>
      <c r="I6671" s="473"/>
      <c r="J6671" s="473"/>
      <c r="K6671" s="473"/>
      <c r="L6671" s="473"/>
      <c r="M6671" s="473"/>
    </row>
    <row r="6672" spans="5:13">
      <c r="E6672" s="473"/>
      <c r="F6672" s="473"/>
      <c r="G6672" s="473"/>
      <c r="H6672" s="473"/>
      <c r="I6672" s="473"/>
      <c r="J6672" s="473"/>
      <c r="K6672" s="473"/>
      <c r="L6672" s="473"/>
      <c r="M6672" s="473"/>
    </row>
    <row r="6673" spans="5:13">
      <c r="E6673" s="473"/>
      <c r="F6673" s="473"/>
      <c r="G6673" s="473"/>
      <c r="H6673" s="473"/>
      <c r="I6673" s="473"/>
      <c r="J6673" s="473"/>
      <c r="K6673" s="473"/>
      <c r="L6673" s="473"/>
      <c r="M6673" s="473"/>
    </row>
    <row r="6674" spans="5:13">
      <c r="E6674" s="473"/>
      <c r="F6674" s="473"/>
      <c r="G6674" s="473"/>
      <c r="H6674" s="473"/>
      <c r="I6674" s="473"/>
      <c r="J6674" s="473"/>
      <c r="K6674" s="473"/>
      <c r="L6674" s="473"/>
      <c r="M6674" s="473"/>
    </row>
    <row r="6675" spans="5:13">
      <c r="E6675" s="473"/>
      <c r="F6675" s="473"/>
      <c r="G6675" s="473"/>
      <c r="H6675" s="473"/>
      <c r="I6675" s="473"/>
      <c r="J6675" s="473"/>
      <c r="K6675" s="473"/>
      <c r="L6675" s="473"/>
      <c r="M6675" s="473"/>
    </row>
    <row r="6676" spans="5:13">
      <c r="E6676" s="473"/>
      <c r="F6676" s="473"/>
      <c r="G6676" s="473"/>
      <c r="H6676" s="473"/>
      <c r="I6676" s="473"/>
      <c r="J6676" s="473"/>
      <c r="K6676" s="473"/>
      <c r="L6676" s="473"/>
      <c r="M6676" s="473"/>
    </row>
    <row r="6677" spans="5:13">
      <c r="E6677" s="473"/>
      <c r="F6677" s="473"/>
      <c r="G6677" s="473"/>
      <c r="H6677" s="473"/>
      <c r="I6677" s="473"/>
      <c r="J6677" s="473"/>
      <c r="K6677" s="473"/>
      <c r="L6677" s="473"/>
      <c r="M6677" s="473"/>
    </row>
    <row r="6678" spans="5:13">
      <c r="E6678" s="473"/>
      <c r="F6678" s="473"/>
      <c r="G6678" s="473"/>
      <c r="H6678" s="473"/>
      <c r="I6678" s="473"/>
      <c r="J6678" s="473"/>
      <c r="K6678" s="473"/>
      <c r="L6678" s="473"/>
      <c r="M6678" s="473"/>
    </row>
    <row r="6679" spans="5:13">
      <c r="E6679" s="473"/>
      <c r="F6679" s="473"/>
      <c r="G6679" s="473"/>
      <c r="H6679" s="473"/>
      <c r="I6679" s="473"/>
      <c r="J6679" s="473"/>
      <c r="K6679" s="473"/>
      <c r="L6679" s="473"/>
      <c r="M6679" s="473"/>
    </row>
    <row r="6680" spans="5:13">
      <c r="E6680" s="473"/>
      <c r="F6680" s="473"/>
      <c r="G6680" s="473"/>
      <c r="H6680" s="473"/>
      <c r="I6680" s="473"/>
      <c r="J6680" s="473"/>
      <c r="K6680" s="473"/>
      <c r="L6680" s="473"/>
      <c r="M6680" s="473"/>
    </row>
    <row r="6681" spans="5:13">
      <c r="E6681" s="473"/>
      <c r="F6681" s="473"/>
      <c r="G6681" s="473"/>
      <c r="H6681" s="473"/>
      <c r="I6681" s="473"/>
      <c r="J6681" s="473"/>
      <c r="K6681" s="473"/>
      <c r="L6681" s="473"/>
      <c r="M6681" s="473"/>
    </row>
    <row r="6682" spans="5:13">
      <c r="E6682" s="473"/>
      <c r="F6682" s="473"/>
      <c r="G6682" s="473"/>
      <c r="H6682" s="473"/>
      <c r="I6682" s="473"/>
      <c r="J6682" s="473"/>
      <c r="K6682" s="473"/>
      <c r="L6682" s="473"/>
      <c r="M6682" s="473"/>
    </row>
    <row r="6683" spans="5:13">
      <c r="E6683" s="473"/>
      <c r="F6683" s="473"/>
      <c r="G6683" s="473"/>
      <c r="H6683" s="473"/>
      <c r="I6683" s="473"/>
      <c r="J6683" s="473"/>
      <c r="K6683" s="473"/>
      <c r="L6683" s="473"/>
      <c r="M6683" s="473"/>
    </row>
    <row r="6684" spans="5:13">
      <c r="E6684" s="473"/>
      <c r="F6684" s="473"/>
      <c r="G6684" s="473"/>
      <c r="H6684" s="473"/>
      <c r="I6684" s="473"/>
      <c r="J6684" s="473"/>
      <c r="K6684" s="473"/>
      <c r="L6684" s="473"/>
      <c r="M6684" s="473"/>
    </row>
    <row r="6685" spans="5:13">
      <c r="E6685" s="473"/>
      <c r="F6685" s="473"/>
      <c r="G6685" s="473"/>
      <c r="H6685" s="473"/>
      <c r="I6685" s="473"/>
      <c r="J6685" s="473"/>
      <c r="K6685" s="473"/>
      <c r="L6685" s="473"/>
      <c r="M6685" s="473"/>
    </row>
    <row r="6686" spans="5:13">
      <c r="E6686" s="473"/>
      <c r="F6686" s="473"/>
      <c r="G6686" s="473"/>
      <c r="H6686" s="473"/>
      <c r="I6686" s="473"/>
      <c r="J6686" s="473"/>
      <c r="K6686" s="473"/>
      <c r="L6686" s="473"/>
      <c r="M6686" s="473"/>
    </row>
    <row r="6687" spans="5:13">
      <c r="E6687" s="473"/>
      <c r="F6687" s="473"/>
      <c r="G6687" s="473"/>
      <c r="H6687" s="473"/>
      <c r="I6687" s="473"/>
      <c r="J6687" s="473"/>
      <c r="K6687" s="473"/>
      <c r="L6687" s="473"/>
      <c r="M6687" s="473"/>
    </row>
    <row r="6688" spans="5:13">
      <c r="E6688" s="473"/>
      <c r="F6688" s="473"/>
      <c r="G6688" s="473"/>
      <c r="H6688" s="473"/>
      <c r="I6688" s="473"/>
      <c r="J6688" s="473"/>
      <c r="K6688" s="473"/>
      <c r="L6688" s="473"/>
      <c r="M6688" s="473"/>
    </row>
    <row r="6689" spans="5:13">
      <c r="E6689" s="473"/>
      <c r="F6689" s="473"/>
      <c r="G6689" s="473"/>
      <c r="H6689" s="473"/>
      <c r="I6689" s="473"/>
      <c r="J6689" s="473"/>
      <c r="K6689" s="473"/>
      <c r="L6689" s="473"/>
      <c r="M6689" s="473"/>
    </row>
    <row r="6690" spans="5:13">
      <c r="E6690" s="473"/>
      <c r="F6690" s="473"/>
      <c r="G6690" s="473"/>
      <c r="H6690" s="473"/>
      <c r="I6690" s="473"/>
      <c r="J6690" s="473"/>
      <c r="K6690" s="473"/>
      <c r="L6690" s="473"/>
      <c r="M6690" s="473"/>
    </row>
    <row r="6691" spans="5:13">
      <c r="E6691" s="473"/>
      <c r="F6691" s="473"/>
      <c r="G6691" s="473"/>
      <c r="H6691" s="473"/>
      <c r="I6691" s="473"/>
      <c r="J6691" s="473"/>
      <c r="K6691" s="473"/>
      <c r="L6691" s="473"/>
      <c r="M6691" s="473"/>
    </row>
    <row r="6692" spans="5:13">
      <c r="E6692" s="473"/>
      <c r="F6692" s="473"/>
      <c r="G6692" s="473"/>
      <c r="H6692" s="473"/>
      <c r="I6692" s="473"/>
      <c r="J6692" s="473"/>
      <c r="K6692" s="473"/>
      <c r="L6692" s="473"/>
      <c r="M6692" s="473"/>
    </row>
    <row r="6693" spans="5:13">
      <c r="E6693" s="473"/>
      <c r="F6693" s="473"/>
      <c r="G6693" s="473"/>
      <c r="H6693" s="473"/>
      <c r="I6693" s="473"/>
      <c r="J6693" s="473"/>
      <c r="K6693" s="473"/>
      <c r="L6693" s="473"/>
      <c r="M6693" s="473"/>
    </row>
    <row r="6694" spans="5:13">
      <c r="E6694" s="473"/>
      <c r="F6694" s="473"/>
      <c r="G6694" s="473"/>
      <c r="H6694" s="473"/>
      <c r="I6694" s="473"/>
      <c r="J6694" s="473"/>
      <c r="K6694" s="473"/>
      <c r="L6694" s="473"/>
      <c r="M6694" s="473"/>
    </row>
    <row r="6695" spans="5:13">
      <c r="E6695" s="473"/>
      <c r="F6695" s="473"/>
      <c r="G6695" s="473"/>
      <c r="H6695" s="473"/>
      <c r="I6695" s="473"/>
      <c r="J6695" s="473"/>
      <c r="K6695" s="473"/>
      <c r="L6695" s="473"/>
      <c r="M6695" s="473"/>
    </row>
    <row r="6696" spans="5:13">
      <c r="E6696" s="473"/>
      <c r="F6696" s="473"/>
      <c r="G6696" s="473"/>
      <c r="H6696" s="473"/>
      <c r="I6696" s="473"/>
      <c r="J6696" s="473"/>
      <c r="K6696" s="473"/>
      <c r="L6696" s="473"/>
      <c r="M6696" s="473"/>
    </row>
    <row r="6697" spans="5:13">
      <c r="E6697" s="473"/>
      <c r="F6697" s="473"/>
      <c r="G6697" s="473"/>
      <c r="H6697" s="473"/>
      <c r="I6697" s="473"/>
      <c r="J6697" s="473"/>
      <c r="K6697" s="473"/>
      <c r="L6697" s="473"/>
      <c r="M6697" s="473"/>
    </row>
    <row r="6698" spans="5:13">
      <c r="E6698" s="473"/>
      <c r="F6698" s="473"/>
      <c r="G6698" s="473"/>
      <c r="H6698" s="473"/>
      <c r="I6698" s="473"/>
      <c r="J6698" s="473"/>
      <c r="K6698" s="473"/>
      <c r="L6698" s="473"/>
      <c r="M6698" s="473"/>
    </row>
    <row r="6699" spans="5:13">
      <c r="E6699" s="473"/>
      <c r="F6699" s="473"/>
      <c r="G6699" s="473"/>
      <c r="H6699" s="473"/>
      <c r="I6699" s="473"/>
      <c r="J6699" s="473"/>
      <c r="K6699" s="473"/>
      <c r="L6699" s="473"/>
      <c r="M6699" s="473"/>
    </row>
    <row r="6700" spans="5:13">
      <c r="E6700" s="473"/>
      <c r="F6700" s="473"/>
      <c r="G6700" s="473"/>
      <c r="H6700" s="473"/>
      <c r="I6700" s="473"/>
      <c r="J6700" s="473"/>
      <c r="K6700" s="473"/>
      <c r="L6700" s="473"/>
      <c r="M6700" s="473"/>
    </row>
    <row r="6701" spans="5:13">
      <c r="E6701" s="473"/>
      <c r="F6701" s="473"/>
      <c r="G6701" s="473"/>
      <c r="H6701" s="473"/>
      <c r="I6701" s="473"/>
      <c r="J6701" s="473"/>
      <c r="K6701" s="473"/>
      <c r="L6701" s="473"/>
      <c r="M6701" s="473"/>
    </row>
    <row r="6702" spans="5:13">
      <c r="E6702" s="473"/>
      <c r="F6702" s="473"/>
      <c r="G6702" s="473"/>
      <c r="H6702" s="473"/>
      <c r="I6702" s="473"/>
      <c r="J6702" s="473"/>
      <c r="K6702" s="473"/>
      <c r="L6702" s="473"/>
      <c r="M6702" s="473"/>
    </row>
    <row r="6703" spans="5:13">
      <c r="E6703" s="473"/>
      <c r="F6703" s="473"/>
      <c r="G6703" s="473"/>
      <c r="H6703" s="473"/>
      <c r="I6703" s="473"/>
      <c r="J6703" s="473"/>
      <c r="K6703" s="473"/>
      <c r="L6703" s="473"/>
      <c r="M6703" s="473"/>
    </row>
    <row r="6704" spans="5:13">
      <c r="E6704" s="473"/>
      <c r="F6704" s="473"/>
      <c r="G6704" s="473"/>
      <c r="H6704" s="473"/>
      <c r="I6704" s="473"/>
      <c r="J6704" s="473"/>
      <c r="K6704" s="473"/>
      <c r="L6704" s="473"/>
      <c r="M6704" s="473"/>
    </row>
    <row r="6705" spans="5:13">
      <c r="E6705" s="473"/>
      <c r="F6705" s="473"/>
      <c r="G6705" s="473"/>
      <c r="H6705" s="473"/>
      <c r="I6705" s="473"/>
      <c r="J6705" s="473"/>
      <c r="K6705" s="473"/>
      <c r="L6705" s="473"/>
      <c r="M6705" s="473"/>
    </row>
    <row r="6706" spans="5:13">
      <c r="E6706" s="473"/>
      <c r="F6706" s="473"/>
      <c r="G6706" s="473"/>
      <c r="H6706" s="473"/>
      <c r="I6706" s="473"/>
      <c r="J6706" s="473"/>
      <c r="K6706" s="473"/>
      <c r="L6706" s="473"/>
      <c r="M6706" s="473"/>
    </row>
    <row r="6707" spans="5:13">
      <c r="E6707" s="473"/>
      <c r="F6707" s="473"/>
      <c r="G6707" s="473"/>
      <c r="H6707" s="473"/>
      <c r="I6707" s="473"/>
      <c r="J6707" s="473"/>
      <c r="K6707" s="473"/>
      <c r="L6707" s="473"/>
      <c r="M6707" s="473"/>
    </row>
    <row r="6708" spans="5:13">
      <c r="E6708" s="473"/>
      <c r="F6708" s="473"/>
      <c r="G6708" s="473"/>
      <c r="H6708" s="473"/>
      <c r="I6708" s="473"/>
      <c r="J6708" s="473"/>
      <c r="K6708" s="473"/>
      <c r="L6708" s="473"/>
      <c r="M6708" s="473"/>
    </row>
    <row r="6709" spans="5:13">
      <c r="E6709" s="473"/>
      <c r="F6709" s="473"/>
      <c r="G6709" s="473"/>
      <c r="H6709" s="473"/>
      <c r="I6709" s="473"/>
      <c r="J6709" s="473"/>
      <c r="K6709" s="473"/>
      <c r="L6709" s="473"/>
      <c r="M6709" s="473"/>
    </row>
    <row r="6710" spans="5:13">
      <c r="E6710" s="473"/>
      <c r="F6710" s="473"/>
      <c r="G6710" s="473"/>
      <c r="H6710" s="473"/>
      <c r="I6710" s="473"/>
      <c r="J6710" s="473"/>
      <c r="K6710" s="473"/>
      <c r="L6710" s="473"/>
      <c r="M6710" s="473"/>
    </row>
    <row r="6711" spans="5:13">
      <c r="E6711" s="473"/>
      <c r="F6711" s="473"/>
      <c r="G6711" s="473"/>
      <c r="H6711" s="473"/>
      <c r="I6711" s="473"/>
      <c r="J6711" s="473"/>
      <c r="K6711" s="473"/>
      <c r="L6711" s="473"/>
      <c r="M6711" s="473"/>
    </row>
    <row r="6712" spans="5:13">
      <c r="E6712" s="473"/>
      <c r="F6712" s="473"/>
      <c r="G6712" s="473"/>
      <c r="H6712" s="473"/>
      <c r="I6712" s="473"/>
      <c r="J6712" s="473"/>
      <c r="K6712" s="473"/>
      <c r="L6712" s="473"/>
      <c r="M6712" s="473"/>
    </row>
    <row r="6713" spans="5:13">
      <c r="E6713" s="473"/>
      <c r="F6713" s="473"/>
      <c r="G6713" s="473"/>
      <c r="H6713" s="473"/>
      <c r="I6713" s="473"/>
      <c r="J6713" s="473"/>
      <c r="K6713" s="473"/>
      <c r="L6713" s="473"/>
      <c r="M6713" s="473"/>
    </row>
    <row r="6714" spans="5:13">
      <c r="E6714" s="473"/>
      <c r="F6714" s="473"/>
      <c r="G6714" s="473"/>
      <c r="H6714" s="473"/>
      <c r="I6714" s="473"/>
      <c r="J6714" s="473"/>
      <c r="K6714" s="473"/>
      <c r="L6714" s="473"/>
      <c r="M6714" s="473"/>
    </row>
    <row r="6715" spans="5:13">
      <c r="E6715" s="473"/>
      <c r="F6715" s="473"/>
      <c r="G6715" s="473"/>
      <c r="H6715" s="473"/>
      <c r="I6715" s="473"/>
      <c r="J6715" s="473"/>
      <c r="K6715" s="473"/>
      <c r="L6715" s="473"/>
      <c r="M6715" s="473"/>
    </row>
    <row r="6716" spans="5:13">
      <c r="E6716" s="473"/>
      <c r="F6716" s="473"/>
      <c r="G6716" s="473"/>
      <c r="H6716" s="473"/>
      <c r="I6716" s="473"/>
      <c r="J6716" s="473"/>
      <c r="K6716" s="473"/>
      <c r="L6716" s="473"/>
      <c r="M6716" s="473"/>
    </row>
    <row r="6717" spans="5:13">
      <c r="E6717" s="473"/>
      <c r="F6717" s="473"/>
      <c r="G6717" s="473"/>
      <c r="H6717" s="473"/>
      <c r="I6717" s="473"/>
      <c r="J6717" s="473"/>
      <c r="K6717" s="473"/>
      <c r="L6717" s="473"/>
      <c r="M6717" s="473"/>
    </row>
    <row r="6718" spans="5:13">
      <c r="E6718" s="473"/>
      <c r="F6718" s="473"/>
      <c r="G6718" s="473"/>
      <c r="H6718" s="473"/>
      <c r="I6718" s="473"/>
      <c r="J6718" s="473"/>
      <c r="K6718" s="473"/>
      <c r="L6718" s="473"/>
      <c r="M6718" s="473"/>
    </row>
    <row r="6719" spans="5:13">
      <c r="E6719" s="473"/>
      <c r="F6719" s="473"/>
      <c r="G6719" s="473"/>
      <c r="H6719" s="473"/>
      <c r="I6719" s="473"/>
      <c r="J6719" s="473"/>
      <c r="K6719" s="473"/>
      <c r="L6719" s="473"/>
      <c r="M6719" s="473"/>
    </row>
    <row r="6720" spans="5:13">
      <c r="E6720" s="473"/>
      <c r="F6720" s="473"/>
      <c r="G6720" s="473"/>
      <c r="H6720" s="473"/>
      <c r="I6720" s="473"/>
      <c r="J6720" s="473"/>
      <c r="K6720" s="473"/>
      <c r="L6720" s="473"/>
      <c r="M6720" s="473"/>
    </row>
    <row r="6721" spans="5:13">
      <c r="E6721" s="473"/>
      <c r="F6721" s="473"/>
      <c r="G6721" s="473"/>
      <c r="H6721" s="473"/>
      <c r="I6721" s="473"/>
      <c r="J6721" s="473"/>
      <c r="K6721" s="473"/>
      <c r="L6721" s="473"/>
      <c r="M6721" s="473"/>
    </row>
    <row r="6722" spans="5:13">
      <c r="E6722" s="473"/>
      <c r="F6722" s="473"/>
      <c r="G6722" s="473"/>
      <c r="H6722" s="473"/>
      <c r="I6722" s="473"/>
      <c r="J6722" s="473"/>
      <c r="K6722" s="473"/>
      <c r="L6722" s="473"/>
      <c r="M6722" s="473"/>
    </row>
    <row r="6723" spans="5:13">
      <c r="E6723" s="473"/>
      <c r="F6723" s="473"/>
      <c r="G6723" s="473"/>
      <c r="H6723" s="473"/>
      <c r="I6723" s="473"/>
      <c r="J6723" s="473"/>
      <c r="K6723" s="473"/>
      <c r="L6723" s="473"/>
      <c r="M6723" s="473"/>
    </row>
    <row r="6724" spans="5:13">
      <c r="E6724" s="473"/>
      <c r="F6724" s="473"/>
      <c r="G6724" s="473"/>
      <c r="H6724" s="473"/>
      <c r="I6724" s="473"/>
      <c r="J6724" s="473"/>
      <c r="K6724" s="473"/>
      <c r="L6724" s="473"/>
      <c r="M6724" s="473"/>
    </row>
    <row r="6725" spans="5:13">
      <c r="E6725" s="473"/>
      <c r="F6725" s="473"/>
      <c r="G6725" s="473"/>
      <c r="H6725" s="473"/>
      <c r="I6725" s="473"/>
      <c r="J6725" s="473"/>
      <c r="K6725" s="473"/>
      <c r="L6725" s="473"/>
      <c r="M6725" s="473"/>
    </row>
    <row r="6726" spans="5:13">
      <c r="E6726" s="473"/>
      <c r="F6726" s="473"/>
      <c r="G6726" s="473"/>
      <c r="H6726" s="473"/>
      <c r="I6726" s="473"/>
      <c r="J6726" s="473"/>
      <c r="K6726" s="473"/>
      <c r="L6726" s="473"/>
      <c r="M6726" s="473"/>
    </row>
    <row r="6727" spans="5:13">
      <c r="E6727" s="473"/>
      <c r="F6727" s="473"/>
      <c r="G6727" s="473"/>
      <c r="H6727" s="473"/>
      <c r="I6727" s="473"/>
      <c r="J6727" s="473"/>
      <c r="K6727" s="473"/>
      <c r="L6727" s="473"/>
      <c r="M6727" s="473"/>
    </row>
    <row r="6728" spans="5:13">
      <c r="E6728" s="473"/>
      <c r="F6728" s="473"/>
      <c r="G6728" s="473"/>
      <c r="H6728" s="473"/>
      <c r="I6728" s="473"/>
      <c r="J6728" s="473"/>
      <c r="K6728" s="473"/>
      <c r="L6728" s="473"/>
      <c r="M6728" s="473"/>
    </row>
    <row r="6729" spans="5:13">
      <c r="E6729" s="473"/>
      <c r="F6729" s="473"/>
      <c r="G6729" s="473"/>
      <c r="H6729" s="473"/>
      <c r="I6729" s="473"/>
      <c r="J6729" s="473"/>
      <c r="K6729" s="473"/>
      <c r="L6729" s="473"/>
      <c r="M6729" s="473"/>
    </row>
    <row r="6730" spans="5:13">
      <c r="E6730" s="473"/>
      <c r="F6730" s="473"/>
      <c r="G6730" s="473"/>
      <c r="H6730" s="473"/>
      <c r="I6730" s="473"/>
      <c r="J6730" s="473"/>
      <c r="K6730" s="473"/>
      <c r="L6730" s="473"/>
      <c r="M6730" s="473"/>
    </row>
    <row r="6731" spans="5:13">
      <c r="E6731" s="473"/>
      <c r="F6731" s="473"/>
      <c r="G6731" s="473"/>
      <c r="H6731" s="473"/>
      <c r="I6731" s="473"/>
      <c r="J6731" s="473"/>
      <c r="K6731" s="473"/>
      <c r="L6731" s="473"/>
      <c r="M6731" s="473"/>
    </row>
    <row r="6732" spans="5:13">
      <c r="E6732" s="473"/>
      <c r="F6732" s="473"/>
      <c r="G6732" s="473"/>
      <c r="H6732" s="473"/>
      <c r="I6732" s="473"/>
      <c r="J6732" s="473"/>
      <c r="K6732" s="473"/>
      <c r="L6732" s="473"/>
      <c r="M6732" s="473"/>
    </row>
    <row r="6733" spans="5:13">
      <c r="E6733" s="473"/>
      <c r="F6733" s="473"/>
      <c r="G6733" s="473"/>
      <c r="H6733" s="473"/>
      <c r="I6733" s="473"/>
      <c r="J6733" s="473"/>
      <c r="K6733" s="473"/>
      <c r="L6733" s="473"/>
      <c r="M6733" s="473"/>
    </row>
    <row r="6734" spans="5:13">
      <c r="E6734" s="473"/>
      <c r="F6734" s="473"/>
      <c r="G6734" s="473"/>
      <c r="H6734" s="473"/>
      <c r="I6734" s="473"/>
      <c r="J6734" s="473"/>
      <c r="K6734" s="473"/>
      <c r="L6734" s="473"/>
      <c r="M6734" s="473"/>
    </row>
    <row r="6735" spans="5:13">
      <c r="E6735" s="473"/>
      <c r="F6735" s="473"/>
      <c r="G6735" s="473"/>
      <c r="H6735" s="473"/>
      <c r="I6735" s="473"/>
      <c r="J6735" s="473"/>
      <c r="K6735" s="473"/>
      <c r="L6735" s="473"/>
      <c r="M6735" s="473"/>
    </row>
    <row r="6736" spans="5:13">
      <c r="E6736" s="473"/>
      <c r="F6736" s="473"/>
      <c r="G6736" s="473"/>
      <c r="H6736" s="473"/>
      <c r="I6736" s="473"/>
      <c r="J6736" s="473"/>
      <c r="K6736" s="473"/>
      <c r="L6736" s="473"/>
      <c r="M6736" s="473"/>
    </row>
    <row r="6737" spans="5:13">
      <c r="E6737" s="473"/>
      <c r="F6737" s="473"/>
      <c r="G6737" s="473"/>
      <c r="H6737" s="473"/>
      <c r="I6737" s="473"/>
      <c r="J6737" s="473"/>
      <c r="K6737" s="473"/>
      <c r="L6737" s="473"/>
      <c r="M6737" s="473"/>
    </row>
    <row r="6738" spans="5:13">
      <c r="E6738" s="473"/>
      <c r="F6738" s="473"/>
      <c r="G6738" s="473"/>
      <c r="H6738" s="473"/>
      <c r="I6738" s="473"/>
      <c r="J6738" s="473"/>
      <c r="K6738" s="473"/>
      <c r="L6738" s="473"/>
      <c r="M6738" s="473"/>
    </row>
    <row r="6739" spans="5:13">
      <c r="E6739" s="473"/>
      <c r="F6739" s="473"/>
      <c r="G6739" s="473"/>
      <c r="H6739" s="473"/>
      <c r="I6739" s="473"/>
      <c r="J6739" s="473"/>
      <c r="K6739" s="473"/>
      <c r="L6739" s="473"/>
      <c r="M6739" s="473"/>
    </row>
    <row r="6740" spans="5:13">
      <c r="E6740" s="473"/>
      <c r="F6740" s="473"/>
      <c r="G6740" s="473"/>
      <c r="H6740" s="473"/>
      <c r="I6740" s="473"/>
      <c r="J6740" s="473"/>
      <c r="K6740" s="473"/>
      <c r="L6740" s="473"/>
      <c r="M6740" s="473"/>
    </row>
    <row r="6741" spans="5:13">
      <c r="E6741" s="473"/>
      <c r="F6741" s="473"/>
      <c r="G6741" s="473"/>
      <c r="H6741" s="473"/>
      <c r="I6741" s="473"/>
      <c r="J6741" s="473"/>
      <c r="K6741" s="473"/>
      <c r="L6741" s="473"/>
      <c r="M6741" s="473"/>
    </row>
    <row r="6742" spans="5:13">
      <c r="E6742" s="473"/>
      <c r="F6742" s="473"/>
      <c r="G6742" s="473"/>
      <c r="H6742" s="473"/>
      <c r="I6742" s="473"/>
      <c r="J6742" s="473"/>
      <c r="K6742" s="473"/>
      <c r="L6742" s="473"/>
      <c r="M6742" s="473"/>
    </row>
    <row r="6743" spans="5:13">
      <c r="E6743" s="473"/>
      <c r="F6743" s="473"/>
      <c r="G6743" s="473"/>
      <c r="H6743" s="473"/>
      <c r="I6743" s="473"/>
      <c r="J6743" s="473"/>
      <c r="K6743" s="473"/>
      <c r="L6743" s="473"/>
      <c r="M6743" s="473"/>
    </row>
    <row r="6744" spans="5:13">
      <c r="E6744" s="473"/>
      <c r="F6744" s="473"/>
      <c r="G6744" s="473"/>
      <c r="H6744" s="473"/>
      <c r="I6744" s="473"/>
      <c r="J6744" s="473"/>
      <c r="K6744" s="473"/>
      <c r="L6744" s="473"/>
      <c r="M6744" s="473"/>
    </row>
    <row r="6745" spans="5:13">
      <c r="E6745" s="473"/>
      <c r="F6745" s="473"/>
      <c r="G6745" s="473"/>
      <c r="H6745" s="473"/>
      <c r="I6745" s="473"/>
      <c r="J6745" s="473"/>
      <c r="K6745" s="473"/>
      <c r="L6745" s="473"/>
      <c r="M6745" s="473"/>
    </row>
    <row r="6746" spans="5:13">
      <c r="E6746" s="473"/>
      <c r="F6746" s="473"/>
      <c r="G6746" s="473"/>
      <c r="H6746" s="473"/>
      <c r="I6746" s="473"/>
      <c r="J6746" s="473"/>
      <c r="K6746" s="473"/>
      <c r="L6746" s="473"/>
      <c r="M6746" s="473"/>
    </row>
    <row r="6747" spans="5:13">
      <c r="E6747" s="473"/>
      <c r="F6747" s="473"/>
      <c r="G6747" s="473"/>
      <c r="H6747" s="473"/>
      <c r="I6747" s="473"/>
      <c r="J6747" s="473"/>
      <c r="K6747" s="473"/>
      <c r="L6747" s="473"/>
      <c r="M6747" s="473"/>
    </row>
    <row r="6748" spans="5:13">
      <c r="E6748" s="473"/>
      <c r="F6748" s="473"/>
      <c r="G6748" s="473"/>
      <c r="H6748" s="473"/>
      <c r="I6748" s="473"/>
      <c r="J6748" s="473"/>
      <c r="K6748" s="473"/>
      <c r="L6748" s="473"/>
      <c r="M6748" s="473"/>
    </row>
    <row r="6749" spans="5:13">
      <c r="E6749" s="473"/>
      <c r="F6749" s="473"/>
      <c r="G6749" s="473"/>
      <c r="H6749" s="473"/>
      <c r="I6749" s="473"/>
      <c r="J6749" s="473"/>
      <c r="K6749" s="473"/>
      <c r="L6749" s="473"/>
      <c r="M6749" s="473"/>
    </row>
    <row r="6750" spans="5:13">
      <c r="E6750" s="473"/>
      <c r="F6750" s="473"/>
      <c r="G6750" s="473"/>
      <c r="H6750" s="473"/>
      <c r="I6750" s="473"/>
      <c r="J6750" s="473"/>
      <c r="K6750" s="473"/>
      <c r="L6750" s="473"/>
      <c r="M6750" s="473"/>
    </row>
    <row r="6751" spans="5:13">
      <c r="E6751" s="473"/>
      <c r="F6751" s="473"/>
      <c r="G6751" s="473"/>
      <c r="H6751" s="473"/>
      <c r="I6751" s="473"/>
      <c r="J6751" s="473"/>
      <c r="K6751" s="473"/>
      <c r="L6751" s="473"/>
      <c r="M6751" s="473"/>
    </row>
    <row r="6752" spans="5:13">
      <c r="E6752" s="473"/>
      <c r="F6752" s="473"/>
      <c r="G6752" s="473"/>
      <c r="H6752" s="473"/>
      <c r="I6752" s="473"/>
      <c r="J6752" s="473"/>
      <c r="K6752" s="473"/>
      <c r="L6752" s="473"/>
      <c r="M6752" s="473"/>
    </row>
    <row r="6753" spans="5:13">
      <c r="E6753" s="473"/>
      <c r="F6753" s="473"/>
      <c r="G6753" s="473"/>
      <c r="H6753" s="473"/>
      <c r="I6753" s="473"/>
      <c r="J6753" s="473"/>
      <c r="K6753" s="473"/>
      <c r="L6753" s="473"/>
      <c r="M6753" s="473"/>
    </row>
    <row r="6754" spans="5:13">
      <c r="E6754" s="473"/>
      <c r="F6754" s="473"/>
      <c r="G6754" s="473"/>
      <c r="H6754" s="473"/>
      <c r="I6754" s="473"/>
      <c r="J6754" s="473"/>
      <c r="K6754" s="473"/>
      <c r="L6754" s="473"/>
      <c r="M6754" s="473"/>
    </row>
    <row r="6755" spans="5:13">
      <c r="E6755" s="473"/>
      <c r="F6755" s="473"/>
      <c r="G6755" s="473"/>
      <c r="H6755" s="473"/>
      <c r="I6755" s="473"/>
      <c r="J6755" s="473"/>
      <c r="K6755" s="473"/>
      <c r="L6755" s="473"/>
      <c r="M6755" s="473"/>
    </row>
    <row r="6756" spans="5:13">
      <c r="E6756" s="473"/>
      <c r="F6756" s="473"/>
      <c r="G6756" s="473"/>
      <c r="H6756" s="473"/>
      <c r="I6756" s="473"/>
      <c r="J6756" s="473"/>
      <c r="K6756" s="473"/>
      <c r="L6756" s="473"/>
      <c r="M6756" s="473"/>
    </row>
    <row r="6757" spans="5:13">
      <c r="E6757" s="473"/>
      <c r="F6757" s="473"/>
      <c r="G6757" s="473"/>
      <c r="H6757" s="473"/>
      <c r="I6757" s="473"/>
      <c r="J6757" s="473"/>
      <c r="K6757" s="473"/>
      <c r="L6757" s="473"/>
      <c r="M6757" s="473"/>
    </row>
    <row r="6758" spans="5:13">
      <c r="E6758" s="473"/>
      <c r="F6758" s="473"/>
      <c r="G6758" s="473"/>
      <c r="H6758" s="473"/>
      <c r="I6758" s="473"/>
      <c r="J6758" s="473"/>
      <c r="K6758" s="473"/>
      <c r="L6758" s="473"/>
      <c r="M6758" s="473"/>
    </row>
    <row r="6759" spans="5:13">
      <c r="E6759" s="473"/>
      <c r="F6759" s="473"/>
      <c r="G6759" s="473"/>
      <c r="H6759" s="473"/>
      <c r="I6759" s="473"/>
      <c r="J6759" s="473"/>
      <c r="K6759" s="473"/>
      <c r="L6759" s="473"/>
      <c r="M6759" s="473"/>
    </row>
    <row r="6760" spans="5:13">
      <c r="E6760" s="473"/>
      <c r="F6760" s="473"/>
      <c r="G6760" s="473"/>
      <c r="H6760" s="473"/>
      <c r="I6760" s="473"/>
      <c r="J6760" s="473"/>
      <c r="K6760" s="473"/>
      <c r="L6760" s="473"/>
      <c r="M6760" s="473"/>
    </row>
    <row r="6761" spans="5:13">
      <c r="E6761" s="473"/>
      <c r="F6761" s="473"/>
      <c r="G6761" s="473"/>
      <c r="H6761" s="473"/>
      <c r="I6761" s="473"/>
      <c r="J6761" s="473"/>
      <c r="K6761" s="473"/>
      <c r="L6761" s="473"/>
      <c r="M6761" s="473"/>
    </row>
    <row r="6762" spans="5:13">
      <c r="E6762" s="473"/>
      <c r="F6762" s="473"/>
      <c r="G6762" s="473"/>
      <c r="H6762" s="473"/>
      <c r="I6762" s="473"/>
      <c r="J6762" s="473"/>
      <c r="K6762" s="473"/>
      <c r="L6762" s="473"/>
      <c r="M6762" s="473"/>
    </row>
    <row r="6763" spans="5:13">
      <c r="E6763" s="473"/>
      <c r="F6763" s="473"/>
      <c r="G6763" s="473"/>
      <c r="H6763" s="473"/>
      <c r="I6763" s="473"/>
      <c r="J6763" s="473"/>
      <c r="K6763" s="473"/>
      <c r="L6763" s="473"/>
      <c r="M6763" s="473"/>
    </row>
    <row r="6764" spans="5:13">
      <c r="E6764" s="473"/>
      <c r="F6764" s="473"/>
      <c r="G6764" s="473"/>
      <c r="H6764" s="473"/>
      <c r="I6764" s="473"/>
      <c r="J6764" s="473"/>
      <c r="K6764" s="473"/>
      <c r="L6764" s="473"/>
      <c r="M6764" s="473"/>
    </row>
    <row r="6765" spans="5:13">
      <c r="E6765" s="473"/>
      <c r="F6765" s="473"/>
      <c r="G6765" s="473"/>
      <c r="H6765" s="473"/>
      <c r="I6765" s="473"/>
      <c r="J6765" s="473"/>
      <c r="K6765" s="473"/>
      <c r="L6765" s="473"/>
      <c r="M6765" s="473"/>
    </row>
    <row r="6766" spans="5:13">
      <c r="E6766" s="473"/>
      <c r="F6766" s="473"/>
      <c r="G6766" s="473"/>
      <c r="H6766" s="473"/>
      <c r="I6766" s="473"/>
      <c r="J6766" s="473"/>
      <c r="K6766" s="473"/>
      <c r="L6766" s="473"/>
      <c r="M6766" s="473"/>
    </row>
    <row r="6767" spans="5:13">
      <c r="E6767" s="473"/>
      <c r="F6767" s="473"/>
      <c r="G6767" s="473"/>
      <c r="H6767" s="473"/>
      <c r="I6767" s="473"/>
      <c r="J6767" s="473"/>
      <c r="K6767" s="473"/>
      <c r="L6767" s="473"/>
      <c r="M6767" s="473"/>
    </row>
    <row r="6768" spans="5:13">
      <c r="E6768" s="473"/>
      <c r="F6768" s="473"/>
      <c r="G6768" s="473"/>
      <c r="H6768" s="473"/>
      <c r="I6768" s="473"/>
      <c r="J6768" s="473"/>
      <c r="K6768" s="473"/>
      <c r="L6768" s="473"/>
      <c r="M6768" s="473"/>
    </row>
    <row r="6769" spans="5:13">
      <c r="E6769" s="473"/>
      <c r="F6769" s="473"/>
      <c r="G6769" s="473"/>
      <c r="H6769" s="473"/>
      <c r="I6769" s="473"/>
      <c r="J6769" s="473"/>
      <c r="K6769" s="473"/>
      <c r="L6769" s="473"/>
      <c r="M6769" s="473"/>
    </row>
    <row r="6770" spans="5:13">
      <c r="E6770" s="473"/>
      <c r="F6770" s="473"/>
      <c r="G6770" s="473"/>
      <c r="H6770" s="473"/>
      <c r="I6770" s="473"/>
      <c r="J6770" s="473"/>
      <c r="K6770" s="473"/>
      <c r="L6770" s="473"/>
      <c r="M6770" s="473"/>
    </row>
    <row r="6771" spans="5:13">
      <c r="E6771" s="473"/>
      <c r="F6771" s="473"/>
      <c r="G6771" s="473"/>
      <c r="H6771" s="473"/>
      <c r="I6771" s="473"/>
      <c r="J6771" s="473"/>
      <c r="K6771" s="473"/>
      <c r="L6771" s="473"/>
      <c r="M6771" s="473"/>
    </row>
    <row r="6772" spans="5:13">
      <c r="E6772" s="473"/>
      <c r="F6772" s="473"/>
      <c r="G6772" s="473"/>
      <c r="H6772" s="473"/>
      <c r="I6772" s="473"/>
      <c r="J6772" s="473"/>
      <c r="K6772" s="473"/>
      <c r="L6772" s="473"/>
      <c r="M6772" s="473"/>
    </row>
    <row r="6773" spans="5:13">
      <c r="E6773" s="473"/>
      <c r="F6773" s="473"/>
      <c r="G6773" s="473"/>
      <c r="H6773" s="473"/>
      <c r="I6773" s="473"/>
      <c r="J6773" s="473"/>
      <c r="K6773" s="473"/>
      <c r="L6773" s="473"/>
      <c r="M6773" s="473"/>
    </row>
    <row r="6774" spans="5:13">
      <c r="E6774" s="473"/>
      <c r="F6774" s="473"/>
      <c r="G6774" s="473"/>
      <c r="H6774" s="473"/>
      <c r="I6774" s="473"/>
      <c r="J6774" s="473"/>
      <c r="K6774" s="473"/>
      <c r="L6774" s="473"/>
      <c r="M6774" s="473"/>
    </row>
    <row r="6775" spans="5:13">
      <c r="E6775" s="473"/>
      <c r="F6775" s="473"/>
      <c r="G6775" s="473"/>
      <c r="H6775" s="473"/>
      <c r="I6775" s="473"/>
      <c r="J6775" s="473"/>
      <c r="K6775" s="473"/>
      <c r="L6775" s="473"/>
      <c r="M6775" s="473"/>
    </row>
    <row r="6776" spans="5:13">
      <c r="E6776" s="473"/>
      <c r="F6776" s="473"/>
      <c r="G6776" s="473"/>
      <c r="H6776" s="473"/>
      <c r="I6776" s="473"/>
      <c r="J6776" s="473"/>
      <c r="K6776" s="473"/>
      <c r="L6776" s="473"/>
      <c r="M6776" s="473"/>
    </row>
    <row r="6777" spans="5:13">
      <c r="E6777" s="473"/>
      <c r="F6777" s="473"/>
      <c r="G6777" s="473"/>
      <c r="H6777" s="473"/>
      <c r="I6777" s="473"/>
      <c r="J6777" s="473"/>
      <c r="K6777" s="473"/>
      <c r="L6777" s="473"/>
      <c r="M6777" s="473"/>
    </row>
    <row r="6778" spans="5:13">
      <c r="E6778" s="473"/>
      <c r="F6778" s="473"/>
      <c r="G6778" s="473"/>
      <c r="H6778" s="473"/>
      <c r="I6778" s="473"/>
      <c r="J6778" s="473"/>
      <c r="K6778" s="473"/>
      <c r="L6778" s="473"/>
      <c r="M6778" s="473"/>
    </row>
    <row r="6779" spans="5:13">
      <c r="E6779" s="473"/>
      <c r="F6779" s="473"/>
      <c r="G6779" s="473"/>
      <c r="H6779" s="473"/>
      <c r="I6779" s="473"/>
      <c r="J6779" s="473"/>
      <c r="K6779" s="473"/>
      <c r="L6779" s="473"/>
      <c r="M6779" s="473"/>
    </row>
    <row r="6780" spans="5:13">
      <c r="E6780" s="473"/>
      <c r="F6780" s="473"/>
      <c r="G6780" s="473"/>
      <c r="H6780" s="473"/>
      <c r="I6780" s="473"/>
      <c r="J6780" s="473"/>
      <c r="K6780" s="473"/>
      <c r="L6780" s="473"/>
      <c r="M6780" s="473"/>
    </row>
    <row r="6781" spans="5:13">
      <c r="E6781" s="473"/>
      <c r="F6781" s="473"/>
      <c r="G6781" s="473"/>
      <c r="H6781" s="473"/>
      <c r="I6781" s="473"/>
      <c r="J6781" s="473"/>
      <c r="K6781" s="473"/>
      <c r="L6781" s="473"/>
      <c r="M6781" s="473"/>
    </row>
    <row r="6782" spans="5:13">
      <c r="E6782" s="473"/>
      <c r="F6782" s="473"/>
      <c r="G6782" s="473"/>
      <c r="H6782" s="473"/>
      <c r="I6782" s="473"/>
      <c r="J6782" s="473"/>
      <c r="K6782" s="473"/>
      <c r="L6782" s="473"/>
      <c r="M6782" s="473"/>
    </row>
    <row r="6783" spans="5:13">
      <c r="E6783" s="473"/>
      <c r="F6783" s="473"/>
      <c r="G6783" s="473"/>
      <c r="H6783" s="473"/>
      <c r="I6783" s="473"/>
      <c r="J6783" s="473"/>
      <c r="K6783" s="473"/>
      <c r="L6783" s="473"/>
      <c r="M6783" s="473"/>
    </row>
    <row r="6784" spans="5:13">
      <c r="E6784" s="473"/>
      <c r="F6784" s="473"/>
      <c r="G6784" s="473"/>
      <c r="H6784" s="473"/>
      <c r="I6784" s="473"/>
      <c r="J6784" s="473"/>
      <c r="K6784" s="473"/>
      <c r="L6784" s="473"/>
      <c r="M6784" s="473"/>
    </row>
    <row r="6785" spans="5:13">
      <c r="E6785" s="473"/>
      <c r="F6785" s="473"/>
      <c r="G6785" s="473"/>
      <c r="H6785" s="473"/>
      <c r="I6785" s="473"/>
      <c r="J6785" s="473"/>
      <c r="K6785" s="473"/>
      <c r="L6785" s="473"/>
      <c r="M6785" s="473"/>
    </row>
    <row r="6786" spans="5:13">
      <c r="E6786" s="473"/>
      <c r="F6786" s="473"/>
      <c r="G6786" s="473"/>
      <c r="H6786" s="473"/>
      <c r="I6786" s="473"/>
      <c r="J6786" s="473"/>
      <c r="K6786" s="473"/>
      <c r="L6786" s="473"/>
      <c r="M6786" s="473"/>
    </row>
    <row r="6787" spans="5:13">
      <c r="E6787" s="473"/>
      <c r="F6787" s="473"/>
      <c r="G6787" s="473"/>
      <c r="H6787" s="473"/>
      <c r="I6787" s="473"/>
      <c r="J6787" s="473"/>
      <c r="K6787" s="473"/>
      <c r="L6787" s="473"/>
      <c r="M6787" s="473"/>
    </row>
    <row r="6788" spans="5:13">
      <c r="E6788" s="473"/>
      <c r="F6788" s="473"/>
      <c r="G6788" s="473"/>
      <c r="H6788" s="473"/>
      <c r="I6788" s="473"/>
      <c r="J6788" s="473"/>
      <c r="K6788" s="473"/>
      <c r="L6788" s="473"/>
      <c r="M6788" s="473"/>
    </row>
    <row r="6789" spans="5:13">
      <c r="E6789" s="473"/>
      <c r="F6789" s="473"/>
      <c r="G6789" s="473"/>
      <c r="H6789" s="473"/>
      <c r="I6789" s="473"/>
      <c r="J6789" s="473"/>
      <c r="K6789" s="473"/>
      <c r="L6789" s="473"/>
      <c r="M6789" s="473"/>
    </row>
    <row r="6790" spans="5:13">
      <c r="E6790" s="473"/>
      <c r="F6790" s="473"/>
      <c r="G6790" s="473"/>
      <c r="H6790" s="473"/>
      <c r="I6790" s="473"/>
      <c r="J6790" s="473"/>
      <c r="K6790" s="473"/>
      <c r="L6790" s="473"/>
      <c r="M6790" s="473"/>
    </row>
    <row r="6791" spans="5:13">
      <c r="E6791" s="473"/>
      <c r="F6791" s="473"/>
      <c r="G6791" s="473"/>
      <c r="H6791" s="473"/>
      <c r="I6791" s="473"/>
      <c r="J6791" s="473"/>
      <c r="K6791" s="473"/>
      <c r="L6791" s="473"/>
      <c r="M6791" s="473"/>
    </row>
    <row r="6792" spans="5:13">
      <c r="E6792" s="473"/>
      <c r="F6792" s="473"/>
      <c r="G6792" s="473"/>
      <c r="H6792" s="473"/>
      <c r="I6792" s="473"/>
      <c r="J6792" s="473"/>
      <c r="K6792" s="473"/>
      <c r="L6792" s="473"/>
      <c r="M6792" s="473"/>
    </row>
    <row r="6793" spans="5:13">
      <c r="E6793" s="473"/>
      <c r="F6793" s="473"/>
      <c r="G6793" s="473"/>
      <c r="H6793" s="473"/>
      <c r="I6793" s="473"/>
      <c r="J6793" s="473"/>
      <c r="K6793" s="473"/>
      <c r="L6793" s="473"/>
      <c r="M6793" s="473"/>
    </row>
    <row r="6794" spans="5:13">
      <c r="E6794" s="473"/>
      <c r="F6794" s="473"/>
      <c r="G6794" s="473"/>
      <c r="H6794" s="473"/>
      <c r="I6794" s="473"/>
      <c r="J6794" s="473"/>
      <c r="K6794" s="473"/>
      <c r="L6794" s="473"/>
      <c r="M6794" s="473"/>
    </row>
    <row r="6795" spans="5:13">
      <c r="E6795" s="473"/>
      <c r="F6795" s="473"/>
      <c r="G6795" s="473"/>
      <c r="H6795" s="473"/>
      <c r="I6795" s="473"/>
      <c r="J6795" s="473"/>
      <c r="K6795" s="473"/>
      <c r="L6795" s="473"/>
      <c r="M6795" s="473"/>
    </row>
    <row r="6796" spans="5:13">
      <c r="E6796" s="473"/>
      <c r="F6796" s="473"/>
      <c r="G6796" s="473"/>
      <c r="H6796" s="473"/>
      <c r="I6796" s="473"/>
      <c r="J6796" s="473"/>
      <c r="K6796" s="473"/>
      <c r="L6796" s="473"/>
      <c r="M6796" s="473"/>
    </row>
    <row r="6797" spans="5:13">
      <c r="E6797" s="473"/>
      <c r="F6797" s="473"/>
      <c r="G6797" s="473"/>
      <c r="H6797" s="473"/>
      <c r="I6797" s="473"/>
      <c r="J6797" s="473"/>
      <c r="K6797" s="473"/>
      <c r="L6797" s="473"/>
      <c r="M6797" s="473"/>
    </row>
    <row r="6798" spans="5:13">
      <c r="E6798" s="473"/>
      <c r="F6798" s="473"/>
      <c r="G6798" s="473"/>
      <c r="H6798" s="473"/>
      <c r="I6798" s="473"/>
      <c r="J6798" s="473"/>
      <c r="K6798" s="473"/>
      <c r="L6798" s="473"/>
      <c r="M6798" s="473"/>
    </row>
    <row r="6799" spans="5:13">
      <c r="E6799" s="473"/>
      <c r="F6799" s="473"/>
      <c r="G6799" s="473"/>
      <c r="H6799" s="473"/>
      <c r="I6799" s="473"/>
      <c r="J6799" s="473"/>
      <c r="K6799" s="473"/>
      <c r="L6799" s="473"/>
      <c r="M6799" s="473"/>
    </row>
    <row r="6800" spans="5:13">
      <c r="E6800" s="473"/>
      <c r="F6800" s="473"/>
      <c r="G6800" s="473"/>
      <c r="H6800" s="473"/>
      <c r="I6800" s="473"/>
      <c r="J6800" s="473"/>
      <c r="K6800" s="473"/>
      <c r="L6800" s="473"/>
      <c r="M6800" s="473"/>
    </row>
    <row r="6801" spans="5:13">
      <c r="E6801" s="473"/>
      <c r="F6801" s="473"/>
      <c r="G6801" s="473"/>
      <c r="H6801" s="473"/>
      <c r="I6801" s="473"/>
      <c r="J6801" s="473"/>
      <c r="K6801" s="473"/>
      <c r="L6801" s="473"/>
      <c r="M6801" s="473"/>
    </row>
    <row r="6802" spans="5:13">
      <c r="E6802" s="473"/>
      <c r="F6802" s="473"/>
      <c r="G6802" s="473"/>
      <c r="H6802" s="473"/>
      <c r="I6802" s="473"/>
      <c r="J6802" s="473"/>
      <c r="K6802" s="473"/>
      <c r="L6802" s="473"/>
      <c r="M6802" s="473"/>
    </row>
    <row r="6803" spans="5:13">
      <c r="E6803" s="473"/>
      <c r="F6803" s="473"/>
      <c r="G6803" s="473"/>
      <c r="H6803" s="473"/>
      <c r="I6803" s="473"/>
      <c r="J6803" s="473"/>
      <c r="K6803" s="473"/>
      <c r="L6803" s="473"/>
      <c r="M6803" s="473"/>
    </row>
    <row r="6804" spans="5:13">
      <c r="E6804" s="473"/>
      <c r="F6804" s="473"/>
      <c r="G6804" s="473"/>
      <c r="H6804" s="473"/>
      <c r="I6804" s="473"/>
      <c r="J6804" s="473"/>
      <c r="K6804" s="473"/>
      <c r="L6804" s="473"/>
      <c r="M6804" s="473"/>
    </row>
    <row r="6805" spans="5:13">
      <c r="E6805" s="473"/>
      <c r="F6805" s="473"/>
      <c r="G6805" s="473"/>
      <c r="H6805" s="473"/>
      <c r="I6805" s="473"/>
      <c r="J6805" s="473"/>
      <c r="K6805" s="473"/>
      <c r="L6805" s="473"/>
      <c r="M6805" s="473"/>
    </row>
    <row r="6806" spans="5:13">
      <c r="E6806" s="473"/>
      <c r="F6806" s="473"/>
      <c r="G6806" s="473"/>
      <c r="H6806" s="473"/>
      <c r="I6806" s="473"/>
      <c r="J6806" s="473"/>
      <c r="K6806" s="473"/>
      <c r="L6806" s="473"/>
      <c r="M6806" s="473"/>
    </row>
    <row r="6807" spans="5:13">
      <c r="E6807" s="473"/>
      <c r="F6807" s="473"/>
      <c r="G6807" s="473"/>
      <c r="H6807" s="473"/>
      <c r="I6807" s="473"/>
      <c r="J6807" s="473"/>
      <c r="K6807" s="473"/>
      <c r="L6807" s="473"/>
      <c r="M6807" s="473"/>
    </row>
    <row r="6808" spans="5:13">
      <c r="E6808" s="473"/>
      <c r="F6808" s="473"/>
      <c r="G6808" s="473"/>
      <c r="H6808" s="473"/>
      <c r="I6808" s="473"/>
      <c r="J6808" s="473"/>
      <c r="K6808" s="473"/>
      <c r="L6808" s="473"/>
      <c r="M6808" s="473"/>
    </row>
    <row r="6809" spans="5:13">
      <c r="E6809" s="473"/>
      <c r="F6809" s="473"/>
      <c r="G6809" s="473"/>
      <c r="H6809" s="473"/>
      <c r="I6809" s="473"/>
      <c r="J6809" s="473"/>
      <c r="K6809" s="473"/>
      <c r="L6809" s="473"/>
      <c r="M6809" s="473"/>
    </row>
    <row r="6810" spans="5:13">
      <c r="E6810" s="473"/>
      <c r="F6810" s="473"/>
      <c r="G6810" s="473"/>
      <c r="H6810" s="473"/>
      <c r="I6810" s="473"/>
      <c r="J6810" s="473"/>
      <c r="K6810" s="473"/>
      <c r="L6810" s="473"/>
      <c r="M6810" s="473"/>
    </row>
    <row r="6811" spans="5:13">
      <c r="E6811" s="473"/>
      <c r="F6811" s="473"/>
      <c r="G6811" s="473"/>
      <c r="H6811" s="473"/>
      <c r="I6811" s="473"/>
      <c r="J6811" s="473"/>
      <c r="K6811" s="473"/>
      <c r="L6811" s="473"/>
      <c r="M6811" s="473"/>
    </row>
    <row r="6812" spans="5:13">
      <c r="E6812" s="473"/>
      <c r="F6812" s="473"/>
      <c r="G6812" s="473"/>
      <c r="H6812" s="473"/>
      <c r="I6812" s="473"/>
      <c r="J6812" s="473"/>
      <c r="K6812" s="473"/>
      <c r="L6812" s="473"/>
      <c r="M6812" s="473"/>
    </row>
    <row r="6813" spans="5:13">
      <c r="E6813" s="473"/>
      <c r="F6813" s="473"/>
      <c r="G6813" s="473"/>
      <c r="H6813" s="473"/>
      <c r="I6813" s="473"/>
      <c r="J6813" s="473"/>
      <c r="K6813" s="473"/>
      <c r="L6813" s="473"/>
      <c r="M6813" s="473"/>
    </row>
    <row r="6814" spans="5:13">
      <c r="E6814" s="473"/>
      <c r="F6814" s="473"/>
      <c r="G6814" s="473"/>
      <c r="H6814" s="473"/>
      <c r="I6814" s="473"/>
      <c r="J6814" s="473"/>
      <c r="K6814" s="473"/>
      <c r="L6814" s="473"/>
      <c r="M6814" s="473"/>
    </row>
    <row r="6815" spans="5:13">
      <c r="E6815" s="473"/>
      <c r="F6815" s="473"/>
      <c r="G6815" s="473"/>
      <c r="H6815" s="473"/>
      <c r="I6815" s="473"/>
      <c r="J6815" s="473"/>
      <c r="K6815" s="473"/>
      <c r="L6815" s="473"/>
      <c r="M6815" s="473"/>
    </row>
    <row r="6816" spans="5:13">
      <c r="E6816" s="473"/>
      <c r="F6816" s="473"/>
      <c r="G6816" s="473"/>
      <c r="H6816" s="473"/>
      <c r="I6816" s="473"/>
      <c r="J6816" s="473"/>
      <c r="K6816" s="473"/>
      <c r="L6816" s="473"/>
      <c r="M6816" s="473"/>
    </row>
    <row r="6817" spans="5:13">
      <c r="E6817" s="473"/>
      <c r="F6817" s="473"/>
      <c r="G6817" s="473"/>
      <c r="H6817" s="473"/>
      <c r="I6817" s="473"/>
      <c r="J6817" s="473"/>
      <c r="K6817" s="473"/>
      <c r="L6817" s="473"/>
      <c r="M6817" s="473"/>
    </row>
    <row r="6818" spans="5:13">
      <c r="E6818" s="473"/>
      <c r="F6818" s="473"/>
      <c r="G6818" s="473"/>
      <c r="H6818" s="473"/>
      <c r="I6818" s="473"/>
      <c r="J6818" s="473"/>
      <c r="K6818" s="473"/>
      <c r="L6818" s="473"/>
      <c r="M6818" s="473"/>
    </row>
    <row r="6819" spans="5:13">
      <c r="E6819" s="473"/>
      <c r="F6819" s="473"/>
      <c r="G6819" s="473"/>
      <c r="H6819" s="473"/>
      <c r="I6819" s="473"/>
      <c r="J6819" s="473"/>
      <c r="K6819" s="473"/>
      <c r="L6819" s="473"/>
      <c r="M6819" s="473"/>
    </row>
    <row r="6820" spans="5:13">
      <c r="E6820" s="473"/>
      <c r="F6820" s="473"/>
      <c r="G6820" s="473"/>
      <c r="H6820" s="473"/>
      <c r="I6820" s="473"/>
      <c r="J6820" s="473"/>
      <c r="K6820" s="473"/>
      <c r="L6820" s="473"/>
      <c r="M6820" s="473"/>
    </row>
    <row r="6821" spans="5:13">
      <c r="E6821" s="473"/>
      <c r="F6821" s="473"/>
      <c r="G6821" s="473"/>
      <c r="H6821" s="473"/>
      <c r="I6821" s="473"/>
      <c r="J6821" s="473"/>
      <c r="K6821" s="473"/>
      <c r="L6821" s="473"/>
      <c r="M6821" s="473"/>
    </row>
    <row r="6822" spans="5:13">
      <c r="E6822" s="473"/>
      <c r="F6822" s="473"/>
      <c r="G6822" s="473"/>
      <c r="H6822" s="473"/>
      <c r="I6822" s="473"/>
      <c r="J6822" s="473"/>
      <c r="K6822" s="473"/>
      <c r="L6822" s="473"/>
      <c r="M6822" s="473"/>
    </row>
    <row r="6823" spans="5:13">
      <c r="E6823" s="473"/>
      <c r="F6823" s="473"/>
      <c r="G6823" s="473"/>
      <c r="H6823" s="473"/>
      <c r="I6823" s="473"/>
      <c r="J6823" s="473"/>
      <c r="K6823" s="473"/>
      <c r="L6823" s="473"/>
      <c r="M6823" s="473"/>
    </row>
    <row r="6824" spans="5:13">
      <c r="E6824" s="473"/>
      <c r="F6824" s="473"/>
      <c r="G6824" s="473"/>
      <c r="H6824" s="473"/>
      <c r="I6824" s="473"/>
      <c r="J6824" s="473"/>
      <c r="K6824" s="473"/>
      <c r="L6824" s="473"/>
      <c r="M6824" s="473"/>
    </row>
    <row r="6825" spans="5:13">
      <c r="E6825" s="473"/>
      <c r="F6825" s="473"/>
      <c r="G6825" s="473"/>
      <c r="H6825" s="473"/>
      <c r="I6825" s="473"/>
      <c r="J6825" s="473"/>
      <c r="K6825" s="473"/>
      <c r="L6825" s="473"/>
      <c r="M6825" s="473"/>
    </row>
    <row r="6826" spans="5:13">
      <c r="E6826" s="473"/>
      <c r="F6826" s="473"/>
      <c r="G6826" s="473"/>
      <c r="H6826" s="473"/>
      <c r="I6826" s="473"/>
      <c r="J6826" s="473"/>
      <c r="K6826" s="473"/>
      <c r="L6826" s="473"/>
      <c r="M6826" s="473"/>
    </row>
    <row r="6827" spans="5:13">
      <c r="E6827" s="473"/>
      <c r="F6827" s="473"/>
      <c r="G6827" s="473"/>
      <c r="H6827" s="473"/>
      <c r="I6827" s="473"/>
      <c r="J6827" s="473"/>
      <c r="K6827" s="473"/>
      <c r="L6827" s="473"/>
      <c r="M6827" s="473"/>
    </row>
    <row r="6828" spans="5:13">
      <c r="E6828" s="473"/>
      <c r="F6828" s="473"/>
      <c r="G6828" s="473"/>
      <c r="H6828" s="473"/>
      <c r="I6828" s="473"/>
      <c r="J6828" s="473"/>
      <c r="K6828" s="473"/>
      <c r="L6828" s="473"/>
      <c r="M6828" s="473"/>
    </row>
    <row r="6829" spans="5:13">
      <c r="E6829" s="473"/>
      <c r="F6829" s="473"/>
      <c r="G6829" s="473"/>
      <c r="H6829" s="473"/>
      <c r="I6829" s="473"/>
      <c r="J6829" s="473"/>
      <c r="K6829" s="473"/>
      <c r="L6829" s="473"/>
      <c r="M6829" s="473"/>
    </row>
    <row r="6830" spans="5:13">
      <c r="E6830" s="473"/>
      <c r="F6830" s="473"/>
      <c r="G6830" s="473"/>
      <c r="H6830" s="473"/>
      <c r="I6830" s="473"/>
      <c r="J6830" s="473"/>
      <c r="K6830" s="473"/>
      <c r="L6830" s="473"/>
      <c r="M6830" s="473"/>
    </row>
    <row r="6831" spans="5:13">
      <c r="E6831" s="473"/>
      <c r="F6831" s="473"/>
      <c r="G6831" s="473"/>
      <c r="H6831" s="473"/>
      <c r="I6831" s="473"/>
      <c r="J6831" s="473"/>
      <c r="K6831" s="473"/>
      <c r="L6831" s="473"/>
      <c r="M6831" s="473"/>
    </row>
    <row r="6832" spans="5:13">
      <c r="E6832" s="473"/>
      <c r="F6832" s="473"/>
      <c r="G6832" s="473"/>
      <c r="H6832" s="473"/>
      <c r="I6832" s="473"/>
      <c r="J6832" s="473"/>
      <c r="K6832" s="473"/>
      <c r="L6832" s="473"/>
      <c r="M6832" s="473"/>
    </row>
    <row r="6833" spans="5:13">
      <c r="E6833" s="473"/>
      <c r="F6833" s="473"/>
      <c r="G6833" s="473"/>
      <c r="H6833" s="473"/>
      <c r="I6833" s="473"/>
      <c r="J6833" s="473"/>
      <c r="K6833" s="473"/>
      <c r="L6833" s="473"/>
      <c r="M6833" s="473"/>
    </row>
    <row r="6834" spans="5:13">
      <c r="E6834" s="473"/>
      <c r="F6834" s="473"/>
      <c r="G6834" s="473"/>
      <c r="H6834" s="473"/>
      <c r="I6834" s="473"/>
      <c r="J6834" s="473"/>
      <c r="K6834" s="473"/>
      <c r="L6834" s="473"/>
      <c r="M6834" s="473"/>
    </row>
    <row r="6835" spans="5:13">
      <c r="E6835" s="473"/>
      <c r="F6835" s="473"/>
      <c r="G6835" s="473"/>
      <c r="H6835" s="473"/>
      <c r="I6835" s="473"/>
      <c r="J6835" s="473"/>
      <c r="K6835" s="473"/>
      <c r="L6835" s="473"/>
      <c r="M6835" s="473"/>
    </row>
    <row r="6836" spans="5:13">
      <c r="E6836" s="473"/>
      <c r="F6836" s="473"/>
      <c r="G6836" s="473"/>
      <c r="H6836" s="473"/>
      <c r="I6836" s="473"/>
      <c r="J6836" s="473"/>
      <c r="K6836" s="473"/>
      <c r="L6836" s="473"/>
      <c r="M6836" s="473"/>
    </row>
    <row r="6837" spans="5:13">
      <c r="E6837" s="473"/>
      <c r="F6837" s="473"/>
      <c r="G6837" s="473"/>
      <c r="H6837" s="473"/>
      <c r="I6837" s="473"/>
      <c r="J6837" s="473"/>
      <c r="K6837" s="473"/>
      <c r="L6837" s="473"/>
      <c r="M6837" s="473"/>
    </row>
    <row r="6838" spans="5:13">
      <c r="E6838" s="473"/>
      <c r="F6838" s="473"/>
      <c r="G6838" s="473"/>
      <c r="H6838" s="473"/>
      <c r="I6838" s="473"/>
      <c r="J6838" s="473"/>
      <c r="K6838" s="473"/>
      <c r="L6838" s="473"/>
      <c r="M6838" s="473"/>
    </row>
    <row r="6839" spans="5:13">
      <c r="E6839" s="473"/>
      <c r="F6839" s="473"/>
      <c r="G6839" s="473"/>
      <c r="H6839" s="473"/>
      <c r="I6839" s="473"/>
      <c r="J6839" s="473"/>
      <c r="K6839" s="473"/>
      <c r="L6839" s="473"/>
      <c r="M6839" s="473"/>
    </row>
    <row r="6840" spans="5:13">
      <c r="E6840" s="473"/>
      <c r="F6840" s="473"/>
      <c r="G6840" s="473"/>
      <c r="H6840" s="473"/>
      <c r="I6840" s="473"/>
      <c r="J6840" s="473"/>
      <c r="K6840" s="473"/>
      <c r="L6840" s="473"/>
      <c r="M6840" s="473"/>
    </row>
    <row r="6841" spans="5:13">
      <c r="E6841" s="473"/>
      <c r="F6841" s="473"/>
      <c r="G6841" s="473"/>
      <c r="H6841" s="473"/>
      <c r="I6841" s="473"/>
      <c r="J6841" s="473"/>
      <c r="K6841" s="473"/>
      <c r="L6841" s="473"/>
      <c r="M6841" s="473"/>
    </row>
    <row r="6842" spans="5:13">
      <c r="E6842" s="473"/>
      <c r="F6842" s="473"/>
      <c r="G6842" s="473"/>
      <c r="H6842" s="473"/>
      <c r="I6842" s="473"/>
      <c r="J6842" s="473"/>
      <c r="K6842" s="473"/>
      <c r="L6842" s="473"/>
      <c r="M6842" s="473"/>
    </row>
    <row r="6843" spans="5:13">
      <c r="E6843" s="473"/>
      <c r="F6843" s="473"/>
      <c r="G6843" s="473"/>
      <c r="H6843" s="473"/>
      <c r="I6843" s="473"/>
      <c r="J6843" s="473"/>
      <c r="K6843" s="473"/>
      <c r="L6843" s="473"/>
      <c r="M6843" s="473"/>
    </row>
    <row r="6844" spans="5:13">
      <c r="E6844" s="473"/>
      <c r="F6844" s="473"/>
      <c r="G6844" s="473"/>
      <c r="H6844" s="473"/>
      <c r="I6844" s="473"/>
      <c r="J6844" s="473"/>
      <c r="K6844" s="473"/>
      <c r="L6844" s="473"/>
      <c r="M6844" s="473"/>
    </row>
    <row r="6845" spans="5:13">
      <c r="E6845" s="473"/>
      <c r="F6845" s="473"/>
      <c r="G6845" s="473"/>
      <c r="H6845" s="473"/>
      <c r="I6845" s="473"/>
      <c r="J6845" s="473"/>
      <c r="K6845" s="473"/>
      <c r="L6845" s="473"/>
      <c r="M6845" s="473"/>
    </row>
    <row r="6846" spans="5:13">
      <c r="E6846" s="473"/>
      <c r="F6846" s="473"/>
      <c r="G6846" s="473"/>
      <c r="H6846" s="473"/>
      <c r="I6846" s="473"/>
      <c r="J6846" s="473"/>
      <c r="K6846" s="473"/>
      <c r="L6846" s="473"/>
      <c r="M6846" s="473"/>
    </row>
    <row r="6847" spans="5:13">
      <c r="E6847" s="473"/>
      <c r="F6847" s="473"/>
      <c r="G6847" s="473"/>
      <c r="H6847" s="473"/>
      <c r="I6847" s="473"/>
      <c r="J6847" s="473"/>
      <c r="K6847" s="473"/>
      <c r="L6847" s="473"/>
      <c r="M6847" s="473"/>
    </row>
    <row r="6848" spans="5:13">
      <c r="E6848" s="473"/>
      <c r="F6848" s="473"/>
      <c r="G6848" s="473"/>
      <c r="H6848" s="473"/>
      <c r="I6848" s="473"/>
      <c r="J6848" s="473"/>
      <c r="K6848" s="473"/>
      <c r="L6848" s="473"/>
      <c r="M6848" s="473"/>
    </row>
    <row r="6849" spans="5:13">
      <c r="E6849" s="473"/>
      <c r="F6849" s="473"/>
      <c r="G6849" s="473"/>
      <c r="H6849" s="473"/>
      <c r="I6849" s="473"/>
      <c r="J6849" s="473"/>
      <c r="K6849" s="473"/>
      <c r="L6849" s="473"/>
      <c r="M6849" s="473"/>
    </row>
    <row r="6850" spans="5:13">
      <c r="E6850" s="473"/>
      <c r="F6850" s="473"/>
      <c r="G6850" s="473"/>
      <c r="H6850" s="473"/>
      <c r="I6850" s="473"/>
      <c r="J6850" s="473"/>
      <c r="K6850" s="473"/>
      <c r="L6850" s="473"/>
      <c r="M6850" s="473"/>
    </row>
    <row r="6851" spans="5:13">
      <c r="E6851" s="473"/>
      <c r="F6851" s="473"/>
      <c r="G6851" s="473"/>
      <c r="H6851" s="473"/>
      <c r="I6851" s="473"/>
      <c r="J6851" s="473"/>
      <c r="K6851" s="473"/>
      <c r="L6851" s="473"/>
      <c r="M6851" s="473"/>
    </row>
    <row r="6852" spans="5:13">
      <c r="E6852" s="473"/>
      <c r="F6852" s="473"/>
      <c r="G6852" s="473"/>
      <c r="H6852" s="473"/>
      <c r="I6852" s="473"/>
      <c r="J6852" s="473"/>
      <c r="K6852" s="473"/>
      <c r="L6852" s="473"/>
      <c r="M6852" s="473"/>
    </row>
    <row r="6853" spans="5:13">
      <c r="E6853" s="473"/>
      <c r="F6853" s="473"/>
      <c r="G6853" s="473"/>
      <c r="H6853" s="473"/>
      <c r="I6853" s="473"/>
      <c r="J6853" s="473"/>
      <c r="K6853" s="473"/>
      <c r="L6853" s="473"/>
      <c r="M6853" s="473"/>
    </row>
    <row r="6854" spans="5:13">
      <c r="E6854" s="473"/>
      <c r="F6854" s="473"/>
      <c r="G6854" s="473"/>
      <c r="H6854" s="473"/>
      <c r="I6854" s="473"/>
      <c r="J6854" s="473"/>
      <c r="K6854" s="473"/>
      <c r="L6854" s="473"/>
      <c r="M6854" s="473"/>
    </row>
    <row r="6855" spans="5:13">
      <c r="E6855" s="473"/>
      <c r="F6855" s="473"/>
      <c r="G6855" s="473"/>
      <c r="H6855" s="473"/>
      <c r="I6855" s="473"/>
      <c r="J6855" s="473"/>
      <c r="K6855" s="473"/>
      <c r="L6855" s="473"/>
      <c r="M6855" s="473"/>
    </row>
    <row r="6856" spans="5:13">
      <c r="E6856" s="473"/>
      <c r="F6856" s="473"/>
      <c r="G6856" s="473"/>
      <c r="H6856" s="473"/>
      <c r="I6856" s="473"/>
      <c r="J6856" s="473"/>
      <c r="K6856" s="473"/>
      <c r="L6856" s="473"/>
      <c r="M6856" s="473"/>
    </row>
    <row r="6857" spans="5:13">
      <c r="E6857" s="473"/>
      <c r="F6857" s="473"/>
      <c r="G6857" s="473"/>
      <c r="H6857" s="473"/>
      <c r="I6857" s="473"/>
      <c r="J6857" s="473"/>
      <c r="K6857" s="473"/>
      <c r="L6857" s="473"/>
      <c r="M6857" s="473"/>
    </row>
    <row r="6858" spans="5:13">
      <c r="E6858" s="473"/>
      <c r="F6858" s="473"/>
      <c r="G6858" s="473"/>
      <c r="H6858" s="473"/>
      <c r="I6858" s="473"/>
      <c r="J6858" s="473"/>
      <c r="K6858" s="473"/>
      <c r="L6858" s="473"/>
      <c r="M6858" s="473"/>
    </row>
    <row r="6859" spans="5:13">
      <c r="E6859" s="473"/>
      <c r="F6859" s="473"/>
      <c r="G6859" s="473"/>
      <c r="H6859" s="473"/>
      <c r="I6859" s="473"/>
      <c r="J6859" s="473"/>
      <c r="K6859" s="473"/>
      <c r="L6859" s="473"/>
      <c r="M6859" s="473"/>
    </row>
    <row r="6860" spans="5:13">
      <c r="E6860" s="473"/>
      <c r="F6860" s="473"/>
      <c r="G6860" s="473"/>
      <c r="H6860" s="473"/>
      <c r="I6860" s="473"/>
      <c r="J6860" s="473"/>
      <c r="K6860" s="473"/>
      <c r="L6860" s="473"/>
      <c r="M6860" s="473"/>
    </row>
    <row r="6861" spans="5:13">
      <c r="E6861" s="473"/>
      <c r="F6861" s="473"/>
      <c r="G6861" s="473"/>
      <c r="H6861" s="473"/>
      <c r="I6861" s="473"/>
      <c r="J6861" s="473"/>
      <c r="K6861" s="473"/>
      <c r="L6861" s="473"/>
      <c r="M6861" s="473"/>
    </row>
    <row r="6862" spans="5:13">
      <c r="E6862" s="473"/>
      <c r="F6862" s="473"/>
      <c r="G6862" s="473"/>
      <c r="H6862" s="473"/>
      <c r="I6862" s="473"/>
      <c r="J6862" s="473"/>
      <c r="K6862" s="473"/>
      <c r="L6862" s="473"/>
      <c r="M6862" s="473"/>
    </row>
    <row r="6863" spans="5:13">
      <c r="E6863" s="473"/>
      <c r="F6863" s="473"/>
      <c r="G6863" s="473"/>
      <c r="H6863" s="473"/>
      <c r="I6863" s="473"/>
      <c r="J6863" s="473"/>
      <c r="K6863" s="473"/>
      <c r="L6863" s="473"/>
      <c r="M6863" s="473"/>
    </row>
    <row r="6864" spans="5:13">
      <c r="E6864" s="473"/>
      <c r="F6864" s="473"/>
      <c r="G6864" s="473"/>
      <c r="H6864" s="473"/>
      <c r="I6864" s="473"/>
      <c r="J6864" s="473"/>
      <c r="K6864" s="473"/>
      <c r="L6864" s="473"/>
      <c r="M6864" s="473"/>
    </row>
    <row r="6865" spans="5:13">
      <c r="E6865" s="473"/>
      <c r="F6865" s="473"/>
      <c r="G6865" s="473"/>
      <c r="H6865" s="473"/>
      <c r="I6865" s="473"/>
      <c r="J6865" s="473"/>
      <c r="K6865" s="473"/>
      <c r="L6865" s="473"/>
      <c r="M6865" s="473"/>
    </row>
    <row r="6866" spans="5:13">
      <c r="E6866" s="473"/>
      <c r="F6866" s="473"/>
      <c r="G6866" s="473"/>
      <c r="H6866" s="473"/>
      <c r="I6866" s="473"/>
      <c r="J6866" s="473"/>
      <c r="K6866" s="473"/>
      <c r="L6866" s="473"/>
      <c r="M6866" s="473"/>
    </row>
    <row r="6867" spans="5:13">
      <c r="E6867" s="473"/>
      <c r="F6867" s="473"/>
      <c r="G6867" s="473"/>
      <c r="H6867" s="473"/>
      <c r="I6867" s="473"/>
      <c r="J6867" s="473"/>
      <c r="K6867" s="473"/>
      <c r="L6867" s="473"/>
      <c r="M6867" s="473"/>
    </row>
    <row r="6868" spans="5:13">
      <c r="E6868" s="473"/>
      <c r="F6868" s="473"/>
      <c r="G6868" s="473"/>
      <c r="H6868" s="473"/>
      <c r="I6868" s="473"/>
      <c r="J6868" s="473"/>
      <c r="K6868" s="473"/>
      <c r="L6868" s="473"/>
      <c r="M6868" s="473"/>
    </row>
    <row r="6869" spans="5:13">
      <c r="E6869" s="473"/>
      <c r="F6869" s="473"/>
      <c r="G6869" s="473"/>
      <c r="H6869" s="473"/>
      <c r="I6869" s="473"/>
      <c r="J6869" s="473"/>
      <c r="K6869" s="473"/>
      <c r="L6869" s="473"/>
      <c r="M6869" s="473"/>
    </row>
    <row r="6870" spans="5:13">
      <c r="E6870" s="473"/>
      <c r="F6870" s="473"/>
      <c r="G6870" s="473"/>
      <c r="H6870" s="473"/>
      <c r="I6870" s="473"/>
      <c r="J6870" s="473"/>
      <c r="K6870" s="473"/>
      <c r="L6870" s="473"/>
      <c r="M6870" s="473"/>
    </row>
    <row r="6871" spans="5:13">
      <c r="E6871" s="473"/>
      <c r="F6871" s="473"/>
      <c r="G6871" s="473"/>
      <c r="H6871" s="473"/>
      <c r="I6871" s="473"/>
      <c r="J6871" s="473"/>
      <c r="K6871" s="473"/>
      <c r="L6871" s="473"/>
      <c r="M6871" s="473"/>
    </row>
    <row r="6872" spans="5:13">
      <c r="E6872" s="473"/>
      <c r="F6872" s="473"/>
      <c r="G6872" s="473"/>
      <c r="H6872" s="473"/>
      <c r="I6872" s="473"/>
      <c r="J6872" s="473"/>
      <c r="K6872" s="473"/>
      <c r="L6872" s="473"/>
      <c r="M6872" s="473"/>
    </row>
    <row r="6873" spans="5:13">
      <c r="E6873" s="473"/>
      <c r="F6873" s="473"/>
      <c r="G6873" s="473"/>
      <c r="H6873" s="473"/>
      <c r="I6873" s="473"/>
      <c r="J6873" s="473"/>
      <c r="K6873" s="473"/>
      <c r="L6873" s="473"/>
      <c r="M6873" s="473"/>
    </row>
    <row r="6874" spans="5:13">
      <c r="E6874" s="473"/>
      <c r="F6874" s="473"/>
      <c r="G6874" s="473"/>
      <c r="H6874" s="473"/>
      <c r="I6874" s="473"/>
      <c r="J6874" s="473"/>
      <c r="K6874" s="473"/>
      <c r="L6874" s="473"/>
      <c r="M6874" s="473"/>
    </row>
    <row r="6875" spans="5:13">
      <c r="E6875" s="473"/>
      <c r="F6875" s="473"/>
      <c r="G6875" s="473"/>
      <c r="H6875" s="473"/>
      <c r="I6875" s="473"/>
      <c r="J6875" s="473"/>
      <c r="K6875" s="473"/>
      <c r="L6875" s="473"/>
      <c r="M6875" s="473"/>
    </row>
    <row r="6876" spans="5:13">
      <c r="E6876" s="473"/>
      <c r="F6876" s="473"/>
      <c r="G6876" s="473"/>
      <c r="H6876" s="473"/>
      <c r="I6876" s="473"/>
      <c r="J6876" s="473"/>
      <c r="K6876" s="473"/>
      <c r="L6876" s="473"/>
      <c r="M6876" s="473"/>
    </row>
    <row r="6877" spans="5:13">
      <c r="E6877" s="473"/>
      <c r="F6877" s="473"/>
      <c r="G6877" s="473"/>
      <c r="H6877" s="473"/>
      <c r="I6877" s="473"/>
      <c r="J6877" s="473"/>
      <c r="K6877" s="473"/>
      <c r="L6877" s="473"/>
      <c r="M6877" s="473"/>
    </row>
    <row r="6878" spans="5:13">
      <c r="E6878" s="473"/>
      <c r="F6878" s="473"/>
      <c r="G6878" s="473"/>
      <c r="H6878" s="473"/>
      <c r="I6878" s="473"/>
      <c r="J6878" s="473"/>
      <c r="K6878" s="473"/>
      <c r="L6878" s="473"/>
      <c r="M6878" s="473"/>
    </row>
    <row r="6879" spans="5:13">
      <c r="E6879" s="473"/>
      <c r="F6879" s="473"/>
      <c r="G6879" s="473"/>
      <c r="H6879" s="473"/>
      <c r="I6879" s="473"/>
      <c r="J6879" s="473"/>
      <c r="K6879" s="473"/>
      <c r="L6879" s="473"/>
      <c r="M6879" s="473"/>
    </row>
    <row r="6880" spans="5:13">
      <c r="E6880" s="473"/>
      <c r="F6880" s="473"/>
      <c r="G6880" s="473"/>
      <c r="H6880" s="473"/>
      <c r="I6880" s="473"/>
      <c r="J6880" s="473"/>
      <c r="K6880" s="473"/>
      <c r="L6880" s="473"/>
      <c r="M6880" s="473"/>
    </row>
    <row r="6881" spans="5:13">
      <c r="E6881" s="473"/>
      <c r="F6881" s="473"/>
      <c r="G6881" s="473"/>
      <c r="H6881" s="473"/>
      <c r="I6881" s="473"/>
      <c r="J6881" s="473"/>
      <c r="K6881" s="473"/>
      <c r="L6881" s="473"/>
      <c r="M6881" s="473"/>
    </row>
    <row r="6882" spans="5:13">
      <c r="E6882" s="473"/>
      <c r="F6882" s="473"/>
      <c r="G6882" s="473"/>
      <c r="H6882" s="473"/>
      <c r="I6882" s="473"/>
      <c r="J6882" s="473"/>
      <c r="K6882" s="473"/>
      <c r="L6882" s="473"/>
      <c r="M6882" s="473"/>
    </row>
    <row r="6883" spans="5:13">
      <c r="E6883" s="473"/>
      <c r="F6883" s="473"/>
      <c r="G6883" s="473"/>
      <c r="H6883" s="473"/>
      <c r="I6883" s="473"/>
      <c r="J6883" s="473"/>
      <c r="K6883" s="473"/>
      <c r="L6883" s="473"/>
      <c r="M6883" s="473"/>
    </row>
    <row r="6884" spans="5:13">
      <c r="E6884" s="473"/>
      <c r="F6884" s="473"/>
      <c r="G6884" s="473"/>
      <c r="H6884" s="473"/>
      <c r="I6884" s="473"/>
      <c r="J6884" s="473"/>
      <c r="K6884" s="473"/>
      <c r="L6884" s="473"/>
      <c r="M6884" s="473"/>
    </row>
    <row r="6885" spans="5:13">
      <c r="E6885" s="473"/>
      <c r="F6885" s="473"/>
      <c r="G6885" s="473"/>
      <c r="H6885" s="473"/>
      <c r="I6885" s="473"/>
      <c r="J6885" s="473"/>
      <c r="K6885" s="473"/>
      <c r="L6885" s="473"/>
      <c r="M6885" s="473"/>
    </row>
    <row r="6886" spans="5:13">
      <c r="E6886" s="473"/>
      <c r="F6886" s="473"/>
      <c r="G6886" s="473"/>
      <c r="H6886" s="473"/>
      <c r="I6886" s="473"/>
      <c r="J6886" s="473"/>
      <c r="K6886" s="473"/>
      <c r="L6886" s="473"/>
      <c r="M6886" s="473"/>
    </row>
    <row r="6887" spans="5:13">
      <c r="E6887" s="473"/>
      <c r="F6887" s="473"/>
      <c r="G6887" s="473"/>
      <c r="H6887" s="473"/>
      <c r="I6887" s="473"/>
      <c r="J6887" s="473"/>
      <c r="K6887" s="473"/>
      <c r="L6887" s="473"/>
      <c r="M6887" s="473"/>
    </row>
    <row r="6888" spans="5:13">
      <c r="E6888" s="473"/>
      <c r="F6888" s="473"/>
      <c r="G6888" s="473"/>
      <c r="H6888" s="473"/>
      <c r="I6888" s="473"/>
      <c r="J6888" s="473"/>
      <c r="K6888" s="473"/>
      <c r="L6888" s="473"/>
      <c r="M6888" s="473"/>
    </row>
    <row r="6889" spans="5:13">
      <c r="E6889" s="473"/>
      <c r="F6889" s="473"/>
      <c r="G6889" s="473"/>
      <c r="H6889" s="473"/>
      <c r="I6889" s="473"/>
      <c r="J6889" s="473"/>
      <c r="K6889" s="473"/>
      <c r="L6889" s="473"/>
      <c r="M6889" s="473"/>
    </row>
    <row r="6890" spans="5:13">
      <c r="E6890" s="473"/>
      <c r="F6890" s="473"/>
      <c r="G6890" s="473"/>
      <c r="H6890" s="473"/>
      <c r="I6890" s="473"/>
      <c r="J6890" s="473"/>
      <c r="K6890" s="473"/>
      <c r="L6890" s="473"/>
      <c r="M6890" s="473"/>
    </row>
    <row r="6891" spans="5:13">
      <c r="E6891" s="473"/>
      <c r="F6891" s="473"/>
      <c r="G6891" s="473"/>
      <c r="H6891" s="473"/>
      <c r="I6891" s="473"/>
      <c r="J6891" s="473"/>
      <c r="K6891" s="473"/>
      <c r="L6891" s="473"/>
      <c r="M6891" s="473"/>
    </row>
    <row r="6892" spans="5:13">
      <c r="E6892" s="473"/>
      <c r="F6892" s="473"/>
      <c r="G6892" s="473"/>
      <c r="H6892" s="473"/>
      <c r="I6892" s="473"/>
      <c r="J6892" s="473"/>
      <c r="K6892" s="473"/>
      <c r="L6892" s="473"/>
      <c r="M6892" s="473"/>
    </row>
    <row r="6893" spans="5:13">
      <c r="E6893" s="473"/>
      <c r="F6893" s="473"/>
      <c r="G6893" s="473"/>
      <c r="H6893" s="473"/>
      <c r="I6893" s="473"/>
      <c r="J6893" s="473"/>
      <c r="K6893" s="473"/>
      <c r="L6893" s="473"/>
      <c r="M6893" s="473"/>
    </row>
    <row r="6894" spans="5:13">
      <c r="E6894" s="473"/>
      <c r="F6894" s="473"/>
      <c r="G6894" s="473"/>
      <c r="H6894" s="473"/>
      <c r="I6894" s="473"/>
      <c r="J6894" s="473"/>
      <c r="K6894" s="473"/>
      <c r="L6894" s="473"/>
      <c r="M6894" s="473"/>
    </row>
    <row r="6895" spans="5:13">
      <c r="E6895" s="473"/>
      <c r="F6895" s="473"/>
      <c r="G6895" s="473"/>
      <c r="H6895" s="473"/>
      <c r="I6895" s="473"/>
      <c r="J6895" s="473"/>
      <c r="K6895" s="473"/>
      <c r="L6895" s="473"/>
      <c r="M6895" s="473"/>
    </row>
    <row r="6896" spans="5:13">
      <c r="E6896" s="473"/>
      <c r="F6896" s="473"/>
      <c r="G6896" s="473"/>
      <c r="H6896" s="473"/>
      <c r="I6896" s="473"/>
      <c r="J6896" s="473"/>
      <c r="K6896" s="473"/>
      <c r="L6896" s="473"/>
      <c r="M6896" s="473"/>
    </row>
    <row r="6897" spans="5:13">
      <c r="E6897" s="473"/>
      <c r="F6897" s="473"/>
      <c r="G6897" s="473"/>
      <c r="H6897" s="473"/>
      <c r="I6897" s="473"/>
      <c r="J6897" s="473"/>
      <c r="K6897" s="473"/>
      <c r="L6897" s="473"/>
      <c r="M6897" s="473"/>
    </row>
    <row r="6898" spans="5:13">
      <c r="E6898" s="473"/>
      <c r="F6898" s="473"/>
      <c r="G6898" s="473"/>
      <c r="H6898" s="473"/>
      <c r="I6898" s="473"/>
      <c r="J6898" s="473"/>
      <c r="K6898" s="473"/>
      <c r="L6898" s="473"/>
      <c r="M6898" s="473"/>
    </row>
    <row r="6899" spans="5:13">
      <c r="E6899" s="473"/>
      <c r="F6899" s="473"/>
      <c r="G6899" s="473"/>
      <c r="H6899" s="473"/>
      <c r="I6899" s="473"/>
      <c r="J6899" s="473"/>
      <c r="K6899" s="473"/>
      <c r="L6899" s="473"/>
      <c r="M6899" s="473"/>
    </row>
    <row r="6900" spans="5:13">
      <c r="E6900" s="473"/>
      <c r="F6900" s="473"/>
      <c r="G6900" s="473"/>
      <c r="H6900" s="473"/>
      <c r="I6900" s="473"/>
      <c r="J6900" s="473"/>
      <c r="K6900" s="473"/>
      <c r="L6900" s="473"/>
      <c r="M6900" s="473"/>
    </row>
    <row r="6901" spans="5:13">
      <c r="E6901" s="473"/>
      <c r="F6901" s="473"/>
      <c r="G6901" s="473"/>
      <c r="H6901" s="473"/>
      <c r="I6901" s="473"/>
      <c r="J6901" s="473"/>
      <c r="K6901" s="473"/>
      <c r="L6901" s="473"/>
      <c r="M6901" s="473"/>
    </row>
    <row r="6902" spans="5:13">
      <c r="E6902" s="473"/>
      <c r="F6902" s="473"/>
      <c r="G6902" s="473"/>
      <c r="H6902" s="473"/>
      <c r="I6902" s="473"/>
      <c r="J6902" s="473"/>
      <c r="K6902" s="473"/>
      <c r="L6902" s="473"/>
      <c r="M6902" s="473"/>
    </row>
    <row r="6903" spans="5:13">
      <c r="E6903" s="473"/>
      <c r="F6903" s="473"/>
      <c r="G6903" s="473"/>
      <c r="H6903" s="473"/>
      <c r="I6903" s="473"/>
      <c r="J6903" s="473"/>
      <c r="K6903" s="473"/>
      <c r="L6903" s="473"/>
      <c r="M6903" s="473"/>
    </row>
    <row r="6904" spans="5:13">
      <c r="E6904" s="473"/>
      <c r="F6904" s="473"/>
      <c r="G6904" s="473"/>
      <c r="H6904" s="473"/>
      <c r="I6904" s="473"/>
      <c r="J6904" s="473"/>
      <c r="K6904" s="473"/>
      <c r="L6904" s="473"/>
      <c r="M6904" s="473"/>
    </row>
    <row r="6905" spans="5:13">
      <c r="E6905" s="473"/>
      <c r="F6905" s="473"/>
      <c r="G6905" s="473"/>
      <c r="H6905" s="473"/>
      <c r="I6905" s="473"/>
      <c r="J6905" s="473"/>
      <c r="K6905" s="473"/>
      <c r="L6905" s="473"/>
      <c r="M6905" s="473"/>
    </row>
    <row r="6906" spans="5:13">
      <c r="E6906" s="473"/>
      <c r="F6906" s="473"/>
      <c r="G6906" s="473"/>
      <c r="H6906" s="473"/>
      <c r="I6906" s="473"/>
      <c r="J6906" s="473"/>
      <c r="K6906" s="473"/>
      <c r="L6906" s="473"/>
      <c r="M6906" s="473"/>
    </row>
    <row r="6907" spans="5:13">
      <c r="E6907" s="473"/>
      <c r="F6907" s="473"/>
      <c r="G6907" s="473"/>
      <c r="H6907" s="473"/>
      <c r="I6907" s="473"/>
      <c r="J6907" s="473"/>
      <c r="K6907" s="473"/>
      <c r="L6907" s="473"/>
      <c r="M6907" s="473"/>
    </row>
    <row r="6908" spans="5:13">
      <c r="E6908" s="473"/>
      <c r="F6908" s="473"/>
      <c r="G6908" s="473"/>
      <c r="H6908" s="473"/>
      <c r="I6908" s="473"/>
      <c r="J6908" s="473"/>
      <c r="K6908" s="473"/>
      <c r="L6908" s="473"/>
      <c r="M6908" s="473"/>
    </row>
    <row r="6909" spans="5:13">
      <c r="E6909" s="473"/>
      <c r="F6909" s="473"/>
      <c r="G6909" s="473"/>
      <c r="H6909" s="473"/>
      <c r="I6909" s="473"/>
      <c r="J6909" s="473"/>
      <c r="K6909" s="473"/>
      <c r="L6909" s="473"/>
      <c r="M6909" s="473"/>
    </row>
    <row r="6910" spans="5:13">
      <c r="E6910" s="473"/>
      <c r="F6910" s="473"/>
      <c r="G6910" s="473"/>
      <c r="H6910" s="473"/>
      <c r="I6910" s="473"/>
      <c r="J6910" s="473"/>
      <c r="K6910" s="473"/>
      <c r="L6910" s="473"/>
      <c r="M6910" s="473"/>
    </row>
    <row r="6911" spans="5:13">
      <c r="E6911" s="473"/>
      <c r="F6911" s="473"/>
      <c r="G6911" s="473"/>
      <c r="H6911" s="473"/>
      <c r="I6911" s="473"/>
      <c r="J6911" s="473"/>
      <c r="K6911" s="473"/>
      <c r="L6911" s="473"/>
      <c r="M6911" s="473"/>
    </row>
    <row r="6912" spans="5:13">
      <c r="E6912" s="473"/>
      <c r="F6912" s="473"/>
      <c r="G6912" s="473"/>
      <c r="H6912" s="473"/>
      <c r="I6912" s="473"/>
      <c r="J6912" s="473"/>
      <c r="K6912" s="473"/>
      <c r="L6912" s="473"/>
      <c r="M6912" s="473"/>
    </row>
    <row r="6913" spans="5:13">
      <c r="E6913" s="473"/>
      <c r="F6913" s="473"/>
      <c r="G6913" s="473"/>
      <c r="H6913" s="473"/>
      <c r="I6913" s="473"/>
      <c r="J6913" s="473"/>
      <c r="K6913" s="473"/>
      <c r="L6913" s="473"/>
      <c r="M6913" s="473"/>
    </row>
    <row r="6914" spans="5:13">
      <c r="E6914" s="473"/>
      <c r="F6914" s="473"/>
      <c r="G6914" s="473"/>
      <c r="H6914" s="473"/>
      <c r="I6914" s="473"/>
      <c r="J6914" s="473"/>
      <c r="K6914" s="473"/>
      <c r="L6914" s="473"/>
      <c r="M6914" s="473"/>
    </row>
    <row r="6915" spans="5:13">
      <c r="E6915" s="473"/>
      <c r="F6915" s="473"/>
      <c r="G6915" s="473"/>
      <c r="H6915" s="473"/>
      <c r="I6915" s="473"/>
      <c r="J6915" s="473"/>
      <c r="K6915" s="473"/>
      <c r="L6915" s="473"/>
      <c r="M6915" s="473"/>
    </row>
    <row r="6916" spans="5:13">
      <c r="E6916" s="473"/>
      <c r="F6916" s="473"/>
      <c r="G6916" s="473"/>
      <c r="H6916" s="473"/>
      <c r="I6916" s="473"/>
      <c r="J6916" s="473"/>
      <c r="K6916" s="473"/>
      <c r="L6916" s="473"/>
      <c r="M6916" s="473"/>
    </row>
    <row r="6917" spans="5:13">
      <c r="E6917" s="473"/>
      <c r="F6917" s="473"/>
      <c r="G6917" s="473"/>
      <c r="H6917" s="473"/>
      <c r="I6917" s="473"/>
      <c r="J6917" s="473"/>
      <c r="K6917" s="473"/>
      <c r="L6917" s="473"/>
      <c r="M6917" s="473"/>
    </row>
    <row r="6918" spans="5:13">
      <c r="E6918" s="473"/>
      <c r="F6918" s="473"/>
      <c r="G6918" s="473"/>
      <c r="H6918" s="473"/>
      <c r="I6918" s="473"/>
      <c r="J6918" s="473"/>
      <c r="K6918" s="473"/>
      <c r="L6918" s="473"/>
      <c r="M6918" s="473"/>
    </row>
    <row r="6919" spans="5:13">
      <c r="E6919" s="473"/>
      <c r="F6919" s="473"/>
      <c r="G6919" s="473"/>
      <c r="H6919" s="473"/>
      <c r="I6919" s="473"/>
      <c r="J6919" s="473"/>
      <c r="K6919" s="473"/>
      <c r="L6919" s="473"/>
      <c r="M6919" s="473"/>
    </row>
    <row r="6920" spans="5:13">
      <c r="E6920" s="473"/>
      <c r="F6920" s="473"/>
      <c r="G6920" s="473"/>
      <c r="H6920" s="473"/>
      <c r="I6920" s="473"/>
      <c r="J6920" s="473"/>
      <c r="K6920" s="473"/>
      <c r="L6920" s="473"/>
      <c r="M6920" s="473"/>
    </row>
    <row r="6921" spans="5:13">
      <c r="E6921" s="473"/>
      <c r="F6921" s="473"/>
      <c r="G6921" s="473"/>
      <c r="H6921" s="473"/>
      <c r="I6921" s="473"/>
      <c r="J6921" s="473"/>
      <c r="K6921" s="473"/>
      <c r="L6921" s="473"/>
      <c r="M6921" s="473"/>
    </row>
    <row r="6922" spans="5:13">
      <c r="E6922" s="473"/>
      <c r="F6922" s="473"/>
      <c r="G6922" s="473"/>
      <c r="H6922" s="473"/>
      <c r="I6922" s="473"/>
      <c r="J6922" s="473"/>
      <c r="K6922" s="473"/>
      <c r="L6922" s="473"/>
      <c r="M6922" s="473"/>
    </row>
    <row r="6923" spans="5:13">
      <c r="E6923" s="473"/>
      <c r="F6923" s="473"/>
      <c r="G6923" s="473"/>
      <c r="H6923" s="473"/>
      <c r="I6923" s="473"/>
      <c r="J6923" s="473"/>
      <c r="K6923" s="473"/>
      <c r="L6923" s="473"/>
      <c r="M6923" s="473"/>
    </row>
    <row r="6924" spans="5:13">
      <c r="E6924" s="473"/>
      <c r="F6924" s="473"/>
      <c r="G6924" s="473"/>
      <c r="H6924" s="473"/>
      <c r="I6924" s="473"/>
      <c r="J6924" s="473"/>
      <c r="K6924" s="473"/>
      <c r="L6924" s="473"/>
      <c r="M6924" s="473"/>
    </row>
    <row r="6925" spans="5:13">
      <c r="E6925" s="473"/>
      <c r="F6925" s="473"/>
      <c r="G6925" s="473"/>
      <c r="H6925" s="473"/>
      <c r="I6925" s="473"/>
      <c r="J6925" s="473"/>
      <c r="K6925" s="473"/>
      <c r="L6925" s="473"/>
      <c r="M6925" s="473"/>
    </row>
    <row r="6926" spans="5:13">
      <c r="E6926" s="473"/>
      <c r="F6926" s="473"/>
      <c r="G6926" s="473"/>
      <c r="H6926" s="473"/>
      <c r="I6926" s="473"/>
      <c r="J6926" s="473"/>
      <c r="K6926" s="473"/>
      <c r="L6926" s="473"/>
      <c r="M6926" s="473"/>
    </row>
    <row r="6927" spans="5:13">
      <c r="E6927" s="473"/>
      <c r="F6927" s="473"/>
      <c r="G6927" s="473"/>
      <c r="H6927" s="473"/>
      <c r="I6927" s="473"/>
      <c r="J6927" s="473"/>
      <c r="K6927" s="473"/>
      <c r="L6927" s="473"/>
      <c r="M6927" s="473"/>
    </row>
    <row r="6928" spans="5:13">
      <c r="E6928" s="473"/>
      <c r="F6928" s="473"/>
      <c r="G6928" s="473"/>
      <c r="H6928" s="473"/>
      <c r="I6928" s="473"/>
      <c r="J6928" s="473"/>
      <c r="K6928" s="473"/>
      <c r="L6928" s="473"/>
      <c r="M6928" s="473"/>
    </row>
    <row r="6929" spans="5:13">
      <c r="E6929" s="473"/>
      <c r="F6929" s="473"/>
      <c r="G6929" s="473"/>
      <c r="H6929" s="473"/>
      <c r="I6929" s="473"/>
      <c r="J6929" s="473"/>
      <c r="K6929" s="473"/>
      <c r="L6929" s="473"/>
      <c r="M6929" s="473"/>
    </row>
    <row r="6930" spans="5:13">
      <c r="E6930" s="473"/>
      <c r="F6930" s="473"/>
      <c r="G6930" s="473"/>
      <c r="H6930" s="473"/>
      <c r="I6930" s="473"/>
      <c r="J6930" s="473"/>
      <c r="K6930" s="473"/>
      <c r="L6930" s="473"/>
      <c r="M6930" s="473"/>
    </row>
    <row r="6931" spans="5:13">
      <c r="E6931" s="473"/>
      <c r="F6931" s="473"/>
      <c r="G6931" s="473"/>
      <c r="H6931" s="473"/>
      <c r="I6931" s="473"/>
      <c r="J6931" s="473"/>
      <c r="K6931" s="473"/>
      <c r="L6931" s="473"/>
      <c r="M6931" s="473"/>
    </row>
    <row r="6932" spans="5:13">
      <c r="E6932" s="473"/>
      <c r="F6932" s="473"/>
      <c r="G6932" s="473"/>
      <c r="H6932" s="473"/>
      <c r="I6932" s="473"/>
      <c r="J6932" s="473"/>
      <c r="K6932" s="473"/>
      <c r="L6932" s="473"/>
      <c r="M6932" s="473"/>
    </row>
    <row r="6933" spans="5:13">
      <c r="E6933" s="473"/>
      <c r="F6933" s="473"/>
      <c r="G6933" s="473"/>
      <c r="H6933" s="473"/>
      <c r="I6933" s="473"/>
      <c r="J6933" s="473"/>
      <c r="K6933" s="473"/>
      <c r="L6933" s="473"/>
      <c r="M6933" s="473"/>
    </row>
    <row r="6934" spans="5:13">
      <c r="E6934" s="473"/>
      <c r="F6934" s="473"/>
      <c r="G6934" s="473"/>
      <c r="H6934" s="473"/>
      <c r="I6934" s="473"/>
      <c r="J6934" s="473"/>
      <c r="K6934" s="473"/>
      <c r="L6934" s="473"/>
      <c r="M6934" s="473"/>
    </row>
    <row r="6935" spans="5:13">
      <c r="E6935" s="473"/>
      <c r="F6935" s="473"/>
      <c r="G6935" s="473"/>
      <c r="H6935" s="473"/>
      <c r="I6935" s="473"/>
      <c r="J6935" s="473"/>
      <c r="K6935" s="473"/>
      <c r="L6935" s="473"/>
      <c r="M6935" s="473"/>
    </row>
    <row r="6936" spans="5:13">
      <c r="E6936" s="473"/>
      <c r="F6936" s="473"/>
      <c r="G6936" s="473"/>
      <c r="H6936" s="473"/>
      <c r="I6936" s="473"/>
      <c r="J6936" s="473"/>
      <c r="K6936" s="473"/>
      <c r="L6936" s="473"/>
      <c r="M6936" s="473"/>
    </row>
    <row r="6937" spans="5:13">
      <c r="E6937" s="473"/>
      <c r="F6937" s="473"/>
      <c r="G6937" s="473"/>
      <c r="H6937" s="473"/>
      <c r="I6937" s="473"/>
      <c r="J6937" s="473"/>
      <c r="K6937" s="473"/>
      <c r="L6937" s="473"/>
      <c r="M6937" s="473"/>
    </row>
    <row r="6938" spans="5:13">
      <c r="E6938" s="473"/>
      <c r="F6938" s="473"/>
      <c r="G6938" s="473"/>
      <c r="H6938" s="473"/>
      <c r="I6938" s="473"/>
      <c r="J6938" s="473"/>
      <c r="K6938" s="473"/>
      <c r="L6938" s="473"/>
      <c r="M6938" s="473"/>
    </row>
    <row r="6939" spans="5:13">
      <c r="E6939" s="473"/>
      <c r="F6939" s="473"/>
      <c r="G6939" s="473"/>
      <c r="H6939" s="473"/>
      <c r="I6939" s="473"/>
      <c r="J6939" s="473"/>
      <c r="K6939" s="473"/>
      <c r="L6939" s="473"/>
      <c r="M6939" s="473"/>
    </row>
    <row r="6940" spans="5:13">
      <c r="E6940" s="473"/>
      <c r="F6940" s="473"/>
      <c r="G6940" s="473"/>
      <c r="H6940" s="473"/>
      <c r="I6940" s="473"/>
      <c r="J6940" s="473"/>
      <c r="K6940" s="473"/>
      <c r="L6940" s="473"/>
      <c r="M6940" s="473"/>
    </row>
    <row r="6941" spans="5:13">
      <c r="E6941" s="473"/>
      <c r="F6941" s="473"/>
      <c r="G6941" s="473"/>
      <c r="H6941" s="473"/>
      <c r="I6941" s="473"/>
      <c r="J6941" s="473"/>
      <c r="K6941" s="473"/>
      <c r="L6941" s="473"/>
      <c r="M6941" s="473"/>
    </row>
    <row r="6942" spans="5:13">
      <c r="E6942" s="473"/>
      <c r="F6942" s="473"/>
      <c r="G6942" s="473"/>
      <c r="H6942" s="473"/>
      <c r="I6942" s="473"/>
      <c r="J6942" s="473"/>
      <c r="K6942" s="473"/>
      <c r="L6942" s="473"/>
      <c r="M6942" s="473"/>
    </row>
    <row r="6943" spans="5:13">
      <c r="E6943" s="473"/>
      <c r="F6943" s="473"/>
      <c r="G6943" s="473"/>
      <c r="H6943" s="473"/>
      <c r="I6943" s="473"/>
      <c r="J6943" s="473"/>
      <c r="K6943" s="473"/>
      <c r="L6943" s="473"/>
      <c r="M6943" s="473"/>
    </row>
    <row r="6944" spans="5:13">
      <c r="E6944" s="473"/>
      <c r="F6944" s="473"/>
      <c r="G6944" s="473"/>
      <c r="H6944" s="473"/>
      <c r="I6944" s="473"/>
      <c r="J6944" s="473"/>
      <c r="K6944" s="473"/>
      <c r="L6944" s="473"/>
      <c r="M6944" s="473"/>
    </row>
    <row r="6945" spans="5:13">
      <c r="E6945" s="473"/>
      <c r="F6945" s="473"/>
      <c r="G6945" s="473"/>
      <c r="H6945" s="473"/>
      <c r="I6945" s="473"/>
      <c r="J6945" s="473"/>
      <c r="K6945" s="473"/>
      <c r="L6945" s="473"/>
      <c r="M6945" s="473"/>
    </row>
    <row r="6946" spans="5:13">
      <c r="E6946" s="473"/>
      <c r="F6946" s="473"/>
      <c r="G6946" s="473"/>
      <c r="H6946" s="473"/>
      <c r="I6946" s="473"/>
      <c r="J6946" s="473"/>
      <c r="K6946" s="473"/>
      <c r="L6946" s="473"/>
      <c r="M6946" s="473"/>
    </row>
    <row r="6947" spans="5:13">
      <c r="E6947" s="473"/>
      <c r="F6947" s="473"/>
      <c r="G6947" s="473"/>
      <c r="H6947" s="473"/>
      <c r="I6947" s="473"/>
      <c r="J6947" s="473"/>
      <c r="K6947" s="473"/>
      <c r="L6947" s="473"/>
      <c r="M6947" s="473"/>
    </row>
    <row r="6948" spans="5:13">
      <c r="E6948" s="473"/>
      <c r="F6948" s="473"/>
      <c r="G6948" s="473"/>
      <c r="H6948" s="473"/>
      <c r="I6948" s="473"/>
      <c r="J6948" s="473"/>
      <c r="K6948" s="473"/>
      <c r="L6948" s="473"/>
      <c r="M6948" s="473"/>
    </row>
    <row r="6949" spans="5:13">
      <c r="E6949" s="473"/>
      <c r="F6949" s="473"/>
      <c r="G6949" s="473"/>
      <c r="H6949" s="473"/>
      <c r="I6949" s="473"/>
      <c r="J6949" s="473"/>
      <c r="K6949" s="473"/>
      <c r="L6949" s="473"/>
      <c r="M6949" s="473"/>
    </row>
    <row r="6950" spans="5:13">
      <c r="E6950" s="473"/>
      <c r="F6950" s="473"/>
      <c r="G6950" s="473"/>
      <c r="H6950" s="473"/>
      <c r="I6950" s="473"/>
      <c r="J6950" s="473"/>
      <c r="K6950" s="473"/>
      <c r="L6950" s="473"/>
      <c r="M6950" s="473"/>
    </row>
    <row r="6951" spans="5:13">
      <c r="E6951" s="473"/>
      <c r="F6951" s="473"/>
      <c r="G6951" s="473"/>
      <c r="H6951" s="473"/>
      <c r="I6951" s="473"/>
      <c r="J6951" s="473"/>
      <c r="K6951" s="473"/>
      <c r="L6951" s="473"/>
      <c r="M6951" s="473"/>
    </row>
    <row r="6952" spans="5:13">
      <c r="E6952" s="473"/>
      <c r="F6952" s="473"/>
      <c r="G6952" s="473"/>
      <c r="H6952" s="473"/>
      <c r="I6952" s="473"/>
      <c r="J6952" s="473"/>
      <c r="K6952" s="473"/>
      <c r="L6952" s="473"/>
      <c r="M6952" s="473"/>
    </row>
    <row r="6953" spans="5:13">
      <c r="E6953" s="473"/>
      <c r="F6953" s="473"/>
      <c r="G6953" s="473"/>
      <c r="H6953" s="473"/>
      <c r="I6953" s="473"/>
      <c r="J6953" s="473"/>
      <c r="K6953" s="473"/>
      <c r="L6953" s="473"/>
      <c r="M6953" s="473"/>
    </row>
    <row r="6954" spans="5:13">
      <c r="E6954" s="473"/>
      <c r="F6954" s="473"/>
      <c r="G6954" s="473"/>
      <c r="H6954" s="473"/>
      <c r="I6954" s="473"/>
      <c r="J6954" s="473"/>
      <c r="K6954" s="473"/>
      <c r="L6954" s="473"/>
      <c r="M6954" s="473"/>
    </row>
    <row r="6955" spans="5:13">
      <c r="E6955" s="473"/>
      <c r="F6955" s="473"/>
      <c r="G6955" s="473"/>
      <c r="H6955" s="473"/>
      <c r="I6955" s="473"/>
      <c r="J6955" s="473"/>
      <c r="K6955" s="473"/>
      <c r="L6955" s="473"/>
      <c r="M6955" s="473"/>
    </row>
    <row r="6956" spans="5:13">
      <c r="E6956" s="473"/>
      <c r="F6956" s="473"/>
      <c r="G6956" s="473"/>
      <c r="H6956" s="473"/>
      <c r="I6956" s="473"/>
      <c r="J6956" s="473"/>
      <c r="K6956" s="473"/>
      <c r="L6956" s="473"/>
      <c r="M6956" s="473"/>
    </row>
    <row r="6957" spans="5:13">
      <c r="E6957" s="473"/>
      <c r="F6957" s="473"/>
      <c r="G6957" s="473"/>
      <c r="H6957" s="473"/>
      <c r="I6957" s="473"/>
      <c r="J6957" s="473"/>
      <c r="K6957" s="473"/>
      <c r="L6957" s="473"/>
      <c r="M6957" s="473"/>
    </row>
    <row r="6958" spans="5:13">
      <c r="E6958" s="473"/>
      <c r="F6958" s="473"/>
      <c r="G6958" s="473"/>
      <c r="H6958" s="473"/>
      <c r="I6958" s="473"/>
      <c r="J6958" s="473"/>
      <c r="K6958" s="473"/>
      <c r="L6958" s="473"/>
      <c r="M6958" s="473"/>
    </row>
    <row r="6959" spans="5:13">
      <c r="E6959" s="473"/>
      <c r="F6959" s="473"/>
      <c r="G6959" s="473"/>
      <c r="H6959" s="473"/>
      <c r="I6959" s="473"/>
      <c r="J6959" s="473"/>
      <c r="K6959" s="473"/>
      <c r="L6959" s="473"/>
      <c r="M6959" s="473"/>
    </row>
    <row r="6960" spans="5:13">
      <c r="E6960" s="473"/>
      <c r="F6960" s="473"/>
      <c r="G6960" s="473"/>
      <c r="H6960" s="473"/>
      <c r="I6960" s="473"/>
      <c r="J6960" s="473"/>
      <c r="K6960" s="473"/>
      <c r="L6960" s="473"/>
      <c r="M6960" s="473"/>
    </row>
    <row r="6961" spans="5:13">
      <c r="E6961" s="473"/>
      <c r="F6961" s="473"/>
      <c r="G6961" s="473"/>
      <c r="H6961" s="473"/>
      <c r="I6961" s="473"/>
      <c r="J6961" s="473"/>
      <c r="K6961" s="473"/>
      <c r="L6961" s="473"/>
      <c r="M6961" s="473"/>
    </row>
    <row r="6962" spans="5:13">
      <c r="E6962" s="473"/>
      <c r="F6962" s="473"/>
      <c r="G6962" s="473"/>
      <c r="H6962" s="473"/>
      <c r="I6962" s="473"/>
      <c r="J6962" s="473"/>
      <c r="K6962" s="473"/>
      <c r="L6962" s="473"/>
      <c r="M6962" s="473"/>
    </row>
    <row r="6963" spans="5:13">
      <c r="E6963" s="473"/>
      <c r="F6963" s="473"/>
      <c r="G6963" s="473"/>
      <c r="H6963" s="473"/>
      <c r="I6963" s="473"/>
      <c r="J6963" s="473"/>
      <c r="K6963" s="473"/>
      <c r="L6963" s="473"/>
      <c r="M6963" s="473"/>
    </row>
    <row r="6964" spans="5:13">
      <c r="E6964" s="473"/>
      <c r="F6964" s="473"/>
      <c r="G6964" s="473"/>
      <c r="H6964" s="473"/>
      <c r="I6964" s="473"/>
      <c r="J6964" s="473"/>
      <c r="K6964" s="473"/>
      <c r="L6964" s="473"/>
      <c r="M6964" s="473"/>
    </row>
    <row r="6965" spans="5:13">
      <c r="E6965" s="473"/>
      <c r="F6965" s="473"/>
      <c r="G6965" s="473"/>
      <c r="H6965" s="473"/>
      <c r="I6965" s="473"/>
      <c r="J6965" s="473"/>
      <c r="K6965" s="473"/>
      <c r="L6965" s="473"/>
      <c r="M6965" s="473"/>
    </row>
    <row r="6966" spans="5:13">
      <c r="E6966" s="473"/>
      <c r="F6966" s="473"/>
      <c r="G6966" s="473"/>
      <c r="H6966" s="473"/>
      <c r="I6966" s="473"/>
      <c r="J6966" s="473"/>
      <c r="K6966" s="473"/>
      <c r="L6966" s="473"/>
      <c r="M6966" s="473"/>
    </row>
    <row r="6967" spans="5:13">
      <c r="E6967" s="473"/>
      <c r="F6967" s="473"/>
      <c r="G6967" s="473"/>
      <c r="H6967" s="473"/>
      <c r="I6967" s="473"/>
      <c r="J6967" s="473"/>
      <c r="K6967" s="473"/>
      <c r="L6967" s="473"/>
      <c r="M6967" s="473"/>
    </row>
    <row r="6968" spans="5:13">
      <c r="E6968" s="473"/>
      <c r="F6968" s="473"/>
      <c r="G6968" s="473"/>
      <c r="H6968" s="473"/>
      <c r="I6968" s="473"/>
      <c r="J6968" s="473"/>
      <c r="K6968" s="473"/>
      <c r="L6968" s="473"/>
      <c r="M6968" s="473"/>
    </row>
    <row r="6969" spans="5:13">
      <c r="E6969" s="473"/>
      <c r="F6969" s="473"/>
      <c r="G6969" s="473"/>
      <c r="H6969" s="473"/>
      <c r="I6969" s="473"/>
      <c r="J6969" s="473"/>
      <c r="K6969" s="473"/>
      <c r="L6969" s="473"/>
      <c r="M6969" s="473"/>
    </row>
    <row r="6970" spans="5:13">
      <c r="E6970" s="473"/>
      <c r="F6970" s="473"/>
      <c r="G6970" s="473"/>
      <c r="H6970" s="473"/>
      <c r="I6970" s="473"/>
      <c r="J6970" s="473"/>
      <c r="K6970" s="473"/>
      <c r="L6970" s="473"/>
      <c r="M6970" s="473"/>
    </row>
    <row r="6971" spans="5:13">
      <c r="E6971" s="473"/>
      <c r="F6971" s="473"/>
      <c r="G6971" s="473"/>
      <c r="H6971" s="473"/>
      <c r="I6971" s="473"/>
      <c r="J6971" s="473"/>
      <c r="K6971" s="473"/>
      <c r="L6971" s="473"/>
      <c r="M6971" s="473"/>
    </row>
    <row r="6972" spans="5:13">
      <c r="E6972" s="473"/>
      <c r="F6972" s="473"/>
      <c r="G6972" s="473"/>
      <c r="H6972" s="473"/>
      <c r="I6972" s="473"/>
      <c r="J6972" s="473"/>
      <c r="K6972" s="473"/>
      <c r="L6972" s="473"/>
      <c r="M6972" s="473"/>
    </row>
    <row r="6973" spans="5:13">
      <c r="E6973" s="473"/>
      <c r="F6973" s="473"/>
      <c r="G6973" s="473"/>
      <c r="H6973" s="473"/>
      <c r="I6973" s="473"/>
      <c r="J6973" s="473"/>
      <c r="K6973" s="473"/>
      <c r="L6973" s="473"/>
      <c r="M6973" s="473"/>
    </row>
    <row r="6974" spans="5:13">
      <c r="E6974" s="473"/>
      <c r="F6974" s="473"/>
      <c r="G6974" s="473"/>
      <c r="H6974" s="473"/>
      <c r="I6974" s="473"/>
      <c r="J6974" s="473"/>
      <c r="K6974" s="473"/>
      <c r="L6974" s="473"/>
      <c r="M6974" s="473"/>
    </row>
    <row r="6975" spans="5:13">
      <c r="E6975" s="473"/>
      <c r="F6975" s="473"/>
      <c r="G6975" s="473"/>
      <c r="H6975" s="473"/>
      <c r="I6975" s="473"/>
      <c r="J6975" s="473"/>
      <c r="K6975" s="473"/>
      <c r="L6975" s="473"/>
      <c r="M6975" s="473"/>
    </row>
    <row r="6976" spans="5:13">
      <c r="E6976" s="473"/>
      <c r="F6976" s="473"/>
      <c r="G6976" s="473"/>
      <c r="H6976" s="473"/>
      <c r="I6976" s="473"/>
      <c r="J6976" s="473"/>
      <c r="K6976" s="473"/>
      <c r="L6976" s="473"/>
      <c r="M6976" s="473"/>
    </row>
    <row r="6977" spans="5:13">
      <c r="E6977" s="473"/>
      <c r="F6977" s="473"/>
      <c r="G6977" s="473"/>
      <c r="H6977" s="473"/>
      <c r="I6977" s="473"/>
      <c r="J6977" s="473"/>
      <c r="K6977" s="473"/>
      <c r="L6977" s="473"/>
      <c r="M6977" s="473"/>
    </row>
    <row r="6978" spans="5:13">
      <c r="E6978" s="473"/>
      <c r="F6978" s="473"/>
      <c r="G6978" s="473"/>
      <c r="H6978" s="473"/>
      <c r="I6978" s="473"/>
      <c r="J6978" s="473"/>
      <c r="K6978" s="473"/>
      <c r="L6978" s="473"/>
      <c r="M6978" s="473"/>
    </row>
    <row r="6979" spans="5:13">
      <c r="E6979" s="473"/>
      <c r="F6979" s="473"/>
      <c r="G6979" s="473"/>
      <c r="H6979" s="473"/>
      <c r="I6979" s="473"/>
      <c r="J6979" s="473"/>
      <c r="K6979" s="473"/>
      <c r="L6979" s="473"/>
      <c r="M6979" s="473"/>
    </row>
    <row r="6980" spans="5:13">
      <c r="E6980" s="473"/>
      <c r="F6980" s="473"/>
      <c r="G6980" s="473"/>
      <c r="H6980" s="473"/>
      <c r="I6980" s="473"/>
      <c r="J6980" s="473"/>
      <c r="K6980" s="473"/>
      <c r="L6980" s="473"/>
      <c r="M6980" s="473"/>
    </row>
    <row r="6981" spans="5:13">
      <c r="E6981" s="473"/>
      <c r="F6981" s="473"/>
      <c r="G6981" s="473"/>
      <c r="H6981" s="473"/>
      <c r="I6981" s="473"/>
      <c r="J6981" s="473"/>
      <c r="K6981" s="473"/>
      <c r="L6981" s="473"/>
      <c r="M6981" s="473"/>
    </row>
    <row r="6982" spans="5:13">
      <c r="E6982" s="473"/>
      <c r="F6982" s="473"/>
      <c r="G6982" s="473"/>
      <c r="H6982" s="473"/>
      <c r="I6982" s="473"/>
      <c r="J6982" s="473"/>
      <c r="K6982" s="473"/>
      <c r="L6982" s="473"/>
      <c r="M6982" s="473"/>
    </row>
    <row r="6983" spans="5:13">
      <c r="E6983" s="473"/>
      <c r="F6983" s="473"/>
      <c r="G6983" s="473"/>
      <c r="H6983" s="473"/>
      <c r="I6983" s="473"/>
      <c r="J6983" s="473"/>
      <c r="K6983" s="473"/>
      <c r="L6983" s="473"/>
      <c r="M6983" s="473"/>
    </row>
    <row r="6984" spans="5:13">
      <c r="E6984" s="473"/>
      <c r="F6984" s="473"/>
      <c r="G6984" s="473"/>
      <c r="H6984" s="473"/>
      <c r="I6984" s="473"/>
      <c r="J6984" s="473"/>
      <c r="K6984" s="473"/>
      <c r="L6984" s="473"/>
      <c r="M6984" s="473"/>
    </row>
    <row r="6985" spans="5:13">
      <c r="E6985" s="473"/>
      <c r="F6985" s="473"/>
      <c r="G6985" s="473"/>
      <c r="H6985" s="473"/>
      <c r="I6985" s="473"/>
      <c r="J6985" s="473"/>
      <c r="K6985" s="473"/>
      <c r="L6985" s="473"/>
      <c r="M6985" s="473"/>
    </row>
    <row r="6986" spans="5:13">
      <c r="E6986" s="473"/>
      <c r="F6986" s="473"/>
      <c r="G6986" s="473"/>
      <c r="H6986" s="473"/>
      <c r="I6986" s="473"/>
      <c r="J6986" s="473"/>
      <c r="K6986" s="473"/>
      <c r="L6986" s="473"/>
      <c r="M6986" s="473"/>
    </row>
    <row r="6987" spans="5:13">
      <c r="E6987" s="473"/>
      <c r="F6987" s="473"/>
      <c r="G6987" s="473"/>
      <c r="H6987" s="473"/>
      <c r="I6987" s="473"/>
      <c r="J6987" s="473"/>
      <c r="K6987" s="473"/>
      <c r="L6987" s="473"/>
      <c r="M6987" s="473"/>
    </row>
    <row r="6988" spans="5:13">
      <c r="E6988" s="473"/>
      <c r="F6988" s="473"/>
      <c r="G6988" s="473"/>
      <c r="H6988" s="473"/>
      <c r="I6988" s="473"/>
      <c r="J6988" s="473"/>
      <c r="K6988" s="473"/>
      <c r="L6988" s="473"/>
      <c r="M6988" s="473"/>
    </row>
    <row r="6989" spans="5:13">
      <c r="E6989" s="473"/>
      <c r="F6989" s="473"/>
      <c r="G6989" s="473"/>
      <c r="H6989" s="473"/>
      <c r="I6989" s="473"/>
      <c r="J6989" s="473"/>
      <c r="K6989" s="473"/>
      <c r="L6989" s="473"/>
      <c r="M6989" s="473"/>
    </row>
    <row r="6990" spans="5:13">
      <c r="E6990" s="473"/>
      <c r="F6990" s="473"/>
      <c r="G6990" s="473"/>
      <c r="H6990" s="473"/>
      <c r="I6990" s="473"/>
      <c r="J6990" s="473"/>
      <c r="K6990" s="473"/>
      <c r="L6990" s="473"/>
      <c r="M6990" s="473"/>
    </row>
    <row r="6991" spans="5:13">
      <c r="E6991" s="473"/>
      <c r="F6991" s="473"/>
      <c r="G6991" s="473"/>
      <c r="H6991" s="473"/>
      <c r="I6991" s="473"/>
      <c r="J6991" s="473"/>
      <c r="K6991" s="473"/>
      <c r="L6991" s="473"/>
      <c r="M6991" s="473"/>
    </row>
    <row r="6992" spans="5:13">
      <c r="E6992" s="473"/>
      <c r="F6992" s="473"/>
      <c r="G6992" s="473"/>
      <c r="H6992" s="473"/>
      <c r="I6992" s="473"/>
      <c r="J6992" s="473"/>
      <c r="K6992" s="473"/>
      <c r="L6992" s="473"/>
      <c r="M6992" s="473"/>
    </row>
    <row r="6993" spans="5:13">
      <c r="E6993" s="473"/>
      <c r="F6993" s="473"/>
      <c r="G6993" s="473"/>
      <c r="H6993" s="473"/>
      <c r="I6993" s="473"/>
      <c r="J6993" s="473"/>
      <c r="K6993" s="473"/>
      <c r="L6993" s="473"/>
      <c r="M6993" s="473"/>
    </row>
    <row r="6994" spans="5:13">
      <c r="E6994" s="473"/>
      <c r="F6994" s="473"/>
      <c r="G6994" s="473"/>
      <c r="H6994" s="473"/>
      <c r="I6994" s="473"/>
      <c r="J6994" s="473"/>
      <c r="K6994" s="473"/>
      <c r="L6994" s="473"/>
      <c r="M6994" s="473"/>
    </row>
    <row r="6995" spans="5:13">
      <c r="E6995" s="473"/>
      <c r="F6995" s="473"/>
      <c r="G6995" s="473"/>
      <c r="H6995" s="473"/>
      <c r="I6995" s="473"/>
      <c r="J6995" s="473"/>
      <c r="K6995" s="473"/>
      <c r="L6995" s="473"/>
      <c r="M6995" s="473"/>
    </row>
    <row r="6996" spans="5:13">
      <c r="E6996" s="473"/>
      <c r="F6996" s="473"/>
      <c r="G6996" s="473"/>
      <c r="H6996" s="473"/>
      <c r="I6996" s="473"/>
      <c r="J6996" s="473"/>
      <c r="K6996" s="473"/>
      <c r="L6996" s="473"/>
      <c r="M6996" s="473"/>
    </row>
    <row r="6997" spans="5:13">
      <c r="E6997" s="473"/>
      <c r="F6997" s="473"/>
      <c r="G6997" s="473"/>
      <c r="H6997" s="473"/>
      <c r="I6997" s="473"/>
      <c r="J6997" s="473"/>
      <c r="K6997" s="473"/>
      <c r="L6997" s="473"/>
      <c r="M6997" s="473"/>
    </row>
    <row r="6998" spans="5:13">
      <c r="E6998" s="473"/>
      <c r="F6998" s="473"/>
      <c r="G6998" s="473"/>
      <c r="H6998" s="473"/>
      <c r="I6998" s="473"/>
      <c r="J6998" s="473"/>
      <c r="K6998" s="473"/>
      <c r="L6998" s="473"/>
      <c r="M6998" s="473"/>
    </row>
    <row r="6999" spans="5:13">
      <c r="E6999" s="473"/>
      <c r="F6999" s="473"/>
      <c r="G6999" s="473"/>
      <c r="H6999" s="473"/>
      <c r="I6999" s="473"/>
      <c r="J6999" s="473"/>
      <c r="K6999" s="473"/>
      <c r="L6999" s="473"/>
      <c r="M6999" s="473"/>
    </row>
    <row r="7000" spans="5:13">
      <c r="E7000" s="473"/>
      <c r="F7000" s="473"/>
      <c r="G7000" s="473"/>
      <c r="H7000" s="473"/>
      <c r="I7000" s="473"/>
      <c r="J7000" s="473"/>
      <c r="K7000" s="473"/>
      <c r="L7000" s="473"/>
      <c r="M7000" s="473"/>
    </row>
    <row r="7001" spans="5:13">
      <c r="E7001" s="473"/>
      <c r="F7001" s="473"/>
      <c r="G7001" s="473"/>
      <c r="H7001" s="473"/>
      <c r="I7001" s="473"/>
      <c r="J7001" s="473"/>
      <c r="K7001" s="473"/>
      <c r="L7001" s="473"/>
      <c r="M7001" s="473"/>
    </row>
    <row r="7002" spans="5:13">
      <c r="E7002" s="473"/>
      <c r="F7002" s="473"/>
      <c r="G7002" s="473"/>
      <c r="H7002" s="473"/>
      <c r="I7002" s="473"/>
      <c r="J7002" s="473"/>
      <c r="K7002" s="473"/>
      <c r="L7002" s="473"/>
      <c r="M7002" s="473"/>
    </row>
    <row r="7003" spans="5:13">
      <c r="E7003" s="473"/>
      <c r="F7003" s="473"/>
      <c r="G7003" s="473"/>
      <c r="H7003" s="473"/>
      <c r="I7003" s="473"/>
      <c r="J7003" s="473"/>
      <c r="K7003" s="473"/>
      <c r="L7003" s="473"/>
      <c r="M7003" s="473"/>
    </row>
    <row r="7004" spans="5:13">
      <c r="E7004" s="473"/>
      <c r="F7004" s="473"/>
      <c r="G7004" s="473"/>
      <c r="H7004" s="473"/>
      <c r="I7004" s="473"/>
      <c r="J7004" s="473"/>
      <c r="K7004" s="473"/>
      <c r="L7004" s="473"/>
      <c r="M7004" s="473"/>
    </row>
    <row r="7005" spans="5:13">
      <c r="E7005" s="473"/>
      <c r="F7005" s="473"/>
      <c r="G7005" s="473"/>
      <c r="H7005" s="473"/>
      <c r="I7005" s="473"/>
      <c r="J7005" s="473"/>
      <c r="K7005" s="473"/>
      <c r="L7005" s="473"/>
      <c r="M7005" s="473"/>
    </row>
    <row r="7006" spans="5:13">
      <c r="E7006" s="473"/>
      <c r="F7006" s="473"/>
      <c r="G7006" s="473"/>
      <c r="H7006" s="473"/>
      <c r="I7006" s="473"/>
      <c r="J7006" s="473"/>
      <c r="K7006" s="473"/>
      <c r="L7006" s="473"/>
      <c r="M7006" s="473"/>
    </row>
    <row r="7007" spans="5:13">
      <c r="E7007" s="473"/>
      <c r="F7007" s="473"/>
      <c r="G7007" s="473"/>
      <c r="H7007" s="473"/>
      <c r="I7007" s="473"/>
      <c r="J7007" s="473"/>
      <c r="K7007" s="473"/>
      <c r="L7007" s="473"/>
      <c r="M7007" s="473"/>
    </row>
    <row r="7008" spans="5:13">
      <c r="E7008" s="473"/>
      <c r="F7008" s="473"/>
      <c r="G7008" s="473"/>
      <c r="H7008" s="473"/>
      <c r="I7008" s="473"/>
      <c r="J7008" s="473"/>
      <c r="K7008" s="473"/>
      <c r="L7008" s="473"/>
      <c r="M7008" s="473"/>
    </row>
    <row r="7009" spans="5:13">
      <c r="E7009" s="473"/>
      <c r="F7009" s="473"/>
      <c r="G7009" s="473"/>
      <c r="H7009" s="473"/>
      <c r="I7009" s="473"/>
      <c r="J7009" s="473"/>
      <c r="K7009" s="473"/>
      <c r="L7009" s="473"/>
      <c r="M7009" s="473"/>
    </row>
    <row r="7010" spans="5:13">
      <c r="E7010" s="473"/>
      <c r="F7010" s="473"/>
      <c r="G7010" s="473"/>
      <c r="H7010" s="473"/>
      <c r="I7010" s="473"/>
      <c r="J7010" s="473"/>
      <c r="K7010" s="473"/>
      <c r="L7010" s="473"/>
      <c r="M7010" s="473"/>
    </row>
    <row r="7011" spans="5:13">
      <c r="E7011" s="473"/>
      <c r="F7011" s="473"/>
      <c r="G7011" s="473"/>
      <c r="H7011" s="473"/>
      <c r="I7011" s="473"/>
      <c r="J7011" s="473"/>
      <c r="K7011" s="473"/>
      <c r="L7011" s="473"/>
      <c r="M7011" s="473"/>
    </row>
    <row r="7012" spans="5:13">
      <c r="E7012" s="473"/>
      <c r="F7012" s="473"/>
      <c r="G7012" s="473"/>
      <c r="H7012" s="473"/>
      <c r="I7012" s="473"/>
      <c r="J7012" s="473"/>
      <c r="K7012" s="473"/>
      <c r="L7012" s="473"/>
      <c r="M7012" s="473"/>
    </row>
    <row r="7013" spans="5:13">
      <c r="E7013" s="473"/>
      <c r="F7013" s="473"/>
      <c r="G7013" s="473"/>
      <c r="H7013" s="473"/>
      <c r="I7013" s="473"/>
      <c r="J7013" s="473"/>
      <c r="K7013" s="473"/>
      <c r="L7013" s="473"/>
      <c r="M7013" s="473"/>
    </row>
    <row r="7014" spans="5:13">
      <c r="E7014" s="473"/>
      <c r="F7014" s="473"/>
      <c r="G7014" s="473"/>
      <c r="H7014" s="473"/>
      <c r="I7014" s="473"/>
      <c r="J7014" s="473"/>
      <c r="K7014" s="473"/>
      <c r="L7014" s="473"/>
      <c r="M7014" s="473"/>
    </row>
    <row r="7015" spans="5:13">
      <c r="E7015" s="473"/>
      <c r="F7015" s="473"/>
      <c r="G7015" s="473"/>
      <c r="H7015" s="473"/>
      <c r="I7015" s="473"/>
      <c r="J7015" s="473"/>
      <c r="K7015" s="473"/>
      <c r="L7015" s="473"/>
      <c r="M7015" s="473"/>
    </row>
    <row r="7016" spans="5:13">
      <c r="E7016" s="473"/>
      <c r="F7016" s="473"/>
      <c r="G7016" s="473"/>
      <c r="H7016" s="473"/>
      <c r="I7016" s="473"/>
      <c r="J7016" s="473"/>
      <c r="K7016" s="473"/>
      <c r="L7016" s="473"/>
      <c r="M7016" s="473"/>
    </row>
    <row r="7017" spans="5:13">
      <c r="E7017" s="473"/>
      <c r="F7017" s="473"/>
      <c r="G7017" s="473"/>
      <c r="H7017" s="473"/>
      <c r="I7017" s="473"/>
      <c r="J7017" s="473"/>
      <c r="K7017" s="473"/>
      <c r="L7017" s="473"/>
      <c r="M7017" s="473"/>
    </row>
    <row r="7018" spans="5:13">
      <c r="E7018" s="473"/>
      <c r="F7018" s="473"/>
      <c r="G7018" s="473"/>
      <c r="H7018" s="473"/>
      <c r="I7018" s="473"/>
      <c r="J7018" s="473"/>
      <c r="K7018" s="473"/>
      <c r="L7018" s="473"/>
      <c r="M7018" s="473"/>
    </row>
    <row r="7019" spans="5:13">
      <c r="E7019" s="473"/>
      <c r="F7019" s="473"/>
      <c r="G7019" s="473"/>
      <c r="H7019" s="473"/>
      <c r="I7019" s="473"/>
      <c r="J7019" s="473"/>
      <c r="K7019" s="473"/>
      <c r="L7019" s="473"/>
      <c r="M7019" s="473"/>
    </row>
    <row r="7020" spans="5:13">
      <c r="E7020" s="473"/>
      <c r="F7020" s="473"/>
      <c r="G7020" s="473"/>
      <c r="H7020" s="473"/>
      <c r="I7020" s="473"/>
      <c r="J7020" s="473"/>
      <c r="K7020" s="473"/>
      <c r="L7020" s="473"/>
      <c r="M7020" s="473"/>
    </row>
    <row r="7021" spans="5:13">
      <c r="E7021" s="473"/>
      <c r="F7021" s="473"/>
      <c r="G7021" s="473"/>
      <c r="H7021" s="473"/>
      <c r="I7021" s="473"/>
      <c r="J7021" s="473"/>
      <c r="K7021" s="473"/>
      <c r="L7021" s="473"/>
      <c r="M7021" s="473"/>
    </row>
    <row r="7022" spans="5:13">
      <c r="E7022" s="473"/>
      <c r="F7022" s="473"/>
      <c r="G7022" s="473"/>
      <c r="H7022" s="473"/>
      <c r="I7022" s="473"/>
      <c r="J7022" s="473"/>
      <c r="K7022" s="473"/>
      <c r="L7022" s="473"/>
      <c r="M7022" s="473"/>
    </row>
    <row r="7023" spans="5:13">
      <c r="E7023" s="473"/>
      <c r="F7023" s="473"/>
      <c r="G7023" s="473"/>
      <c r="H7023" s="473"/>
      <c r="I7023" s="473"/>
      <c r="J7023" s="473"/>
      <c r="K7023" s="473"/>
      <c r="L7023" s="473"/>
      <c r="M7023" s="473"/>
    </row>
    <row r="7024" spans="5:13">
      <c r="E7024" s="473"/>
      <c r="F7024" s="473"/>
      <c r="G7024" s="473"/>
      <c r="H7024" s="473"/>
      <c r="I7024" s="473"/>
      <c r="J7024" s="473"/>
      <c r="K7024" s="473"/>
      <c r="L7024" s="473"/>
      <c r="M7024" s="473"/>
    </row>
    <row r="7025" spans="5:13">
      <c r="E7025" s="473"/>
      <c r="F7025" s="473"/>
      <c r="G7025" s="473"/>
      <c r="H7025" s="473"/>
      <c r="I7025" s="473"/>
      <c r="J7025" s="473"/>
      <c r="K7025" s="473"/>
      <c r="L7025" s="473"/>
      <c r="M7025" s="473"/>
    </row>
    <row r="7026" spans="5:13">
      <c r="E7026" s="473"/>
      <c r="F7026" s="473"/>
      <c r="G7026" s="473"/>
      <c r="H7026" s="473"/>
      <c r="I7026" s="473"/>
      <c r="J7026" s="473"/>
      <c r="K7026" s="473"/>
      <c r="L7026" s="473"/>
      <c r="M7026" s="473"/>
    </row>
    <row r="7027" spans="5:13">
      <c r="E7027" s="473"/>
      <c r="F7027" s="473"/>
      <c r="G7027" s="473"/>
      <c r="H7027" s="473"/>
      <c r="I7027" s="473"/>
      <c r="J7027" s="473"/>
      <c r="K7027" s="473"/>
      <c r="L7027" s="473"/>
      <c r="M7027" s="473"/>
    </row>
    <row r="7028" spans="5:13">
      <c r="E7028" s="473"/>
      <c r="F7028" s="473"/>
      <c r="G7028" s="473"/>
      <c r="H7028" s="473"/>
      <c r="I7028" s="473"/>
      <c r="J7028" s="473"/>
      <c r="K7028" s="473"/>
      <c r="L7028" s="473"/>
      <c r="M7028" s="473"/>
    </row>
    <row r="7029" spans="5:13">
      <c r="E7029" s="473"/>
      <c r="F7029" s="473"/>
      <c r="G7029" s="473"/>
      <c r="H7029" s="473"/>
      <c r="I7029" s="473"/>
      <c r="J7029" s="473"/>
      <c r="K7029" s="473"/>
      <c r="L7029" s="473"/>
      <c r="M7029" s="473"/>
    </row>
    <row r="7030" spans="5:13">
      <c r="E7030" s="473"/>
      <c r="F7030" s="473"/>
      <c r="G7030" s="473"/>
      <c r="H7030" s="473"/>
      <c r="I7030" s="473"/>
      <c r="J7030" s="473"/>
      <c r="K7030" s="473"/>
      <c r="L7030" s="473"/>
      <c r="M7030" s="473"/>
    </row>
    <row r="7031" spans="5:13">
      <c r="E7031" s="473"/>
      <c r="F7031" s="473"/>
      <c r="G7031" s="473"/>
      <c r="H7031" s="473"/>
      <c r="I7031" s="473"/>
      <c r="J7031" s="473"/>
      <c r="K7031" s="473"/>
      <c r="L7031" s="473"/>
      <c r="M7031" s="473"/>
    </row>
    <row r="7032" spans="5:13">
      <c r="E7032" s="473"/>
      <c r="F7032" s="473"/>
      <c r="G7032" s="473"/>
      <c r="H7032" s="473"/>
      <c r="I7032" s="473"/>
      <c r="J7032" s="473"/>
      <c r="K7032" s="473"/>
      <c r="L7032" s="473"/>
      <c r="M7032" s="473"/>
    </row>
    <row r="7033" spans="5:13">
      <c r="E7033" s="473"/>
      <c r="F7033" s="473"/>
      <c r="G7033" s="473"/>
      <c r="H7033" s="473"/>
      <c r="I7033" s="473"/>
      <c r="J7033" s="473"/>
      <c r="K7033" s="473"/>
      <c r="L7033" s="473"/>
      <c r="M7033" s="473"/>
    </row>
    <row r="7034" spans="5:13">
      <c r="E7034" s="473"/>
      <c r="F7034" s="473"/>
      <c r="G7034" s="473"/>
      <c r="H7034" s="473"/>
      <c r="I7034" s="473"/>
      <c r="J7034" s="473"/>
      <c r="K7034" s="473"/>
      <c r="L7034" s="473"/>
      <c r="M7034" s="473"/>
    </row>
    <row r="7035" spans="5:13">
      <c r="E7035" s="473"/>
      <c r="F7035" s="473"/>
      <c r="G7035" s="473"/>
      <c r="H7035" s="473"/>
      <c r="I7035" s="473"/>
      <c r="J7035" s="473"/>
      <c r="K7035" s="473"/>
      <c r="L7035" s="473"/>
      <c r="M7035" s="473"/>
    </row>
    <row r="7036" spans="5:13">
      <c r="E7036" s="473"/>
      <c r="F7036" s="473"/>
      <c r="G7036" s="473"/>
      <c r="H7036" s="473"/>
      <c r="I7036" s="473"/>
      <c r="J7036" s="473"/>
      <c r="K7036" s="473"/>
      <c r="L7036" s="473"/>
      <c r="M7036" s="473"/>
    </row>
    <row r="7037" spans="5:13">
      <c r="E7037" s="473"/>
      <c r="F7037" s="473"/>
      <c r="G7037" s="473"/>
      <c r="H7037" s="473"/>
      <c r="I7037" s="473"/>
      <c r="J7037" s="473"/>
      <c r="K7037" s="473"/>
      <c r="L7037" s="473"/>
      <c r="M7037" s="473"/>
    </row>
    <row r="7038" spans="5:13">
      <c r="E7038" s="473"/>
      <c r="F7038" s="473"/>
      <c r="G7038" s="473"/>
      <c r="H7038" s="473"/>
      <c r="I7038" s="473"/>
      <c r="J7038" s="473"/>
      <c r="K7038" s="473"/>
      <c r="L7038" s="473"/>
      <c r="M7038" s="473"/>
    </row>
    <row r="7039" spans="5:13">
      <c r="E7039" s="473"/>
      <c r="F7039" s="473"/>
      <c r="G7039" s="473"/>
      <c r="H7039" s="473"/>
      <c r="I7039" s="473"/>
      <c r="J7039" s="473"/>
      <c r="K7039" s="473"/>
      <c r="L7039" s="473"/>
      <c r="M7039" s="473"/>
    </row>
    <row r="7040" spans="5:13">
      <c r="E7040" s="473"/>
      <c r="F7040" s="473"/>
      <c r="G7040" s="473"/>
      <c r="H7040" s="473"/>
      <c r="I7040" s="473"/>
      <c r="J7040" s="473"/>
      <c r="K7040" s="473"/>
      <c r="L7040" s="473"/>
      <c r="M7040" s="473"/>
    </row>
    <row r="7041" spans="5:13">
      <c r="E7041" s="473"/>
      <c r="F7041" s="473"/>
      <c r="G7041" s="473"/>
      <c r="H7041" s="473"/>
      <c r="I7041" s="473"/>
      <c r="J7041" s="473"/>
      <c r="K7041" s="473"/>
      <c r="L7041" s="473"/>
      <c r="M7041" s="473"/>
    </row>
    <row r="7042" spans="5:13">
      <c r="E7042" s="473"/>
      <c r="F7042" s="473"/>
      <c r="G7042" s="473"/>
      <c r="H7042" s="473"/>
      <c r="I7042" s="473"/>
      <c r="J7042" s="473"/>
      <c r="K7042" s="473"/>
      <c r="L7042" s="473"/>
      <c r="M7042" s="473"/>
    </row>
    <row r="7043" spans="5:13">
      <c r="E7043" s="473"/>
      <c r="F7043" s="473"/>
      <c r="G7043" s="473"/>
      <c r="H7043" s="473"/>
      <c r="I7043" s="473"/>
      <c r="J7043" s="473"/>
      <c r="K7043" s="473"/>
      <c r="L7043" s="473"/>
      <c r="M7043" s="473"/>
    </row>
    <row r="7044" spans="5:13">
      <c r="E7044" s="473"/>
      <c r="F7044" s="473"/>
      <c r="G7044" s="473"/>
      <c r="H7044" s="473"/>
      <c r="I7044" s="473"/>
      <c r="J7044" s="473"/>
      <c r="K7044" s="473"/>
      <c r="L7044" s="473"/>
      <c r="M7044" s="473"/>
    </row>
    <row r="7045" spans="5:13">
      <c r="E7045" s="473"/>
      <c r="F7045" s="473"/>
      <c r="G7045" s="473"/>
      <c r="H7045" s="473"/>
      <c r="I7045" s="473"/>
      <c r="J7045" s="473"/>
      <c r="K7045" s="473"/>
      <c r="L7045" s="473"/>
      <c r="M7045" s="473"/>
    </row>
    <row r="7046" spans="5:13">
      <c r="E7046" s="473"/>
      <c r="F7046" s="473"/>
      <c r="G7046" s="473"/>
      <c r="H7046" s="473"/>
      <c r="I7046" s="473"/>
      <c r="J7046" s="473"/>
      <c r="K7046" s="473"/>
      <c r="L7046" s="473"/>
      <c r="M7046" s="473"/>
    </row>
    <row r="7047" spans="5:13">
      <c r="E7047" s="473"/>
      <c r="F7047" s="473"/>
      <c r="G7047" s="473"/>
      <c r="H7047" s="473"/>
      <c r="I7047" s="473"/>
      <c r="J7047" s="473"/>
      <c r="K7047" s="473"/>
      <c r="L7047" s="473"/>
      <c r="M7047" s="473"/>
    </row>
    <row r="7048" spans="5:13">
      <c r="E7048" s="473"/>
      <c r="F7048" s="473"/>
      <c r="G7048" s="473"/>
      <c r="H7048" s="473"/>
      <c r="I7048" s="473"/>
      <c r="J7048" s="473"/>
      <c r="K7048" s="473"/>
      <c r="L7048" s="473"/>
      <c r="M7048" s="473"/>
    </row>
    <row r="7049" spans="5:13">
      <c r="E7049" s="473"/>
      <c r="F7049" s="473"/>
      <c r="G7049" s="473"/>
      <c r="H7049" s="473"/>
      <c r="I7049" s="473"/>
      <c r="J7049" s="473"/>
      <c r="K7049" s="473"/>
      <c r="L7049" s="473"/>
      <c r="M7049" s="473"/>
    </row>
    <row r="7050" spans="5:13">
      <c r="E7050" s="473"/>
      <c r="F7050" s="473"/>
      <c r="G7050" s="473"/>
      <c r="H7050" s="473"/>
      <c r="I7050" s="473"/>
      <c r="J7050" s="473"/>
      <c r="K7050" s="473"/>
      <c r="L7050" s="473"/>
      <c r="M7050" s="473"/>
    </row>
    <row r="7051" spans="5:13">
      <c r="E7051" s="473"/>
      <c r="F7051" s="473"/>
      <c r="G7051" s="473"/>
      <c r="H7051" s="473"/>
      <c r="I7051" s="473"/>
      <c r="J7051" s="473"/>
      <c r="K7051" s="473"/>
      <c r="L7051" s="473"/>
      <c r="M7051" s="473"/>
    </row>
    <row r="7052" spans="5:13">
      <c r="E7052" s="473"/>
      <c r="F7052" s="473"/>
      <c r="G7052" s="473"/>
      <c r="H7052" s="473"/>
      <c r="I7052" s="473"/>
      <c r="J7052" s="473"/>
      <c r="K7052" s="473"/>
      <c r="L7052" s="473"/>
      <c r="M7052" s="473"/>
    </row>
    <row r="7053" spans="5:13">
      <c r="E7053" s="473"/>
      <c r="F7053" s="473"/>
      <c r="G7053" s="473"/>
      <c r="H7053" s="473"/>
      <c r="I7053" s="473"/>
      <c r="J7053" s="473"/>
      <c r="K7053" s="473"/>
      <c r="L7053" s="473"/>
      <c r="M7053" s="473"/>
    </row>
    <row r="7054" spans="5:13">
      <c r="E7054" s="473"/>
      <c r="F7054" s="473"/>
      <c r="G7054" s="473"/>
      <c r="H7054" s="473"/>
      <c r="I7054" s="473"/>
      <c r="J7054" s="473"/>
      <c r="K7054" s="473"/>
      <c r="L7054" s="473"/>
      <c r="M7054" s="473"/>
    </row>
    <row r="7055" spans="5:13">
      <c r="E7055" s="473"/>
      <c r="F7055" s="473"/>
      <c r="G7055" s="473"/>
      <c r="H7055" s="473"/>
      <c r="I7055" s="473"/>
      <c r="J7055" s="473"/>
      <c r="K7055" s="473"/>
      <c r="L7055" s="473"/>
      <c r="M7055" s="473"/>
    </row>
    <row r="7056" spans="5:13">
      <c r="E7056" s="473"/>
      <c r="F7056" s="473"/>
      <c r="G7056" s="473"/>
      <c r="H7056" s="473"/>
      <c r="I7056" s="473"/>
      <c r="J7056" s="473"/>
      <c r="K7056" s="473"/>
      <c r="L7056" s="473"/>
      <c r="M7056" s="473"/>
    </row>
    <row r="7057" spans="5:13">
      <c r="E7057" s="473"/>
      <c r="F7057" s="473"/>
      <c r="G7057" s="473"/>
      <c r="H7057" s="473"/>
      <c r="I7057" s="473"/>
      <c r="J7057" s="473"/>
      <c r="K7057" s="473"/>
      <c r="L7057" s="473"/>
      <c r="M7057" s="473"/>
    </row>
    <row r="7058" spans="5:13">
      <c r="E7058" s="473"/>
      <c r="F7058" s="473"/>
      <c r="G7058" s="473"/>
      <c r="H7058" s="473"/>
      <c r="I7058" s="473"/>
      <c r="J7058" s="473"/>
      <c r="K7058" s="473"/>
      <c r="L7058" s="473"/>
      <c r="M7058" s="473"/>
    </row>
    <row r="7059" spans="5:13">
      <c r="E7059" s="473"/>
      <c r="F7059" s="473"/>
      <c r="G7059" s="473"/>
      <c r="H7059" s="473"/>
      <c r="I7059" s="473"/>
      <c r="J7059" s="473"/>
      <c r="K7059" s="473"/>
      <c r="L7059" s="473"/>
      <c r="M7059" s="473"/>
    </row>
    <row r="7060" spans="5:13">
      <c r="E7060" s="473"/>
      <c r="F7060" s="473"/>
      <c r="G7060" s="473"/>
      <c r="H7060" s="473"/>
      <c r="I7060" s="473"/>
      <c r="J7060" s="473"/>
      <c r="K7060" s="473"/>
      <c r="L7060" s="473"/>
      <c r="M7060" s="473"/>
    </row>
    <row r="7061" spans="5:13">
      <c r="E7061" s="473"/>
      <c r="F7061" s="473"/>
      <c r="G7061" s="473"/>
      <c r="H7061" s="473"/>
      <c r="I7061" s="473"/>
      <c r="J7061" s="473"/>
      <c r="K7061" s="473"/>
      <c r="L7061" s="473"/>
      <c r="M7061" s="473"/>
    </row>
    <row r="7062" spans="5:13">
      <c r="E7062" s="473"/>
      <c r="F7062" s="473"/>
      <c r="G7062" s="473"/>
      <c r="H7062" s="473"/>
      <c r="I7062" s="473"/>
      <c r="J7062" s="473"/>
      <c r="K7062" s="473"/>
      <c r="L7062" s="473"/>
      <c r="M7062" s="473"/>
    </row>
    <row r="7063" spans="5:13">
      <c r="E7063" s="473"/>
      <c r="F7063" s="473"/>
      <c r="G7063" s="473"/>
      <c r="H7063" s="473"/>
      <c r="I7063" s="473"/>
      <c r="J7063" s="473"/>
      <c r="K7063" s="473"/>
      <c r="L7063" s="473"/>
      <c r="M7063" s="473"/>
    </row>
    <row r="7064" spans="5:13">
      <c r="E7064" s="473"/>
      <c r="F7064" s="473"/>
      <c r="G7064" s="473"/>
      <c r="H7064" s="473"/>
      <c r="I7064" s="473"/>
      <c r="J7064" s="473"/>
      <c r="K7064" s="473"/>
      <c r="L7064" s="473"/>
      <c r="M7064" s="473"/>
    </row>
    <row r="7065" spans="5:13">
      <c r="E7065" s="473"/>
      <c r="F7065" s="473"/>
      <c r="G7065" s="473"/>
      <c r="H7065" s="473"/>
      <c r="I7065" s="473"/>
      <c r="J7065" s="473"/>
      <c r="K7065" s="473"/>
      <c r="L7065" s="473"/>
      <c r="M7065" s="473"/>
    </row>
    <row r="7066" spans="5:13">
      <c r="E7066" s="473"/>
      <c r="F7066" s="473"/>
      <c r="G7066" s="473"/>
      <c r="H7066" s="473"/>
      <c r="I7066" s="473"/>
      <c r="J7066" s="473"/>
      <c r="K7066" s="473"/>
      <c r="L7066" s="473"/>
      <c r="M7066" s="473"/>
    </row>
    <row r="7067" spans="5:13">
      <c r="E7067" s="473"/>
      <c r="F7067" s="473"/>
      <c r="G7067" s="473"/>
      <c r="H7067" s="473"/>
      <c r="I7067" s="473"/>
      <c r="J7067" s="473"/>
      <c r="K7067" s="473"/>
      <c r="L7067" s="473"/>
      <c r="M7067" s="473"/>
    </row>
    <row r="7068" spans="5:13">
      <c r="E7068" s="473"/>
      <c r="F7068" s="473"/>
      <c r="G7068" s="473"/>
      <c r="H7068" s="473"/>
      <c r="I7068" s="473"/>
      <c r="J7068" s="473"/>
      <c r="K7068" s="473"/>
      <c r="L7068" s="473"/>
      <c r="M7068" s="473"/>
    </row>
    <row r="7069" spans="5:13">
      <c r="E7069" s="473"/>
      <c r="F7069" s="473"/>
      <c r="G7069" s="473"/>
      <c r="H7069" s="473"/>
      <c r="I7069" s="473"/>
      <c r="J7069" s="473"/>
      <c r="K7069" s="473"/>
      <c r="L7069" s="473"/>
      <c r="M7069" s="473"/>
    </row>
    <row r="7070" spans="5:13">
      <c r="E7070" s="473"/>
      <c r="F7070" s="473"/>
      <c r="G7070" s="473"/>
      <c r="H7070" s="473"/>
      <c r="I7070" s="473"/>
      <c r="J7070" s="473"/>
      <c r="K7070" s="473"/>
      <c r="L7070" s="473"/>
      <c r="M7070" s="473"/>
    </row>
    <row r="7071" spans="5:13">
      <c r="E7071" s="473"/>
      <c r="F7071" s="473"/>
      <c r="G7071" s="473"/>
      <c r="H7071" s="473"/>
      <c r="I7071" s="473"/>
      <c r="J7071" s="473"/>
      <c r="K7071" s="473"/>
      <c r="L7071" s="473"/>
      <c r="M7071" s="473"/>
    </row>
    <row r="7072" spans="5:13">
      <c r="E7072" s="473"/>
      <c r="F7072" s="473"/>
      <c r="G7072" s="473"/>
      <c r="H7072" s="473"/>
      <c r="I7072" s="473"/>
      <c r="J7072" s="473"/>
      <c r="K7072" s="473"/>
      <c r="L7072" s="473"/>
      <c r="M7072" s="473"/>
    </row>
    <row r="7073" spans="5:13">
      <c r="E7073" s="473"/>
      <c r="F7073" s="473"/>
      <c r="G7073" s="473"/>
      <c r="H7073" s="473"/>
      <c r="I7073" s="473"/>
      <c r="J7073" s="473"/>
      <c r="K7073" s="473"/>
      <c r="L7073" s="473"/>
      <c r="M7073" s="473"/>
    </row>
    <row r="7074" spans="5:13">
      <c r="E7074" s="473"/>
      <c r="F7074" s="473"/>
      <c r="G7074" s="473"/>
      <c r="H7074" s="473"/>
      <c r="I7074" s="473"/>
      <c r="J7074" s="473"/>
      <c r="K7074" s="473"/>
      <c r="L7074" s="473"/>
      <c r="M7074" s="473"/>
    </row>
    <row r="7075" spans="5:13">
      <c r="E7075" s="473"/>
      <c r="F7075" s="473"/>
      <c r="G7075" s="473"/>
      <c r="H7075" s="473"/>
      <c r="I7075" s="473"/>
      <c r="J7075" s="473"/>
      <c r="K7075" s="473"/>
      <c r="L7075" s="473"/>
      <c r="M7075" s="473"/>
    </row>
    <row r="7076" spans="5:13">
      <c r="E7076" s="473"/>
      <c r="F7076" s="473"/>
      <c r="G7076" s="473"/>
      <c r="H7076" s="473"/>
      <c r="I7076" s="473"/>
      <c r="J7076" s="473"/>
      <c r="K7076" s="473"/>
      <c r="L7076" s="473"/>
      <c r="M7076" s="473"/>
    </row>
    <row r="7077" spans="5:13">
      <c r="E7077" s="473"/>
      <c r="F7077" s="473"/>
      <c r="G7077" s="473"/>
      <c r="H7077" s="473"/>
      <c r="I7077" s="473"/>
      <c r="J7077" s="473"/>
      <c r="K7077" s="473"/>
      <c r="L7077" s="473"/>
      <c r="M7077" s="473"/>
    </row>
    <row r="7078" spans="5:13">
      <c r="E7078" s="473"/>
      <c r="F7078" s="473"/>
      <c r="G7078" s="473"/>
      <c r="H7078" s="473"/>
      <c r="I7078" s="473"/>
      <c r="J7078" s="473"/>
      <c r="K7078" s="473"/>
      <c r="L7078" s="473"/>
      <c r="M7078" s="473"/>
    </row>
    <row r="7079" spans="5:13">
      <c r="E7079" s="473"/>
      <c r="F7079" s="473"/>
      <c r="G7079" s="473"/>
      <c r="H7079" s="473"/>
      <c r="I7079" s="473"/>
      <c r="J7079" s="473"/>
      <c r="K7079" s="473"/>
      <c r="L7079" s="473"/>
      <c r="M7079" s="473"/>
    </row>
    <row r="7080" spans="5:13">
      <c r="E7080" s="473"/>
      <c r="F7080" s="473"/>
      <c r="G7080" s="473"/>
      <c r="H7080" s="473"/>
      <c r="I7080" s="473"/>
      <c r="J7080" s="473"/>
      <c r="K7080" s="473"/>
      <c r="L7080" s="473"/>
      <c r="M7080" s="473"/>
    </row>
    <row r="7081" spans="5:13">
      <c r="E7081" s="473"/>
      <c r="F7081" s="473"/>
      <c r="G7081" s="473"/>
      <c r="H7081" s="473"/>
      <c r="I7081" s="473"/>
      <c r="J7081" s="473"/>
      <c r="K7081" s="473"/>
      <c r="L7081" s="473"/>
      <c r="M7081" s="473"/>
    </row>
    <row r="7082" spans="5:13">
      <c r="E7082" s="473"/>
      <c r="F7082" s="473"/>
      <c r="G7082" s="473"/>
      <c r="H7082" s="473"/>
      <c r="I7082" s="473"/>
      <c r="J7082" s="473"/>
      <c r="K7082" s="473"/>
      <c r="L7082" s="473"/>
      <c r="M7082" s="473"/>
    </row>
    <row r="7083" spans="5:13">
      <c r="E7083" s="473"/>
      <c r="F7083" s="473"/>
      <c r="G7083" s="473"/>
      <c r="H7083" s="473"/>
      <c r="I7083" s="473"/>
      <c r="J7083" s="473"/>
      <c r="K7083" s="473"/>
      <c r="L7083" s="473"/>
      <c r="M7083" s="473"/>
    </row>
    <row r="7084" spans="5:13">
      <c r="E7084" s="473"/>
      <c r="F7084" s="473"/>
      <c r="G7084" s="473"/>
      <c r="H7084" s="473"/>
      <c r="I7084" s="473"/>
      <c r="J7084" s="473"/>
      <c r="K7084" s="473"/>
      <c r="L7084" s="473"/>
      <c r="M7084" s="473"/>
    </row>
    <row r="7085" spans="5:13">
      <c r="E7085" s="473"/>
      <c r="F7085" s="473"/>
      <c r="G7085" s="473"/>
      <c r="H7085" s="473"/>
      <c r="I7085" s="473"/>
      <c r="J7085" s="473"/>
      <c r="K7085" s="473"/>
      <c r="L7085" s="473"/>
      <c r="M7085" s="473"/>
    </row>
    <row r="7086" spans="5:13">
      <c r="E7086" s="473"/>
      <c r="F7086" s="473"/>
      <c r="G7086" s="473"/>
      <c r="H7086" s="473"/>
      <c r="I7086" s="473"/>
      <c r="J7086" s="473"/>
      <c r="K7086" s="473"/>
      <c r="L7086" s="473"/>
      <c r="M7086" s="473"/>
    </row>
    <row r="7087" spans="5:13">
      <c r="E7087" s="473"/>
      <c r="F7087" s="473"/>
      <c r="G7087" s="473"/>
      <c r="H7087" s="473"/>
      <c r="I7087" s="473"/>
      <c r="J7087" s="473"/>
      <c r="K7087" s="473"/>
      <c r="L7087" s="473"/>
      <c r="M7087" s="473"/>
    </row>
    <row r="7088" spans="5:13">
      <c r="E7088" s="473"/>
      <c r="F7088" s="473"/>
      <c r="G7088" s="473"/>
      <c r="H7088" s="473"/>
      <c r="I7088" s="473"/>
      <c r="J7088" s="473"/>
      <c r="K7088" s="473"/>
      <c r="L7088" s="473"/>
      <c r="M7088" s="473"/>
    </row>
    <row r="7089" spans="5:13">
      <c r="E7089" s="473"/>
      <c r="F7089" s="473"/>
      <c r="G7089" s="473"/>
      <c r="H7089" s="473"/>
      <c r="I7089" s="473"/>
      <c r="J7089" s="473"/>
      <c r="K7089" s="473"/>
      <c r="L7089" s="473"/>
      <c r="M7089" s="473"/>
    </row>
    <row r="7090" spans="5:13">
      <c r="E7090" s="473"/>
      <c r="F7090" s="473"/>
      <c r="G7090" s="473"/>
      <c r="H7090" s="473"/>
      <c r="I7090" s="473"/>
      <c r="J7090" s="473"/>
      <c r="K7090" s="473"/>
      <c r="L7090" s="473"/>
      <c r="M7090" s="473"/>
    </row>
    <row r="7091" spans="5:13">
      <c r="E7091" s="473"/>
      <c r="F7091" s="473"/>
      <c r="G7091" s="473"/>
      <c r="H7091" s="473"/>
      <c r="I7091" s="473"/>
      <c r="J7091" s="473"/>
      <c r="K7091" s="473"/>
      <c r="L7091" s="473"/>
      <c r="M7091" s="473"/>
    </row>
    <row r="7092" spans="5:13">
      <c r="E7092" s="473"/>
      <c r="F7092" s="473"/>
      <c r="G7092" s="473"/>
      <c r="H7092" s="473"/>
      <c r="I7092" s="473"/>
      <c r="J7092" s="473"/>
      <c r="K7092" s="473"/>
      <c r="L7092" s="473"/>
      <c r="M7092" s="473"/>
    </row>
    <row r="7093" spans="5:13">
      <c r="E7093" s="473"/>
      <c r="F7093" s="473"/>
      <c r="G7093" s="473"/>
      <c r="H7093" s="473"/>
      <c r="I7093" s="473"/>
      <c r="J7093" s="473"/>
      <c r="K7093" s="473"/>
      <c r="L7093" s="473"/>
      <c r="M7093" s="473"/>
    </row>
    <row r="7094" spans="5:13">
      <c r="E7094" s="473"/>
      <c r="F7094" s="473"/>
      <c r="G7094" s="473"/>
      <c r="H7094" s="473"/>
      <c r="I7094" s="473"/>
      <c r="J7094" s="473"/>
      <c r="K7094" s="473"/>
      <c r="L7094" s="473"/>
      <c r="M7094" s="473"/>
    </row>
    <row r="7095" spans="5:13">
      <c r="E7095" s="473"/>
      <c r="F7095" s="473"/>
      <c r="G7095" s="473"/>
      <c r="H7095" s="473"/>
      <c r="I7095" s="473"/>
      <c r="J7095" s="473"/>
      <c r="K7095" s="473"/>
      <c r="L7095" s="473"/>
      <c r="M7095" s="473"/>
    </row>
    <row r="7096" spans="5:13">
      <c r="E7096" s="473"/>
      <c r="F7096" s="473"/>
      <c r="G7096" s="473"/>
      <c r="H7096" s="473"/>
      <c r="I7096" s="473"/>
      <c r="J7096" s="473"/>
      <c r="K7096" s="473"/>
      <c r="L7096" s="473"/>
      <c r="M7096" s="473"/>
    </row>
    <row r="7097" spans="5:13">
      <c r="E7097" s="473"/>
      <c r="F7097" s="473"/>
      <c r="G7097" s="473"/>
      <c r="H7097" s="473"/>
      <c r="I7097" s="473"/>
      <c r="J7097" s="473"/>
      <c r="K7097" s="473"/>
      <c r="L7097" s="473"/>
      <c r="M7097" s="473"/>
    </row>
    <row r="7098" spans="5:13">
      <c r="E7098" s="473"/>
      <c r="F7098" s="473"/>
      <c r="G7098" s="473"/>
      <c r="H7098" s="473"/>
      <c r="I7098" s="473"/>
      <c r="J7098" s="473"/>
      <c r="K7098" s="473"/>
      <c r="L7098" s="473"/>
      <c r="M7098" s="473"/>
    </row>
    <row r="7099" spans="5:13">
      <c r="E7099" s="473"/>
      <c r="F7099" s="473"/>
      <c r="G7099" s="473"/>
      <c r="H7099" s="473"/>
      <c r="I7099" s="473"/>
      <c r="J7099" s="473"/>
      <c r="K7099" s="473"/>
      <c r="L7099" s="473"/>
      <c r="M7099" s="473"/>
    </row>
    <row r="7100" spans="5:13">
      <c r="E7100" s="473"/>
      <c r="F7100" s="473"/>
      <c r="G7100" s="473"/>
      <c r="H7100" s="473"/>
      <c r="I7100" s="473"/>
      <c r="J7100" s="473"/>
      <c r="K7100" s="473"/>
      <c r="L7100" s="473"/>
      <c r="M7100" s="473"/>
    </row>
    <row r="7101" spans="5:13">
      <c r="E7101" s="473"/>
      <c r="F7101" s="473"/>
      <c r="G7101" s="473"/>
      <c r="H7101" s="473"/>
      <c r="I7101" s="473"/>
      <c r="J7101" s="473"/>
      <c r="K7101" s="473"/>
      <c r="L7101" s="473"/>
      <c r="M7101" s="473"/>
    </row>
    <row r="7102" spans="5:13">
      <c r="E7102" s="473"/>
      <c r="F7102" s="473"/>
      <c r="G7102" s="473"/>
      <c r="H7102" s="473"/>
      <c r="I7102" s="473"/>
      <c r="J7102" s="473"/>
      <c r="K7102" s="473"/>
      <c r="L7102" s="473"/>
      <c r="M7102" s="473"/>
    </row>
    <row r="7103" spans="5:13">
      <c r="E7103" s="473"/>
      <c r="F7103" s="473"/>
      <c r="G7103" s="473"/>
      <c r="H7103" s="473"/>
      <c r="I7103" s="473"/>
      <c r="J7103" s="473"/>
      <c r="K7103" s="473"/>
      <c r="L7103" s="473"/>
      <c r="M7103" s="473"/>
    </row>
    <row r="7104" spans="5:13">
      <c r="E7104" s="473"/>
      <c r="F7104" s="473"/>
      <c r="G7104" s="473"/>
      <c r="H7104" s="473"/>
      <c r="I7104" s="473"/>
      <c r="J7104" s="473"/>
      <c r="K7104" s="473"/>
      <c r="L7104" s="473"/>
      <c r="M7104" s="473"/>
    </row>
    <row r="7105" spans="5:13">
      <c r="E7105" s="473"/>
      <c r="F7105" s="473"/>
      <c r="G7105" s="473"/>
      <c r="H7105" s="473"/>
      <c r="I7105" s="473"/>
      <c r="J7105" s="473"/>
      <c r="K7105" s="473"/>
      <c r="L7105" s="473"/>
      <c r="M7105" s="473"/>
    </row>
    <row r="7106" spans="5:13">
      <c r="E7106" s="473"/>
      <c r="F7106" s="473"/>
      <c r="G7106" s="473"/>
      <c r="H7106" s="473"/>
      <c r="I7106" s="473"/>
      <c r="J7106" s="473"/>
      <c r="K7106" s="473"/>
      <c r="L7106" s="473"/>
      <c r="M7106" s="473"/>
    </row>
    <row r="7107" spans="5:13">
      <c r="E7107" s="473"/>
      <c r="F7107" s="473"/>
      <c r="G7107" s="473"/>
      <c r="H7107" s="473"/>
      <c r="I7107" s="473"/>
      <c r="J7107" s="473"/>
      <c r="K7107" s="473"/>
      <c r="L7107" s="473"/>
      <c r="M7107" s="473"/>
    </row>
    <row r="7108" spans="5:13">
      <c r="E7108" s="473"/>
      <c r="F7108" s="473"/>
      <c r="G7108" s="473"/>
      <c r="H7108" s="473"/>
      <c r="I7108" s="473"/>
      <c r="J7108" s="473"/>
      <c r="K7108" s="473"/>
      <c r="L7108" s="473"/>
      <c r="M7108" s="473"/>
    </row>
    <row r="7109" spans="5:13">
      <c r="E7109" s="473"/>
      <c r="F7109" s="473"/>
      <c r="G7109" s="473"/>
      <c r="H7109" s="473"/>
      <c r="I7109" s="473"/>
      <c r="J7109" s="473"/>
      <c r="K7109" s="473"/>
      <c r="L7109" s="473"/>
      <c r="M7109" s="473"/>
    </row>
    <row r="7110" spans="5:13">
      <c r="E7110" s="473"/>
      <c r="F7110" s="473"/>
      <c r="G7110" s="473"/>
      <c r="H7110" s="473"/>
      <c r="I7110" s="473"/>
      <c r="J7110" s="473"/>
      <c r="K7110" s="473"/>
      <c r="L7110" s="473"/>
      <c r="M7110" s="473"/>
    </row>
    <row r="7111" spans="5:13">
      <c r="E7111" s="473"/>
      <c r="F7111" s="473"/>
      <c r="G7111" s="473"/>
      <c r="H7111" s="473"/>
      <c r="I7111" s="473"/>
      <c r="J7111" s="473"/>
      <c r="K7111" s="473"/>
      <c r="L7111" s="473"/>
      <c r="M7111" s="473"/>
    </row>
    <row r="7112" spans="5:13">
      <c r="E7112" s="473"/>
      <c r="F7112" s="473"/>
      <c r="G7112" s="473"/>
      <c r="H7112" s="473"/>
      <c r="I7112" s="473"/>
      <c r="J7112" s="473"/>
      <c r="K7112" s="473"/>
      <c r="L7112" s="473"/>
      <c r="M7112" s="473"/>
    </row>
    <row r="7113" spans="5:13">
      <c r="E7113" s="473"/>
      <c r="F7113" s="473"/>
      <c r="G7113" s="473"/>
      <c r="H7113" s="473"/>
      <c r="I7113" s="473"/>
      <c r="J7113" s="473"/>
      <c r="K7113" s="473"/>
      <c r="L7113" s="473"/>
      <c r="M7113" s="473"/>
    </row>
    <row r="7114" spans="5:13">
      <c r="E7114" s="473"/>
      <c r="F7114" s="473"/>
      <c r="G7114" s="473"/>
      <c r="H7114" s="473"/>
      <c r="I7114" s="473"/>
      <c r="J7114" s="473"/>
      <c r="K7114" s="473"/>
      <c r="L7114" s="473"/>
      <c r="M7114" s="473"/>
    </row>
    <row r="7115" spans="5:13">
      <c r="E7115" s="473"/>
      <c r="F7115" s="473"/>
      <c r="G7115" s="473"/>
      <c r="H7115" s="473"/>
      <c r="I7115" s="473"/>
      <c r="J7115" s="473"/>
      <c r="K7115" s="473"/>
      <c r="L7115" s="473"/>
      <c r="M7115" s="473"/>
    </row>
    <row r="7116" spans="5:13">
      <c r="E7116" s="473"/>
      <c r="F7116" s="473"/>
      <c r="G7116" s="473"/>
      <c r="H7116" s="473"/>
      <c r="I7116" s="473"/>
      <c r="J7116" s="473"/>
      <c r="K7116" s="473"/>
      <c r="L7116" s="473"/>
      <c r="M7116" s="473"/>
    </row>
    <row r="7117" spans="5:13">
      <c r="E7117" s="473"/>
      <c r="F7117" s="473"/>
      <c r="G7117" s="473"/>
      <c r="H7117" s="473"/>
      <c r="I7117" s="473"/>
      <c r="J7117" s="473"/>
      <c r="K7117" s="473"/>
      <c r="L7117" s="473"/>
      <c r="M7117" s="473"/>
    </row>
    <row r="7118" spans="5:13">
      <c r="E7118" s="473"/>
      <c r="F7118" s="473"/>
      <c r="G7118" s="473"/>
      <c r="H7118" s="473"/>
      <c r="I7118" s="473"/>
      <c r="J7118" s="473"/>
      <c r="K7118" s="473"/>
      <c r="L7118" s="473"/>
      <c r="M7118" s="473"/>
    </row>
    <row r="7119" spans="5:13">
      <c r="E7119" s="473"/>
      <c r="F7119" s="473"/>
      <c r="G7119" s="473"/>
      <c r="H7119" s="473"/>
      <c r="I7119" s="473"/>
      <c r="J7119" s="473"/>
      <c r="K7119" s="473"/>
      <c r="L7119" s="473"/>
      <c r="M7119" s="473"/>
    </row>
    <row r="7120" spans="5:13">
      <c r="E7120" s="473"/>
      <c r="F7120" s="473"/>
      <c r="G7120" s="473"/>
      <c r="H7120" s="473"/>
      <c r="I7120" s="473"/>
      <c r="J7120" s="473"/>
      <c r="K7120" s="473"/>
      <c r="L7120" s="473"/>
      <c r="M7120" s="473"/>
    </row>
    <row r="7121" spans="5:13">
      <c r="E7121" s="473"/>
      <c r="F7121" s="473"/>
      <c r="G7121" s="473"/>
      <c r="H7121" s="473"/>
      <c r="I7121" s="473"/>
      <c r="J7121" s="473"/>
      <c r="K7121" s="473"/>
      <c r="L7121" s="473"/>
      <c r="M7121" s="473"/>
    </row>
    <row r="7122" spans="5:13">
      <c r="E7122" s="473"/>
      <c r="F7122" s="473"/>
      <c r="G7122" s="473"/>
      <c r="H7122" s="473"/>
      <c r="I7122" s="473"/>
      <c r="J7122" s="473"/>
      <c r="K7122" s="473"/>
      <c r="L7122" s="473"/>
      <c r="M7122" s="473"/>
    </row>
    <row r="7123" spans="5:13">
      <c r="E7123" s="473"/>
      <c r="F7123" s="473"/>
      <c r="G7123" s="473"/>
      <c r="H7123" s="473"/>
      <c r="I7123" s="473"/>
      <c r="J7123" s="473"/>
      <c r="K7123" s="473"/>
      <c r="L7123" s="473"/>
      <c r="M7123" s="473"/>
    </row>
    <row r="7124" spans="5:13">
      <c r="E7124" s="473"/>
      <c r="F7124" s="473"/>
      <c r="G7124" s="473"/>
      <c r="H7124" s="473"/>
      <c r="I7124" s="473"/>
      <c r="J7124" s="473"/>
      <c r="K7124" s="473"/>
      <c r="L7124" s="473"/>
      <c r="M7124" s="473"/>
    </row>
    <row r="7125" spans="5:13">
      <c r="E7125" s="473"/>
      <c r="F7125" s="473"/>
      <c r="G7125" s="473"/>
      <c r="H7125" s="473"/>
      <c r="I7125" s="473"/>
      <c r="J7125" s="473"/>
      <c r="K7125" s="473"/>
      <c r="L7125" s="473"/>
      <c r="M7125" s="473"/>
    </row>
    <row r="7126" spans="5:13">
      <c r="E7126" s="473"/>
      <c r="F7126" s="473"/>
      <c r="G7126" s="473"/>
      <c r="H7126" s="473"/>
      <c r="I7126" s="473"/>
      <c r="J7126" s="473"/>
      <c r="K7126" s="473"/>
      <c r="L7126" s="473"/>
      <c r="M7126" s="473"/>
    </row>
    <row r="7127" spans="5:13">
      <c r="E7127" s="473"/>
      <c r="F7127" s="473"/>
      <c r="G7127" s="473"/>
      <c r="H7127" s="473"/>
      <c r="I7127" s="473"/>
      <c r="J7127" s="473"/>
      <c r="K7127" s="473"/>
      <c r="L7127" s="473"/>
      <c r="M7127" s="473"/>
    </row>
    <row r="7128" spans="5:13">
      <c r="E7128" s="473"/>
      <c r="F7128" s="473"/>
      <c r="G7128" s="473"/>
      <c r="H7128" s="473"/>
      <c r="I7128" s="473"/>
      <c r="J7128" s="473"/>
      <c r="K7128" s="473"/>
      <c r="L7128" s="473"/>
      <c r="M7128" s="473"/>
    </row>
    <row r="7129" spans="5:13">
      <c r="E7129" s="473"/>
      <c r="F7129" s="473"/>
      <c r="G7129" s="473"/>
      <c r="H7129" s="473"/>
      <c r="I7129" s="473"/>
      <c r="J7129" s="473"/>
      <c r="K7129" s="473"/>
      <c r="L7129" s="473"/>
      <c r="M7129" s="473"/>
    </row>
    <row r="7130" spans="5:13">
      <c r="E7130" s="473"/>
      <c r="F7130" s="473"/>
      <c r="G7130" s="473"/>
      <c r="H7130" s="473"/>
      <c r="I7130" s="473"/>
      <c r="J7130" s="473"/>
      <c r="K7130" s="473"/>
      <c r="L7130" s="473"/>
      <c r="M7130" s="473"/>
    </row>
    <row r="7131" spans="5:13">
      <c r="E7131" s="473"/>
      <c r="F7131" s="473"/>
      <c r="G7131" s="473"/>
      <c r="H7131" s="473"/>
      <c r="I7131" s="473"/>
      <c r="J7131" s="473"/>
      <c r="K7131" s="473"/>
      <c r="L7131" s="473"/>
      <c r="M7131" s="473"/>
    </row>
    <row r="7132" spans="5:13">
      <c r="E7132" s="473"/>
      <c r="F7132" s="473"/>
      <c r="G7132" s="473"/>
      <c r="H7132" s="473"/>
      <c r="I7132" s="473"/>
      <c r="J7132" s="473"/>
      <c r="K7132" s="473"/>
      <c r="L7132" s="473"/>
      <c r="M7132" s="473"/>
    </row>
    <row r="7133" spans="5:13">
      <c r="E7133" s="473"/>
      <c r="F7133" s="473"/>
      <c r="G7133" s="473"/>
      <c r="H7133" s="473"/>
      <c r="I7133" s="473"/>
      <c r="J7133" s="473"/>
      <c r="K7133" s="473"/>
      <c r="L7133" s="473"/>
      <c r="M7133" s="473"/>
    </row>
    <row r="7134" spans="5:13">
      <c r="E7134" s="473"/>
      <c r="F7134" s="473"/>
      <c r="G7134" s="473"/>
      <c r="H7134" s="473"/>
      <c r="I7134" s="473"/>
      <c r="J7134" s="473"/>
      <c r="K7134" s="473"/>
      <c r="L7134" s="473"/>
      <c r="M7134" s="473"/>
    </row>
    <row r="7135" spans="5:13">
      <c r="E7135" s="473"/>
      <c r="F7135" s="473"/>
      <c r="G7135" s="473"/>
      <c r="H7135" s="473"/>
      <c r="I7135" s="473"/>
      <c r="J7135" s="473"/>
      <c r="K7135" s="473"/>
      <c r="L7135" s="473"/>
      <c r="M7135" s="473"/>
    </row>
    <row r="7136" spans="5:13">
      <c r="E7136" s="473"/>
      <c r="F7136" s="473"/>
      <c r="G7136" s="473"/>
      <c r="H7136" s="473"/>
      <c r="I7136" s="473"/>
      <c r="J7136" s="473"/>
      <c r="K7136" s="473"/>
      <c r="L7136" s="473"/>
      <c r="M7136" s="473"/>
    </row>
    <row r="7137" spans="5:13">
      <c r="E7137" s="473"/>
      <c r="F7137" s="473"/>
      <c r="G7137" s="473"/>
      <c r="H7137" s="473"/>
      <c r="I7137" s="473"/>
      <c r="J7137" s="473"/>
      <c r="K7137" s="473"/>
      <c r="L7137" s="473"/>
      <c r="M7137" s="473"/>
    </row>
    <row r="7138" spans="5:13">
      <c r="E7138" s="473"/>
      <c r="F7138" s="473"/>
      <c r="G7138" s="473"/>
      <c r="H7138" s="473"/>
      <c r="I7138" s="473"/>
      <c r="J7138" s="473"/>
      <c r="K7138" s="473"/>
      <c r="L7138" s="473"/>
      <c r="M7138" s="473"/>
    </row>
    <row r="7139" spans="5:13">
      <c r="E7139" s="473"/>
      <c r="F7139" s="473"/>
      <c r="G7139" s="473"/>
      <c r="H7139" s="473"/>
      <c r="I7139" s="473"/>
      <c r="J7139" s="473"/>
      <c r="K7139" s="473"/>
      <c r="L7139" s="473"/>
      <c r="M7139" s="473"/>
    </row>
    <row r="7140" spans="5:13">
      <c r="E7140" s="473"/>
      <c r="F7140" s="473"/>
      <c r="G7140" s="473"/>
      <c r="H7140" s="473"/>
      <c r="I7140" s="473"/>
      <c r="J7140" s="473"/>
      <c r="K7140" s="473"/>
      <c r="L7140" s="473"/>
      <c r="M7140" s="473"/>
    </row>
    <row r="7141" spans="5:13">
      <c r="E7141" s="473"/>
      <c r="F7141" s="473"/>
      <c r="G7141" s="473"/>
      <c r="H7141" s="473"/>
      <c r="I7141" s="473"/>
      <c r="J7141" s="473"/>
      <c r="K7141" s="473"/>
      <c r="L7141" s="473"/>
      <c r="M7141" s="473"/>
    </row>
    <row r="7142" spans="5:13">
      <c r="E7142" s="473"/>
      <c r="F7142" s="473"/>
      <c r="G7142" s="473"/>
      <c r="H7142" s="473"/>
      <c r="I7142" s="473"/>
      <c r="J7142" s="473"/>
      <c r="K7142" s="473"/>
      <c r="L7142" s="473"/>
      <c r="M7142" s="473"/>
    </row>
    <row r="7143" spans="5:13">
      <c r="E7143" s="473"/>
      <c r="F7143" s="473"/>
      <c r="G7143" s="473"/>
      <c r="H7143" s="473"/>
      <c r="I7143" s="473"/>
      <c r="J7143" s="473"/>
      <c r="K7143" s="473"/>
      <c r="L7143" s="473"/>
      <c r="M7143" s="473"/>
    </row>
    <row r="7144" spans="5:13">
      <c r="E7144" s="473"/>
      <c r="F7144" s="473"/>
      <c r="G7144" s="473"/>
      <c r="H7144" s="473"/>
      <c r="I7144" s="473"/>
      <c r="J7144" s="473"/>
      <c r="K7144" s="473"/>
      <c r="L7144" s="473"/>
      <c r="M7144" s="473"/>
    </row>
    <row r="7145" spans="5:13">
      <c r="E7145" s="473"/>
      <c r="F7145" s="473"/>
      <c r="G7145" s="473"/>
      <c r="H7145" s="473"/>
      <c r="I7145" s="473"/>
      <c r="J7145" s="473"/>
      <c r="K7145" s="473"/>
      <c r="L7145" s="473"/>
      <c r="M7145" s="473"/>
    </row>
    <row r="7146" spans="5:13">
      <c r="E7146" s="473"/>
      <c r="F7146" s="473"/>
      <c r="G7146" s="473"/>
      <c r="H7146" s="473"/>
      <c r="I7146" s="473"/>
      <c r="J7146" s="473"/>
      <c r="K7146" s="473"/>
      <c r="L7146" s="473"/>
      <c r="M7146" s="473"/>
    </row>
    <row r="7147" spans="5:13">
      <c r="E7147" s="473"/>
      <c r="F7147" s="473"/>
      <c r="G7147" s="473"/>
      <c r="H7147" s="473"/>
      <c r="I7147" s="473"/>
      <c r="J7147" s="473"/>
      <c r="K7147" s="473"/>
      <c r="L7147" s="473"/>
      <c r="M7147" s="473"/>
    </row>
    <row r="7148" spans="5:13">
      <c r="E7148" s="473"/>
      <c r="F7148" s="473"/>
      <c r="G7148" s="473"/>
      <c r="H7148" s="473"/>
      <c r="I7148" s="473"/>
      <c r="J7148" s="473"/>
      <c r="K7148" s="473"/>
      <c r="L7148" s="473"/>
      <c r="M7148" s="473"/>
    </row>
    <row r="7149" spans="5:13">
      <c r="E7149" s="473"/>
      <c r="F7149" s="473"/>
      <c r="G7149" s="473"/>
      <c r="H7149" s="473"/>
      <c r="I7149" s="473"/>
      <c r="J7149" s="473"/>
      <c r="K7149" s="473"/>
      <c r="L7149" s="473"/>
      <c r="M7149" s="473"/>
    </row>
    <row r="7150" spans="5:13">
      <c r="E7150" s="473"/>
      <c r="F7150" s="473"/>
      <c r="G7150" s="473"/>
      <c r="H7150" s="473"/>
      <c r="I7150" s="473"/>
      <c r="J7150" s="473"/>
      <c r="K7150" s="473"/>
      <c r="L7150" s="473"/>
      <c r="M7150" s="473"/>
    </row>
    <row r="7151" spans="5:13">
      <c r="E7151" s="473"/>
      <c r="F7151" s="473"/>
      <c r="G7151" s="473"/>
      <c r="H7151" s="473"/>
      <c r="I7151" s="473"/>
      <c r="J7151" s="473"/>
      <c r="K7151" s="473"/>
      <c r="L7151" s="473"/>
      <c r="M7151" s="473"/>
    </row>
    <row r="7152" spans="5:13">
      <c r="E7152" s="473"/>
      <c r="F7152" s="473"/>
      <c r="G7152" s="473"/>
      <c r="H7152" s="473"/>
      <c r="I7152" s="473"/>
      <c r="J7152" s="473"/>
      <c r="K7152" s="473"/>
      <c r="L7152" s="473"/>
      <c r="M7152" s="473"/>
    </row>
    <row r="7153" spans="5:13">
      <c r="E7153" s="473"/>
      <c r="F7153" s="473"/>
      <c r="G7153" s="473"/>
      <c r="H7153" s="473"/>
      <c r="I7153" s="473"/>
      <c r="J7153" s="473"/>
      <c r="K7153" s="473"/>
      <c r="L7153" s="473"/>
      <c r="M7153" s="473"/>
    </row>
    <row r="7154" spans="5:13">
      <c r="E7154" s="473"/>
      <c r="F7154" s="473"/>
      <c r="G7154" s="473"/>
      <c r="H7154" s="473"/>
      <c r="I7154" s="473"/>
      <c r="J7154" s="473"/>
      <c r="K7154" s="473"/>
      <c r="L7154" s="473"/>
      <c r="M7154" s="473"/>
    </row>
    <row r="7155" spans="5:13">
      <c r="E7155" s="473"/>
      <c r="F7155" s="473"/>
      <c r="G7155" s="473"/>
      <c r="H7155" s="473"/>
      <c r="I7155" s="473"/>
      <c r="J7155" s="473"/>
      <c r="K7155" s="473"/>
      <c r="L7155" s="473"/>
      <c r="M7155" s="473"/>
    </row>
    <row r="7156" spans="5:13">
      <c r="E7156" s="473"/>
      <c r="F7156" s="473"/>
      <c r="G7156" s="473"/>
      <c r="H7156" s="473"/>
      <c r="I7156" s="473"/>
      <c r="J7156" s="473"/>
      <c r="K7156" s="473"/>
      <c r="L7156" s="473"/>
      <c r="M7156" s="473"/>
    </row>
    <row r="7157" spans="5:13">
      <c r="E7157" s="473"/>
      <c r="F7157" s="473"/>
      <c r="G7157" s="473"/>
      <c r="H7157" s="473"/>
      <c r="I7157" s="473"/>
      <c r="J7157" s="473"/>
      <c r="K7157" s="473"/>
      <c r="L7157" s="473"/>
      <c r="M7157" s="473"/>
    </row>
    <row r="7158" spans="5:13">
      <c r="E7158" s="473"/>
      <c r="F7158" s="473"/>
      <c r="G7158" s="473"/>
      <c r="H7158" s="473"/>
      <c r="I7158" s="473"/>
      <c r="J7158" s="473"/>
      <c r="K7158" s="473"/>
      <c r="L7158" s="473"/>
      <c r="M7158" s="473"/>
    </row>
    <row r="7159" spans="5:13">
      <c r="E7159" s="473"/>
      <c r="F7159" s="473"/>
      <c r="G7159" s="473"/>
      <c r="H7159" s="473"/>
      <c r="I7159" s="473"/>
      <c r="J7159" s="473"/>
      <c r="K7159" s="473"/>
      <c r="L7159" s="473"/>
      <c r="M7159" s="473"/>
    </row>
    <row r="7160" spans="5:13">
      <c r="E7160" s="473"/>
      <c r="F7160" s="473"/>
      <c r="G7160" s="473"/>
      <c r="H7160" s="473"/>
      <c r="I7160" s="473"/>
      <c r="J7160" s="473"/>
      <c r="K7160" s="473"/>
      <c r="L7160" s="473"/>
      <c r="M7160" s="473"/>
    </row>
    <row r="7161" spans="5:13">
      <c r="E7161" s="473"/>
      <c r="F7161" s="473"/>
      <c r="G7161" s="473"/>
      <c r="H7161" s="473"/>
      <c r="I7161" s="473"/>
      <c r="J7161" s="473"/>
      <c r="K7161" s="473"/>
      <c r="L7161" s="473"/>
      <c r="M7161" s="473"/>
    </row>
    <row r="7162" spans="5:13">
      <c r="E7162" s="473"/>
      <c r="F7162" s="473"/>
      <c r="G7162" s="473"/>
      <c r="H7162" s="473"/>
      <c r="I7162" s="473"/>
      <c r="J7162" s="473"/>
      <c r="K7162" s="473"/>
      <c r="L7162" s="473"/>
      <c r="M7162" s="473"/>
    </row>
    <row r="7163" spans="5:13">
      <c r="E7163" s="473"/>
      <c r="F7163" s="473"/>
      <c r="G7163" s="473"/>
      <c r="H7163" s="473"/>
      <c r="I7163" s="473"/>
      <c r="J7163" s="473"/>
      <c r="K7163" s="473"/>
      <c r="L7163" s="473"/>
      <c r="M7163" s="473"/>
    </row>
    <row r="7164" spans="5:13">
      <c r="E7164" s="473"/>
      <c r="F7164" s="473"/>
      <c r="G7164" s="473"/>
      <c r="H7164" s="473"/>
      <c r="I7164" s="473"/>
      <c r="J7164" s="473"/>
      <c r="K7164" s="473"/>
      <c r="L7164" s="473"/>
      <c r="M7164" s="473"/>
    </row>
    <row r="7165" spans="5:13">
      <c r="E7165" s="473"/>
      <c r="F7165" s="473"/>
      <c r="G7165" s="473"/>
      <c r="H7165" s="473"/>
      <c r="I7165" s="473"/>
      <c r="J7165" s="473"/>
      <c r="K7165" s="473"/>
      <c r="L7165" s="473"/>
      <c r="M7165" s="473"/>
    </row>
    <row r="7166" spans="5:13">
      <c r="E7166" s="473"/>
      <c r="F7166" s="473"/>
      <c r="G7166" s="473"/>
      <c r="H7166" s="473"/>
      <c r="I7166" s="473"/>
      <c r="J7166" s="473"/>
      <c r="K7166" s="473"/>
      <c r="L7166" s="473"/>
      <c r="M7166" s="473"/>
    </row>
    <row r="7167" spans="5:13">
      <c r="E7167" s="473"/>
      <c r="F7167" s="473"/>
      <c r="G7167" s="473"/>
      <c r="H7167" s="473"/>
      <c r="I7167" s="473"/>
      <c r="J7167" s="473"/>
      <c r="K7167" s="473"/>
      <c r="L7167" s="473"/>
      <c r="M7167" s="473"/>
    </row>
    <row r="7168" spans="5:13">
      <c r="E7168" s="473"/>
      <c r="F7168" s="473"/>
      <c r="G7168" s="473"/>
      <c r="H7168" s="473"/>
      <c r="I7168" s="473"/>
      <c r="J7168" s="473"/>
      <c r="K7168" s="473"/>
      <c r="L7168" s="473"/>
      <c r="M7168" s="473"/>
    </row>
    <row r="7169" spans="5:13">
      <c r="E7169" s="473"/>
      <c r="F7169" s="473"/>
      <c r="G7169" s="473"/>
      <c r="H7169" s="473"/>
      <c r="I7169" s="473"/>
      <c r="J7169" s="473"/>
      <c r="K7169" s="473"/>
      <c r="L7169" s="473"/>
      <c r="M7169" s="473"/>
    </row>
    <row r="7170" spans="5:13">
      <c r="E7170" s="473"/>
      <c r="F7170" s="473"/>
      <c r="G7170" s="473"/>
      <c r="H7170" s="473"/>
      <c r="I7170" s="473"/>
      <c r="J7170" s="473"/>
      <c r="K7170" s="473"/>
      <c r="L7170" s="473"/>
      <c r="M7170" s="473"/>
    </row>
    <row r="7171" spans="5:13">
      <c r="E7171" s="473"/>
      <c r="F7171" s="473"/>
      <c r="G7171" s="473"/>
      <c r="H7171" s="473"/>
      <c r="I7171" s="473"/>
      <c r="J7171" s="473"/>
      <c r="K7171" s="473"/>
      <c r="L7171" s="473"/>
      <c r="M7171" s="473"/>
    </row>
    <row r="7172" spans="5:13">
      <c r="E7172" s="473"/>
      <c r="F7172" s="473"/>
      <c r="G7172" s="473"/>
      <c r="H7172" s="473"/>
      <c r="I7172" s="473"/>
      <c r="J7172" s="473"/>
      <c r="K7172" s="473"/>
      <c r="L7172" s="473"/>
      <c r="M7172" s="473"/>
    </row>
    <row r="7173" spans="5:13">
      <c r="E7173" s="473"/>
      <c r="F7173" s="473"/>
      <c r="G7173" s="473"/>
      <c r="H7173" s="473"/>
      <c r="I7173" s="473"/>
      <c r="J7173" s="473"/>
      <c r="K7173" s="473"/>
      <c r="L7173" s="473"/>
      <c r="M7173" s="473"/>
    </row>
    <row r="7174" spans="5:13">
      <c r="E7174" s="473"/>
      <c r="F7174" s="473"/>
      <c r="G7174" s="473"/>
      <c r="H7174" s="473"/>
      <c r="I7174" s="473"/>
      <c r="J7174" s="473"/>
      <c r="K7174" s="473"/>
      <c r="L7174" s="473"/>
      <c r="M7174" s="473"/>
    </row>
    <row r="7175" spans="5:13">
      <c r="E7175" s="473"/>
      <c r="F7175" s="473"/>
      <c r="G7175" s="473"/>
      <c r="H7175" s="473"/>
      <c r="I7175" s="473"/>
      <c r="J7175" s="473"/>
      <c r="K7175" s="473"/>
      <c r="L7175" s="473"/>
      <c r="M7175" s="473"/>
    </row>
    <row r="7176" spans="5:13">
      <c r="E7176" s="473"/>
      <c r="F7176" s="473"/>
      <c r="G7176" s="473"/>
      <c r="H7176" s="473"/>
      <c r="I7176" s="473"/>
      <c r="J7176" s="473"/>
      <c r="K7176" s="473"/>
      <c r="L7176" s="473"/>
      <c r="M7176" s="473"/>
    </row>
    <row r="7177" spans="5:13">
      <c r="E7177" s="473"/>
      <c r="F7177" s="473"/>
      <c r="G7177" s="473"/>
      <c r="H7177" s="473"/>
      <c r="I7177" s="473"/>
      <c r="J7177" s="473"/>
      <c r="K7177" s="473"/>
      <c r="L7177" s="473"/>
      <c r="M7177" s="473"/>
    </row>
    <row r="7178" spans="5:13">
      <c r="E7178" s="473"/>
      <c r="F7178" s="473"/>
      <c r="G7178" s="473"/>
      <c r="H7178" s="473"/>
      <c r="I7178" s="473"/>
      <c r="J7178" s="473"/>
      <c r="K7178" s="473"/>
      <c r="L7178" s="473"/>
      <c r="M7178" s="473"/>
    </row>
    <row r="7179" spans="5:13">
      <c r="E7179" s="473"/>
      <c r="F7179" s="473"/>
      <c r="G7179" s="473"/>
      <c r="H7179" s="473"/>
      <c r="I7179" s="473"/>
      <c r="J7179" s="473"/>
      <c r="K7179" s="473"/>
      <c r="L7179" s="473"/>
      <c r="M7179" s="473"/>
    </row>
    <row r="7180" spans="5:13">
      <c r="E7180" s="473"/>
      <c r="F7180" s="473"/>
      <c r="G7180" s="473"/>
      <c r="H7180" s="473"/>
      <c r="I7180" s="473"/>
      <c r="J7180" s="473"/>
      <c r="K7180" s="473"/>
      <c r="L7180" s="473"/>
      <c r="M7180" s="473"/>
    </row>
    <row r="7181" spans="5:13">
      <c r="E7181" s="473"/>
      <c r="F7181" s="473"/>
      <c r="G7181" s="473"/>
      <c r="H7181" s="473"/>
      <c r="I7181" s="473"/>
      <c r="J7181" s="473"/>
      <c r="K7181" s="473"/>
      <c r="L7181" s="473"/>
      <c r="M7181" s="473"/>
    </row>
    <row r="7182" spans="5:13">
      <c r="E7182" s="473"/>
      <c r="F7182" s="473"/>
      <c r="G7182" s="473"/>
      <c r="H7182" s="473"/>
      <c r="I7182" s="473"/>
      <c r="J7182" s="473"/>
      <c r="K7182" s="473"/>
      <c r="L7182" s="473"/>
      <c r="M7182" s="473"/>
    </row>
    <row r="7183" spans="5:13">
      <c r="E7183" s="473"/>
      <c r="F7183" s="473"/>
      <c r="G7183" s="473"/>
      <c r="H7183" s="473"/>
      <c r="I7183" s="473"/>
      <c r="J7183" s="473"/>
      <c r="K7183" s="473"/>
      <c r="L7183" s="473"/>
      <c r="M7183" s="473"/>
    </row>
    <row r="7184" spans="5:13">
      <c r="E7184" s="473"/>
      <c r="F7184" s="473"/>
      <c r="G7184" s="473"/>
      <c r="H7184" s="473"/>
      <c r="I7184" s="473"/>
      <c r="J7184" s="473"/>
      <c r="K7184" s="473"/>
      <c r="L7184" s="473"/>
      <c r="M7184" s="473"/>
    </row>
    <row r="7185" spans="5:13">
      <c r="E7185" s="473"/>
      <c r="F7185" s="473"/>
      <c r="G7185" s="473"/>
      <c r="H7185" s="473"/>
      <c r="I7185" s="473"/>
      <c r="J7185" s="473"/>
      <c r="K7185" s="473"/>
      <c r="L7185" s="473"/>
      <c r="M7185" s="473"/>
    </row>
    <row r="7186" spans="5:13">
      <c r="E7186" s="473"/>
      <c r="F7186" s="473"/>
      <c r="G7186" s="473"/>
      <c r="H7186" s="473"/>
      <c r="I7186" s="473"/>
      <c r="J7186" s="473"/>
      <c r="K7186" s="473"/>
      <c r="L7186" s="473"/>
      <c r="M7186" s="473"/>
    </row>
    <row r="7187" spans="5:13">
      <c r="E7187" s="473"/>
      <c r="F7187" s="473"/>
      <c r="G7187" s="473"/>
      <c r="H7187" s="473"/>
      <c r="I7187" s="473"/>
      <c r="J7187" s="473"/>
      <c r="K7187" s="473"/>
      <c r="L7187" s="473"/>
      <c r="M7187" s="473"/>
    </row>
    <row r="7188" spans="5:13">
      <c r="E7188" s="473"/>
      <c r="F7188" s="473"/>
      <c r="G7188" s="473"/>
      <c r="H7188" s="473"/>
      <c r="I7188" s="473"/>
      <c r="J7188" s="473"/>
      <c r="K7188" s="473"/>
      <c r="L7188" s="473"/>
      <c r="M7188" s="473"/>
    </row>
    <row r="7189" spans="5:13">
      <c r="E7189" s="473"/>
      <c r="F7189" s="473"/>
      <c r="G7189" s="473"/>
      <c r="H7189" s="473"/>
      <c r="I7189" s="473"/>
      <c r="J7189" s="473"/>
      <c r="K7189" s="473"/>
      <c r="L7189" s="473"/>
      <c r="M7189" s="473"/>
    </row>
    <row r="7190" spans="5:13">
      <c r="E7190" s="473"/>
      <c r="F7190" s="473"/>
      <c r="G7190" s="473"/>
      <c r="H7190" s="473"/>
      <c r="I7190" s="473"/>
      <c r="J7190" s="473"/>
      <c r="K7190" s="473"/>
      <c r="L7190" s="473"/>
      <c r="M7190" s="473"/>
    </row>
    <row r="7191" spans="5:13">
      <c r="E7191" s="473"/>
      <c r="F7191" s="473"/>
      <c r="G7191" s="473"/>
      <c r="H7191" s="473"/>
      <c r="I7191" s="473"/>
      <c r="J7191" s="473"/>
      <c r="K7191" s="473"/>
      <c r="L7191" s="473"/>
      <c r="M7191" s="473"/>
    </row>
    <row r="7192" spans="5:13">
      <c r="E7192" s="473"/>
      <c r="F7192" s="473"/>
      <c r="G7192" s="473"/>
      <c r="H7192" s="473"/>
      <c r="I7192" s="473"/>
      <c r="J7192" s="473"/>
      <c r="K7192" s="473"/>
      <c r="L7192" s="473"/>
      <c r="M7192" s="473"/>
    </row>
    <row r="7193" spans="5:13">
      <c r="E7193" s="473"/>
      <c r="F7193" s="473"/>
      <c r="G7193" s="473"/>
      <c r="H7193" s="473"/>
      <c r="I7193" s="473"/>
      <c r="J7193" s="473"/>
      <c r="K7193" s="473"/>
      <c r="L7193" s="473"/>
      <c r="M7193" s="473"/>
    </row>
    <row r="7194" spans="5:13">
      <c r="E7194" s="473"/>
      <c r="F7194" s="473"/>
      <c r="G7194" s="473"/>
      <c r="H7194" s="473"/>
      <c r="I7194" s="473"/>
      <c r="J7194" s="473"/>
      <c r="K7194" s="473"/>
      <c r="L7194" s="473"/>
      <c r="M7194" s="473"/>
    </row>
    <row r="7195" spans="5:13">
      <c r="E7195" s="473"/>
      <c r="F7195" s="473"/>
      <c r="G7195" s="473"/>
      <c r="H7195" s="473"/>
      <c r="I7195" s="473"/>
      <c r="J7195" s="473"/>
      <c r="K7195" s="473"/>
      <c r="L7195" s="473"/>
      <c r="M7195" s="473"/>
    </row>
    <row r="7196" spans="5:13">
      <c r="E7196" s="473"/>
      <c r="F7196" s="473"/>
      <c r="G7196" s="473"/>
      <c r="H7196" s="473"/>
      <c r="I7196" s="473"/>
      <c r="J7196" s="473"/>
      <c r="K7196" s="473"/>
      <c r="L7196" s="473"/>
      <c r="M7196" s="473"/>
    </row>
    <row r="7197" spans="5:13">
      <c r="E7197" s="473"/>
      <c r="F7197" s="473"/>
      <c r="G7197" s="473"/>
      <c r="H7197" s="473"/>
      <c r="I7197" s="473"/>
      <c r="J7197" s="473"/>
      <c r="K7197" s="473"/>
      <c r="L7197" s="473"/>
      <c r="M7197" s="473"/>
    </row>
    <row r="7198" spans="5:13">
      <c r="E7198" s="473"/>
      <c r="F7198" s="473"/>
      <c r="G7198" s="473"/>
      <c r="H7198" s="473"/>
      <c r="I7198" s="473"/>
      <c r="J7198" s="473"/>
      <c r="K7198" s="473"/>
      <c r="L7198" s="473"/>
      <c r="M7198" s="473"/>
    </row>
    <row r="7199" spans="5:13">
      <c r="E7199" s="473"/>
      <c r="F7199" s="473"/>
      <c r="G7199" s="473"/>
      <c r="H7199" s="473"/>
      <c r="I7199" s="473"/>
      <c r="J7199" s="473"/>
      <c r="K7199" s="473"/>
      <c r="L7199" s="473"/>
      <c r="M7199" s="473"/>
    </row>
    <row r="7200" spans="5:13">
      <c r="E7200" s="473"/>
      <c r="F7200" s="473"/>
      <c r="G7200" s="473"/>
      <c r="H7200" s="473"/>
      <c r="I7200" s="473"/>
      <c r="J7200" s="473"/>
      <c r="K7200" s="473"/>
      <c r="L7200" s="473"/>
      <c r="M7200" s="473"/>
    </row>
    <row r="7201" spans="5:13">
      <c r="E7201" s="473"/>
      <c r="F7201" s="473"/>
      <c r="G7201" s="473"/>
      <c r="H7201" s="473"/>
      <c r="I7201" s="473"/>
      <c r="J7201" s="473"/>
      <c r="K7201" s="473"/>
      <c r="L7201" s="473"/>
      <c r="M7201" s="473"/>
    </row>
    <row r="7202" spans="5:13">
      <c r="E7202" s="473"/>
      <c r="F7202" s="473"/>
      <c r="G7202" s="473"/>
      <c r="H7202" s="473"/>
      <c r="I7202" s="473"/>
      <c r="J7202" s="473"/>
      <c r="K7202" s="473"/>
      <c r="L7202" s="473"/>
      <c r="M7202" s="473"/>
    </row>
    <row r="7203" spans="5:13">
      <c r="E7203" s="473"/>
      <c r="F7203" s="473"/>
      <c r="G7203" s="473"/>
      <c r="H7203" s="473"/>
      <c r="I7203" s="473"/>
      <c r="J7203" s="473"/>
      <c r="K7203" s="473"/>
      <c r="L7203" s="473"/>
      <c r="M7203" s="473"/>
    </row>
    <row r="7204" spans="5:13">
      <c r="E7204" s="473"/>
      <c r="F7204" s="473"/>
      <c r="G7204" s="473"/>
      <c r="H7204" s="473"/>
      <c r="I7204" s="473"/>
      <c r="J7204" s="473"/>
      <c r="K7204" s="473"/>
      <c r="L7204" s="473"/>
      <c r="M7204" s="473"/>
    </row>
    <row r="7205" spans="5:13">
      <c r="E7205" s="473"/>
      <c r="F7205" s="473"/>
      <c r="G7205" s="473"/>
      <c r="H7205" s="473"/>
      <c r="I7205" s="473"/>
      <c r="J7205" s="473"/>
      <c r="K7205" s="473"/>
      <c r="L7205" s="473"/>
      <c r="M7205" s="473"/>
    </row>
    <row r="7206" spans="5:13">
      <c r="E7206" s="473"/>
      <c r="F7206" s="473"/>
      <c r="G7206" s="473"/>
      <c r="H7206" s="473"/>
      <c r="I7206" s="473"/>
      <c r="J7206" s="473"/>
      <c r="K7206" s="473"/>
      <c r="L7206" s="473"/>
      <c r="M7206" s="473"/>
    </row>
    <row r="7207" spans="5:13">
      <c r="E7207" s="473"/>
      <c r="F7207" s="473"/>
      <c r="G7207" s="473"/>
      <c r="H7207" s="473"/>
      <c r="I7207" s="473"/>
      <c r="J7207" s="473"/>
      <c r="K7207" s="473"/>
      <c r="L7207" s="473"/>
      <c r="M7207" s="473"/>
    </row>
    <row r="7208" spans="5:13">
      <c r="E7208" s="473"/>
      <c r="F7208" s="473"/>
      <c r="G7208" s="473"/>
      <c r="H7208" s="473"/>
      <c r="I7208" s="473"/>
      <c r="J7208" s="473"/>
      <c r="K7208" s="473"/>
      <c r="L7208" s="473"/>
      <c r="M7208" s="473"/>
    </row>
    <row r="7209" spans="5:13">
      <c r="E7209" s="473"/>
      <c r="F7209" s="473"/>
      <c r="G7209" s="473"/>
      <c r="H7209" s="473"/>
      <c r="I7209" s="473"/>
      <c r="J7209" s="473"/>
      <c r="K7209" s="473"/>
      <c r="L7209" s="473"/>
      <c r="M7209" s="473"/>
    </row>
    <row r="7210" spans="5:13">
      <c r="E7210" s="473"/>
      <c r="F7210" s="473"/>
      <c r="G7210" s="473"/>
      <c r="H7210" s="473"/>
      <c r="I7210" s="473"/>
      <c r="J7210" s="473"/>
      <c r="K7210" s="473"/>
      <c r="L7210" s="473"/>
      <c r="M7210" s="473"/>
    </row>
    <row r="7211" spans="5:13">
      <c r="E7211" s="473"/>
      <c r="F7211" s="473"/>
      <c r="G7211" s="473"/>
      <c r="H7211" s="473"/>
      <c r="I7211" s="473"/>
      <c r="J7211" s="473"/>
      <c r="K7211" s="473"/>
      <c r="L7211" s="473"/>
      <c r="M7211" s="473"/>
    </row>
    <row r="7212" spans="5:13">
      <c r="E7212" s="473"/>
      <c r="F7212" s="473"/>
      <c r="G7212" s="473"/>
      <c r="H7212" s="473"/>
      <c r="I7212" s="473"/>
      <c r="J7212" s="473"/>
      <c r="K7212" s="473"/>
      <c r="L7212" s="473"/>
      <c r="M7212" s="473"/>
    </row>
    <row r="7213" spans="5:13">
      <c r="E7213" s="473"/>
      <c r="F7213" s="473"/>
      <c r="G7213" s="473"/>
      <c r="H7213" s="473"/>
      <c r="I7213" s="473"/>
      <c r="J7213" s="473"/>
      <c r="K7213" s="473"/>
      <c r="L7213" s="473"/>
      <c r="M7213" s="473"/>
    </row>
    <row r="7214" spans="5:13">
      <c r="E7214" s="473"/>
      <c r="F7214" s="473"/>
      <c r="G7214" s="473"/>
      <c r="H7214" s="473"/>
      <c r="I7214" s="473"/>
      <c r="J7214" s="473"/>
      <c r="K7214" s="473"/>
      <c r="L7214" s="473"/>
      <c r="M7214" s="473"/>
    </row>
    <row r="7215" spans="5:13">
      <c r="E7215" s="473"/>
      <c r="F7215" s="473"/>
      <c r="G7215" s="473"/>
      <c r="H7215" s="473"/>
      <c r="I7215" s="473"/>
      <c r="J7215" s="473"/>
      <c r="K7215" s="473"/>
      <c r="L7215" s="473"/>
      <c r="M7215" s="473"/>
    </row>
    <row r="7216" spans="5:13">
      <c r="E7216" s="473"/>
      <c r="F7216" s="473"/>
      <c r="G7216" s="473"/>
      <c r="H7216" s="473"/>
      <c r="I7216" s="473"/>
      <c r="J7216" s="473"/>
      <c r="K7216" s="473"/>
      <c r="L7216" s="473"/>
      <c r="M7216" s="473"/>
    </row>
    <row r="7217" spans="5:13">
      <c r="E7217" s="473"/>
      <c r="F7217" s="473"/>
      <c r="G7217" s="473"/>
      <c r="H7217" s="473"/>
      <c r="I7217" s="473"/>
      <c r="J7217" s="473"/>
      <c r="K7217" s="473"/>
      <c r="L7217" s="473"/>
      <c r="M7217" s="473"/>
    </row>
    <row r="7218" spans="5:13">
      <c r="E7218" s="473"/>
      <c r="F7218" s="473"/>
      <c r="G7218" s="473"/>
      <c r="H7218" s="473"/>
      <c r="I7218" s="473"/>
      <c r="J7218" s="473"/>
      <c r="K7218" s="473"/>
      <c r="L7218" s="473"/>
      <c r="M7218" s="473"/>
    </row>
    <row r="7219" spans="5:13">
      <c r="E7219" s="473"/>
      <c r="F7219" s="473"/>
      <c r="G7219" s="473"/>
      <c r="H7219" s="473"/>
      <c r="I7219" s="473"/>
      <c r="J7219" s="473"/>
      <c r="K7219" s="473"/>
      <c r="L7219" s="473"/>
      <c r="M7219" s="473"/>
    </row>
    <row r="7220" spans="5:13">
      <c r="E7220" s="473"/>
      <c r="F7220" s="473"/>
      <c r="G7220" s="473"/>
      <c r="H7220" s="473"/>
      <c r="I7220" s="473"/>
      <c r="J7220" s="473"/>
      <c r="K7220" s="473"/>
      <c r="L7220" s="473"/>
      <c r="M7220" s="473"/>
    </row>
    <row r="7221" spans="5:13">
      <c r="E7221" s="473"/>
      <c r="F7221" s="473"/>
      <c r="G7221" s="473"/>
      <c r="H7221" s="473"/>
      <c r="I7221" s="473"/>
      <c r="J7221" s="473"/>
      <c r="K7221" s="473"/>
      <c r="L7221" s="473"/>
      <c r="M7221" s="473"/>
    </row>
    <row r="7222" spans="5:13">
      <c r="E7222" s="473"/>
      <c r="F7222" s="473"/>
      <c r="G7222" s="473"/>
      <c r="H7222" s="473"/>
      <c r="I7222" s="473"/>
      <c r="J7222" s="473"/>
      <c r="K7222" s="473"/>
      <c r="L7222" s="473"/>
      <c r="M7222" s="473"/>
    </row>
    <row r="7223" spans="5:13">
      <c r="E7223" s="473"/>
      <c r="F7223" s="473"/>
      <c r="G7223" s="473"/>
      <c r="H7223" s="473"/>
      <c r="I7223" s="473"/>
      <c r="J7223" s="473"/>
      <c r="K7223" s="473"/>
      <c r="L7223" s="473"/>
      <c r="M7223" s="473"/>
    </row>
    <row r="7224" spans="5:13">
      <c r="E7224" s="473"/>
      <c r="F7224" s="473"/>
      <c r="G7224" s="473"/>
      <c r="H7224" s="473"/>
      <c r="I7224" s="473"/>
      <c r="J7224" s="473"/>
      <c r="K7224" s="473"/>
      <c r="L7224" s="473"/>
      <c r="M7224" s="473"/>
    </row>
    <row r="7225" spans="5:13">
      <c r="E7225" s="473"/>
      <c r="F7225" s="473"/>
      <c r="G7225" s="473"/>
      <c r="H7225" s="473"/>
      <c r="I7225" s="473"/>
      <c r="J7225" s="473"/>
      <c r="K7225" s="473"/>
      <c r="L7225" s="473"/>
      <c r="M7225" s="473"/>
    </row>
    <row r="7226" spans="5:13">
      <c r="E7226" s="473"/>
      <c r="F7226" s="473"/>
      <c r="G7226" s="473"/>
      <c r="H7226" s="473"/>
      <c r="I7226" s="473"/>
      <c r="J7226" s="473"/>
      <c r="K7226" s="473"/>
      <c r="L7226" s="473"/>
      <c r="M7226" s="473"/>
    </row>
    <row r="7227" spans="5:13">
      <c r="E7227" s="473"/>
      <c r="F7227" s="473"/>
      <c r="G7227" s="473"/>
      <c r="H7227" s="473"/>
      <c r="I7227" s="473"/>
      <c r="J7227" s="473"/>
      <c r="K7227" s="473"/>
      <c r="L7227" s="473"/>
      <c r="M7227" s="473"/>
    </row>
    <row r="7228" spans="5:13">
      <c r="E7228" s="473"/>
      <c r="F7228" s="473"/>
      <c r="G7228" s="473"/>
      <c r="H7228" s="473"/>
      <c r="I7228" s="473"/>
      <c r="J7228" s="473"/>
      <c r="K7228" s="473"/>
      <c r="L7228" s="473"/>
      <c r="M7228" s="473"/>
    </row>
    <row r="7229" spans="5:13">
      <c r="E7229" s="473"/>
      <c r="F7229" s="473"/>
      <c r="G7229" s="473"/>
      <c r="H7229" s="473"/>
      <c r="I7229" s="473"/>
      <c r="J7229" s="473"/>
      <c r="K7229" s="473"/>
      <c r="L7229" s="473"/>
      <c r="M7229" s="473"/>
    </row>
    <row r="7230" spans="5:13">
      <c r="E7230" s="473"/>
      <c r="F7230" s="473"/>
      <c r="G7230" s="473"/>
      <c r="H7230" s="473"/>
      <c r="I7230" s="473"/>
      <c r="J7230" s="473"/>
      <c r="K7230" s="473"/>
      <c r="L7230" s="473"/>
      <c r="M7230" s="473"/>
    </row>
    <row r="7231" spans="5:13">
      <c r="E7231" s="473"/>
      <c r="F7231" s="473"/>
      <c r="G7231" s="473"/>
      <c r="H7231" s="473"/>
      <c r="I7231" s="473"/>
      <c r="J7231" s="473"/>
      <c r="K7231" s="473"/>
      <c r="L7231" s="473"/>
      <c r="M7231" s="473"/>
    </row>
    <row r="7232" spans="5:13">
      <c r="E7232" s="473"/>
      <c r="F7232" s="473"/>
      <c r="G7232" s="473"/>
      <c r="H7232" s="473"/>
      <c r="I7232" s="473"/>
      <c r="J7232" s="473"/>
      <c r="K7232" s="473"/>
      <c r="L7232" s="473"/>
      <c r="M7232" s="473"/>
    </row>
    <row r="7233" spans="5:13">
      <c r="E7233" s="473"/>
      <c r="F7233" s="473"/>
      <c r="G7233" s="473"/>
      <c r="H7233" s="473"/>
      <c r="I7233" s="473"/>
      <c r="J7233" s="473"/>
      <c r="K7233" s="473"/>
      <c r="L7233" s="473"/>
      <c r="M7233" s="473"/>
    </row>
    <row r="7234" spans="5:13">
      <c r="E7234" s="473"/>
      <c r="F7234" s="473"/>
      <c r="G7234" s="473"/>
      <c r="H7234" s="473"/>
      <c r="I7234" s="473"/>
      <c r="J7234" s="473"/>
      <c r="K7234" s="473"/>
      <c r="L7234" s="473"/>
      <c r="M7234" s="473"/>
    </row>
    <row r="7235" spans="5:13">
      <c r="E7235" s="473"/>
      <c r="F7235" s="473"/>
      <c r="G7235" s="473"/>
      <c r="H7235" s="473"/>
      <c r="I7235" s="473"/>
      <c r="J7235" s="473"/>
      <c r="K7235" s="473"/>
      <c r="L7235" s="473"/>
      <c r="M7235" s="473"/>
    </row>
    <row r="7236" spans="5:13">
      <c r="E7236" s="473"/>
      <c r="F7236" s="473"/>
      <c r="G7236" s="473"/>
      <c r="H7236" s="473"/>
      <c r="I7236" s="473"/>
      <c r="J7236" s="473"/>
      <c r="K7236" s="473"/>
      <c r="L7236" s="473"/>
      <c r="M7236" s="473"/>
    </row>
    <row r="7237" spans="5:13">
      <c r="E7237" s="473"/>
      <c r="F7237" s="473"/>
      <c r="G7237" s="473"/>
      <c r="H7237" s="473"/>
      <c r="I7237" s="473"/>
      <c r="J7237" s="473"/>
      <c r="K7237" s="473"/>
      <c r="L7237" s="473"/>
      <c r="M7237" s="473"/>
    </row>
    <row r="7238" spans="5:13">
      <c r="E7238" s="473"/>
      <c r="F7238" s="473"/>
      <c r="G7238" s="473"/>
      <c r="H7238" s="473"/>
      <c r="I7238" s="473"/>
      <c r="J7238" s="473"/>
      <c r="K7238" s="473"/>
      <c r="L7238" s="473"/>
      <c r="M7238" s="473"/>
    </row>
    <row r="7239" spans="5:13">
      <c r="E7239" s="473"/>
      <c r="F7239" s="473"/>
      <c r="G7239" s="473"/>
      <c r="H7239" s="473"/>
      <c r="I7239" s="473"/>
      <c r="J7239" s="473"/>
      <c r="K7239" s="473"/>
      <c r="L7239" s="473"/>
      <c r="M7239" s="473"/>
    </row>
    <row r="7240" spans="5:13">
      <c r="E7240" s="473"/>
      <c r="F7240" s="473"/>
      <c r="G7240" s="473"/>
      <c r="H7240" s="473"/>
      <c r="I7240" s="473"/>
      <c r="J7240" s="473"/>
      <c r="K7240" s="473"/>
      <c r="L7240" s="473"/>
      <c r="M7240" s="473"/>
    </row>
    <row r="7241" spans="5:13">
      <c r="E7241" s="473"/>
      <c r="F7241" s="473"/>
      <c r="G7241" s="473"/>
      <c r="H7241" s="473"/>
      <c r="I7241" s="473"/>
      <c r="J7241" s="473"/>
      <c r="K7241" s="473"/>
      <c r="L7241" s="473"/>
      <c r="M7241" s="473"/>
    </row>
    <row r="7242" spans="5:13">
      <c r="E7242" s="473"/>
      <c r="F7242" s="473"/>
      <c r="G7242" s="473"/>
      <c r="H7242" s="473"/>
      <c r="I7242" s="473"/>
      <c r="J7242" s="473"/>
      <c r="K7242" s="473"/>
      <c r="L7242" s="473"/>
      <c r="M7242" s="473"/>
    </row>
    <row r="7243" spans="5:13">
      <c r="E7243" s="473"/>
      <c r="F7243" s="473"/>
      <c r="G7243" s="473"/>
      <c r="H7243" s="473"/>
      <c r="I7243" s="473"/>
      <c r="J7243" s="473"/>
      <c r="K7243" s="473"/>
      <c r="L7243" s="473"/>
      <c r="M7243" s="473"/>
    </row>
    <row r="7244" spans="5:13">
      <c r="E7244" s="473"/>
      <c r="F7244" s="473"/>
      <c r="G7244" s="473"/>
      <c r="H7244" s="473"/>
      <c r="I7244" s="473"/>
      <c r="J7244" s="473"/>
      <c r="K7244" s="473"/>
      <c r="L7244" s="473"/>
      <c r="M7244" s="473"/>
    </row>
    <row r="7245" spans="5:13">
      <c r="E7245" s="473"/>
      <c r="F7245" s="473"/>
      <c r="G7245" s="473"/>
      <c r="H7245" s="473"/>
      <c r="I7245" s="473"/>
      <c r="J7245" s="473"/>
      <c r="K7245" s="473"/>
      <c r="L7245" s="473"/>
      <c r="M7245" s="473"/>
    </row>
    <row r="7246" spans="5:13">
      <c r="E7246" s="473"/>
      <c r="F7246" s="473"/>
      <c r="G7246" s="473"/>
      <c r="H7246" s="473"/>
      <c r="I7246" s="473"/>
      <c r="J7246" s="473"/>
      <c r="K7246" s="473"/>
      <c r="L7246" s="473"/>
      <c r="M7246" s="473"/>
    </row>
    <row r="7247" spans="5:13">
      <c r="E7247" s="473"/>
      <c r="F7247" s="473"/>
      <c r="G7247" s="473"/>
      <c r="H7247" s="473"/>
      <c r="I7247" s="473"/>
      <c r="J7247" s="473"/>
      <c r="K7247" s="473"/>
      <c r="L7247" s="473"/>
      <c r="M7247" s="473"/>
    </row>
    <row r="7248" spans="5:13">
      <c r="E7248" s="473"/>
      <c r="F7248" s="473"/>
      <c r="G7248" s="473"/>
      <c r="H7248" s="473"/>
      <c r="I7248" s="473"/>
      <c r="J7248" s="473"/>
      <c r="K7248" s="473"/>
      <c r="L7248" s="473"/>
      <c r="M7248" s="473"/>
    </row>
    <row r="7249" spans="5:13">
      <c r="E7249" s="473"/>
      <c r="F7249" s="473"/>
      <c r="G7249" s="473"/>
      <c r="H7249" s="473"/>
      <c r="I7249" s="473"/>
      <c r="J7249" s="473"/>
      <c r="K7249" s="473"/>
      <c r="L7249" s="473"/>
      <c r="M7249" s="473"/>
    </row>
    <row r="7250" spans="5:13">
      <c r="E7250" s="473"/>
      <c r="F7250" s="473"/>
      <c r="G7250" s="473"/>
      <c r="H7250" s="473"/>
      <c r="I7250" s="473"/>
      <c r="J7250" s="473"/>
      <c r="K7250" s="473"/>
      <c r="L7250" s="473"/>
      <c r="M7250" s="473"/>
    </row>
    <row r="7251" spans="5:13">
      <c r="E7251" s="473"/>
      <c r="F7251" s="473"/>
      <c r="G7251" s="473"/>
      <c r="H7251" s="473"/>
      <c r="I7251" s="473"/>
      <c r="J7251" s="473"/>
      <c r="K7251" s="473"/>
      <c r="L7251" s="473"/>
      <c r="M7251" s="473"/>
    </row>
    <row r="7252" spans="5:13">
      <c r="E7252" s="473"/>
      <c r="F7252" s="473"/>
      <c r="G7252" s="473"/>
      <c r="H7252" s="473"/>
      <c r="I7252" s="473"/>
      <c r="J7252" s="473"/>
      <c r="K7252" s="473"/>
      <c r="L7252" s="473"/>
      <c r="M7252" s="473"/>
    </row>
    <row r="7253" spans="5:13">
      <c r="E7253" s="473"/>
      <c r="F7253" s="473"/>
      <c r="G7253" s="473"/>
      <c r="H7253" s="473"/>
      <c r="I7253" s="473"/>
      <c r="J7253" s="473"/>
      <c r="K7253" s="473"/>
      <c r="L7253" s="473"/>
      <c r="M7253" s="473"/>
    </row>
    <row r="7254" spans="5:13">
      <c r="E7254" s="473"/>
      <c r="F7254" s="473"/>
      <c r="G7254" s="473"/>
      <c r="H7254" s="473"/>
      <c r="I7254" s="473"/>
      <c r="J7254" s="473"/>
      <c r="K7254" s="473"/>
      <c r="L7254" s="473"/>
      <c r="M7254" s="473"/>
    </row>
    <row r="7255" spans="5:13">
      <c r="E7255" s="473"/>
      <c r="F7255" s="473"/>
      <c r="G7255" s="473"/>
      <c r="H7255" s="473"/>
      <c r="I7255" s="473"/>
      <c r="J7255" s="473"/>
      <c r="K7255" s="473"/>
      <c r="L7255" s="473"/>
      <c r="M7255" s="473"/>
    </row>
    <row r="7256" spans="5:13">
      <c r="E7256" s="473"/>
      <c r="F7256" s="473"/>
      <c r="G7256" s="473"/>
      <c r="H7256" s="473"/>
      <c r="I7256" s="473"/>
      <c r="J7256" s="473"/>
      <c r="K7256" s="473"/>
      <c r="L7256" s="473"/>
      <c r="M7256" s="473"/>
    </row>
    <row r="7257" spans="5:13">
      <c r="E7257" s="473"/>
      <c r="F7257" s="473"/>
      <c r="G7257" s="473"/>
      <c r="H7257" s="473"/>
      <c r="I7257" s="473"/>
      <c r="J7257" s="473"/>
      <c r="K7257" s="473"/>
      <c r="L7257" s="473"/>
      <c r="M7257" s="473"/>
    </row>
    <row r="7258" spans="5:13">
      <c r="E7258" s="473"/>
      <c r="F7258" s="473"/>
      <c r="G7258" s="473"/>
      <c r="H7258" s="473"/>
      <c r="I7258" s="473"/>
      <c r="J7258" s="473"/>
      <c r="K7258" s="473"/>
      <c r="L7258" s="473"/>
      <c r="M7258" s="473"/>
    </row>
    <row r="7259" spans="5:13">
      <c r="E7259" s="473"/>
      <c r="F7259" s="473"/>
      <c r="G7259" s="473"/>
      <c r="H7259" s="473"/>
      <c r="I7259" s="473"/>
      <c r="J7259" s="473"/>
      <c r="K7259" s="473"/>
      <c r="L7259" s="473"/>
      <c r="M7259" s="473"/>
    </row>
    <row r="7260" spans="5:13">
      <c r="E7260" s="473"/>
      <c r="F7260" s="473"/>
      <c r="G7260" s="473"/>
      <c r="H7260" s="473"/>
      <c r="I7260" s="473"/>
      <c r="J7260" s="473"/>
      <c r="K7260" s="473"/>
      <c r="L7260" s="473"/>
      <c r="M7260" s="473"/>
    </row>
    <row r="7261" spans="5:13">
      <c r="E7261" s="473"/>
      <c r="F7261" s="473"/>
      <c r="G7261" s="473"/>
      <c r="H7261" s="473"/>
      <c r="I7261" s="473"/>
      <c r="J7261" s="473"/>
      <c r="K7261" s="473"/>
      <c r="L7261" s="473"/>
      <c r="M7261" s="473"/>
    </row>
    <row r="7262" spans="5:13">
      <c r="E7262" s="473"/>
      <c r="F7262" s="473"/>
      <c r="G7262" s="473"/>
      <c r="H7262" s="473"/>
      <c r="I7262" s="473"/>
      <c r="J7262" s="473"/>
      <c r="K7262" s="473"/>
      <c r="L7262" s="473"/>
      <c r="M7262" s="473"/>
    </row>
    <row r="7263" spans="5:13">
      <c r="E7263" s="473"/>
      <c r="F7263" s="473"/>
      <c r="G7263" s="473"/>
      <c r="H7263" s="473"/>
      <c r="I7263" s="473"/>
      <c r="J7263" s="473"/>
      <c r="K7263" s="473"/>
      <c r="L7263" s="473"/>
      <c r="M7263" s="473"/>
    </row>
    <row r="7264" spans="5:13">
      <c r="E7264" s="473"/>
      <c r="F7264" s="473"/>
      <c r="G7264" s="473"/>
      <c r="H7264" s="473"/>
      <c r="I7264" s="473"/>
      <c r="J7264" s="473"/>
      <c r="K7264" s="473"/>
      <c r="L7264" s="473"/>
      <c r="M7264" s="473"/>
    </row>
    <row r="7265" spans="5:13">
      <c r="E7265" s="473"/>
      <c r="F7265" s="473"/>
      <c r="G7265" s="473"/>
      <c r="H7265" s="473"/>
      <c r="I7265" s="473"/>
      <c r="J7265" s="473"/>
      <c r="K7265" s="473"/>
      <c r="L7265" s="473"/>
      <c r="M7265" s="473"/>
    </row>
    <row r="7266" spans="5:13">
      <c r="E7266" s="473"/>
      <c r="F7266" s="473"/>
      <c r="G7266" s="473"/>
      <c r="H7266" s="473"/>
      <c r="I7266" s="473"/>
      <c r="J7266" s="473"/>
      <c r="K7266" s="473"/>
      <c r="L7266" s="473"/>
      <c r="M7266" s="473"/>
    </row>
    <row r="7267" spans="5:13">
      <c r="E7267" s="473"/>
      <c r="F7267" s="473"/>
      <c r="G7267" s="473"/>
      <c r="H7267" s="473"/>
      <c r="I7267" s="473"/>
      <c r="J7267" s="473"/>
      <c r="K7267" s="473"/>
      <c r="L7267" s="473"/>
      <c r="M7267" s="473"/>
    </row>
    <row r="7268" spans="5:13">
      <c r="E7268" s="473"/>
      <c r="F7268" s="473"/>
      <c r="G7268" s="473"/>
      <c r="H7268" s="473"/>
      <c r="I7268" s="473"/>
      <c r="J7268" s="473"/>
      <c r="K7268" s="473"/>
      <c r="L7268" s="473"/>
      <c r="M7268" s="473"/>
    </row>
    <row r="7269" spans="5:13">
      <c r="E7269" s="473"/>
      <c r="F7269" s="473"/>
      <c r="G7269" s="473"/>
      <c r="H7269" s="473"/>
      <c r="I7269" s="473"/>
      <c r="J7269" s="473"/>
      <c r="K7269" s="473"/>
      <c r="L7269" s="473"/>
      <c r="M7269" s="473"/>
    </row>
    <row r="7270" spans="5:13">
      <c r="E7270" s="473"/>
      <c r="F7270" s="473"/>
      <c r="G7270" s="473"/>
      <c r="H7270" s="473"/>
      <c r="I7270" s="473"/>
      <c r="J7270" s="473"/>
      <c r="K7270" s="473"/>
      <c r="L7270" s="473"/>
      <c r="M7270" s="473"/>
    </row>
    <row r="7271" spans="5:13">
      <c r="E7271" s="473"/>
      <c r="F7271" s="473"/>
      <c r="G7271" s="473"/>
      <c r="H7271" s="473"/>
      <c r="I7271" s="473"/>
      <c r="J7271" s="473"/>
      <c r="K7271" s="473"/>
      <c r="L7271" s="473"/>
      <c r="M7271" s="473"/>
    </row>
    <row r="7272" spans="5:13">
      <c r="E7272" s="473"/>
      <c r="F7272" s="473"/>
      <c r="G7272" s="473"/>
      <c r="H7272" s="473"/>
      <c r="I7272" s="473"/>
      <c r="J7272" s="473"/>
      <c r="K7272" s="473"/>
      <c r="L7272" s="473"/>
      <c r="M7272" s="473"/>
    </row>
    <row r="7273" spans="5:13">
      <c r="E7273" s="473"/>
      <c r="F7273" s="473"/>
      <c r="G7273" s="473"/>
      <c r="H7273" s="473"/>
      <c r="I7273" s="473"/>
      <c r="J7273" s="473"/>
      <c r="K7273" s="473"/>
      <c r="L7273" s="473"/>
      <c r="M7273" s="473"/>
    </row>
    <row r="7274" spans="5:13">
      <c r="E7274" s="473"/>
      <c r="F7274" s="473"/>
      <c r="G7274" s="473"/>
      <c r="H7274" s="473"/>
      <c r="I7274" s="473"/>
      <c r="J7274" s="473"/>
      <c r="K7274" s="473"/>
      <c r="L7274" s="473"/>
      <c r="M7274" s="473"/>
    </row>
    <row r="7275" spans="5:13">
      <c r="E7275" s="473"/>
      <c r="F7275" s="473"/>
      <c r="G7275" s="473"/>
      <c r="H7275" s="473"/>
      <c r="I7275" s="473"/>
      <c r="J7275" s="473"/>
      <c r="K7275" s="473"/>
      <c r="L7275" s="473"/>
      <c r="M7275" s="473"/>
    </row>
    <row r="7276" spans="5:13">
      <c r="E7276" s="473"/>
      <c r="F7276" s="473"/>
      <c r="G7276" s="473"/>
      <c r="H7276" s="473"/>
      <c r="I7276" s="473"/>
      <c r="J7276" s="473"/>
      <c r="K7276" s="473"/>
      <c r="L7276" s="473"/>
      <c r="M7276" s="473"/>
    </row>
    <row r="7277" spans="5:13">
      <c r="E7277" s="473"/>
      <c r="F7277" s="473"/>
      <c r="G7277" s="473"/>
      <c r="H7277" s="473"/>
      <c r="I7277" s="473"/>
      <c r="J7277" s="473"/>
      <c r="K7277" s="473"/>
      <c r="L7277" s="473"/>
      <c r="M7277" s="473"/>
    </row>
    <row r="7278" spans="5:13">
      <c r="E7278" s="473"/>
      <c r="F7278" s="473"/>
      <c r="G7278" s="473"/>
      <c r="H7278" s="473"/>
      <c r="I7278" s="473"/>
      <c r="J7278" s="473"/>
      <c r="K7278" s="473"/>
      <c r="L7278" s="473"/>
      <c r="M7278" s="473"/>
    </row>
    <row r="7279" spans="5:13">
      <c r="E7279" s="473"/>
      <c r="F7279" s="473"/>
      <c r="G7279" s="473"/>
      <c r="H7279" s="473"/>
      <c r="I7279" s="473"/>
      <c r="J7279" s="473"/>
      <c r="K7279" s="473"/>
      <c r="L7279" s="473"/>
      <c r="M7279" s="473"/>
    </row>
    <row r="7280" spans="5:13">
      <c r="E7280" s="473"/>
      <c r="F7280" s="473"/>
      <c r="G7280" s="473"/>
      <c r="H7280" s="473"/>
      <c r="I7280" s="473"/>
      <c r="J7280" s="473"/>
      <c r="K7280" s="473"/>
      <c r="L7280" s="473"/>
      <c r="M7280" s="473"/>
    </row>
    <row r="7281" spans="5:13">
      <c r="E7281" s="473"/>
      <c r="F7281" s="473"/>
      <c r="G7281" s="473"/>
      <c r="H7281" s="473"/>
      <c r="I7281" s="473"/>
      <c r="J7281" s="473"/>
      <c r="K7281" s="473"/>
      <c r="L7281" s="473"/>
      <c r="M7281" s="473"/>
    </row>
    <row r="7282" spans="5:13">
      <c r="E7282" s="473"/>
      <c r="F7282" s="473"/>
      <c r="G7282" s="473"/>
      <c r="H7282" s="473"/>
      <c r="I7282" s="473"/>
      <c r="J7282" s="473"/>
      <c r="K7282" s="473"/>
      <c r="L7282" s="473"/>
      <c r="M7282" s="473"/>
    </row>
    <row r="7283" spans="5:13">
      <c r="E7283" s="473"/>
      <c r="F7283" s="473"/>
      <c r="G7283" s="473"/>
      <c r="H7283" s="473"/>
      <c r="I7283" s="473"/>
      <c r="J7283" s="473"/>
      <c r="K7283" s="473"/>
      <c r="L7283" s="473"/>
      <c r="M7283" s="473"/>
    </row>
    <row r="7284" spans="5:13">
      <c r="E7284" s="473"/>
      <c r="F7284" s="473"/>
      <c r="G7284" s="473"/>
      <c r="H7284" s="473"/>
      <c r="I7284" s="473"/>
      <c r="J7284" s="473"/>
      <c r="K7284" s="473"/>
      <c r="L7284" s="473"/>
      <c r="M7284" s="473"/>
    </row>
    <row r="7285" spans="5:13">
      <c r="E7285" s="473"/>
      <c r="F7285" s="473"/>
      <c r="G7285" s="473"/>
      <c r="H7285" s="473"/>
      <c r="I7285" s="473"/>
      <c r="J7285" s="473"/>
      <c r="K7285" s="473"/>
      <c r="L7285" s="473"/>
      <c r="M7285" s="473"/>
    </row>
    <row r="7286" spans="5:13">
      <c r="E7286" s="473"/>
      <c r="F7286" s="473"/>
      <c r="G7286" s="473"/>
      <c r="H7286" s="473"/>
      <c r="I7286" s="473"/>
      <c r="J7286" s="473"/>
      <c r="K7286" s="473"/>
      <c r="L7286" s="473"/>
      <c r="M7286" s="473"/>
    </row>
    <row r="7287" spans="5:13">
      <c r="E7287" s="473"/>
      <c r="F7287" s="473"/>
      <c r="G7287" s="473"/>
      <c r="H7287" s="473"/>
      <c r="I7287" s="473"/>
      <c r="J7287" s="473"/>
      <c r="K7287" s="473"/>
      <c r="L7287" s="473"/>
      <c r="M7287" s="473"/>
    </row>
    <row r="7288" spans="5:13">
      <c r="E7288" s="473"/>
      <c r="F7288" s="473"/>
      <c r="G7288" s="473"/>
      <c r="H7288" s="473"/>
      <c r="I7288" s="473"/>
      <c r="J7288" s="473"/>
      <c r="K7288" s="473"/>
      <c r="L7288" s="473"/>
      <c r="M7288" s="473"/>
    </row>
    <row r="7289" spans="5:13">
      <c r="E7289" s="473"/>
      <c r="F7289" s="473"/>
      <c r="G7289" s="473"/>
      <c r="H7289" s="473"/>
      <c r="I7289" s="473"/>
      <c r="J7289" s="473"/>
      <c r="K7289" s="473"/>
      <c r="L7289" s="473"/>
      <c r="M7289" s="473"/>
    </row>
    <row r="7290" spans="5:13">
      <c r="E7290" s="473"/>
      <c r="F7290" s="473"/>
      <c r="G7290" s="473"/>
      <c r="H7290" s="473"/>
      <c r="I7290" s="473"/>
      <c r="J7290" s="473"/>
      <c r="K7290" s="473"/>
      <c r="L7290" s="473"/>
      <c r="M7290" s="473"/>
    </row>
    <row r="7291" spans="5:13">
      <c r="E7291" s="473"/>
      <c r="F7291" s="473"/>
      <c r="G7291" s="473"/>
      <c r="H7291" s="473"/>
      <c r="I7291" s="473"/>
      <c r="J7291" s="473"/>
      <c r="K7291" s="473"/>
      <c r="L7291" s="473"/>
      <c r="M7291" s="473"/>
    </row>
    <row r="7292" spans="5:13">
      <c r="E7292" s="473"/>
      <c r="F7292" s="473"/>
      <c r="G7292" s="473"/>
      <c r="H7292" s="473"/>
      <c r="I7292" s="473"/>
      <c r="J7292" s="473"/>
      <c r="K7292" s="473"/>
      <c r="L7292" s="473"/>
      <c r="M7292" s="473"/>
    </row>
    <row r="7293" spans="5:13">
      <c r="E7293" s="473"/>
      <c r="F7293" s="473"/>
      <c r="G7293" s="473"/>
      <c r="H7293" s="473"/>
      <c r="I7293" s="473"/>
      <c r="J7293" s="473"/>
      <c r="K7293" s="473"/>
      <c r="L7293" s="473"/>
      <c r="M7293" s="473"/>
    </row>
    <row r="7294" spans="5:13">
      <c r="E7294" s="473"/>
      <c r="F7294" s="473"/>
      <c r="G7294" s="473"/>
      <c r="H7294" s="473"/>
      <c r="I7294" s="473"/>
      <c r="J7294" s="473"/>
      <c r="K7294" s="473"/>
      <c r="L7294" s="473"/>
      <c r="M7294" s="473"/>
    </row>
    <row r="7295" spans="5:13">
      <c r="E7295" s="473"/>
      <c r="F7295" s="473"/>
      <c r="G7295" s="473"/>
      <c r="H7295" s="473"/>
      <c r="I7295" s="473"/>
      <c r="J7295" s="473"/>
      <c r="K7295" s="473"/>
      <c r="L7295" s="473"/>
      <c r="M7295" s="473"/>
    </row>
    <row r="7296" spans="5:13">
      <c r="E7296" s="473"/>
      <c r="F7296" s="473"/>
      <c r="G7296" s="473"/>
      <c r="H7296" s="473"/>
      <c r="I7296" s="473"/>
      <c r="J7296" s="473"/>
      <c r="K7296" s="473"/>
      <c r="L7296" s="473"/>
      <c r="M7296" s="473"/>
    </row>
    <row r="7297" spans="5:13">
      <c r="E7297" s="473"/>
      <c r="F7297" s="473"/>
      <c r="G7297" s="473"/>
      <c r="H7297" s="473"/>
      <c r="I7297" s="473"/>
      <c r="J7297" s="473"/>
      <c r="K7297" s="473"/>
      <c r="L7297" s="473"/>
      <c r="M7297" s="473"/>
    </row>
    <row r="7298" spans="5:13">
      <c r="E7298" s="473"/>
      <c r="F7298" s="473"/>
      <c r="G7298" s="473"/>
      <c r="H7298" s="473"/>
      <c r="I7298" s="473"/>
      <c r="J7298" s="473"/>
      <c r="K7298" s="473"/>
      <c r="L7298" s="473"/>
      <c r="M7298" s="473"/>
    </row>
    <row r="7299" spans="5:13">
      <c r="E7299" s="473"/>
      <c r="F7299" s="473"/>
      <c r="G7299" s="473"/>
      <c r="H7299" s="473"/>
      <c r="I7299" s="473"/>
      <c r="J7299" s="473"/>
      <c r="K7299" s="473"/>
      <c r="L7299" s="473"/>
      <c r="M7299" s="473"/>
    </row>
    <row r="7300" spans="5:13">
      <c r="E7300" s="473"/>
      <c r="F7300" s="473"/>
      <c r="G7300" s="473"/>
      <c r="H7300" s="473"/>
      <c r="I7300" s="473"/>
      <c r="J7300" s="473"/>
      <c r="K7300" s="473"/>
      <c r="L7300" s="473"/>
      <c r="M7300" s="473"/>
    </row>
    <row r="7301" spans="5:13">
      <c r="E7301" s="473"/>
      <c r="F7301" s="473"/>
      <c r="G7301" s="473"/>
      <c r="H7301" s="473"/>
      <c r="I7301" s="473"/>
      <c r="J7301" s="473"/>
      <c r="K7301" s="473"/>
      <c r="L7301" s="473"/>
      <c r="M7301" s="473"/>
    </row>
    <row r="7302" spans="5:13">
      <c r="E7302" s="473"/>
      <c r="F7302" s="473"/>
      <c r="G7302" s="473"/>
      <c r="H7302" s="473"/>
      <c r="I7302" s="473"/>
      <c r="J7302" s="473"/>
      <c r="K7302" s="473"/>
      <c r="L7302" s="473"/>
      <c r="M7302" s="473"/>
    </row>
    <row r="7303" spans="5:13">
      <c r="E7303" s="473"/>
      <c r="F7303" s="473"/>
      <c r="G7303" s="473"/>
      <c r="H7303" s="473"/>
      <c r="I7303" s="473"/>
      <c r="J7303" s="473"/>
      <c r="K7303" s="473"/>
      <c r="L7303" s="473"/>
      <c r="M7303" s="473"/>
    </row>
    <row r="7304" spans="5:13">
      <c r="E7304" s="473"/>
      <c r="F7304" s="473"/>
      <c r="G7304" s="473"/>
      <c r="H7304" s="473"/>
      <c r="I7304" s="473"/>
      <c r="J7304" s="473"/>
      <c r="K7304" s="473"/>
      <c r="L7304" s="473"/>
      <c r="M7304" s="473"/>
    </row>
    <row r="7305" spans="5:13">
      <c r="E7305" s="473"/>
      <c r="F7305" s="473"/>
      <c r="G7305" s="473"/>
      <c r="H7305" s="473"/>
      <c r="I7305" s="473"/>
      <c r="J7305" s="473"/>
      <c r="K7305" s="473"/>
      <c r="L7305" s="473"/>
      <c r="M7305" s="473"/>
    </row>
    <row r="7306" spans="5:13">
      <c r="E7306" s="473"/>
      <c r="F7306" s="473"/>
      <c r="G7306" s="473"/>
      <c r="H7306" s="473"/>
      <c r="I7306" s="473"/>
      <c r="J7306" s="473"/>
      <c r="K7306" s="473"/>
      <c r="L7306" s="473"/>
      <c r="M7306" s="473"/>
    </row>
    <row r="7307" spans="5:13">
      <c r="E7307" s="473"/>
      <c r="F7307" s="473"/>
      <c r="G7307" s="473"/>
      <c r="H7307" s="473"/>
      <c r="I7307" s="473"/>
      <c r="J7307" s="473"/>
      <c r="K7307" s="473"/>
      <c r="L7307" s="473"/>
      <c r="M7307" s="473"/>
    </row>
    <row r="7308" spans="5:13">
      <c r="E7308" s="473"/>
      <c r="F7308" s="473"/>
      <c r="G7308" s="473"/>
      <c r="H7308" s="473"/>
      <c r="I7308" s="473"/>
      <c r="J7308" s="473"/>
      <c r="K7308" s="473"/>
      <c r="L7308" s="473"/>
      <c r="M7308" s="473"/>
    </row>
    <row r="7309" spans="5:13">
      <c r="E7309" s="473"/>
      <c r="F7309" s="473"/>
      <c r="G7309" s="473"/>
      <c r="H7309" s="473"/>
      <c r="I7309" s="473"/>
      <c r="J7309" s="473"/>
      <c r="K7309" s="473"/>
      <c r="L7309" s="473"/>
      <c r="M7309" s="473"/>
    </row>
    <row r="7310" spans="5:13">
      <c r="E7310" s="473"/>
      <c r="F7310" s="473"/>
      <c r="G7310" s="473"/>
      <c r="H7310" s="473"/>
      <c r="I7310" s="473"/>
      <c r="J7310" s="473"/>
      <c r="K7310" s="473"/>
      <c r="L7310" s="473"/>
      <c r="M7310" s="473"/>
    </row>
    <row r="7311" spans="5:13">
      <c r="E7311" s="473"/>
      <c r="F7311" s="473"/>
      <c r="G7311" s="473"/>
      <c r="H7311" s="473"/>
      <c r="I7311" s="473"/>
      <c r="J7311" s="473"/>
      <c r="K7311" s="473"/>
      <c r="L7311" s="473"/>
      <c r="M7311" s="473"/>
    </row>
    <row r="7312" spans="5:13">
      <c r="E7312" s="473"/>
      <c r="F7312" s="473"/>
      <c r="G7312" s="473"/>
      <c r="H7312" s="473"/>
      <c r="I7312" s="473"/>
      <c r="J7312" s="473"/>
      <c r="K7312" s="473"/>
      <c r="L7312" s="473"/>
      <c r="M7312" s="473"/>
    </row>
    <row r="7313" spans="5:13">
      <c r="E7313" s="473"/>
      <c r="F7313" s="473"/>
      <c r="G7313" s="473"/>
      <c r="H7313" s="473"/>
      <c r="I7313" s="473"/>
      <c r="J7313" s="473"/>
      <c r="K7313" s="473"/>
      <c r="L7313" s="473"/>
      <c r="M7313" s="473"/>
    </row>
    <row r="7314" spans="5:13">
      <c r="E7314" s="473"/>
      <c r="F7314" s="473"/>
      <c r="G7314" s="473"/>
      <c r="H7314" s="473"/>
      <c r="I7314" s="473"/>
      <c r="J7314" s="473"/>
      <c r="K7314" s="473"/>
      <c r="L7314" s="473"/>
      <c r="M7314" s="473"/>
    </row>
    <row r="7315" spans="5:13">
      <c r="E7315" s="473"/>
      <c r="F7315" s="473"/>
      <c r="G7315" s="473"/>
      <c r="H7315" s="473"/>
      <c r="I7315" s="473"/>
      <c r="J7315" s="473"/>
      <c r="K7315" s="473"/>
      <c r="L7315" s="473"/>
      <c r="M7315" s="473"/>
    </row>
    <row r="7316" spans="5:13">
      <c r="E7316" s="473"/>
      <c r="F7316" s="473"/>
      <c r="G7316" s="473"/>
      <c r="H7316" s="473"/>
      <c r="I7316" s="473"/>
      <c r="J7316" s="473"/>
      <c r="K7316" s="473"/>
      <c r="L7316" s="473"/>
      <c r="M7316" s="473"/>
    </row>
    <row r="7317" spans="5:13">
      <c r="E7317" s="473"/>
      <c r="F7317" s="473"/>
      <c r="G7317" s="473"/>
      <c r="H7317" s="473"/>
      <c r="I7317" s="473"/>
      <c r="J7317" s="473"/>
      <c r="K7317" s="473"/>
      <c r="L7317" s="473"/>
      <c r="M7317" s="473"/>
    </row>
    <row r="7318" spans="5:13">
      <c r="E7318" s="473"/>
      <c r="F7318" s="473"/>
      <c r="G7318" s="473"/>
      <c r="H7318" s="473"/>
      <c r="I7318" s="473"/>
      <c r="J7318" s="473"/>
      <c r="K7318" s="473"/>
      <c r="L7318" s="473"/>
      <c r="M7318" s="473"/>
    </row>
    <row r="7319" spans="5:13">
      <c r="E7319" s="473"/>
      <c r="F7319" s="473"/>
      <c r="G7319" s="473"/>
      <c r="H7319" s="473"/>
      <c r="I7319" s="473"/>
      <c r="J7319" s="473"/>
      <c r="K7319" s="473"/>
      <c r="L7319" s="473"/>
      <c r="M7319" s="473"/>
    </row>
    <row r="7320" spans="5:13">
      <c r="E7320" s="473"/>
      <c r="F7320" s="473"/>
      <c r="G7320" s="473"/>
      <c r="H7320" s="473"/>
      <c r="I7320" s="473"/>
      <c r="J7320" s="473"/>
      <c r="K7320" s="473"/>
      <c r="L7320" s="473"/>
      <c r="M7320" s="473"/>
    </row>
    <row r="7321" spans="5:13">
      <c r="E7321" s="473"/>
      <c r="F7321" s="473"/>
      <c r="G7321" s="473"/>
      <c r="H7321" s="473"/>
      <c r="I7321" s="473"/>
      <c r="J7321" s="473"/>
      <c r="K7321" s="473"/>
      <c r="L7321" s="473"/>
      <c r="M7321" s="473"/>
    </row>
    <row r="7322" spans="5:13">
      <c r="E7322" s="473"/>
      <c r="F7322" s="473"/>
      <c r="G7322" s="473"/>
      <c r="H7322" s="473"/>
      <c r="I7322" s="473"/>
      <c r="J7322" s="473"/>
      <c r="K7322" s="473"/>
      <c r="L7322" s="473"/>
      <c r="M7322" s="473"/>
    </row>
    <row r="7323" spans="5:13">
      <c r="E7323" s="473"/>
      <c r="F7323" s="473"/>
      <c r="G7323" s="473"/>
      <c r="H7323" s="473"/>
      <c r="I7323" s="473"/>
      <c r="J7323" s="473"/>
      <c r="K7323" s="473"/>
      <c r="L7323" s="473"/>
      <c r="M7323" s="473"/>
    </row>
    <row r="7324" spans="5:13">
      <c r="E7324" s="473"/>
      <c r="F7324" s="473"/>
      <c r="G7324" s="473"/>
      <c r="H7324" s="473"/>
      <c r="I7324" s="473"/>
      <c r="J7324" s="473"/>
      <c r="K7324" s="473"/>
      <c r="L7324" s="473"/>
      <c r="M7324" s="473"/>
    </row>
    <row r="7325" spans="5:13">
      <c r="E7325" s="473"/>
      <c r="F7325" s="473"/>
      <c r="G7325" s="473"/>
      <c r="H7325" s="473"/>
      <c r="I7325" s="473"/>
      <c r="J7325" s="473"/>
      <c r="K7325" s="473"/>
      <c r="L7325" s="473"/>
      <c r="M7325" s="473"/>
    </row>
    <row r="7326" spans="5:13">
      <c r="E7326" s="473"/>
      <c r="F7326" s="473"/>
      <c r="G7326" s="473"/>
      <c r="H7326" s="473"/>
      <c r="I7326" s="473"/>
      <c r="J7326" s="473"/>
      <c r="K7326" s="473"/>
      <c r="L7326" s="473"/>
      <c r="M7326" s="473"/>
    </row>
    <row r="7327" spans="5:13">
      <c r="E7327" s="473"/>
      <c r="F7327" s="473"/>
      <c r="G7327" s="473"/>
      <c r="H7327" s="473"/>
      <c r="I7327" s="473"/>
      <c r="J7327" s="473"/>
      <c r="K7327" s="473"/>
      <c r="L7327" s="473"/>
      <c r="M7327" s="473"/>
    </row>
    <row r="7328" spans="5:13">
      <c r="E7328" s="473"/>
      <c r="F7328" s="473"/>
      <c r="G7328" s="473"/>
      <c r="H7328" s="473"/>
      <c r="I7328" s="473"/>
      <c r="J7328" s="473"/>
      <c r="K7328" s="473"/>
      <c r="L7328" s="473"/>
      <c r="M7328" s="473"/>
    </row>
    <row r="7329" spans="5:13">
      <c r="E7329" s="473"/>
      <c r="F7329" s="473"/>
      <c r="G7329" s="473"/>
      <c r="H7329" s="473"/>
      <c r="I7329" s="473"/>
      <c r="J7329" s="473"/>
      <c r="K7329" s="473"/>
      <c r="L7329" s="473"/>
      <c r="M7329" s="473"/>
    </row>
    <row r="7330" spans="5:13">
      <c r="E7330" s="473"/>
      <c r="F7330" s="473"/>
      <c r="G7330" s="473"/>
      <c r="H7330" s="473"/>
      <c r="I7330" s="473"/>
      <c r="J7330" s="473"/>
      <c r="K7330" s="473"/>
      <c r="L7330" s="473"/>
      <c r="M7330" s="473"/>
    </row>
    <row r="7331" spans="5:13">
      <c r="E7331" s="473"/>
      <c r="F7331" s="473"/>
      <c r="G7331" s="473"/>
      <c r="H7331" s="473"/>
      <c r="I7331" s="473"/>
      <c r="J7331" s="473"/>
      <c r="K7331" s="473"/>
      <c r="L7331" s="473"/>
      <c r="M7331" s="473"/>
    </row>
    <row r="7332" spans="5:13">
      <c r="E7332" s="473"/>
      <c r="F7332" s="473"/>
      <c r="G7332" s="473"/>
      <c r="H7332" s="473"/>
      <c r="I7332" s="473"/>
      <c r="J7332" s="473"/>
      <c r="K7332" s="473"/>
      <c r="L7332" s="473"/>
      <c r="M7332" s="473"/>
    </row>
    <row r="7333" spans="5:13">
      <c r="E7333" s="473"/>
      <c r="F7333" s="473"/>
      <c r="G7333" s="473"/>
      <c r="H7333" s="473"/>
      <c r="I7333" s="473"/>
      <c r="J7333" s="473"/>
      <c r="K7333" s="473"/>
      <c r="L7333" s="473"/>
      <c r="M7333" s="473"/>
    </row>
    <row r="7334" spans="5:13">
      <c r="E7334" s="473"/>
      <c r="F7334" s="473"/>
      <c r="G7334" s="473"/>
      <c r="H7334" s="473"/>
      <c r="I7334" s="473"/>
      <c r="J7334" s="473"/>
      <c r="K7334" s="473"/>
      <c r="L7334" s="473"/>
      <c r="M7334" s="473"/>
    </row>
    <row r="7335" spans="5:13">
      <c r="E7335" s="473"/>
      <c r="F7335" s="473"/>
      <c r="G7335" s="473"/>
      <c r="H7335" s="473"/>
      <c r="I7335" s="473"/>
      <c r="J7335" s="473"/>
      <c r="K7335" s="473"/>
      <c r="L7335" s="473"/>
      <c r="M7335" s="473"/>
    </row>
    <row r="7336" spans="5:13">
      <c r="E7336" s="473"/>
      <c r="F7336" s="473"/>
      <c r="G7336" s="473"/>
      <c r="H7336" s="473"/>
      <c r="I7336" s="473"/>
      <c r="J7336" s="473"/>
      <c r="K7336" s="473"/>
      <c r="L7336" s="473"/>
      <c r="M7336" s="473"/>
    </row>
    <row r="7337" spans="5:13">
      <c r="E7337" s="473"/>
      <c r="F7337" s="473"/>
      <c r="G7337" s="473"/>
      <c r="H7337" s="473"/>
      <c r="I7337" s="473"/>
      <c r="J7337" s="473"/>
      <c r="K7337" s="473"/>
      <c r="L7337" s="473"/>
      <c r="M7337" s="473"/>
    </row>
    <row r="7338" spans="5:13">
      <c r="E7338" s="473"/>
      <c r="F7338" s="473"/>
      <c r="G7338" s="473"/>
      <c r="H7338" s="473"/>
      <c r="I7338" s="473"/>
      <c r="J7338" s="473"/>
      <c r="K7338" s="473"/>
      <c r="L7338" s="473"/>
      <c r="M7338" s="473"/>
    </row>
    <row r="7339" spans="5:13">
      <c r="E7339" s="473"/>
      <c r="F7339" s="473"/>
      <c r="G7339" s="473"/>
      <c r="H7339" s="473"/>
      <c r="I7339" s="473"/>
      <c r="J7339" s="473"/>
      <c r="K7339" s="473"/>
      <c r="L7339" s="473"/>
      <c r="M7339" s="473"/>
    </row>
    <row r="7340" spans="5:13">
      <c r="E7340" s="473"/>
      <c r="F7340" s="473"/>
      <c r="G7340" s="473"/>
      <c r="H7340" s="473"/>
      <c r="I7340" s="473"/>
      <c r="J7340" s="473"/>
      <c r="K7340" s="473"/>
      <c r="L7340" s="473"/>
      <c r="M7340" s="473"/>
    </row>
    <row r="7341" spans="5:13">
      <c r="E7341" s="473"/>
      <c r="F7341" s="473"/>
      <c r="G7341" s="473"/>
      <c r="H7341" s="473"/>
      <c r="I7341" s="473"/>
      <c r="J7341" s="473"/>
      <c r="K7341" s="473"/>
      <c r="L7341" s="473"/>
      <c r="M7341" s="473"/>
    </row>
    <row r="7342" spans="5:13">
      <c r="E7342" s="473"/>
      <c r="F7342" s="473"/>
      <c r="G7342" s="473"/>
      <c r="H7342" s="473"/>
      <c r="I7342" s="473"/>
      <c r="J7342" s="473"/>
      <c r="K7342" s="473"/>
      <c r="L7342" s="473"/>
      <c r="M7342" s="473"/>
    </row>
    <row r="7343" spans="5:13">
      <c r="E7343" s="473"/>
      <c r="F7343" s="473"/>
      <c r="G7343" s="473"/>
      <c r="H7343" s="473"/>
      <c r="I7343" s="473"/>
      <c r="J7343" s="473"/>
      <c r="K7343" s="473"/>
      <c r="L7343" s="473"/>
      <c r="M7343" s="473"/>
    </row>
    <row r="7344" spans="5:13">
      <c r="E7344" s="473"/>
      <c r="F7344" s="473"/>
      <c r="G7344" s="473"/>
      <c r="H7344" s="473"/>
      <c r="I7344" s="473"/>
      <c r="J7344" s="473"/>
      <c r="K7344" s="473"/>
      <c r="L7344" s="473"/>
      <c r="M7344" s="473"/>
    </row>
    <row r="7345" spans="5:13">
      <c r="E7345" s="473"/>
      <c r="F7345" s="473"/>
      <c r="G7345" s="473"/>
      <c r="H7345" s="473"/>
      <c r="I7345" s="473"/>
      <c r="J7345" s="473"/>
      <c r="K7345" s="473"/>
      <c r="L7345" s="473"/>
      <c r="M7345" s="473"/>
    </row>
    <row r="7346" spans="5:13">
      <c r="E7346" s="473"/>
      <c r="F7346" s="473"/>
      <c r="G7346" s="473"/>
      <c r="H7346" s="473"/>
      <c r="I7346" s="473"/>
      <c r="J7346" s="473"/>
      <c r="K7346" s="473"/>
      <c r="L7346" s="473"/>
      <c r="M7346" s="473"/>
    </row>
    <row r="7347" spans="5:13">
      <c r="E7347" s="473"/>
      <c r="F7347" s="473"/>
      <c r="G7347" s="473"/>
      <c r="H7347" s="473"/>
      <c r="I7347" s="473"/>
      <c r="J7347" s="473"/>
      <c r="K7347" s="473"/>
      <c r="L7347" s="473"/>
      <c r="M7347" s="473"/>
    </row>
    <row r="7348" spans="5:13">
      <c r="E7348" s="473"/>
      <c r="F7348" s="473"/>
      <c r="G7348" s="473"/>
      <c r="H7348" s="473"/>
      <c r="I7348" s="473"/>
      <c r="J7348" s="473"/>
      <c r="K7348" s="473"/>
      <c r="L7348" s="473"/>
      <c r="M7348" s="473"/>
    </row>
    <row r="7349" spans="5:13">
      <c r="E7349" s="473"/>
      <c r="F7349" s="473"/>
      <c r="G7349" s="473"/>
      <c r="H7349" s="473"/>
      <c r="I7349" s="473"/>
      <c r="J7349" s="473"/>
      <c r="K7349" s="473"/>
      <c r="L7349" s="473"/>
      <c r="M7349" s="473"/>
    </row>
    <row r="7350" spans="5:13">
      <c r="E7350" s="473"/>
      <c r="F7350" s="473"/>
      <c r="G7350" s="473"/>
      <c r="H7350" s="473"/>
      <c r="I7350" s="473"/>
      <c r="J7350" s="473"/>
      <c r="K7350" s="473"/>
      <c r="L7350" s="473"/>
      <c r="M7350" s="473"/>
    </row>
    <row r="7351" spans="5:13">
      <c r="E7351" s="473"/>
      <c r="F7351" s="473"/>
      <c r="G7351" s="473"/>
      <c r="H7351" s="473"/>
      <c r="I7351" s="473"/>
      <c r="J7351" s="473"/>
      <c r="K7351" s="473"/>
      <c r="L7351" s="473"/>
      <c r="M7351" s="473"/>
    </row>
    <row r="7352" spans="5:13">
      <c r="E7352" s="473"/>
      <c r="F7352" s="473"/>
      <c r="G7352" s="473"/>
      <c r="H7352" s="473"/>
      <c r="I7352" s="473"/>
      <c r="J7352" s="473"/>
      <c r="K7352" s="473"/>
      <c r="L7352" s="473"/>
      <c r="M7352" s="473"/>
    </row>
    <row r="7353" spans="5:13">
      <c r="E7353" s="473"/>
      <c r="F7353" s="473"/>
      <c r="G7353" s="473"/>
      <c r="H7353" s="473"/>
      <c r="I7353" s="473"/>
      <c r="J7353" s="473"/>
      <c r="K7353" s="473"/>
      <c r="L7353" s="473"/>
      <c r="M7353" s="473"/>
    </row>
    <row r="7354" spans="5:13">
      <c r="E7354" s="473"/>
      <c r="F7354" s="473"/>
      <c r="G7354" s="473"/>
      <c r="H7354" s="473"/>
      <c r="I7354" s="473"/>
      <c r="J7354" s="473"/>
      <c r="K7354" s="473"/>
      <c r="L7354" s="473"/>
      <c r="M7354" s="473"/>
    </row>
    <row r="7355" spans="5:13">
      <c r="E7355" s="473"/>
      <c r="F7355" s="473"/>
      <c r="G7355" s="473"/>
      <c r="H7355" s="473"/>
      <c r="I7355" s="473"/>
      <c r="J7355" s="473"/>
      <c r="K7355" s="473"/>
      <c r="L7355" s="473"/>
      <c r="M7355" s="473"/>
    </row>
    <row r="7356" spans="5:13">
      <c r="E7356" s="473"/>
      <c r="F7356" s="473"/>
      <c r="G7356" s="473"/>
      <c r="H7356" s="473"/>
      <c r="I7356" s="473"/>
      <c r="J7356" s="473"/>
      <c r="K7356" s="473"/>
      <c r="L7356" s="473"/>
      <c r="M7356" s="473"/>
    </row>
    <row r="7357" spans="5:13">
      <c r="E7357" s="473"/>
      <c r="F7357" s="473"/>
      <c r="G7357" s="473"/>
      <c r="H7357" s="473"/>
      <c r="I7357" s="473"/>
      <c r="J7357" s="473"/>
      <c r="K7357" s="473"/>
      <c r="L7357" s="473"/>
      <c r="M7357" s="473"/>
    </row>
    <row r="7358" spans="5:13">
      <c r="E7358" s="473"/>
      <c r="F7358" s="473"/>
      <c r="G7358" s="473"/>
      <c r="H7358" s="473"/>
      <c r="I7358" s="473"/>
      <c r="J7358" s="473"/>
      <c r="K7358" s="473"/>
      <c r="L7358" s="473"/>
      <c r="M7358" s="473"/>
    </row>
    <row r="7359" spans="5:13">
      <c r="E7359" s="473"/>
      <c r="F7359" s="473"/>
      <c r="G7359" s="473"/>
      <c r="H7359" s="473"/>
      <c r="I7359" s="473"/>
      <c r="J7359" s="473"/>
      <c r="K7359" s="473"/>
      <c r="L7359" s="473"/>
      <c r="M7359" s="473"/>
    </row>
    <row r="7360" spans="5:13">
      <c r="E7360" s="473"/>
      <c r="F7360" s="473"/>
      <c r="G7360" s="473"/>
      <c r="H7360" s="473"/>
      <c r="I7360" s="473"/>
      <c r="J7360" s="473"/>
      <c r="K7360" s="473"/>
      <c r="L7360" s="473"/>
      <c r="M7360" s="473"/>
    </row>
    <row r="7361" spans="5:13">
      <c r="E7361" s="473"/>
      <c r="F7361" s="473"/>
      <c r="G7361" s="473"/>
      <c r="H7361" s="473"/>
      <c r="I7361" s="473"/>
      <c r="J7361" s="473"/>
      <c r="K7361" s="473"/>
      <c r="L7361" s="473"/>
      <c r="M7361" s="473"/>
    </row>
    <row r="7362" spans="5:13">
      <c r="E7362" s="473"/>
      <c r="F7362" s="473"/>
      <c r="G7362" s="473"/>
      <c r="H7362" s="473"/>
      <c r="I7362" s="473"/>
      <c r="J7362" s="473"/>
      <c r="K7362" s="473"/>
      <c r="L7362" s="473"/>
      <c r="M7362" s="473"/>
    </row>
    <row r="7363" spans="5:13">
      <c r="E7363" s="473"/>
      <c r="F7363" s="473"/>
      <c r="G7363" s="473"/>
      <c r="H7363" s="473"/>
      <c r="I7363" s="473"/>
      <c r="J7363" s="473"/>
      <c r="K7363" s="473"/>
      <c r="L7363" s="473"/>
      <c r="M7363" s="473"/>
    </row>
    <row r="7364" spans="5:13">
      <c r="E7364" s="473"/>
      <c r="F7364" s="473"/>
      <c r="G7364" s="473"/>
      <c r="H7364" s="473"/>
      <c r="I7364" s="473"/>
      <c r="J7364" s="473"/>
      <c r="K7364" s="473"/>
      <c r="L7364" s="473"/>
      <c r="M7364" s="473"/>
    </row>
    <row r="7365" spans="5:13">
      <c r="E7365" s="473"/>
      <c r="F7365" s="473"/>
      <c r="G7365" s="473"/>
      <c r="H7365" s="473"/>
      <c r="I7365" s="473"/>
      <c r="J7365" s="473"/>
      <c r="K7365" s="473"/>
      <c r="L7365" s="473"/>
      <c r="M7365" s="473"/>
    </row>
    <row r="7366" spans="5:13">
      <c r="E7366" s="473"/>
      <c r="F7366" s="473"/>
      <c r="G7366" s="473"/>
      <c r="H7366" s="473"/>
      <c r="I7366" s="473"/>
      <c r="J7366" s="473"/>
      <c r="K7366" s="473"/>
      <c r="L7366" s="473"/>
      <c r="M7366" s="473"/>
    </row>
    <row r="7367" spans="5:13">
      <c r="E7367" s="473"/>
      <c r="F7367" s="473"/>
      <c r="G7367" s="473"/>
      <c r="H7367" s="473"/>
      <c r="I7367" s="473"/>
      <c r="J7367" s="473"/>
      <c r="K7367" s="473"/>
      <c r="L7367" s="473"/>
      <c r="M7367" s="473"/>
    </row>
    <row r="7368" spans="5:13">
      <c r="E7368" s="473"/>
      <c r="F7368" s="473"/>
      <c r="G7368" s="473"/>
      <c r="H7368" s="473"/>
      <c r="I7368" s="473"/>
      <c r="J7368" s="473"/>
      <c r="K7368" s="473"/>
      <c r="L7368" s="473"/>
      <c r="M7368" s="473"/>
    </row>
    <row r="7369" spans="5:13">
      <c r="E7369" s="473"/>
      <c r="F7369" s="473"/>
      <c r="G7369" s="473"/>
      <c r="H7369" s="473"/>
      <c r="I7369" s="473"/>
      <c r="J7369" s="473"/>
      <c r="K7369" s="473"/>
      <c r="L7369" s="473"/>
      <c r="M7369" s="473"/>
    </row>
    <row r="7370" spans="5:13">
      <c r="E7370" s="473"/>
      <c r="F7370" s="473"/>
      <c r="G7370" s="473"/>
      <c r="H7370" s="473"/>
      <c r="I7370" s="473"/>
      <c r="J7370" s="473"/>
      <c r="K7370" s="473"/>
      <c r="L7370" s="473"/>
      <c r="M7370" s="473"/>
    </row>
    <row r="7371" spans="5:13">
      <c r="E7371" s="473"/>
      <c r="F7371" s="473"/>
      <c r="G7371" s="473"/>
      <c r="H7371" s="473"/>
      <c r="I7371" s="473"/>
      <c r="J7371" s="473"/>
      <c r="K7371" s="473"/>
      <c r="L7371" s="473"/>
      <c r="M7371" s="473"/>
    </row>
    <row r="7372" spans="5:13">
      <c r="E7372" s="473"/>
      <c r="F7372" s="473"/>
      <c r="G7372" s="473"/>
      <c r="H7372" s="473"/>
      <c r="I7372" s="473"/>
      <c r="J7372" s="473"/>
      <c r="K7372" s="473"/>
      <c r="L7372" s="473"/>
      <c r="M7372" s="473"/>
    </row>
    <row r="7373" spans="5:13">
      <c r="E7373" s="473"/>
      <c r="F7373" s="473"/>
      <c r="G7373" s="473"/>
      <c r="H7373" s="473"/>
      <c r="I7373" s="473"/>
      <c r="J7373" s="473"/>
      <c r="K7373" s="473"/>
      <c r="L7373" s="473"/>
      <c r="M7373" s="473"/>
    </row>
    <row r="7374" spans="5:13">
      <c r="E7374" s="473"/>
      <c r="F7374" s="473"/>
      <c r="G7374" s="473"/>
      <c r="H7374" s="473"/>
      <c r="I7374" s="473"/>
      <c r="J7374" s="473"/>
      <c r="K7374" s="473"/>
      <c r="L7374" s="473"/>
      <c r="M7374" s="473"/>
    </row>
    <row r="7375" spans="5:13">
      <c r="E7375" s="473"/>
      <c r="F7375" s="473"/>
      <c r="G7375" s="473"/>
      <c r="H7375" s="473"/>
      <c r="I7375" s="473"/>
      <c r="J7375" s="473"/>
      <c r="K7375" s="473"/>
      <c r="L7375" s="473"/>
      <c r="M7375" s="473"/>
    </row>
    <row r="7376" spans="5:13">
      <c r="E7376" s="473"/>
      <c r="F7376" s="473"/>
      <c r="G7376" s="473"/>
      <c r="H7376" s="473"/>
      <c r="I7376" s="473"/>
      <c r="J7376" s="473"/>
      <c r="K7376" s="473"/>
      <c r="L7376" s="473"/>
      <c r="M7376" s="473"/>
    </row>
    <row r="7377" spans="5:13">
      <c r="E7377" s="473"/>
      <c r="F7377" s="473"/>
      <c r="G7377" s="473"/>
      <c r="H7377" s="473"/>
      <c r="I7377" s="473"/>
      <c r="J7377" s="473"/>
      <c r="K7377" s="473"/>
      <c r="L7377" s="473"/>
      <c r="M7377" s="473"/>
    </row>
    <row r="7378" spans="5:13">
      <c r="E7378" s="473"/>
      <c r="F7378" s="473"/>
      <c r="G7378" s="473"/>
      <c r="H7378" s="473"/>
      <c r="I7378" s="473"/>
      <c r="J7378" s="473"/>
      <c r="K7378" s="473"/>
      <c r="L7378" s="473"/>
      <c r="M7378" s="473"/>
    </row>
    <row r="7379" spans="5:13">
      <c r="E7379" s="473"/>
      <c r="F7379" s="473"/>
      <c r="G7379" s="473"/>
      <c r="H7379" s="473"/>
      <c r="I7379" s="473"/>
      <c r="J7379" s="473"/>
      <c r="K7379" s="473"/>
      <c r="L7379" s="473"/>
      <c r="M7379" s="473"/>
    </row>
    <row r="7380" spans="5:13">
      <c r="E7380" s="473"/>
      <c r="F7380" s="473"/>
      <c r="G7380" s="473"/>
      <c r="H7380" s="473"/>
      <c r="I7380" s="473"/>
      <c r="J7380" s="473"/>
      <c r="K7380" s="473"/>
      <c r="L7380" s="473"/>
      <c r="M7380" s="473"/>
    </row>
    <row r="7381" spans="5:13">
      <c r="E7381" s="473"/>
      <c r="F7381" s="473"/>
      <c r="G7381" s="473"/>
      <c r="H7381" s="473"/>
      <c r="I7381" s="473"/>
      <c r="J7381" s="473"/>
      <c r="K7381" s="473"/>
      <c r="L7381" s="473"/>
      <c r="M7381" s="473"/>
    </row>
    <row r="7382" spans="5:13">
      <c r="E7382" s="473"/>
      <c r="F7382" s="473"/>
      <c r="G7382" s="473"/>
      <c r="H7382" s="473"/>
      <c r="I7382" s="473"/>
      <c r="J7382" s="473"/>
      <c r="K7382" s="473"/>
      <c r="L7382" s="473"/>
      <c r="M7382" s="473"/>
    </row>
    <row r="7383" spans="5:13">
      <c r="E7383" s="473"/>
      <c r="F7383" s="473"/>
      <c r="G7383" s="473"/>
      <c r="H7383" s="473"/>
      <c r="I7383" s="473"/>
      <c r="J7383" s="473"/>
      <c r="K7383" s="473"/>
      <c r="L7383" s="473"/>
      <c r="M7383" s="473"/>
    </row>
    <row r="7384" spans="5:13">
      <c r="E7384" s="473"/>
      <c r="F7384" s="473"/>
      <c r="G7384" s="473"/>
      <c r="H7384" s="473"/>
      <c r="I7384" s="473"/>
      <c r="J7384" s="473"/>
      <c r="K7384" s="473"/>
      <c r="L7384" s="473"/>
      <c r="M7384" s="473"/>
    </row>
    <row r="7385" spans="5:13">
      <c r="E7385" s="473"/>
      <c r="F7385" s="473"/>
      <c r="G7385" s="473"/>
      <c r="H7385" s="473"/>
      <c r="I7385" s="473"/>
      <c r="J7385" s="473"/>
      <c r="K7385" s="473"/>
      <c r="L7385" s="473"/>
      <c r="M7385" s="473"/>
    </row>
    <row r="7386" spans="5:13">
      <c r="E7386" s="473"/>
      <c r="F7386" s="473"/>
      <c r="G7386" s="473"/>
      <c r="H7386" s="473"/>
      <c r="I7386" s="473"/>
      <c r="J7386" s="473"/>
      <c r="K7386" s="473"/>
      <c r="L7386" s="473"/>
      <c r="M7386" s="473"/>
    </row>
    <row r="7387" spans="5:13">
      <c r="E7387" s="473"/>
      <c r="F7387" s="473"/>
      <c r="G7387" s="473"/>
      <c r="H7387" s="473"/>
      <c r="I7387" s="473"/>
      <c r="J7387" s="473"/>
      <c r="K7387" s="473"/>
      <c r="L7387" s="473"/>
      <c r="M7387" s="473"/>
    </row>
    <row r="7388" spans="5:13">
      <c r="E7388" s="473"/>
      <c r="F7388" s="473"/>
      <c r="G7388" s="473"/>
      <c r="H7388" s="473"/>
      <c r="I7388" s="473"/>
      <c r="J7388" s="473"/>
      <c r="K7388" s="473"/>
      <c r="L7388" s="473"/>
      <c r="M7388" s="473"/>
    </row>
    <row r="7389" spans="5:13">
      <c r="E7389" s="473"/>
      <c r="F7389" s="473"/>
      <c r="G7389" s="473"/>
      <c r="H7389" s="473"/>
      <c r="I7389" s="473"/>
      <c r="J7389" s="473"/>
      <c r="K7389" s="473"/>
      <c r="L7389" s="473"/>
      <c r="M7389" s="473"/>
    </row>
    <row r="7390" spans="5:13">
      <c r="E7390" s="473"/>
      <c r="F7390" s="473"/>
      <c r="G7390" s="473"/>
      <c r="H7390" s="473"/>
      <c r="I7390" s="473"/>
      <c r="J7390" s="473"/>
      <c r="K7390" s="473"/>
      <c r="L7390" s="473"/>
      <c r="M7390" s="473"/>
    </row>
    <row r="7391" spans="5:13">
      <c r="E7391" s="473"/>
      <c r="F7391" s="473"/>
      <c r="G7391" s="473"/>
      <c r="H7391" s="473"/>
      <c r="I7391" s="473"/>
      <c r="J7391" s="473"/>
      <c r="K7391" s="473"/>
      <c r="L7391" s="473"/>
      <c r="M7391" s="473"/>
    </row>
    <row r="7392" spans="5:13">
      <c r="E7392" s="473"/>
      <c r="F7392" s="473"/>
      <c r="G7392" s="473"/>
      <c r="H7392" s="473"/>
      <c r="I7392" s="473"/>
      <c r="J7392" s="473"/>
      <c r="K7392" s="473"/>
      <c r="L7392" s="473"/>
      <c r="M7392" s="473"/>
    </row>
    <row r="7393" spans="5:13">
      <c r="E7393" s="473"/>
      <c r="F7393" s="473"/>
      <c r="G7393" s="473"/>
      <c r="H7393" s="473"/>
      <c r="I7393" s="473"/>
      <c r="J7393" s="473"/>
      <c r="K7393" s="473"/>
      <c r="L7393" s="473"/>
      <c r="M7393" s="473"/>
    </row>
    <row r="7394" spans="5:13">
      <c r="E7394" s="473"/>
      <c r="F7394" s="473"/>
      <c r="G7394" s="473"/>
      <c r="H7394" s="473"/>
      <c r="I7394" s="473"/>
      <c r="J7394" s="473"/>
      <c r="K7394" s="473"/>
      <c r="L7394" s="473"/>
      <c r="M7394" s="473"/>
    </row>
    <row r="7395" spans="5:13">
      <c r="E7395" s="473"/>
      <c r="F7395" s="473"/>
      <c r="G7395" s="473"/>
      <c r="H7395" s="473"/>
      <c r="I7395" s="473"/>
      <c r="J7395" s="473"/>
      <c r="K7395" s="473"/>
      <c r="L7395" s="473"/>
      <c r="M7395" s="473"/>
    </row>
    <row r="7396" spans="5:13">
      <c r="E7396" s="473"/>
      <c r="F7396" s="473"/>
      <c r="G7396" s="473"/>
      <c r="H7396" s="473"/>
      <c r="I7396" s="473"/>
      <c r="J7396" s="473"/>
      <c r="K7396" s="473"/>
      <c r="L7396" s="473"/>
      <c r="M7396" s="473"/>
    </row>
    <row r="7397" spans="5:13">
      <c r="E7397" s="473"/>
      <c r="F7397" s="473"/>
      <c r="G7397" s="473"/>
      <c r="H7397" s="473"/>
      <c r="I7397" s="473"/>
      <c r="J7397" s="473"/>
      <c r="K7397" s="473"/>
      <c r="L7397" s="473"/>
      <c r="M7397" s="473"/>
    </row>
    <row r="7398" spans="5:13">
      <c r="E7398" s="473"/>
      <c r="F7398" s="473"/>
      <c r="G7398" s="473"/>
      <c r="H7398" s="473"/>
      <c r="I7398" s="473"/>
      <c r="J7398" s="473"/>
      <c r="K7398" s="473"/>
      <c r="L7398" s="473"/>
      <c r="M7398" s="473"/>
    </row>
    <row r="7399" spans="5:13">
      <c r="E7399" s="473"/>
      <c r="F7399" s="473"/>
      <c r="G7399" s="473"/>
      <c r="H7399" s="473"/>
      <c r="I7399" s="473"/>
      <c r="J7399" s="473"/>
      <c r="K7399" s="473"/>
      <c r="L7399" s="473"/>
      <c r="M7399" s="473"/>
    </row>
    <row r="7400" spans="5:13">
      <c r="E7400" s="473"/>
      <c r="F7400" s="473"/>
      <c r="G7400" s="473"/>
      <c r="H7400" s="473"/>
      <c r="I7400" s="473"/>
      <c r="J7400" s="473"/>
      <c r="K7400" s="473"/>
      <c r="L7400" s="473"/>
      <c r="M7400" s="473"/>
    </row>
    <row r="7401" spans="5:13">
      <c r="E7401" s="473"/>
      <c r="F7401" s="473"/>
      <c r="G7401" s="473"/>
      <c r="H7401" s="473"/>
      <c r="I7401" s="473"/>
      <c r="J7401" s="473"/>
      <c r="K7401" s="473"/>
      <c r="L7401" s="473"/>
      <c r="M7401" s="473"/>
    </row>
    <row r="7402" spans="5:13">
      <c r="E7402" s="473"/>
      <c r="F7402" s="473"/>
      <c r="G7402" s="473"/>
      <c r="H7402" s="473"/>
      <c r="I7402" s="473"/>
      <c r="J7402" s="473"/>
      <c r="K7402" s="473"/>
      <c r="L7402" s="473"/>
      <c r="M7402" s="473"/>
    </row>
    <row r="7403" spans="5:13">
      <c r="E7403" s="473"/>
      <c r="F7403" s="473"/>
      <c r="G7403" s="473"/>
      <c r="H7403" s="473"/>
      <c r="I7403" s="473"/>
      <c r="J7403" s="473"/>
      <c r="K7403" s="473"/>
      <c r="L7403" s="473"/>
      <c r="M7403" s="473"/>
    </row>
    <row r="7404" spans="5:13">
      <c r="E7404" s="473"/>
      <c r="F7404" s="473"/>
      <c r="G7404" s="473"/>
      <c r="H7404" s="473"/>
      <c r="I7404" s="473"/>
      <c r="J7404" s="473"/>
      <c r="K7404" s="473"/>
      <c r="L7404" s="473"/>
      <c r="M7404" s="473"/>
    </row>
    <row r="7405" spans="5:13">
      <c r="E7405" s="473"/>
      <c r="F7405" s="473"/>
      <c r="G7405" s="473"/>
      <c r="H7405" s="473"/>
      <c r="I7405" s="473"/>
      <c r="J7405" s="473"/>
      <c r="K7405" s="473"/>
      <c r="L7405" s="473"/>
      <c r="M7405" s="473"/>
    </row>
    <row r="7406" spans="5:13">
      <c r="E7406" s="473"/>
      <c r="F7406" s="473"/>
      <c r="G7406" s="473"/>
      <c r="H7406" s="473"/>
      <c r="I7406" s="473"/>
      <c r="J7406" s="473"/>
      <c r="K7406" s="473"/>
      <c r="L7406" s="473"/>
      <c r="M7406" s="473"/>
    </row>
    <row r="7407" spans="5:13">
      <c r="E7407" s="473"/>
      <c r="F7407" s="473"/>
      <c r="G7407" s="473"/>
      <c r="H7407" s="473"/>
      <c r="I7407" s="473"/>
      <c r="J7407" s="473"/>
      <c r="K7407" s="473"/>
      <c r="L7407" s="473"/>
      <c r="M7407" s="473"/>
    </row>
    <row r="7408" spans="5:13">
      <c r="E7408" s="473"/>
      <c r="F7408" s="473"/>
      <c r="G7408" s="473"/>
      <c r="H7408" s="473"/>
      <c r="I7408" s="473"/>
      <c r="J7408" s="473"/>
      <c r="K7408" s="473"/>
      <c r="L7408" s="473"/>
      <c r="M7408" s="473"/>
    </row>
    <row r="7409" spans="5:13">
      <c r="E7409" s="473"/>
      <c r="F7409" s="473"/>
      <c r="G7409" s="473"/>
      <c r="H7409" s="473"/>
      <c r="I7409" s="473"/>
      <c r="J7409" s="473"/>
      <c r="K7409" s="473"/>
      <c r="L7409" s="473"/>
      <c r="M7409" s="473"/>
    </row>
    <row r="7410" spans="5:13">
      <c r="E7410" s="473"/>
      <c r="F7410" s="473"/>
      <c r="G7410" s="473"/>
      <c r="H7410" s="473"/>
      <c r="I7410" s="473"/>
      <c r="J7410" s="473"/>
      <c r="K7410" s="473"/>
      <c r="L7410" s="473"/>
      <c r="M7410" s="473"/>
    </row>
    <row r="7411" spans="5:13">
      <c r="E7411" s="473"/>
      <c r="F7411" s="473"/>
      <c r="G7411" s="473"/>
      <c r="H7411" s="473"/>
      <c r="I7411" s="473"/>
      <c r="J7411" s="473"/>
      <c r="K7411" s="473"/>
      <c r="L7411" s="473"/>
      <c r="M7411" s="473"/>
    </row>
    <row r="7412" spans="5:13">
      <c r="E7412" s="473"/>
      <c r="F7412" s="473"/>
      <c r="G7412" s="473"/>
      <c r="H7412" s="473"/>
      <c r="I7412" s="473"/>
      <c r="J7412" s="473"/>
      <c r="K7412" s="473"/>
      <c r="L7412" s="473"/>
      <c r="M7412" s="473"/>
    </row>
    <row r="7413" spans="5:13">
      <c r="E7413" s="473"/>
      <c r="F7413" s="473"/>
      <c r="G7413" s="473"/>
      <c r="H7413" s="473"/>
      <c r="I7413" s="473"/>
      <c r="J7413" s="473"/>
      <c r="K7413" s="473"/>
      <c r="L7413" s="473"/>
      <c r="M7413" s="473"/>
    </row>
    <row r="7414" spans="5:13">
      <c r="E7414" s="473"/>
      <c r="F7414" s="473"/>
      <c r="G7414" s="473"/>
      <c r="H7414" s="473"/>
      <c r="I7414" s="473"/>
      <c r="J7414" s="473"/>
      <c r="K7414" s="473"/>
      <c r="L7414" s="473"/>
      <c r="M7414" s="473"/>
    </row>
    <row r="7415" spans="5:13">
      <c r="E7415" s="473"/>
      <c r="F7415" s="473"/>
      <c r="G7415" s="473"/>
      <c r="H7415" s="473"/>
      <c r="I7415" s="473"/>
      <c r="J7415" s="473"/>
      <c r="K7415" s="473"/>
      <c r="L7415" s="473"/>
      <c r="M7415" s="473"/>
    </row>
    <row r="7416" spans="5:13">
      <c r="E7416" s="473"/>
      <c r="F7416" s="473"/>
      <c r="G7416" s="473"/>
      <c r="H7416" s="473"/>
      <c r="I7416" s="473"/>
      <c r="J7416" s="473"/>
      <c r="K7416" s="473"/>
      <c r="L7416" s="473"/>
      <c r="M7416" s="473"/>
    </row>
    <row r="7417" spans="5:13">
      <c r="E7417" s="473"/>
      <c r="F7417" s="473"/>
      <c r="G7417" s="473"/>
      <c r="H7417" s="473"/>
      <c r="I7417" s="473"/>
      <c r="J7417" s="473"/>
      <c r="K7417" s="473"/>
      <c r="L7417" s="473"/>
      <c r="M7417" s="473"/>
    </row>
    <row r="7418" spans="5:13">
      <c r="E7418" s="473"/>
      <c r="F7418" s="473"/>
      <c r="G7418" s="473"/>
      <c r="H7418" s="473"/>
      <c r="I7418" s="473"/>
      <c r="J7418" s="473"/>
      <c r="K7418" s="473"/>
      <c r="L7418" s="473"/>
      <c r="M7418" s="473"/>
    </row>
    <row r="7419" spans="5:13">
      <c r="E7419" s="473"/>
      <c r="F7419" s="473"/>
      <c r="G7419" s="473"/>
      <c r="H7419" s="473"/>
      <c r="I7419" s="473"/>
      <c r="J7419" s="473"/>
      <c r="K7419" s="473"/>
      <c r="L7419" s="473"/>
      <c r="M7419" s="473"/>
    </row>
    <row r="7420" spans="5:13">
      <c r="E7420" s="473"/>
      <c r="F7420" s="473"/>
      <c r="G7420" s="473"/>
      <c r="H7420" s="473"/>
      <c r="I7420" s="473"/>
      <c r="J7420" s="473"/>
      <c r="K7420" s="473"/>
      <c r="L7420" s="473"/>
      <c r="M7420" s="473"/>
    </row>
    <row r="7421" spans="5:13">
      <c r="E7421" s="473"/>
      <c r="F7421" s="473"/>
      <c r="G7421" s="473"/>
      <c r="H7421" s="473"/>
      <c r="I7421" s="473"/>
      <c r="J7421" s="473"/>
      <c r="K7421" s="473"/>
      <c r="L7421" s="473"/>
      <c r="M7421" s="473"/>
    </row>
    <row r="7422" spans="5:13">
      <c r="E7422" s="473"/>
      <c r="F7422" s="473"/>
      <c r="G7422" s="473"/>
      <c r="H7422" s="473"/>
      <c r="I7422" s="473"/>
      <c r="J7422" s="473"/>
      <c r="K7422" s="473"/>
      <c r="L7422" s="473"/>
      <c r="M7422" s="473"/>
    </row>
    <row r="7423" spans="5:13">
      <c r="E7423" s="473"/>
      <c r="F7423" s="473"/>
      <c r="G7423" s="473"/>
      <c r="H7423" s="473"/>
      <c r="I7423" s="473"/>
      <c r="J7423" s="473"/>
      <c r="K7423" s="473"/>
      <c r="L7423" s="473"/>
      <c r="M7423" s="473"/>
    </row>
    <row r="7424" spans="5:13">
      <c r="E7424" s="473"/>
      <c r="F7424" s="473"/>
      <c r="G7424" s="473"/>
      <c r="H7424" s="473"/>
      <c r="I7424" s="473"/>
      <c r="J7424" s="473"/>
      <c r="K7424" s="473"/>
      <c r="L7424" s="473"/>
      <c r="M7424" s="473"/>
    </row>
    <row r="7425" spans="5:13">
      <c r="E7425" s="473"/>
      <c r="F7425" s="473"/>
      <c r="G7425" s="473"/>
      <c r="H7425" s="473"/>
      <c r="I7425" s="473"/>
      <c r="J7425" s="473"/>
      <c r="K7425" s="473"/>
      <c r="L7425" s="473"/>
      <c r="M7425" s="473"/>
    </row>
    <row r="7426" spans="5:13">
      <c r="E7426" s="473"/>
      <c r="F7426" s="473"/>
      <c r="G7426" s="473"/>
      <c r="H7426" s="473"/>
      <c r="I7426" s="473"/>
      <c r="J7426" s="473"/>
      <c r="K7426" s="473"/>
      <c r="L7426" s="473"/>
      <c r="M7426" s="473"/>
    </row>
    <row r="7427" spans="5:13">
      <c r="E7427" s="473"/>
      <c r="F7427" s="473"/>
      <c r="G7427" s="473"/>
      <c r="H7427" s="473"/>
      <c r="I7427" s="473"/>
      <c r="J7427" s="473"/>
      <c r="K7427" s="473"/>
      <c r="L7427" s="473"/>
      <c r="M7427" s="473"/>
    </row>
    <row r="7428" spans="5:13">
      <c r="E7428" s="473"/>
      <c r="F7428" s="473"/>
      <c r="G7428" s="473"/>
      <c r="H7428" s="473"/>
      <c r="I7428" s="473"/>
      <c r="J7428" s="473"/>
      <c r="K7428" s="473"/>
      <c r="L7428" s="473"/>
      <c r="M7428" s="473"/>
    </row>
    <row r="7429" spans="5:13">
      <c r="E7429" s="473"/>
      <c r="F7429" s="473"/>
      <c r="G7429" s="473"/>
      <c r="H7429" s="473"/>
      <c r="I7429" s="473"/>
      <c r="J7429" s="473"/>
      <c r="K7429" s="473"/>
      <c r="L7429" s="473"/>
      <c r="M7429" s="473"/>
    </row>
    <row r="7430" spans="5:13">
      <c r="E7430" s="473"/>
      <c r="F7430" s="473"/>
      <c r="G7430" s="473"/>
      <c r="H7430" s="473"/>
      <c r="I7430" s="473"/>
      <c r="J7430" s="473"/>
      <c r="K7430" s="473"/>
      <c r="L7430" s="473"/>
      <c r="M7430" s="473"/>
    </row>
    <row r="7431" spans="5:13">
      <c r="E7431" s="473"/>
      <c r="F7431" s="473"/>
      <c r="G7431" s="473"/>
      <c r="H7431" s="473"/>
      <c r="I7431" s="473"/>
      <c r="J7431" s="473"/>
      <c r="K7431" s="473"/>
      <c r="L7431" s="473"/>
      <c r="M7431" s="473"/>
    </row>
    <row r="7432" spans="5:13">
      <c r="E7432" s="473"/>
      <c r="F7432" s="473"/>
      <c r="G7432" s="473"/>
      <c r="H7432" s="473"/>
      <c r="I7432" s="473"/>
      <c r="J7432" s="473"/>
      <c r="K7432" s="473"/>
      <c r="L7432" s="473"/>
      <c r="M7432" s="473"/>
    </row>
    <row r="7433" spans="5:13">
      <c r="E7433" s="473"/>
      <c r="F7433" s="473"/>
      <c r="G7433" s="473"/>
      <c r="H7433" s="473"/>
      <c r="I7433" s="473"/>
      <c r="J7433" s="473"/>
      <c r="K7433" s="473"/>
      <c r="L7433" s="473"/>
      <c r="M7433" s="473"/>
    </row>
    <row r="7434" spans="5:13">
      <c r="E7434" s="473"/>
      <c r="F7434" s="473"/>
      <c r="G7434" s="473"/>
      <c r="H7434" s="473"/>
      <c r="I7434" s="473"/>
      <c r="J7434" s="473"/>
      <c r="K7434" s="473"/>
      <c r="L7434" s="473"/>
      <c r="M7434" s="473"/>
    </row>
    <row r="7435" spans="5:13">
      <c r="E7435" s="473"/>
      <c r="F7435" s="473"/>
      <c r="G7435" s="473"/>
      <c r="H7435" s="473"/>
      <c r="I7435" s="473"/>
      <c r="J7435" s="473"/>
      <c r="K7435" s="473"/>
      <c r="L7435" s="473"/>
      <c r="M7435" s="473"/>
    </row>
    <row r="7436" spans="5:13">
      <c r="E7436" s="473"/>
      <c r="F7436" s="473"/>
      <c r="G7436" s="473"/>
      <c r="H7436" s="473"/>
      <c r="I7436" s="473"/>
      <c r="J7436" s="473"/>
      <c r="K7436" s="473"/>
      <c r="L7436" s="473"/>
      <c r="M7436" s="473"/>
    </row>
    <row r="7437" spans="5:13">
      <c r="E7437" s="473"/>
      <c r="F7437" s="473"/>
      <c r="G7437" s="473"/>
      <c r="H7437" s="473"/>
      <c r="I7437" s="473"/>
      <c r="J7437" s="473"/>
      <c r="K7437" s="473"/>
      <c r="L7437" s="473"/>
      <c r="M7437" s="473"/>
    </row>
    <row r="7438" spans="5:13">
      <c r="E7438" s="473"/>
      <c r="F7438" s="473"/>
      <c r="G7438" s="473"/>
      <c r="H7438" s="473"/>
      <c r="I7438" s="473"/>
      <c r="J7438" s="473"/>
      <c r="K7438" s="473"/>
      <c r="L7438" s="473"/>
      <c r="M7438" s="473"/>
    </row>
    <row r="7439" spans="5:13">
      <c r="E7439" s="473"/>
      <c r="F7439" s="473"/>
      <c r="G7439" s="473"/>
      <c r="H7439" s="473"/>
      <c r="I7439" s="473"/>
      <c r="J7439" s="473"/>
      <c r="K7439" s="473"/>
      <c r="L7439" s="473"/>
      <c r="M7439" s="473"/>
    </row>
    <row r="7440" spans="5:13">
      <c r="E7440" s="473"/>
      <c r="F7440" s="473"/>
      <c r="G7440" s="473"/>
      <c r="H7440" s="473"/>
      <c r="I7440" s="473"/>
      <c r="J7440" s="473"/>
      <c r="K7440" s="473"/>
      <c r="L7440" s="473"/>
      <c r="M7440" s="473"/>
    </row>
    <row r="7441" spans="5:13">
      <c r="E7441" s="473"/>
      <c r="F7441" s="473"/>
      <c r="G7441" s="473"/>
      <c r="H7441" s="473"/>
      <c r="I7441" s="473"/>
      <c r="J7441" s="473"/>
      <c r="K7441" s="473"/>
      <c r="L7441" s="473"/>
      <c r="M7441" s="473"/>
    </row>
    <row r="7442" spans="5:13">
      <c r="E7442" s="473"/>
      <c r="F7442" s="473"/>
      <c r="G7442" s="473"/>
      <c r="H7442" s="473"/>
      <c r="I7442" s="473"/>
      <c r="J7442" s="473"/>
      <c r="K7442" s="473"/>
      <c r="L7442" s="473"/>
      <c r="M7442" s="473"/>
    </row>
    <row r="7443" spans="5:13">
      <c r="E7443" s="473"/>
      <c r="F7443" s="473"/>
      <c r="G7443" s="473"/>
      <c r="H7443" s="473"/>
      <c r="I7443" s="473"/>
      <c r="J7443" s="473"/>
      <c r="K7443" s="473"/>
      <c r="L7443" s="473"/>
      <c r="M7443" s="473"/>
    </row>
    <row r="7444" spans="5:13">
      <c r="E7444" s="473"/>
      <c r="F7444" s="473"/>
      <c r="G7444" s="473"/>
      <c r="H7444" s="473"/>
      <c r="I7444" s="473"/>
      <c r="J7444" s="473"/>
      <c r="K7444" s="473"/>
      <c r="L7444" s="473"/>
      <c r="M7444" s="473"/>
    </row>
    <row r="7445" spans="5:13">
      <c r="E7445" s="473"/>
      <c r="F7445" s="473"/>
      <c r="G7445" s="473"/>
      <c r="H7445" s="473"/>
      <c r="I7445" s="473"/>
      <c r="J7445" s="473"/>
      <c r="K7445" s="473"/>
      <c r="L7445" s="473"/>
      <c r="M7445" s="473"/>
    </row>
    <row r="7446" spans="5:13">
      <c r="E7446" s="473"/>
      <c r="F7446" s="473"/>
      <c r="G7446" s="473"/>
      <c r="H7446" s="473"/>
      <c r="I7446" s="473"/>
      <c r="J7446" s="473"/>
      <c r="K7446" s="473"/>
      <c r="L7446" s="473"/>
      <c r="M7446" s="473"/>
    </row>
    <row r="7447" spans="5:13">
      <c r="E7447" s="473"/>
      <c r="F7447" s="473"/>
      <c r="G7447" s="473"/>
      <c r="H7447" s="473"/>
      <c r="I7447" s="473"/>
      <c r="J7447" s="473"/>
      <c r="K7447" s="473"/>
      <c r="L7447" s="473"/>
      <c r="M7447" s="473"/>
    </row>
    <row r="7448" spans="5:13">
      <c r="E7448" s="473"/>
      <c r="F7448" s="473"/>
      <c r="G7448" s="473"/>
      <c r="H7448" s="473"/>
      <c r="I7448" s="473"/>
      <c r="J7448" s="473"/>
      <c r="K7448" s="473"/>
      <c r="L7448" s="473"/>
      <c r="M7448" s="473"/>
    </row>
    <row r="7449" spans="5:13">
      <c r="E7449" s="473"/>
      <c r="F7449" s="473"/>
      <c r="G7449" s="473"/>
      <c r="H7449" s="473"/>
      <c r="I7449" s="473"/>
      <c r="J7449" s="473"/>
      <c r="K7449" s="473"/>
      <c r="L7449" s="473"/>
      <c r="M7449" s="473"/>
    </row>
    <row r="7450" spans="5:13">
      <c r="E7450" s="473"/>
      <c r="F7450" s="473"/>
      <c r="G7450" s="473"/>
      <c r="H7450" s="473"/>
      <c r="I7450" s="473"/>
      <c r="J7450" s="473"/>
      <c r="K7450" s="473"/>
      <c r="L7450" s="473"/>
      <c r="M7450" s="473"/>
    </row>
    <row r="7451" spans="5:13">
      <c r="E7451" s="473"/>
      <c r="F7451" s="473"/>
      <c r="G7451" s="473"/>
      <c r="H7451" s="473"/>
      <c r="I7451" s="473"/>
      <c r="J7451" s="473"/>
      <c r="K7451" s="473"/>
      <c r="L7451" s="473"/>
      <c r="M7451" s="473"/>
    </row>
    <row r="7452" spans="5:13">
      <c r="E7452" s="473"/>
      <c r="F7452" s="473"/>
      <c r="G7452" s="473"/>
      <c r="H7452" s="473"/>
      <c r="I7452" s="473"/>
      <c r="J7452" s="473"/>
      <c r="K7452" s="473"/>
      <c r="L7452" s="473"/>
      <c r="M7452" s="473"/>
    </row>
    <row r="7453" spans="5:13">
      <c r="E7453" s="473"/>
      <c r="F7453" s="473"/>
      <c r="G7453" s="473"/>
      <c r="H7453" s="473"/>
      <c r="I7453" s="473"/>
      <c r="J7453" s="473"/>
      <c r="K7453" s="473"/>
      <c r="L7453" s="473"/>
      <c r="M7453" s="473"/>
    </row>
    <row r="7454" spans="5:13">
      <c r="E7454" s="473"/>
      <c r="F7454" s="473"/>
      <c r="G7454" s="473"/>
      <c r="H7454" s="473"/>
      <c r="I7454" s="473"/>
      <c r="J7454" s="473"/>
      <c r="K7454" s="473"/>
      <c r="L7454" s="473"/>
      <c r="M7454" s="473"/>
    </row>
    <row r="7455" spans="5:13">
      <c r="E7455" s="473"/>
      <c r="F7455" s="473"/>
      <c r="G7455" s="473"/>
      <c r="H7455" s="473"/>
      <c r="I7455" s="473"/>
      <c r="J7455" s="473"/>
      <c r="K7455" s="473"/>
      <c r="L7455" s="473"/>
      <c r="M7455" s="473"/>
    </row>
    <row r="7456" spans="5:13">
      <c r="E7456" s="473"/>
      <c r="F7456" s="473"/>
      <c r="G7456" s="473"/>
      <c r="H7456" s="473"/>
      <c r="I7456" s="473"/>
      <c r="J7456" s="473"/>
      <c r="K7456" s="473"/>
      <c r="L7456" s="473"/>
      <c r="M7456" s="473"/>
    </row>
    <row r="7457" spans="5:13">
      <c r="E7457" s="473"/>
      <c r="F7457" s="473"/>
      <c r="G7457" s="473"/>
      <c r="H7457" s="473"/>
      <c r="I7457" s="473"/>
      <c r="J7457" s="473"/>
      <c r="K7457" s="473"/>
      <c r="L7457" s="473"/>
      <c r="M7457" s="473"/>
    </row>
    <row r="7458" spans="5:13">
      <c r="E7458" s="473"/>
      <c r="F7458" s="473"/>
      <c r="G7458" s="473"/>
      <c r="H7458" s="473"/>
      <c r="I7458" s="473"/>
      <c r="J7458" s="473"/>
      <c r="K7458" s="473"/>
      <c r="L7458" s="473"/>
      <c r="M7458" s="473"/>
    </row>
    <row r="7459" spans="5:13">
      <c r="E7459" s="473"/>
      <c r="F7459" s="473"/>
      <c r="G7459" s="473"/>
      <c r="H7459" s="473"/>
      <c r="I7459" s="473"/>
      <c r="J7459" s="473"/>
      <c r="K7459" s="473"/>
      <c r="L7459" s="473"/>
      <c r="M7459" s="473"/>
    </row>
    <row r="7460" spans="5:13">
      <c r="E7460" s="473"/>
      <c r="F7460" s="473"/>
      <c r="G7460" s="473"/>
      <c r="H7460" s="473"/>
      <c r="I7460" s="473"/>
      <c r="J7460" s="473"/>
      <c r="K7460" s="473"/>
      <c r="L7460" s="473"/>
      <c r="M7460" s="473"/>
    </row>
    <row r="7461" spans="5:13">
      <c r="E7461" s="473"/>
      <c r="F7461" s="473"/>
      <c r="G7461" s="473"/>
      <c r="H7461" s="473"/>
      <c r="I7461" s="473"/>
      <c r="J7461" s="473"/>
      <c r="K7461" s="473"/>
      <c r="L7461" s="473"/>
      <c r="M7461" s="473"/>
    </row>
    <row r="7462" spans="5:13">
      <c r="E7462" s="473"/>
      <c r="F7462" s="473"/>
      <c r="G7462" s="473"/>
      <c r="H7462" s="473"/>
      <c r="I7462" s="473"/>
      <c r="J7462" s="473"/>
      <c r="K7462" s="473"/>
      <c r="L7462" s="473"/>
      <c r="M7462" s="473"/>
    </row>
    <row r="7463" spans="5:13">
      <c r="E7463" s="473"/>
      <c r="F7463" s="473"/>
      <c r="G7463" s="473"/>
      <c r="H7463" s="473"/>
      <c r="I7463" s="473"/>
      <c r="J7463" s="473"/>
      <c r="K7463" s="473"/>
      <c r="L7463" s="473"/>
      <c r="M7463" s="473"/>
    </row>
    <row r="7464" spans="5:13">
      <c r="E7464" s="473"/>
      <c r="F7464" s="473"/>
      <c r="G7464" s="473"/>
      <c r="H7464" s="473"/>
      <c r="I7464" s="473"/>
      <c r="J7464" s="473"/>
      <c r="K7464" s="473"/>
      <c r="L7464" s="473"/>
      <c r="M7464" s="473"/>
    </row>
    <row r="7465" spans="5:13">
      <c r="E7465" s="473"/>
      <c r="F7465" s="473"/>
      <c r="G7465" s="473"/>
      <c r="H7465" s="473"/>
      <c r="I7465" s="473"/>
      <c r="J7465" s="473"/>
      <c r="K7465" s="473"/>
      <c r="L7465" s="473"/>
      <c r="M7465" s="473"/>
    </row>
    <row r="7466" spans="5:13">
      <c r="E7466" s="473"/>
      <c r="F7466" s="473"/>
      <c r="G7466" s="473"/>
      <c r="H7466" s="473"/>
      <c r="I7466" s="473"/>
      <c r="J7466" s="473"/>
      <c r="K7466" s="473"/>
      <c r="L7466" s="473"/>
      <c r="M7466" s="473"/>
    </row>
    <row r="7467" spans="5:13">
      <c r="E7467" s="473"/>
      <c r="F7467" s="473"/>
      <c r="G7467" s="473"/>
      <c r="H7467" s="473"/>
      <c r="I7467" s="473"/>
      <c r="J7467" s="473"/>
      <c r="K7467" s="473"/>
      <c r="L7467" s="473"/>
      <c r="M7467" s="473"/>
    </row>
    <row r="7468" spans="5:13">
      <c r="E7468" s="473"/>
      <c r="F7468" s="473"/>
      <c r="G7468" s="473"/>
      <c r="H7468" s="473"/>
      <c r="I7468" s="473"/>
      <c r="J7468" s="473"/>
      <c r="K7468" s="473"/>
      <c r="L7468" s="473"/>
      <c r="M7468" s="473"/>
    </row>
    <row r="7469" spans="5:13">
      <c r="E7469" s="473"/>
      <c r="F7469" s="473"/>
      <c r="G7469" s="473"/>
      <c r="H7469" s="473"/>
      <c r="I7469" s="473"/>
      <c r="J7469" s="473"/>
      <c r="K7469" s="473"/>
      <c r="L7469" s="473"/>
      <c r="M7469" s="473"/>
    </row>
    <row r="7470" spans="5:13">
      <c r="E7470" s="473"/>
      <c r="F7470" s="473"/>
      <c r="G7470" s="473"/>
      <c r="H7470" s="473"/>
      <c r="I7470" s="473"/>
      <c r="J7470" s="473"/>
      <c r="K7470" s="473"/>
      <c r="L7470" s="473"/>
      <c r="M7470" s="473"/>
    </row>
    <row r="7471" spans="5:13">
      <c r="E7471" s="473"/>
      <c r="F7471" s="473"/>
      <c r="G7471" s="473"/>
      <c r="H7471" s="473"/>
      <c r="I7471" s="473"/>
      <c r="J7471" s="473"/>
      <c r="K7471" s="473"/>
      <c r="L7471" s="473"/>
      <c r="M7471" s="473"/>
    </row>
    <row r="7472" spans="5:13">
      <c r="E7472" s="473"/>
      <c r="F7472" s="473"/>
      <c r="G7472" s="473"/>
      <c r="H7472" s="473"/>
      <c r="I7472" s="473"/>
      <c r="J7472" s="473"/>
      <c r="K7472" s="473"/>
      <c r="L7472" s="473"/>
      <c r="M7472" s="473"/>
    </row>
    <row r="7473" spans="5:13">
      <c r="E7473" s="473"/>
      <c r="F7473" s="473"/>
      <c r="G7473" s="473"/>
      <c r="H7473" s="473"/>
      <c r="I7473" s="473"/>
      <c r="J7473" s="473"/>
      <c r="K7473" s="473"/>
      <c r="L7473" s="473"/>
      <c r="M7473" s="473"/>
    </row>
    <row r="7474" spans="5:13">
      <c r="E7474" s="473"/>
      <c r="F7474" s="473"/>
      <c r="G7474" s="473"/>
      <c r="H7474" s="473"/>
      <c r="I7474" s="473"/>
      <c r="J7474" s="473"/>
      <c r="K7474" s="473"/>
      <c r="L7474" s="473"/>
      <c r="M7474" s="473"/>
    </row>
    <row r="7475" spans="5:13">
      <c r="E7475" s="473"/>
      <c r="F7475" s="473"/>
      <c r="G7475" s="473"/>
      <c r="H7475" s="473"/>
      <c r="I7475" s="473"/>
      <c r="J7475" s="473"/>
      <c r="K7475" s="473"/>
      <c r="L7475" s="473"/>
      <c r="M7475" s="473"/>
    </row>
    <row r="7476" spans="5:13">
      <c r="E7476" s="473"/>
      <c r="F7476" s="473"/>
      <c r="G7476" s="473"/>
      <c r="H7476" s="473"/>
      <c r="I7476" s="473"/>
      <c r="J7476" s="473"/>
      <c r="K7476" s="473"/>
      <c r="L7476" s="473"/>
      <c r="M7476" s="473"/>
    </row>
    <row r="7477" spans="5:13">
      <c r="E7477" s="473"/>
      <c r="F7477" s="473"/>
      <c r="G7477" s="473"/>
      <c r="H7477" s="473"/>
      <c r="I7477" s="473"/>
      <c r="J7477" s="473"/>
      <c r="K7477" s="473"/>
      <c r="L7477" s="473"/>
      <c r="M7477" s="473"/>
    </row>
    <row r="7478" spans="5:13">
      <c r="E7478" s="473"/>
      <c r="F7478" s="473"/>
      <c r="G7478" s="473"/>
      <c r="H7478" s="473"/>
      <c r="I7478" s="473"/>
      <c r="J7478" s="473"/>
      <c r="K7478" s="473"/>
      <c r="L7478" s="473"/>
      <c r="M7478" s="473"/>
    </row>
    <row r="7479" spans="5:13">
      <c r="E7479" s="473"/>
      <c r="F7479" s="473"/>
      <c r="G7479" s="473"/>
      <c r="H7479" s="473"/>
      <c r="I7479" s="473"/>
      <c r="J7479" s="473"/>
      <c r="K7479" s="473"/>
      <c r="L7479" s="473"/>
      <c r="M7479" s="473"/>
    </row>
    <row r="7480" spans="5:13">
      <c r="E7480" s="473"/>
      <c r="F7480" s="473"/>
      <c r="G7480" s="473"/>
      <c r="H7480" s="473"/>
      <c r="I7480" s="473"/>
      <c r="J7480" s="473"/>
      <c r="K7480" s="473"/>
      <c r="L7480" s="473"/>
      <c r="M7480" s="473"/>
    </row>
    <row r="7481" spans="5:13">
      <c r="E7481" s="473"/>
      <c r="F7481" s="473"/>
      <c r="G7481" s="473"/>
      <c r="H7481" s="473"/>
      <c r="I7481" s="473"/>
      <c r="J7481" s="473"/>
      <c r="K7481" s="473"/>
      <c r="L7481" s="473"/>
      <c r="M7481" s="473"/>
    </row>
    <row r="7482" spans="5:13">
      <c r="E7482" s="473"/>
      <c r="F7482" s="473"/>
      <c r="G7482" s="473"/>
      <c r="H7482" s="473"/>
      <c r="I7482" s="473"/>
      <c r="J7482" s="473"/>
      <c r="K7482" s="473"/>
      <c r="L7482" s="473"/>
      <c r="M7482" s="473"/>
    </row>
    <row r="7483" spans="5:13">
      <c r="E7483" s="473"/>
      <c r="F7483" s="473"/>
      <c r="G7483" s="473"/>
      <c r="H7483" s="473"/>
      <c r="I7483" s="473"/>
      <c r="J7483" s="473"/>
      <c r="K7483" s="473"/>
      <c r="L7483" s="473"/>
      <c r="M7483" s="473"/>
    </row>
    <row r="7484" spans="5:13">
      <c r="E7484" s="473"/>
      <c r="F7484" s="473"/>
      <c r="G7484" s="473"/>
      <c r="H7484" s="473"/>
      <c r="I7484" s="473"/>
      <c r="J7484" s="473"/>
      <c r="K7484" s="473"/>
      <c r="L7484" s="473"/>
      <c r="M7484" s="473"/>
    </row>
    <row r="7485" spans="5:13">
      <c r="E7485" s="473"/>
      <c r="F7485" s="473"/>
      <c r="G7485" s="473"/>
      <c r="H7485" s="473"/>
      <c r="I7485" s="473"/>
      <c r="J7485" s="473"/>
      <c r="K7485" s="473"/>
      <c r="L7485" s="473"/>
      <c r="M7485" s="473"/>
    </row>
    <row r="7486" spans="5:13">
      <c r="E7486" s="473"/>
      <c r="F7486" s="473"/>
      <c r="G7486" s="473"/>
      <c r="H7486" s="473"/>
      <c r="I7486" s="473"/>
      <c r="J7486" s="473"/>
      <c r="K7486" s="473"/>
      <c r="L7486" s="473"/>
      <c r="M7486" s="473"/>
    </row>
    <row r="7487" spans="5:13">
      <c r="E7487" s="473"/>
      <c r="F7487" s="473"/>
      <c r="G7487" s="473"/>
      <c r="H7487" s="473"/>
      <c r="I7487" s="473"/>
      <c r="J7487" s="473"/>
      <c r="K7487" s="473"/>
      <c r="L7487" s="473"/>
      <c r="M7487" s="473"/>
    </row>
    <row r="7488" spans="5:13">
      <c r="E7488" s="473"/>
      <c r="F7488" s="473"/>
      <c r="G7488" s="473"/>
      <c r="H7488" s="473"/>
      <c r="I7488" s="473"/>
      <c r="J7488" s="473"/>
      <c r="K7488" s="473"/>
      <c r="L7488" s="473"/>
      <c r="M7488" s="473"/>
    </row>
    <row r="7489" spans="5:13">
      <c r="E7489" s="473"/>
      <c r="F7489" s="473"/>
      <c r="G7489" s="473"/>
      <c r="H7489" s="473"/>
      <c r="I7489" s="473"/>
      <c r="J7489" s="473"/>
      <c r="K7489" s="473"/>
      <c r="L7489" s="473"/>
      <c r="M7489" s="473"/>
    </row>
    <row r="7490" spans="5:13">
      <c r="E7490" s="473"/>
      <c r="F7490" s="473"/>
      <c r="G7490" s="473"/>
      <c r="H7490" s="473"/>
      <c r="I7490" s="473"/>
      <c r="J7490" s="473"/>
      <c r="K7490" s="473"/>
      <c r="L7490" s="473"/>
      <c r="M7490" s="473"/>
    </row>
    <row r="7491" spans="5:13">
      <c r="E7491" s="473"/>
      <c r="F7491" s="473"/>
      <c r="G7491" s="473"/>
      <c r="H7491" s="473"/>
      <c r="I7491" s="473"/>
      <c r="J7491" s="473"/>
      <c r="K7491" s="473"/>
      <c r="L7491" s="473"/>
      <c r="M7491" s="473"/>
    </row>
    <row r="7492" spans="5:13">
      <c r="E7492" s="473"/>
      <c r="F7492" s="473"/>
      <c r="G7492" s="473"/>
      <c r="H7492" s="473"/>
      <c r="I7492" s="473"/>
      <c r="J7492" s="473"/>
      <c r="K7492" s="473"/>
      <c r="L7492" s="473"/>
      <c r="M7492" s="473"/>
    </row>
    <row r="7493" spans="5:13">
      <c r="E7493" s="473"/>
      <c r="F7493" s="473"/>
      <c r="G7493" s="473"/>
      <c r="H7493" s="473"/>
      <c r="I7493" s="473"/>
      <c r="J7493" s="473"/>
      <c r="K7493" s="473"/>
      <c r="L7493" s="473"/>
      <c r="M7493" s="473"/>
    </row>
    <row r="7494" spans="5:13">
      <c r="E7494" s="473"/>
      <c r="F7494" s="473"/>
      <c r="G7494" s="473"/>
      <c r="H7494" s="473"/>
      <c r="I7494" s="473"/>
      <c r="J7494" s="473"/>
      <c r="K7494" s="473"/>
      <c r="L7494" s="473"/>
      <c r="M7494" s="473"/>
    </row>
    <row r="7495" spans="5:13">
      <c r="E7495" s="473"/>
      <c r="F7495" s="473"/>
      <c r="G7495" s="473"/>
      <c r="H7495" s="473"/>
      <c r="I7495" s="473"/>
      <c r="J7495" s="473"/>
      <c r="K7495" s="473"/>
      <c r="L7495" s="473"/>
      <c r="M7495" s="473"/>
    </row>
    <row r="7496" spans="5:13">
      <c r="E7496" s="473"/>
      <c r="F7496" s="473"/>
      <c r="G7496" s="473"/>
      <c r="H7496" s="473"/>
      <c r="I7496" s="473"/>
      <c r="J7496" s="473"/>
      <c r="K7496" s="473"/>
      <c r="L7496" s="473"/>
      <c r="M7496" s="473"/>
    </row>
    <row r="7497" spans="5:13">
      <c r="E7497" s="473"/>
      <c r="F7497" s="473"/>
      <c r="G7497" s="473"/>
      <c r="H7497" s="473"/>
      <c r="I7497" s="473"/>
      <c r="J7497" s="473"/>
      <c r="K7497" s="473"/>
      <c r="L7497" s="473"/>
      <c r="M7497" s="473"/>
    </row>
    <row r="7498" spans="5:13">
      <c r="E7498" s="473"/>
      <c r="F7498" s="473"/>
      <c r="G7498" s="473"/>
      <c r="H7498" s="473"/>
      <c r="I7498" s="473"/>
      <c r="J7498" s="473"/>
      <c r="K7498" s="473"/>
      <c r="L7498" s="473"/>
      <c r="M7498" s="473"/>
    </row>
    <row r="7499" spans="5:13">
      <c r="E7499" s="473"/>
      <c r="F7499" s="473"/>
      <c r="G7499" s="473"/>
      <c r="H7499" s="473"/>
      <c r="I7499" s="473"/>
      <c r="J7499" s="473"/>
      <c r="K7499" s="473"/>
      <c r="L7499" s="473"/>
      <c r="M7499" s="473"/>
    </row>
    <row r="7500" spans="5:13">
      <c r="E7500" s="473"/>
      <c r="F7500" s="473"/>
      <c r="G7500" s="473"/>
      <c r="H7500" s="473"/>
      <c r="I7500" s="473"/>
      <c r="J7500" s="473"/>
      <c r="K7500" s="473"/>
      <c r="L7500" s="473"/>
      <c r="M7500" s="473"/>
    </row>
    <row r="7501" spans="5:13">
      <c r="E7501" s="473"/>
      <c r="F7501" s="473"/>
      <c r="G7501" s="473"/>
      <c r="H7501" s="473"/>
      <c r="I7501" s="473"/>
      <c r="J7501" s="473"/>
      <c r="K7501" s="473"/>
      <c r="L7501" s="473"/>
      <c r="M7501" s="473"/>
    </row>
    <row r="7502" spans="5:13">
      <c r="E7502" s="473"/>
      <c r="F7502" s="473"/>
      <c r="G7502" s="473"/>
      <c r="H7502" s="473"/>
      <c r="I7502" s="473"/>
      <c r="J7502" s="473"/>
      <c r="K7502" s="473"/>
      <c r="L7502" s="473"/>
      <c r="M7502" s="473"/>
    </row>
    <row r="7503" spans="5:13">
      <c r="E7503" s="473"/>
      <c r="F7503" s="473"/>
      <c r="G7503" s="473"/>
      <c r="H7503" s="473"/>
      <c r="I7503" s="473"/>
      <c r="J7503" s="473"/>
      <c r="K7503" s="473"/>
      <c r="L7503" s="473"/>
      <c r="M7503" s="473"/>
    </row>
    <row r="7504" spans="5:13">
      <c r="E7504" s="473"/>
      <c r="F7504" s="473"/>
      <c r="G7504" s="473"/>
      <c r="H7504" s="473"/>
      <c r="I7504" s="473"/>
      <c r="J7504" s="473"/>
      <c r="K7504" s="473"/>
      <c r="L7504" s="473"/>
      <c r="M7504" s="473"/>
    </row>
    <row r="7505" spans="5:13">
      <c r="E7505" s="473"/>
      <c r="F7505" s="473"/>
      <c r="G7505" s="473"/>
      <c r="H7505" s="473"/>
      <c r="I7505" s="473"/>
      <c r="J7505" s="473"/>
      <c r="K7505" s="473"/>
      <c r="L7505" s="473"/>
      <c r="M7505" s="473"/>
    </row>
    <row r="7506" spans="5:13">
      <c r="E7506" s="473"/>
      <c r="F7506" s="473"/>
      <c r="G7506" s="473"/>
      <c r="H7506" s="473"/>
      <c r="I7506" s="473"/>
      <c r="J7506" s="473"/>
      <c r="K7506" s="473"/>
      <c r="L7506" s="473"/>
      <c r="M7506" s="473"/>
    </row>
    <row r="7507" spans="5:13">
      <c r="E7507" s="473"/>
      <c r="F7507" s="473"/>
      <c r="G7507" s="473"/>
      <c r="H7507" s="473"/>
      <c r="I7507" s="473"/>
      <c r="J7507" s="473"/>
      <c r="K7507" s="473"/>
      <c r="L7507" s="473"/>
      <c r="M7507" s="473"/>
    </row>
    <row r="7508" spans="5:13">
      <c r="E7508" s="473"/>
      <c r="F7508" s="473"/>
      <c r="G7508" s="473"/>
      <c r="H7508" s="473"/>
      <c r="I7508" s="473"/>
      <c r="J7508" s="473"/>
      <c r="K7508" s="473"/>
      <c r="L7508" s="473"/>
      <c r="M7508" s="473"/>
    </row>
    <row r="7509" spans="5:13">
      <c r="E7509" s="473"/>
      <c r="F7509" s="473"/>
      <c r="G7509" s="473"/>
      <c r="H7509" s="473"/>
      <c r="I7509" s="473"/>
      <c r="J7509" s="473"/>
      <c r="K7509" s="473"/>
      <c r="L7509" s="473"/>
      <c r="M7509" s="473"/>
    </row>
    <row r="7510" spans="5:13">
      <c r="E7510" s="473"/>
      <c r="F7510" s="473"/>
      <c r="G7510" s="473"/>
      <c r="H7510" s="473"/>
      <c r="I7510" s="473"/>
      <c r="J7510" s="473"/>
      <c r="K7510" s="473"/>
      <c r="L7510" s="473"/>
      <c r="M7510" s="473"/>
    </row>
    <row r="7511" spans="5:13">
      <c r="E7511" s="473"/>
      <c r="F7511" s="473"/>
      <c r="G7511" s="473"/>
      <c r="H7511" s="473"/>
      <c r="I7511" s="473"/>
      <c r="J7511" s="473"/>
      <c r="K7511" s="473"/>
      <c r="L7511" s="473"/>
      <c r="M7511" s="473"/>
    </row>
    <row r="7512" spans="5:13">
      <c r="E7512" s="473"/>
      <c r="F7512" s="473"/>
      <c r="G7512" s="473"/>
      <c r="H7512" s="473"/>
      <c r="I7512" s="473"/>
      <c r="J7512" s="473"/>
      <c r="K7512" s="473"/>
      <c r="L7512" s="473"/>
      <c r="M7512" s="473"/>
    </row>
    <row r="7513" spans="5:13">
      <c r="E7513" s="473"/>
      <c r="F7513" s="473"/>
      <c r="G7513" s="473"/>
      <c r="H7513" s="473"/>
      <c r="I7513" s="473"/>
      <c r="J7513" s="473"/>
      <c r="K7513" s="473"/>
      <c r="L7513" s="473"/>
      <c r="M7513" s="473"/>
    </row>
    <row r="7514" spans="5:13">
      <c r="E7514" s="473"/>
      <c r="F7514" s="473"/>
      <c r="G7514" s="473"/>
      <c r="H7514" s="473"/>
      <c r="I7514" s="473"/>
      <c r="J7514" s="473"/>
      <c r="K7514" s="473"/>
      <c r="L7514" s="473"/>
      <c r="M7514" s="473"/>
    </row>
    <row r="7515" spans="5:13">
      <c r="E7515" s="473"/>
      <c r="F7515" s="473"/>
      <c r="G7515" s="473"/>
      <c r="H7515" s="473"/>
      <c r="I7515" s="473"/>
      <c r="J7515" s="473"/>
      <c r="K7515" s="473"/>
      <c r="L7515" s="473"/>
      <c r="M7515" s="473"/>
    </row>
    <row r="7516" spans="5:13">
      <c r="E7516" s="473"/>
      <c r="F7516" s="473"/>
      <c r="G7516" s="473"/>
      <c r="H7516" s="473"/>
      <c r="I7516" s="473"/>
      <c r="J7516" s="473"/>
      <c r="K7516" s="473"/>
      <c r="L7516" s="473"/>
      <c r="M7516" s="473"/>
    </row>
    <row r="7517" spans="5:13">
      <c r="E7517" s="473"/>
      <c r="F7517" s="473"/>
      <c r="G7517" s="473"/>
      <c r="H7517" s="473"/>
      <c r="I7517" s="473"/>
      <c r="J7517" s="473"/>
      <c r="K7517" s="473"/>
      <c r="L7517" s="473"/>
      <c r="M7517" s="473"/>
    </row>
    <row r="7518" spans="5:13">
      <c r="E7518" s="473"/>
      <c r="F7518" s="473"/>
      <c r="G7518" s="473"/>
      <c r="H7518" s="473"/>
      <c r="I7518" s="473"/>
      <c r="J7518" s="473"/>
      <c r="K7518" s="473"/>
      <c r="L7518" s="473"/>
      <c r="M7518" s="473"/>
    </row>
    <row r="7519" spans="5:13">
      <c r="E7519" s="473"/>
      <c r="F7519" s="473"/>
      <c r="G7519" s="473"/>
      <c r="H7519" s="473"/>
      <c r="I7519" s="473"/>
      <c r="J7519" s="473"/>
      <c r="K7519" s="473"/>
      <c r="L7519" s="473"/>
      <c r="M7519" s="473"/>
    </row>
    <row r="7520" spans="5:13">
      <c r="E7520" s="473"/>
      <c r="F7520" s="473"/>
      <c r="G7520" s="473"/>
      <c r="H7520" s="473"/>
      <c r="I7520" s="473"/>
      <c r="J7520" s="473"/>
      <c r="K7520" s="473"/>
      <c r="L7520" s="473"/>
      <c r="M7520" s="473"/>
    </row>
    <row r="7521" spans="5:13">
      <c r="E7521" s="473"/>
      <c r="F7521" s="473"/>
      <c r="G7521" s="473"/>
      <c r="H7521" s="473"/>
      <c r="I7521" s="473"/>
      <c r="J7521" s="473"/>
      <c r="K7521" s="473"/>
      <c r="L7521" s="473"/>
      <c r="M7521" s="473"/>
    </row>
    <row r="7522" spans="5:13">
      <c r="E7522" s="473"/>
      <c r="F7522" s="473"/>
      <c r="G7522" s="473"/>
      <c r="H7522" s="473"/>
      <c r="I7522" s="473"/>
      <c r="J7522" s="473"/>
      <c r="K7522" s="473"/>
      <c r="L7522" s="473"/>
      <c r="M7522" s="473"/>
    </row>
    <row r="7523" spans="5:13">
      <c r="E7523" s="473"/>
      <c r="F7523" s="473"/>
      <c r="G7523" s="473"/>
      <c r="H7523" s="473"/>
      <c r="I7523" s="473"/>
      <c r="J7523" s="473"/>
      <c r="K7523" s="473"/>
      <c r="L7523" s="473"/>
      <c r="M7523" s="473"/>
    </row>
    <row r="7524" spans="5:13">
      <c r="E7524" s="473"/>
      <c r="F7524" s="473"/>
      <c r="G7524" s="473"/>
      <c r="H7524" s="473"/>
      <c r="I7524" s="473"/>
      <c r="J7524" s="473"/>
      <c r="K7524" s="473"/>
      <c r="L7524" s="473"/>
      <c r="M7524" s="473"/>
    </row>
    <row r="7525" spans="5:13">
      <c r="E7525" s="473"/>
      <c r="F7525" s="473"/>
      <c r="G7525" s="473"/>
      <c r="H7525" s="473"/>
      <c r="I7525" s="473"/>
      <c r="J7525" s="473"/>
      <c r="K7525" s="473"/>
      <c r="L7525" s="473"/>
      <c r="M7525" s="473"/>
    </row>
    <row r="7526" spans="5:13">
      <c r="E7526" s="473"/>
      <c r="F7526" s="473"/>
      <c r="G7526" s="473"/>
      <c r="H7526" s="473"/>
      <c r="I7526" s="473"/>
      <c r="J7526" s="473"/>
      <c r="K7526" s="473"/>
      <c r="L7526" s="473"/>
      <c r="M7526" s="473"/>
    </row>
    <row r="7527" spans="5:13">
      <c r="E7527" s="473"/>
      <c r="F7527" s="473"/>
      <c r="G7527" s="473"/>
      <c r="H7527" s="473"/>
      <c r="I7527" s="473"/>
      <c r="J7527" s="473"/>
      <c r="K7527" s="473"/>
      <c r="L7527" s="473"/>
      <c r="M7527" s="473"/>
    </row>
    <row r="7528" spans="5:13">
      <c r="E7528" s="473"/>
      <c r="F7528" s="473"/>
      <c r="G7528" s="473"/>
      <c r="H7528" s="473"/>
      <c r="I7528" s="473"/>
      <c r="J7528" s="473"/>
      <c r="K7528" s="473"/>
      <c r="L7528" s="473"/>
      <c r="M7528" s="473"/>
    </row>
    <row r="7529" spans="5:13">
      <c r="E7529" s="473"/>
      <c r="F7529" s="473"/>
      <c r="G7529" s="473"/>
      <c r="H7529" s="473"/>
      <c r="I7529" s="473"/>
      <c r="J7529" s="473"/>
      <c r="K7529" s="473"/>
      <c r="L7529" s="473"/>
      <c r="M7529" s="473"/>
    </row>
    <row r="7530" spans="5:13">
      <c r="E7530" s="473"/>
      <c r="F7530" s="473"/>
      <c r="G7530" s="473"/>
      <c r="H7530" s="473"/>
      <c r="I7530" s="473"/>
      <c r="J7530" s="473"/>
      <c r="K7530" s="473"/>
      <c r="L7530" s="473"/>
      <c r="M7530" s="473"/>
    </row>
    <row r="7531" spans="5:13">
      <c r="E7531" s="473"/>
      <c r="F7531" s="473"/>
      <c r="G7531" s="473"/>
      <c r="H7531" s="473"/>
      <c r="I7531" s="473"/>
      <c r="J7531" s="473"/>
      <c r="K7531" s="473"/>
      <c r="L7531" s="473"/>
      <c r="M7531" s="473"/>
    </row>
    <row r="7532" spans="5:13">
      <c r="E7532" s="473"/>
      <c r="F7532" s="473"/>
      <c r="G7532" s="473"/>
      <c r="H7532" s="473"/>
      <c r="I7532" s="473"/>
      <c r="J7532" s="473"/>
      <c r="K7532" s="473"/>
      <c r="L7532" s="473"/>
      <c r="M7532" s="473"/>
    </row>
    <row r="7533" spans="5:13">
      <c r="E7533" s="473"/>
      <c r="F7533" s="473"/>
      <c r="G7533" s="473"/>
      <c r="H7533" s="473"/>
      <c r="I7533" s="473"/>
      <c r="J7533" s="473"/>
      <c r="K7533" s="473"/>
      <c r="L7533" s="473"/>
      <c r="M7533" s="473"/>
    </row>
    <row r="7534" spans="5:13">
      <c r="E7534" s="473"/>
      <c r="F7534" s="473"/>
      <c r="G7534" s="473"/>
      <c r="H7534" s="473"/>
      <c r="I7534" s="473"/>
      <c r="J7534" s="473"/>
      <c r="K7534" s="473"/>
      <c r="L7534" s="473"/>
      <c r="M7534" s="473"/>
    </row>
    <row r="7535" spans="5:13">
      <c r="E7535" s="473"/>
      <c r="F7535" s="473"/>
      <c r="G7535" s="473"/>
      <c r="H7535" s="473"/>
      <c r="I7535" s="473"/>
      <c r="J7535" s="473"/>
      <c r="K7535" s="473"/>
      <c r="L7535" s="473"/>
      <c r="M7535" s="473"/>
    </row>
    <row r="7536" spans="5:13">
      <c r="E7536" s="473"/>
      <c r="F7536" s="473"/>
      <c r="G7536" s="473"/>
      <c r="H7536" s="473"/>
      <c r="I7536" s="473"/>
      <c r="J7536" s="473"/>
      <c r="K7536" s="473"/>
      <c r="L7536" s="473"/>
      <c r="M7536" s="473"/>
    </row>
    <row r="7537" spans="5:13">
      <c r="E7537" s="473"/>
      <c r="F7537" s="473"/>
      <c r="G7537" s="473"/>
      <c r="H7537" s="473"/>
      <c r="I7537" s="473"/>
      <c r="J7537" s="473"/>
      <c r="K7537" s="473"/>
      <c r="L7537" s="473"/>
      <c r="M7537" s="473"/>
    </row>
    <row r="7538" spans="5:13">
      <c r="E7538" s="473"/>
      <c r="F7538" s="473"/>
      <c r="G7538" s="473"/>
      <c r="H7538" s="473"/>
      <c r="I7538" s="473"/>
      <c r="J7538" s="473"/>
      <c r="K7538" s="473"/>
      <c r="L7538" s="473"/>
      <c r="M7538" s="473"/>
    </row>
    <row r="7539" spans="5:13">
      <c r="E7539" s="473"/>
      <c r="F7539" s="473"/>
      <c r="G7539" s="473"/>
      <c r="H7539" s="473"/>
      <c r="I7539" s="473"/>
      <c r="J7539" s="473"/>
      <c r="K7539" s="473"/>
      <c r="L7539" s="473"/>
      <c r="M7539" s="473"/>
    </row>
    <row r="7540" spans="5:13">
      <c r="E7540" s="473"/>
      <c r="F7540" s="473"/>
      <c r="G7540" s="473"/>
      <c r="H7540" s="473"/>
      <c r="I7540" s="473"/>
      <c r="J7540" s="473"/>
      <c r="K7540" s="473"/>
      <c r="L7540" s="473"/>
      <c r="M7540" s="473"/>
    </row>
    <row r="7541" spans="5:13">
      <c r="E7541" s="473"/>
      <c r="F7541" s="473"/>
      <c r="G7541" s="473"/>
      <c r="H7541" s="473"/>
      <c r="I7541" s="473"/>
      <c r="J7541" s="473"/>
      <c r="K7541" s="473"/>
      <c r="L7541" s="473"/>
      <c r="M7541" s="473"/>
    </row>
    <row r="7542" spans="5:13">
      <c r="E7542" s="473"/>
      <c r="F7542" s="473"/>
      <c r="G7542" s="473"/>
      <c r="H7542" s="473"/>
      <c r="I7542" s="473"/>
      <c r="J7542" s="473"/>
      <c r="K7542" s="473"/>
      <c r="L7542" s="473"/>
      <c r="M7542" s="473"/>
    </row>
    <row r="7543" spans="5:13">
      <c r="E7543" s="473"/>
      <c r="F7543" s="473"/>
      <c r="G7543" s="473"/>
      <c r="H7543" s="473"/>
      <c r="I7543" s="473"/>
      <c r="J7543" s="473"/>
      <c r="K7543" s="473"/>
      <c r="L7543" s="473"/>
      <c r="M7543" s="473"/>
    </row>
    <row r="7544" spans="5:13">
      <c r="E7544" s="473"/>
      <c r="F7544" s="473"/>
      <c r="G7544" s="473"/>
      <c r="H7544" s="473"/>
      <c r="I7544" s="473"/>
      <c r="J7544" s="473"/>
      <c r="K7544" s="473"/>
      <c r="L7544" s="473"/>
      <c r="M7544" s="473"/>
    </row>
    <row r="7545" spans="5:13">
      <c r="E7545" s="473"/>
      <c r="F7545" s="473"/>
      <c r="G7545" s="473"/>
      <c r="H7545" s="473"/>
      <c r="I7545" s="473"/>
      <c r="J7545" s="473"/>
      <c r="K7545" s="473"/>
      <c r="L7545" s="473"/>
      <c r="M7545" s="473"/>
    </row>
    <row r="7546" spans="5:13">
      <c r="E7546" s="473"/>
      <c r="F7546" s="473"/>
      <c r="G7546" s="473"/>
      <c r="H7546" s="473"/>
      <c r="I7546" s="473"/>
      <c r="J7546" s="473"/>
      <c r="K7546" s="473"/>
      <c r="L7546" s="473"/>
      <c r="M7546" s="473"/>
    </row>
    <row r="7547" spans="5:13">
      <c r="E7547" s="473"/>
      <c r="F7547" s="473"/>
      <c r="G7547" s="473"/>
      <c r="H7547" s="473"/>
      <c r="I7547" s="473"/>
      <c r="J7547" s="473"/>
      <c r="K7547" s="473"/>
      <c r="L7547" s="473"/>
      <c r="M7547" s="473"/>
    </row>
    <row r="7548" spans="5:13">
      <c r="E7548" s="473"/>
      <c r="F7548" s="473"/>
      <c r="G7548" s="473"/>
      <c r="H7548" s="473"/>
      <c r="I7548" s="473"/>
      <c r="J7548" s="473"/>
      <c r="K7548" s="473"/>
      <c r="L7548" s="473"/>
      <c r="M7548" s="473"/>
    </row>
    <row r="7549" spans="5:13">
      <c r="E7549" s="473"/>
      <c r="F7549" s="473"/>
      <c r="G7549" s="473"/>
      <c r="H7549" s="473"/>
      <c r="I7549" s="473"/>
      <c r="J7549" s="473"/>
      <c r="K7549" s="473"/>
      <c r="L7549" s="473"/>
      <c r="M7549" s="473"/>
    </row>
    <row r="7550" spans="5:13">
      <c r="E7550" s="473"/>
      <c r="F7550" s="473"/>
      <c r="G7550" s="473"/>
      <c r="H7550" s="473"/>
      <c r="I7550" s="473"/>
      <c r="J7550" s="473"/>
      <c r="K7550" s="473"/>
      <c r="L7550" s="473"/>
      <c r="M7550" s="473"/>
    </row>
    <row r="7551" spans="5:13">
      <c r="E7551" s="473"/>
      <c r="F7551" s="473"/>
      <c r="G7551" s="473"/>
      <c r="H7551" s="473"/>
      <c r="I7551" s="473"/>
      <c r="J7551" s="473"/>
      <c r="K7551" s="473"/>
      <c r="L7551" s="473"/>
      <c r="M7551" s="473"/>
    </row>
    <row r="7552" spans="5:13">
      <c r="E7552" s="473"/>
      <c r="F7552" s="473"/>
      <c r="G7552" s="473"/>
      <c r="H7552" s="473"/>
      <c r="I7552" s="473"/>
      <c r="J7552" s="473"/>
      <c r="K7552" s="473"/>
      <c r="L7552" s="473"/>
      <c r="M7552" s="473"/>
    </row>
    <row r="7553" spans="5:13">
      <c r="E7553" s="473"/>
      <c r="F7553" s="473"/>
      <c r="G7553" s="473"/>
      <c r="H7553" s="473"/>
      <c r="I7553" s="473"/>
      <c r="J7553" s="473"/>
      <c r="K7553" s="473"/>
      <c r="L7553" s="473"/>
      <c r="M7553" s="473"/>
    </row>
    <row r="7554" spans="5:13">
      <c r="E7554" s="473"/>
      <c r="F7554" s="473"/>
      <c r="G7554" s="473"/>
      <c r="H7554" s="473"/>
      <c r="I7554" s="473"/>
      <c r="J7554" s="473"/>
      <c r="K7554" s="473"/>
      <c r="L7554" s="473"/>
      <c r="M7554" s="473"/>
    </row>
    <row r="7555" spans="5:13">
      <c r="E7555" s="473"/>
      <c r="F7555" s="473"/>
      <c r="G7555" s="473"/>
      <c r="H7555" s="473"/>
      <c r="I7555" s="473"/>
      <c r="J7555" s="473"/>
      <c r="K7555" s="473"/>
      <c r="L7555" s="473"/>
      <c r="M7555" s="473"/>
    </row>
    <row r="7556" spans="5:13">
      <c r="E7556" s="473"/>
      <c r="F7556" s="473"/>
      <c r="G7556" s="473"/>
      <c r="H7556" s="473"/>
      <c r="I7556" s="473"/>
      <c r="J7556" s="473"/>
      <c r="K7556" s="473"/>
      <c r="L7556" s="473"/>
      <c r="M7556" s="473"/>
    </row>
    <row r="7557" spans="5:13">
      <c r="E7557" s="473"/>
      <c r="F7557" s="473"/>
      <c r="G7557" s="473"/>
      <c r="H7557" s="473"/>
      <c r="I7557" s="473"/>
      <c r="J7557" s="473"/>
      <c r="K7557" s="473"/>
      <c r="L7557" s="473"/>
      <c r="M7557" s="473"/>
    </row>
    <row r="7558" spans="5:13">
      <c r="E7558" s="473"/>
      <c r="F7558" s="473"/>
      <c r="G7558" s="473"/>
      <c r="H7558" s="473"/>
      <c r="I7558" s="473"/>
      <c r="J7558" s="473"/>
      <c r="K7558" s="473"/>
      <c r="L7558" s="473"/>
      <c r="M7558" s="473"/>
    </row>
    <row r="7559" spans="5:13">
      <c r="E7559" s="473"/>
      <c r="F7559" s="473"/>
      <c r="G7559" s="473"/>
      <c r="H7559" s="473"/>
      <c r="I7559" s="473"/>
      <c r="J7559" s="473"/>
      <c r="K7559" s="473"/>
      <c r="L7559" s="473"/>
      <c r="M7559" s="473"/>
    </row>
    <row r="7560" spans="5:13">
      <c r="E7560" s="473"/>
      <c r="F7560" s="473"/>
      <c r="G7560" s="473"/>
      <c r="H7560" s="473"/>
      <c r="I7560" s="473"/>
      <c r="J7560" s="473"/>
      <c r="K7560" s="473"/>
      <c r="L7560" s="473"/>
      <c r="M7560" s="473"/>
    </row>
    <row r="7561" spans="5:13">
      <c r="E7561" s="473"/>
      <c r="F7561" s="473"/>
      <c r="G7561" s="473"/>
      <c r="H7561" s="473"/>
      <c r="I7561" s="473"/>
      <c r="J7561" s="473"/>
      <c r="K7561" s="473"/>
      <c r="L7561" s="473"/>
      <c r="M7561" s="473"/>
    </row>
    <row r="7562" spans="5:13">
      <c r="E7562" s="473"/>
      <c r="F7562" s="473"/>
      <c r="G7562" s="473"/>
      <c r="H7562" s="473"/>
      <c r="I7562" s="473"/>
      <c r="J7562" s="473"/>
      <c r="K7562" s="473"/>
      <c r="L7562" s="473"/>
      <c r="M7562" s="473"/>
    </row>
    <row r="7563" spans="5:13">
      <c r="E7563" s="473"/>
      <c r="F7563" s="473"/>
      <c r="G7563" s="473"/>
      <c r="H7563" s="473"/>
      <c r="I7563" s="473"/>
      <c r="J7563" s="473"/>
      <c r="K7563" s="473"/>
      <c r="L7563" s="473"/>
      <c r="M7563" s="473"/>
    </row>
    <row r="7564" spans="5:13">
      <c r="E7564" s="473"/>
      <c r="F7564" s="473"/>
      <c r="G7564" s="473"/>
      <c r="H7564" s="473"/>
      <c r="I7564" s="473"/>
      <c r="J7564" s="473"/>
      <c r="K7564" s="473"/>
      <c r="L7564" s="473"/>
      <c r="M7564" s="473"/>
    </row>
    <row r="7565" spans="5:13">
      <c r="E7565" s="473"/>
      <c r="F7565" s="473"/>
      <c r="G7565" s="473"/>
      <c r="H7565" s="473"/>
      <c r="I7565" s="473"/>
      <c r="J7565" s="473"/>
      <c r="K7565" s="473"/>
      <c r="L7565" s="473"/>
      <c r="M7565" s="473"/>
    </row>
    <row r="7566" spans="5:13">
      <c r="E7566" s="473"/>
      <c r="F7566" s="473"/>
      <c r="G7566" s="473"/>
      <c r="H7566" s="473"/>
      <c r="I7566" s="473"/>
      <c r="J7566" s="473"/>
      <c r="K7566" s="473"/>
      <c r="L7566" s="473"/>
      <c r="M7566" s="473"/>
    </row>
    <row r="7567" spans="5:13">
      <c r="E7567" s="473"/>
      <c r="F7567" s="473"/>
      <c r="G7567" s="473"/>
      <c r="H7567" s="473"/>
      <c r="I7567" s="473"/>
      <c r="J7567" s="473"/>
      <c r="K7567" s="473"/>
      <c r="L7567" s="473"/>
      <c r="M7567" s="473"/>
    </row>
    <row r="7568" spans="5:13">
      <c r="E7568" s="473"/>
      <c r="F7568" s="473"/>
      <c r="G7568" s="473"/>
      <c r="H7568" s="473"/>
      <c r="I7568" s="473"/>
      <c r="J7568" s="473"/>
      <c r="K7568" s="473"/>
      <c r="L7568" s="473"/>
      <c r="M7568" s="473"/>
    </row>
    <row r="7569" spans="5:13">
      <c r="E7569" s="473"/>
      <c r="F7569" s="473"/>
      <c r="G7569" s="473"/>
      <c r="H7569" s="473"/>
      <c r="I7569" s="473"/>
      <c r="J7569" s="473"/>
      <c r="K7569" s="473"/>
      <c r="L7569" s="473"/>
      <c r="M7569" s="473"/>
    </row>
    <row r="7570" spans="5:13">
      <c r="E7570" s="473"/>
      <c r="F7570" s="473"/>
      <c r="G7570" s="473"/>
      <c r="H7570" s="473"/>
      <c r="I7570" s="473"/>
      <c r="J7570" s="473"/>
      <c r="K7570" s="473"/>
      <c r="L7570" s="473"/>
      <c r="M7570" s="473"/>
    </row>
    <row r="7571" spans="5:13">
      <c r="E7571" s="473"/>
      <c r="F7571" s="473"/>
      <c r="G7571" s="473"/>
      <c r="H7571" s="473"/>
      <c r="I7571" s="473"/>
      <c r="J7571" s="473"/>
      <c r="K7571" s="473"/>
      <c r="L7571" s="473"/>
      <c r="M7571" s="473"/>
    </row>
    <row r="7572" spans="5:13">
      <c r="E7572" s="473"/>
      <c r="F7572" s="473"/>
      <c r="G7572" s="473"/>
      <c r="H7572" s="473"/>
      <c r="I7572" s="473"/>
      <c r="J7572" s="473"/>
      <c r="K7572" s="473"/>
      <c r="L7572" s="473"/>
      <c r="M7572" s="473"/>
    </row>
    <row r="7573" spans="5:13">
      <c r="E7573" s="473"/>
      <c r="F7573" s="473"/>
      <c r="G7573" s="473"/>
      <c r="H7573" s="473"/>
      <c r="I7573" s="473"/>
      <c r="J7573" s="473"/>
      <c r="K7573" s="473"/>
      <c r="L7573" s="473"/>
      <c r="M7573" s="473"/>
    </row>
    <row r="7574" spans="5:13">
      <c r="E7574" s="473"/>
      <c r="F7574" s="473"/>
      <c r="G7574" s="473"/>
      <c r="H7574" s="473"/>
      <c r="I7574" s="473"/>
      <c r="J7574" s="473"/>
      <c r="K7574" s="473"/>
      <c r="L7574" s="473"/>
      <c r="M7574" s="473"/>
    </row>
    <row r="7575" spans="5:13">
      <c r="E7575" s="473"/>
      <c r="F7575" s="473"/>
      <c r="G7575" s="473"/>
      <c r="H7575" s="473"/>
      <c r="I7575" s="473"/>
      <c r="J7575" s="473"/>
      <c r="K7575" s="473"/>
      <c r="L7575" s="473"/>
      <c r="M7575" s="473"/>
    </row>
    <row r="7576" spans="5:13">
      <c r="E7576" s="473"/>
      <c r="F7576" s="473"/>
      <c r="G7576" s="473"/>
      <c r="H7576" s="473"/>
      <c r="I7576" s="473"/>
      <c r="J7576" s="473"/>
      <c r="K7576" s="473"/>
      <c r="L7576" s="473"/>
      <c r="M7576" s="473"/>
    </row>
    <row r="7577" spans="5:13">
      <c r="E7577" s="473"/>
      <c r="F7577" s="473"/>
      <c r="G7577" s="473"/>
      <c r="H7577" s="473"/>
      <c r="I7577" s="473"/>
      <c r="J7577" s="473"/>
      <c r="K7577" s="473"/>
      <c r="L7577" s="473"/>
      <c r="M7577" s="473"/>
    </row>
    <row r="7578" spans="5:13">
      <c r="E7578" s="473"/>
      <c r="F7578" s="473"/>
      <c r="G7578" s="473"/>
      <c r="H7578" s="473"/>
      <c r="I7578" s="473"/>
      <c r="J7578" s="473"/>
      <c r="K7578" s="473"/>
      <c r="L7578" s="473"/>
      <c r="M7578" s="473"/>
    </row>
    <row r="7579" spans="5:13">
      <c r="E7579" s="473"/>
      <c r="F7579" s="473"/>
      <c r="G7579" s="473"/>
      <c r="H7579" s="473"/>
      <c r="I7579" s="473"/>
      <c r="J7579" s="473"/>
      <c r="K7579" s="473"/>
      <c r="L7579" s="473"/>
      <c r="M7579" s="473"/>
    </row>
    <row r="7580" spans="5:13">
      <c r="E7580" s="473"/>
      <c r="F7580" s="473"/>
      <c r="G7580" s="473"/>
      <c r="H7580" s="473"/>
      <c r="I7580" s="473"/>
      <c r="J7580" s="473"/>
      <c r="K7580" s="473"/>
      <c r="L7580" s="473"/>
      <c r="M7580" s="473"/>
    </row>
    <row r="7581" spans="5:13">
      <c r="E7581" s="473"/>
      <c r="F7581" s="473"/>
      <c r="G7581" s="473"/>
      <c r="H7581" s="473"/>
      <c r="I7581" s="473"/>
      <c r="J7581" s="473"/>
      <c r="K7581" s="473"/>
      <c r="L7581" s="473"/>
      <c r="M7581" s="473"/>
    </row>
    <row r="7582" spans="5:13">
      <c r="E7582" s="473"/>
      <c r="F7582" s="473"/>
      <c r="G7582" s="473"/>
      <c r="H7582" s="473"/>
      <c r="I7582" s="473"/>
      <c r="J7582" s="473"/>
      <c r="K7582" s="473"/>
      <c r="L7582" s="473"/>
      <c r="M7582" s="473"/>
    </row>
    <row r="7583" spans="5:13">
      <c r="E7583" s="473"/>
      <c r="F7583" s="473"/>
      <c r="G7583" s="473"/>
      <c r="H7583" s="473"/>
      <c r="I7583" s="473"/>
      <c r="J7583" s="473"/>
      <c r="K7583" s="473"/>
      <c r="L7583" s="473"/>
      <c r="M7583" s="473"/>
    </row>
    <row r="7584" spans="5:13">
      <c r="E7584" s="473"/>
      <c r="F7584" s="473"/>
      <c r="G7584" s="473"/>
      <c r="H7584" s="473"/>
      <c r="I7584" s="473"/>
      <c r="J7584" s="473"/>
      <c r="K7584" s="473"/>
      <c r="L7584" s="473"/>
      <c r="M7584" s="473"/>
    </row>
    <row r="7585" spans="5:13">
      <c r="E7585" s="473"/>
      <c r="F7585" s="473"/>
      <c r="G7585" s="473"/>
      <c r="H7585" s="473"/>
      <c r="I7585" s="473"/>
      <c r="J7585" s="473"/>
      <c r="K7585" s="473"/>
      <c r="L7585" s="473"/>
      <c r="M7585" s="473"/>
    </row>
    <row r="7586" spans="5:13">
      <c r="E7586" s="473"/>
      <c r="F7586" s="473"/>
      <c r="G7586" s="473"/>
      <c r="H7586" s="473"/>
      <c r="I7586" s="473"/>
      <c r="J7586" s="473"/>
      <c r="K7586" s="473"/>
      <c r="L7586" s="473"/>
      <c r="M7586" s="473"/>
    </row>
    <row r="7587" spans="5:13">
      <c r="E7587" s="473"/>
      <c r="F7587" s="473"/>
      <c r="G7587" s="473"/>
      <c r="H7587" s="473"/>
      <c r="I7587" s="473"/>
      <c r="J7587" s="473"/>
      <c r="K7587" s="473"/>
      <c r="L7587" s="473"/>
      <c r="M7587" s="473"/>
    </row>
    <row r="7588" spans="5:13">
      <c r="E7588" s="473"/>
      <c r="F7588" s="473"/>
      <c r="G7588" s="473"/>
      <c r="H7588" s="473"/>
      <c r="I7588" s="473"/>
      <c r="J7588" s="473"/>
      <c r="K7588" s="473"/>
      <c r="L7588" s="473"/>
      <c r="M7588" s="473"/>
    </row>
    <row r="7589" spans="5:13">
      <c r="E7589" s="473"/>
      <c r="F7589" s="473"/>
      <c r="G7589" s="473"/>
      <c r="H7589" s="473"/>
      <c r="I7589" s="473"/>
      <c r="J7589" s="473"/>
      <c r="K7589" s="473"/>
      <c r="L7589" s="473"/>
      <c r="M7589" s="473"/>
    </row>
    <row r="7590" spans="5:13">
      <c r="E7590" s="473"/>
      <c r="F7590" s="473"/>
      <c r="G7590" s="473"/>
      <c r="H7590" s="473"/>
      <c r="I7590" s="473"/>
      <c r="J7590" s="473"/>
      <c r="K7590" s="473"/>
      <c r="L7590" s="473"/>
      <c r="M7590" s="473"/>
    </row>
    <row r="7591" spans="5:13">
      <c r="E7591" s="473"/>
      <c r="F7591" s="473"/>
      <c r="G7591" s="473"/>
      <c r="H7591" s="473"/>
      <c r="I7591" s="473"/>
      <c r="J7591" s="473"/>
      <c r="K7591" s="473"/>
      <c r="L7591" s="473"/>
      <c r="M7591" s="473"/>
    </row>
    <row r="7592" spans="5:13">
      <c r="E7592" s="473"/>
      <c r="F7592" s="473"/>
      <c r="G7592" s="473"/>
      <c r="H7592" s="473"/>
      <c r="I7592" s="473"/>
      <c r="J7592" s="473"/>
      <c r="K7592" s="473"/>
      <c r="L7592" s="473"/>
      <c r="M7592" s="473"/>
    </row>
    <row r="7593" spans="5:13">
      <c r="E7593" s="473"/>
      <c r="F7593" s="473"/>
      <c r="G7593" s="473"/>
      <c r="H7593" s="473"/>
      <c r="I7593" s="473"/>
      <c r="J7593" s="473"/>
      <c r="K7593" s="473"/>
      <c r="L7593" s="473"/>
      <c r="M7593" s="473"/>
    </row>
    <row r="7594" spans="5:13">
      <c r="E7594" s="473"/>
      <c r="F7594" s="473"/>
      <c r="G7594" s="473"/>
      <c r="H7594" s="473"/>
      <c r="I7594" s="473"/>
      <c r="J7594" s="473"/>
      <c r="K7594" s="473"/>
      <c r="L7594" s="473"/>
      <c r="M7594" s="473"/>
    </row>
    <row r="7595" spans="5:13">
      <c r="E7595" s="473"/>
      <c r="F7595" s="473"/>
      <c r="G7595" s="473"/>
      <c r="H7595" s="473"/>
      <c r="I7595" s="473"/>
      <c r="J7595" s="473"/>
      <c r="K7595" s="473"/>
      <c r="L7595" s="473"/>
      <c r="M7595" s="473"/>
    </row>
    <row r="7596" spans="5:13">
      <c r="E7596" s="473"/>
      <c r="F7596" s="473"/>
      <c r="G7596" s="473"/>
      <c r="H7596" s="473"/>
      <c r="I7596" s="473"/>
      <c r="J7596" s="473"/>
      <c r="K7596" s="473"/>
      <c r="L7596" s="473"/>
      <c r="M7596" s="473"/>
    </row>
    <row r="7597" spans="5:13">
      <c r="E7597" s="473"/>
      <c r="F7597" s="473"/>
      <c r="G7597" s="473"/>
      <c r="H7597" s="473"/>
      <c r="I7597" s="473"/>
      <c r="J7597" s="473"/>
      <c r="K7597" s="473"/>
      <c r="L7597" s="473"/>
      <c r="M7597" s="473"/>
    </row>
    <row r="7598" spans="5:13">
      <c r="E7598" s="473"/>
      <c r="F7598" s="473"/>
      <c r="G7598" s="473"/>
      <c r="H7598" s="473"/>
      <c r="I7598" s="473"/>
      <c r="J7598" s="473"/>
      <c r="K7598" s="473"/>
      <c r="L7598" s="473"/>
      <c r="M7598" s="473"/>
    </row>
    <row r="7599" spans="5:13">
      <c r="E7599" s="473"/>
      <c r="F7599" s="473"/>
      <c r="G7599" s="473"/>
      <c r="H7599" s="473"/>
      <c r="I7599" s="473"/>
      <c r="J7599" s="473"/>
      <c r="K7599" s="473"/>
      <c r="L7599" s="473"/>
      <c r="M7599" s="473"/>
    </row>
    <row r="7600" spans="5:13">
      <c r="E7600" s="473"/>
      <c r="F7600" s="473"/>
      <c r="G7600" s="473"/>
      <c r="H7600" s="473"/>
      <c r="I7600" s="473"/>
      <c r="J7600" s="473"/>
      <c r="K7600" s="473"/>
      <c r="L7600" s="473"/>
      <c r="M7600" s="473"/>
    </row>
    <row r="7601" spans="5:13">
      <c r="E7601" s="473"/>
      <c r="F7601" s="473"/>
      <c r="G7601" s="473"/>
      <c r="H7601" s="473"/>
      <c r="I7601" s="473"/>
      <c r="J7601" s="473"/>
      <c r="K7601" s="473"/>
      <c r="L7601" s="473"/>
      <c r="M7601" s="473"/>
    </row>
    <row r="7602" spans="5:13">
      <c r="E7602" s="473"/>
      <c r="F7602" s="473"/>
      <c r="G7602" s="473"/>
      <c r="H7602" s="473"/>
      <c r="I7602" s="473"/>
      <c r="J7602" s="473"/>
      <c r="K7602" s="473"/>
      <c r="L7602" s="473"/>
      <c r="M7602" s="473"/>
    </row>
    <row r="7603" spans="5:13">
      <c r="E7603" s="473"/>
      <c r="F7603" s="473"/>
      <c r="G7603" s="473"/>
      <c r="H7603" s="473"/>
      <c r="I7603" s="473"/>
      <c r="J7603" s="473"/>
      <c r="K7603" s="473"/>
      <c r="L7603" s="473"/>
      <c r="M7603" s="473"/>
    </row>
    <row r="7604" spans="5:13">
      <c r="E7604" s="473"/>
      <c r="F7604" s="473"/>
      <c r="G7604" s="473"/>
      <c r="H7604" s="473"/>
      <c r="I7604" s="473"/>
      <c r="J7604" s="473"/>
      <c r="K7604" s="473"/>
      <c r="L7604" s="473"/>
      <c r="M7604" s="473"/>
    </row>
    <row r="7605" spans="5:13">
      <c r="E7605" s="473"/>
      <c r="F7605" s="473"/>
      <c r="G7605" s="473"/>
      <c r="H7605" s="473"/>
      <c r="I7605" s="473"/>
      <c r="J7605" s="473"/>
      <c r="K7605" s="473"/>
      <c r="L7605" s="473"/>
      <c r="M7605" s="473"/>
    </row>
    <row r="7606" spans="5:13">
      <c r="E7606" s="473"/>
      <c r="F7606" s="473"/>
      <c r="G7606" s="473"/>
      <c r="H7606" s="473"/>
      <c r="I7606" s="473"/>
      <c r="J7606" s="473"/>
      <c r="K7606" s="473"/>
      <c r="L7606" s="473"/>
      <c r="M7606" s="473"/>
    </row>
    <row r="7607" spans="5:13">
      <c r="E7607" s="473"/>
      <c r="F7607" s="473"/>
      <c r="G7607" s="473"/>
      <c r="H7607" s="473"/>
      <c r="I7607" s="473"/>
      <c r="J7607" s="473"/>
      <c r="K7607" s="473"/>
      <c r="L7607" s="473"/>
      <c r="M7607" s="473"/>
    </row>
    <row r="7608" spans="5:13">
      <c r="E7608" s="473"/>
      <c r="F7608" s="473"/>
      <c r="G7608" s="473"/>
      <c r="H7608" s="473"/>
      <c r="I7608" s="473"/>
      <c r="J7608" s="473"/>
      <c r="K7608" s="473"/>
      <c r="L7608" s="473"/>
      <c r="M7608" s="473"/>
    </row>
    <row r="7609" spans="5:13">
      <c r="E7609" s="473"/>
      <c r="F7609" s="473"/>
      <c r="G7609" s="473"/>
      <c r="H7609" s="473"/>
      <c r="I7609" s="473"/>
      <c r="J7609" s="473"/>
      <c r="K7609" s="473"/>
      <c r="L7609" s="473"/>
      <c r="M7609" s="473"/>
    </row>
    <row r="7610" spans="5:13">
      <c r="E7610" s="473"/>
      <c r="F7610" s="473"/>
      <c r="G7610" s="473"/>
      <c r="H7610" s="473"/>
      <c r="I7610" s="473"/>
      <c r="J7610" s="473"/>
      <c r="K7610" s="473"/>
      <c r="L7610" s="473"/>
      <c r="M7610" s="473"/>
    </row>
    <row r="7611" spans="5:13">
      <c r="E7611" s="473"/>
      <c r="F7611" s="473"/>
      <c r="G7611" s="473"/>
      <c r="H7611" s="473"/>
      <c r="I7611" s="473"/>
      <c r="J7611" s="473"/>
      <c r="K7611" s="473"/>
      <c r="L7611" s="473"/>
      <c r="M7611" s="473"/>
    </row>
    <row r="7612" spans="5:13">
      <c r="E7612" s="473"/>
      <c r="F7612" s="473"/>
      <c r="G7612" s="473"/>
      <c r="H7612" s="473"/>
      <c r="I7612" s="473"/>
      <c r="J7612" s="473"/>
      <c r="K7612" s="473"/>
      <c r="L7612" s="473"/>
      <c r="M7612" s="473"/>
    </row>
    <row r="7613" spans="5:13">
      <c r="E7613" s="473"/>
      <c r="F7613" s="473"/>
      <c r="G7613" s="473"/>
      <c r="H7613" s="473"/>
      <c r="I7613" s="473"/>
      <c r="J7613" s="473"/>
      <c r="K7613" s="473"/>
      <c r="L7613" s="473"/>
      <c r="M7613" s="473"/>
    </row>
    <row r="7614" spans="5:13">
      <c r="E7614" s="473"/>
      <c r="F7614" s="473"/>
      <c r="G7614" s="473"/>
      <c r="H7614" s="473"/>
      <c r="I7614" s="473"/>
      <c r="J7614" s="473"/>
      <c r="K7614" s="473"/>
      <c r="L7614" s="473"/>
      <c r="M7614" s="473"/>
    </row>
    <row r="7615" spans="5:13">
      <c r="E7615" s="473"/>
      <c r="F7615" s="473"/>
      <c r="G7615" s="473"/>
      <c r="H7615" s="473"/>
      <c r="I7615" s="473"/>
      <c r="J7615" s="473"/>
      <c r="K7615" s="473"/>
      <c r="L7615" s="473"/>
      <c r="M7615" s="473"/>
    </row>
    <row r="7616" spans="5:13">
      <c r="E7616" s="473"/>
      <c r="F7616" s="473"/>
      <c r="G7616" s="473"/>
      <c r="H7616" s="473"/>
      <c r="I7616" s="473"/>
      <c r="J7616" s="473"/>
      <c r="K7616" s="473"/>
      <c r="L7616" s="473"/>
      <c r="M7616" s="473"/>
    </row>
    <row r="7617" spans="5:13">
      <c r="E7617" s="473"/>
      <c r="F7617" s="473"/>
      <c r="G7617" s="473"/>
      <c r="H7617" s="473"/>
      <c r="I7617" s="473"/>
      <c r="J7617" s="473"/>
      <c r="K7617" s="473"/>
      <c r="L7617" s="473"/>
      <c r="M7617" s="473"/>
    </row>
    <row r="7618" spans="5:13">
      <c r="E7618" s="473"/>
      <c r="F7618" s="473"/>
      <c r="G7618" s="473"/>
      <c r="H7618" s="473"/>
      <c r="I7618" s="473"/>
      <c r="J7618" s="473"/>
      <c r="K7618" s="473"/>
      <c r="L7618" s="473"/>
      <c r="M7618" s="473"/>
    </row>
    <row r="7619" spans="5:13">
      <c r="E7619" s="473"/>
      <c r="F7619" s="473"/>
      <c r="G7619" s="473"/>
      <c r="H7619" s="473"/>
      <c r="I7619" s="473"/>
      <c r="J7619" s="473"/>
      <c r="K7619" s="473"/>
      <c r="L7619" s="473"/>
      <c r="M7619" s="473"/>
    </row>
    <row r="7620" spans="5:13">
      <c r="E7620" s="473"/>
      <c r="F7620" s="473"/>
      <c r="G7620" s="473"/>
      <c r="H7620" s="473"/>
      <c r="I7620" s="473"/>
      <c r="J7620" s="473"/>
      <c r="K7620" s="473"/>
      <c r="L7620" s="473"/>
      <c r="M7620" s="473"/>
    </row>
    <row r="7621" spans="5:13">
      <c r="E7621" s="473"/>
      <c r="F7621" s="473"/>
      <c r="G7621" s="473"/>
      <c r="H7621" s="473"/>
      <c r="I7621" s="473"/>
      <c r="J7621" s="473"/>
      <c r="K7621" s="473"/>
      <c r="L7621" s="473"/>
      <c r="M7621" s="473"/>
    </row>
    <row r="7622" spans="5:13">
      <c r="E7622" s="473"/>
      <c r="F7622" s="473"/>
      <c r="G7622" s="473"/>
      <c r="H7622" s="473"/>
      <c r="I7622" s="473"/>
      <c r="J7622" s="473"/>
      <c r="K7622" s="473"/>
      <c r="L7622" s="473"/>
      <c r="M7622" s="473"/>
    </row>
    <row r="7623" spans="5:13">
      <c r="E7623" s="473"/>
      <c r="F7623" s="473"/>
      <c r="G7623" s="473"/>
      <c r="H7623" s="473"/>
      <c r="I7623" s="473"/>
      <c r="J7623" s="473"/>
      <c r="K7623" s="473"/>
      <c r="L7623" s="473"/>
      <c r="M7623" s="473"/>
    </row>
    <row r="7624" spans="5:13">
      <c r="E7624" s="473"/>
      <c r="F7624" s="473"/>
      <c r="G7624" s="473"/>
      <c r="H7624" s="473"/>
      <c r="I7624" s="473"/>
      <c r="J7624" s="473"/>
      <c r="K7624" s="473"/>
      <c r="L7624" s="473"/>
      <c r="M7624" s="473"/>
    </row>
    <row r="7625" spans="5:13">
      <c r="E7625" s="473"/>
      <c r="F7625" s="473"/>
      <c r="G7625" s="473"/>
      <c r="H7625" s="473"/>
      <c r="I7625" s="473"/>
      <c r="J7625" s="473"/>
      <c r="K7625" s="473"/>
      <c r="L7625" s="473"/>
      <c r="M7625" s="473"/>
    </row>
    <row r="7626" spans="5:13">
      <c r="E7626" s="473"/>
      <c r="F7626" s="473"/>
      <c r="G7626" s="473"/>
      <c r="H7626" s="473"/>
      <c r="I7626" s="473"/>
      <c r="J7626" s="473"/>
      <c r="K7626" s="473"/>
      <c r="L7626" s="473"/>
      <c r="M7626" s="473"/>
    </row>
    <row r="7627" spans="5:13">
      <c r="E7627" s="473"/>
      <c r="F7627" s="473"/>
      <c r="G7627" s="473"/>
      <c r="H7627" s="473"/>
      <c r="I7627" s="473"/>
      <c r="J7627" s="473"/>
      <c r="K7627" s="473"/>
      <c r="L7627" s="473"/>
      <c r="M7627" s="473"/>
    </row>
    <row r="7628" spans="5:13">
      <c r="E7628" s="473"/>
      <c r="F7628" s="473"/>
      <c r="G7628" s="473"/>
      <c r="H7628" s="473"/>
      <c r="I7628" s="473"/>
      <c r="J7628" s="473"/>
      <c r="K7628" s="473"/>
      <c r="L7628" s="473"/>
      <c r="M7628" s="473"/>
    </row>
    <row r="7629" spans="5:13">
      <c r="E7629" s="473"/>
      <c r="F7629" s="473"/>
      <c r="G7629" s="473"/>
      <c r="H7629" s="473"/>
      <c r="I7629" s="473"/>
      <c r="J7629" s="473"/>
      <c r="K7629" s="473"/>
      <c r="L7629" s="473"/>
      <c r="M7629" s="473"/>
    </row>
    <row r="7630" spans="5:13">
      <c r="E7630" s="473"/>
      <c r="F7630" s="473"/>
      <c r="G7630" s="473"/>
      <c r="H7630" s="473"/>
      <c r="I7630" s="473"/>
      <c r="J7630" s="473"/>
      <c r="K7630" s="473"/>
      <c r="L7630" s="473"/>
      <c r="M7630" s="473"/>
    </row>
    <row r="7631" spans="5:13">
      <c r="E7631" s="473"/>
      <c r="F7631" s="473"/>
      <c r="G7631" s="473"/>
      <c r="H7631" s="473"/>
      <c r="I7631" s="473"/>
      <c r="J7631" s="473"/>
      <c r="K7631" s="473"/>
      <c r="L7631" s="473"/>
      <c r="M7631" s="473"/>
    </row>
    <row r="7632" spans="5:13">
      <c r="E7632" s="473"/>
      <c r="F7632" s="473"/>
      <c r="G7632" s="473"/>
      <c r="H7632" s="473"/>
      <c r="I7632" s="473"/>
      <c r="J7632" s="473"/>
      <c r="K7632" s="473"/>
      <c r="L7632" s="473"/>
      <c r="M7632" s="473"/>
    </row>
    <row r="7633" spans="5:13">
      <c r="E7633" s="473"/>
      <c r="F7633" s="473"/>
      <c r="G7633" s="473"/>
      <c r="H7633" s="473"/>
      <c r="I7633" s="473"/>
      <c r="J7633" s="473"/>
      <c r="K7633" s="473"/>
      <c r="L7633" s="473"/>
      <c r="M7633" s="473"/>
    </row>
    <row r="7634" spans="5:13">
      <c r="E7634" s="473"/>
      <c r="F7634" s="473"/>
      <c r="G7634" s="473"/>
      <c r="H7634" s="473"/>
      <c r="I7634" s="473"/>
      <c r="J7634" s="473"/>
      <c r="K7634" s="473"/>
      <c r="L7634" s="473"/>
      <c r="M7634" s="473"/>
    </row>
    <row r="7635" spans="5:13">
      <c r="E7635" s="473"/>
      <c r="F7635" s="473"/>
      <c r="G7635" s="473"/>
      <c r="H7635" s="473"/>
      <c r="I7635" s="473"/>
      <c r="J7635" s="473"/>
      <c r="K7635" s="473"/>
      <c r="L7635" s="473"/>
      <c r="M7635" s="473"/>
    </row>
    <row r="7636" spans="5:13">
      <c r="E7636" s="473"/>
      <c r="F7636" s="473"/>
      <c r="G7636" s="473"/>
      <c r="H7636" s="473"/>
      <c r="I7636" s="473"/>
      <c r="J7636" s="473"/>
      <c r="K7636" s="473"/>
      <c r="L7636" s="473"/>
      <c r="M7636" s="473"/>
    </row>
    <row r="7637" spans="5:13">
      <c r="E7637" s="473"/>
      <c r="F7637" s="473"/>
      <c r="G7637" s="473"/>
      <c r="H7637" s="473"/>
      <c r="I7637" s="473"/>
      <c r="J7637" s="473"/>
      <c r="K7637" s="473"/>
      <c r="L7637" s="473"/>
      <c r="M7637" s="473"/>
    </row>
    <row r="7638" spans="5:13">
      <c r="E7638" s="473"/>
      <c r="F7638" s="473"/>
      <c r="G7638" s="473"/>
      <c r="H7638" s="473"/>
      <c r="I7638" s="473"/>
      <c r="J7638" s="473"/>
      <c r="K7638" s="473"/>
      <c r="L7638" s="473"/>
      <c r="M7638" s="473"/>
    </row>
    <row r="7639" spans="5:13">
      <c r="E7639" s="473"/>
      <c r="F7639" s="473"/>
      <c r="G7639" s="473"/>
      <c r="H7639" s="473"/>
      <c r="I7639" s="473"/>
      <c r="J7639" s="473"/>
      <c r="K7639" s="473"/>
      <c r="L7639" s="473"/>
      <c r="M7639" s="473"/>
    </row>
    <row r="7640" spans="5:13">
      <c r="E7640" s="473"/>
      <c r="F7640" s="473"/>
      <c r="G7640" s="473"/>
      <c r="H7640" s="473"/>
      <c r="I7640" s="473"/>
      <c r="J7640" s="473"/>
      <c r="K7640" s="473"/>
      <c r="L7640" s="473"/>
      <c r="M7640" s="473"/>
    </row>
    <row r="7641" spans="5:13">
      <c r="E7641" s="473"/>
      <c r="F7641" s="473"/>
      <c r="G7641" s="473"/>
      <c r="H7641" s="473"/>
      <c r="I7641" s="473"/>
      <c r="J7641" s="473"/>
      <c r="K7641" s="473"/>
      <c r="L7641" s="473"/>
      <c r="M7641" s="473"/>
    </row>
    <row r="7642" spans="5:13">
      <c r="E7642" s="473"/>
      <c r="F7642" s="473"/>
      <c r="G7642" s="473"/>
      <c r="H7642" s="473"/>
      <c r="I7642" s="473"/>
      <c r="J7642" s="473"/>
      <c r="K7642" s="473"/>
      <c r="L7642" s="473"/>
      <c r="M7642" s="473"/>
    </row>
    <row r="7643" spans="5:13">
      <c r="E7643" s="473"/>
      <c r="F7643" s="473"/>
      <c r="G7643" s="473"/>
      <c r="H7643" s="473"/>
      <c r="I7643" s="473"/>
      <c r="J7643" s="473"/>
      <c r="K7643" s="473"/>
      <c r="L7643" s="473"/>
      <c r="M7643" s="473"/>
    </row>
    <row r="7644" spans="5:13">
      <c r="E7644" s="473"/>
      <c r="F7644" s="473"/>
      <c r="G7644" s="473"/>
      <c r="H7644" s="473"/>
      <c r="I7644" s="473"/>
      <c r="J7644" s="473"/>
      <c r="K7644" s="473"/>
      <c r="L7644" s="473"/>
      <c r="M7644" s="473"/>
    </row>
    <row r="7645" spans="5:13">
      <c r="E7645" s="473"/>
      <c r="F7645" s="473"/>
      <c r="G7645" s="473"/>
      <c r="H7645" s="473"/>
      <c r="I7645" s="473"/>
      <c r="J7645" s="473"/>
      <c r="K7645" s="473"/>
      <c r="L7645" s="473"/>
      <c r="M7645" s="473"/>
    </row>
    <row r="7646" spans="5:13">
      <c r="E7646" s="473"/>
      <c r="F7646" s="473"/>
      <c r="G7646" s="473"/>
      <c r="H7646" s="473"/>
      <c r="I7646" s="473"/>
      <c r="J7646" s="473"/>
      <c r="K7646" s="473"/>
      <c r="L7646" s="473"/>
      <c r="M7646" s="473"/>
    </row>
    <row r="7647" spans="5:13">
      <c r="E7647" s="473"/>
      <c r="F7647" s="473"/>
      <c r="G7647" s="473"/>
      <c r="H7647" s="473"/>
      <c r="I7647" s="473"/>
      <c r="J7647" s="473"/>
      <c r="K7647" s="473"/>
      <c r="L7647" s="473"/>
      <c r="M7647" s="473"/>
    </row>
    <row r="7648" spans="5:13">
      <c r="E7648" s="473"/>
      <c r="F7648" s="473"/>
      <c r="G7648" s="473"/>
      <c r="H7648" s="473"/>
      <c r="I7648" s="473"/>
      <c r="J7648" s="473"/>
      <c r="K7648" s="473"/>
      <c r="L7648" s="473"/>
      <c r="M7648" s="473"/>
    </row>
    <row r="7649" spans="5:13">
      <c r="E7649" s="473"/>
      <c r="F7649" s="473"/>
      <c r="G7649" s="473"/>
      <c r="H7649" s="473"/>
      <c r="I7649" s="473"/>
      <c r="J7649" s="473"/>
      <c r="K7649" s="473"/>
      <c r="L7649" s="473"/>
      <c r="M7649" s="473"/>
    </row>
    <row r="7650" spans="5:13">
      <c r="E7650" s="473"/>
      <c r="F7650" s="473"/>
      <c r="G7650" s="473"/>
      <c r="H7650" s="473"/>
      <c r="I7650" s="473"/>
      <c r="J7650" s="473"/>
      <c r="K7650" s="473"/>
      <c r="L7650" s="473"/>
      <c r="M7650" s="473"/>
    </row>
    <row r="7651" spans="5:13">
      <c r="E7651" s="473"/>
      <c r="F7651" s="473"/>
      <c r="G7651" s="473"/>
      <c r="H7651" s="473"/>
      <c r="I7651" s="473"/>
      <c r="J7651" s="473"/>
      <c r="K7651" s="473"/>
      <c r="L7651" s="473"/>
      <c r="M7651" s="473"/>
    </row>
    <row r="7652" spans="5:13">
      <c r="E7652" s="473"/>
      <c r="F7652" s="473"/>
      <c r="G7652" s="473"/>
      <c r="H7652" s="473"/>
      <c r="I7652" s="473"/>
      <c r="J7652" s="473"/>
      <c r="K7652" s="473"/>
      <c r="L7652" s="473"/>
      <c r="M7652" s="473"/>
    </row>
    <row r="7653" spans="5:13">
      <c r="E7653" s="473"/>
      <c r="F7653" s="473"/>
      <c r="G7653" s="473"/>
      <c r="H7653" s="473"/>
      <c r="I7653" s="473"/>
      <c r="J7653" s="473"/>
      <c r="K7653" s="473"/>
      <c r="L7653" s="473"/>
      <c r="M7653" s="473"/>
    </row>
    <row r="7654" spans="5:13">
      <c r="E7654" s="473"/>
      <c r="F7654" s="473"/>
      <c r="G7654" s="473"/>
      <c r="H7654" s="473"/>
      <c r="I7654" s="473"/>
      <c r="J7654" s="473"/>
      <c r="K7654" s="473"/>
      <c r="L7654" s="473"/>
      <c r="M7654" s="473"/>
    </row>
    <row r="7655" spans="5:13">
      <c r="E7655" s="473"/>
      <c r="F7655" s="473"/>
      <c r="G7655" s="473"/>
      <c r="H7655" s="473"/>
      <c r="I7655" s="473"/>
      <c r="J7655" s="473"/>
      <c r="K7655" s="473"/>
      <c r="L7655" s="473"/>
      <c r="M7655" s="473"/>
    </row>
    <row r="7656" spans="5:13">
      <c r="E7656" s="473"/>
      <c r="F7656" s="473"/>
      <c r="G7656" s="473"/>
      <c r="H7656" s="473"/>
      <c r="I7656" s="473"/>
      <c r="J7656" s="473"/>
      <c r="K7656" s="473"/>
      <c r="L7656" s="473"/>
      <c r="M7656" s="473"/>
    </row>
    <row r="7657" spans="5:13">
      <c r="E7657" s="473"/>
      <c r="F7657" s="473"/>
      <c r="G7657" s="473"/>
      <c r="H7657" s="473"/>
      <c r="I7657" s="473"/>
      <c r="J7657" s="473"/>
      <c r="K7657" s="473"/>
      <c r="L7657" s="473"/>
      <c r="M7657" s="473"/>
    </row>
    <row r="7658" spans="5:13">
      <c r="E7658" s="473"/>
      <c r="F7658" s="473"/>
      <c r="G7658" s="473"/>
      <c r="H7658" s="473"/>
      <c r="I7658" s="473"/>
      <c r="J7658" s="473"/>
      <c r="K7658" s="473"/>
      <c r="L7658" s="473"/>
      <c r="M7658" s="473"/>
    </row>
    <row r="7659" spans="5:13">
      <c r="E7659" s="473"/>
      <c r="F7659" s="473"/>
      <c r="G7659" s="473"/>
      <c r="H7659" s="473"/>
      <c r="I7659" s="473"/>
      <c r="J7659" s="473"/>
      <c r="K7659" s="473"/>
      <c r="L7659" s="473"/>
      <c r="M7659" s="473"/>
    </row>
    <row r="7660" spans="5:13">
      <c r="E7660" s="473"/>
      <c r="F7660" s="473"/>
      <c r="G7660" s="473"/>
      <c r="H7660" s="473"/>
      <c r="I7660" s="473"/>
      <c r="J7660" s="473"/>
      <c r="K7660" s="473"/>
      <c r="L7660" s="473"/>
      <c r="M7660" s="473"/>
    </row>
    <row r="7661" spans="5:13">
      <c r="E7661" s="473"/>
      <c r="F7661" s="473"/>
      <c r="G7661" s="473"/>
      <c r="H7661" s="473"/>
      <c r="I7661" s="473"/>
      <c r="J7661" s="473"/>
      <c r="K7661" s="473"/>
      <c r="L7661" s="473"/>
      <c r="M7661" s="473"/>
    </row>
    <row r="7662" spans="5:13">
      <c r="E7662" s="473"/>
      <c r="F7662" s="473"/>
      <c r="G7662" s="473"/>
      <c r="H7662" s="473"/>
      <c r="I7662" s="473"/>
      <c r="J7662" s="473"/>
      <c r="K7662" s="473"/>
      <c r="L7662" s="473"/>
      <c r="M7662" s="473"/>
    </row>
    <row r="7663" spans="5:13">
      <c r="E7663" s="473"/>
      <c r="F7663" s="473"/>
      <c r="G7663" s="473"/>
      <c r="H7663" s="473"/>
      <c r="I7663" s="473"/>
      <c r="J7663" s="473"/>
      <c r="K7663" s="473"/>
      <c r="L7663" s="473"/>
      <c r="M7663" s="473"/>
    </row>
    <row r="7664" spans="5:13">
      <c r="E7664" s="473"/>
      <c r="F7664" s="473"/>
      <c r="G7664" s="473"/>
      <c r="H7664" s="473"/>
      <c r="I7664" s="473"/>
      <c r="J7664" s="473"/>
      <c r="K7664" s="473"/>
      <c r="L7664" s="473"/>
      <c r="M7664" s="473"/>
    </row>
    <row r="7665" spans="5:13">
      <c r="E7665" s="473"/>
      <c r="F7665" s="473"/>
      <c r="G7665" s="473"/>
      <c r="H7665" s="473"/>
      <c r="I7665" s="473"/>
      <c r="J7665" s="473"/>
      <c r="K7665" s="473"/>
      <c r="L7665" s="473"/>
      <c r="M7665" s="473"/>
    </row>
    <row r="7666" spans="5:13">
      <c r="E7666" s="473"/>
      <c r="F7666" s="473"/>
      <c r="G7666" s="473"/>
      <c r="H7666" s="473"/>
      <c r="I7666" s="473"/>
      <c r="J7666" s="473"/>
      <c r="K7666" s="473"/>
      <c r="L7666" s="473"/>
      <c r="M7666" s="473"/>
    </row>
    <row r="7667" spans="5:13">
      <c r="E7667" s="473"/>
      <c r="F7667" s="473"/>
      <c r="G7667" s="473"/>
      <c r="H7667" s="473"/>
      <c r="I7667" s="473"/>
      <c r="J7667" s="473"/>
      <c r="K7667" s="473"/>
      <c r="L7667" s="473"/>
      <c r="M7667" s="473"/>
    </row>
    <row r="7668" spans="5:13">
      <c r="E7668" s="473"/>
      <c r="F7668" s="473"/>
      <c r="G7668" s="473"/>
      <c r="H7668" s="473"/>
      <c r="I7668" s="473"/>
      <c r="J7668" s="473"/>
      <c r="K7668" s="473"/>
      <c r="L7668" s="473"/>
      <c r="M7668" s="473"/>
    </row>
    <row r="7669" spans="5:13">
      <c r="E7669" s="473"/>
      <c r="F7669" s="473"/>
      <c r="G7669" s="473"/>
      <c r="H7669" s="473"/>
      <c r="I7669" s="473"/>
      <c r="J7669" s="473"/>
      <c r="K7669" s="473"/>
      <c r="L7669" s="473"/>
      <c r="M7669" s="473"/>
    </row>
    <row r="7670" spans="5:13">
      <c r="E7670" s="473"/>
      <c r="F7670" s="473"/>
      <c r="G7670" s="473"/>
      <c r="H7670" s="473"/>
      <c r="I7670" s="473"/>
      <c r="J7670" s="473"/>
      <c r="K7670" s="473"/>
      <c r="L7670" s="473"/>
      <c r="M7670" s="473"/>
    </row>
    <row r="7671" spans="5:13">
      <c r="E7671" s="473"/>
      <c r="F7671" s="473"/>
      <c r="G7671" s="473"/>
      <c r="H7671" s="473"/>
      <c r="I7671" s="473"/>
      <c r="J7671" s="473"/>
      <c r="K7671" s="473"/>
      <c r="L7671" s="473"/>
      <c r="M7671" s="473"/>
    </row>
    <row r="7672" spans="5:13">
      <c r="E7672" s="473"/>
      <c r="F7672" s="473"/>
      <c r="G7672" s="473"/>
      <c r="H7672" s="473"/>
      <c r="I7672" s="473"/>
      <c r="J7672" s="473"/>
      <c r="K7672" s="473"/>
      <c r="L7672" s="473"/>
      <c r="M7672" s="473"/>
    </row>
    <row r="7673" spans="5:13">
      <c r="E7673" s="473"/>
      <c r="F7673" s="473"/>
      <c r="G7673" s="473"/>
      <c r="H7673" s="473"/>
      <c r="I7673" s="473"/>
      <c r="J7673" s="473"/>
      <c r="K7673" s="473"/>
      <c r="L7673" s="473"/>
      <c r="M7673" s="473"/>
    </row>
    <row r="7674" spans="5:13">
      <c r="E7674" s="473"/>
      <c r="F7674" s="473"/>
      <c r="G7674" s="473"/>
      <c r="H7674" s="473"/>
      <c r="I7674" s="473"/>
      <c r="J7674" s="473"/>
      <c r="K7674" s="473"/>
      <c r="L7674" s="473"/>
      <c r="M7674" s="473"/>
    </row>
    <row r="7675" spans="5:13">
      <c r="E7675" s="473"/>
      <c r="F7675" s="473"/>
      <c r="G7675" s="473"/>
      <c r="H7675" s="473"/>
      <c r="I7675" s="473"/>
      <c r="J7675" s="473"/>
      <c r="K7675" s="473"/>
      <c r="L7675" s="473"/>
      <c r="M7675" s="473"/>
    </row>
    <row r="7676" spans="5:13">
      <c r="E7676" s="473"/>
      <c r="F7676" s="473"/>
      <c r="G7676" s="473"/>
      <c r="H7676" s="473"/>
      <c r="I7676" s="473"/>
      <c r="J7676" s="473"/>
      <c r="K7676" s="473"/>
      <c r="L7676" s="473"/>
      <c r="M7676" s="473"/>
    </row>
    <row r="7677" spans="5:13">
      <c r="E7677" s="473"/>
      <c r="F7677" s="473"/>
      <c r="G7677" s="473"/>
      <c r="H7677" s="473"/>
      <c r="I7677" s="473"/>
      <c r="J7677" s="473"/>
      <c r="K7677" s="473"/>
      <c r="L7677" s="473"/>
      <c r="M7677" s="473"/>
    </row>
    <row r="7678" spans="5:13">
      <c r="E7678" s="473"/>
      <c r="F7678" s="473"/>
      <c r="G7678" s="473"/>
      <c r="H7678" s="473"/>
      <c r="I7678" s="473"/>
      <c r="J7678" s="473"/>
      <c r="K7678" s="473"/>
      <c r="L7678" s="473"/>
      <c r="M7678" s="473"/>
    </row>
    <row r="7679" spans="5:13">
      <c r="E7679" s="473"/>
      <c r="F7679" s="473"/>
      <c r="G7679" s="473"/>
      <c r="H7679" s="473"/>
      <c r="I7679" s="473"/>
      <c r="J7679" s="473"/>
      <c r="K7679" s="473"/>
      <c r="L7679" s="473"/>
      <c r="M7679" s="473"/>
    </row>
    <row r="7680" spans="5:13">
      <c r="E7680" s="473"/>
      <c r="F7680" s="473"/>
      <c r="G7680" s="473"/>
      <c r="H7680" s="473"/>
      <c r="I7680" s="473"/>
      <c r="J7680" s="473"/>
      <c r="K7680" s="473"/>
      <c r="L7680" s="473"/>
      <c r="M7680" s="473"/>
    </row>
    <row r="7681" spans="5:13">
      <c r="E7681" s="473"/>
      <c r="F7681" s="473"/>
      <c r="G7681" s="473"/>
      <c r="H7681" s="473"/>
      <c r="I7681" s="473"/>
      <c r="J7681" s="473"/>
      <c r="K7681" s="473"/>
      <c r="L7681" s="473"/>
      <c r="M7681" s="473"/>
    </row>
    <row r="7682" spans="5:13">
      <c r="E7682" s="473"/>
      <c r="F7682" s="473"/>
      <c r="G7682" s="473"/>
      <c r="H7682" s="473"/>
      <c r="I7682" s="473"/>
      <c r="J7682" s="473"/>
      <c r="K7682" s="473"/>
      <c r="L7682" s="473"/>
      <c r="M7682" s="473"/>
    </row>
    <row r="7683" spans="5:13">
      <c r="E7683" s="473"/>
      <c r="F7683" s="473"/>
      <c r="G7683" s="473"/>
      <c r="H7683" s="473"/>
      <c r="I7683" s="473"/>
      <c r="J7683" s="473"/>
      <c r="K7683" s="473"/>
      <c r="L7683" s="473"/>
      <c r="M7683" s="473"/>
    </row>
    <row r="7684" spans="5:13">
      <c r="E7684" s="473"/>
      <c r="F7684" s="473"/>
      <c r="G7684" s="473"/>
      <c r="H7684" s="473"/>
      <c r="I7684" s="473"/>
      <c r="J7684" s="473"/>
      <c r="K7684" s="473"/>
      <c r="L7684" s="473"/>
      <c r="M7684" s="473"/>
    </row>
    <row r="7685" spans="5:13">
      <c r="E7685" s="473"/>
      <c r="F7685" s="473"/>
      <c r="G7685" s="473"/>
      <c r="H7685" s="473"/>
      <c r="I7685" s="473"/>
      <c r="J7685" s="473"/>
      <c r="K7685" s="473"/>
      <c r="L7685" s="473"/>
      <c r="M7685" s="473"/>
    </row>
    <row r="7686" spans="5:13">
      <c r="E7686" s="473"/>
      <c r="F7686" s="473"/>
      <c r="G7686" s="473"/>
      <c r="H7686" s="473"/>
      <c r="I7686" s="473"/>
      <c r="J7686" s="473"/>
      <c r="K7686" s="473"/>
      <c r="L7686" s="473"/>
      <c r="M7686" s="473"/>
    </row>
    <row r="7687" spans="5:13">
      <c r="E7687" s="473"/>
      <c r="F7687" s="473"/>
      <c r="G7687" s="473"/>
      <c r="H7687" s="473"/>
      <c r="I7687" s="473"/>
      <c r="J7687" s="473"/>
      <c r="K7687" s="473"/>
      <c r="L7687" s="473"/>
      <c r="M7687" s="473"/>
    </row>
    <row r="7688" spans="5:13">
      <c r="E7688" s="473"/>
      <c r="F7688" s="473"/>
      <c r="G7688" s="473"/>
      <c r="H7688" s="473"/>
      <c r="I7688" s="473"/>
      <c r="J7688" s="473"/>
      <c r="K7688" s="473"/>
      <c r="L7688" s="473"/>
      <c r="M7688" s="473"/>
    </row>
    <row r="7689" spans="5:13">
      <c r="E7689" s="473"/>
      <c r="F7689" s="473"/>
      <c r="G7689" s="473"/>
      <c r="H7689" s="473"/>
      <c r="I7689" s="473"/>
      <c r="J7689" s="473"/>
      <c r="K7689" s="473"/>
      <c r="L7689" s="473"/>
      <c r="M7689" s="473"/>
    </row>
    <row r="7690" spans="5:13">
      <c r="E7690" s="473"/>
      <c r="F7690" s="473"/>
      <c r="G7690" s="473"/>
      <c r="H7690" s="473"/>
      <c r="I7690" s="473"/>
      <c r="J7690" s="473"/>
      <c r="K7690" s="473"/>
      <c r="L7690" s="473"/>
      <c r="M7690" s="473"/>
    </row>
    <row r="7691" spans="5:13">
      <c r="E7691" s="473"/>
      <c r="F7691" s="473"/>
      <c r="G7691" s="473"/>
      <c r="H7691" s="473"/>
      <c r="I7691" s="473"/>
      <c r="J7691" s="473"/>
      <c r="K7691" s="473"/>
      <c r="L7691" s="473"/>
      <c r="M7691" s="473"/>
    </row>
    <row r="7692" spans="5:13">
      <c r="E7692" s="473"/>
      <c r="F7692" s="473"/>
      <c r="G7692" s="473"/>
      <c r="H7692" s="473"/>
      <c r="I7692" s="473"/>
      <c r="J7692" s="473"/>
      <c r="K7692" s="473"/>
      <c r="L7692" s="473"/>
      <c r="M7692" s="473"/>
    </row>
    <row r="7693" spans="5:13">
      <c r="E7693" s="473"/>
      <c r="F7693" s="473"/>
      <c r="G7693" s="473"/>
      <c r="H7693" s="473"/>
      <c r="I7693" s="473"/>
      <c r="J7693" s="473"/>
      <c r="K7693" s="473"/>
      <c r="L7693" s="473"/>
      <c r="M7693" s="473"/>
    </row>
    <row r="7694" spans="5:13">
      <c r="E7694" s="473"/>
      <c r="F7694" s="473"/>
      <c r="G7694" s="473"/>
      <c r="H7694" s="473"/>
      <c r="I7694" s="473"/>
      <c r="J7694" s="473"/>
      <c r="K7694" s="473"/>
      <c r="L7694" s="473"/>
      <c r="M7694" s="473"/>
    </row>
    <row r="7695" spans="5:13">
      <c r="E7695" s="473"/>
      <c r="F7695" s="473"/>
      <c r="G7695" s="473"/>
      <c r="H7695" s="473"/>
      <c r="I7695" s="473"/>
      <c r="J7695" s="473"/>
      <c r="K7695" s="473"/>
      <c r="L7695" s="473"/>
      <c r="M7695" s="473"/>
    </row>
    <row r="7696" spans="5:13">
      <c r="E7696" s="473"/>
      <c r="F7696" s="473"/>
      <c r="G7696" s="473"/>
      <c r="H7696" s="473"/>
      <c r="I7696" s="473"/>
      <c r="J7696" s="473"/>
      <c r="K7696" s="473"/>
      <c r="L7696" s="473"/>
      <c r="M7696" s="473"/>
    </row>
    <row r="7697" spans="5:13">
      <c r="E7697" s="473"/>
      <c r="F7697" s="473"/>
      <c r="G7697" s="473"/>
      <c r="H7697" s="473"/>
      <c r="I7697" s="473"/>
      <c r="J7697" s="473"/>
      <c r="K7697" s="473"/>
      <c r="L7697" s="473"/>
      <c r="M7697" s="473"/>
    </row>
    <row r="7698" spans="5:13">
      <c r="E7698" s="473"/>
      <c r="F7698" s="473"/>
      <c r="G7698" s="473"/>
      <c r="H7698" s="473"/>
      <c r="I7698" s="473"/>
      <c r="J7698" s="473"/>
      <c r="K7698" s="473"/>
      <c r="L7698" s="473"/>
      <c r="M7698" s="473"/>
    </row>
    <row r="7699" spans="5:13">
      <c r="E7699" s="473"/>
      <c r="F7699" s="473"/>
      <c r="G7699" s="473"/>
      <c r="H7699" s="473"/>
      <c r="I7699" s="473"/>
      <c r="J7699" s="473"/>
      <c r="K7699" s="473"/>
      <c r="L7699" s="473"/>
      <c r="M7699" s="473"/>
    </row>
    <row r="7700" spans="5:13">
      <c r="E7700" s="473"/>
      <c r="F7700" s="473"/>
      <c r="G7700" s="473"/>
      <c r="H7700" s="473"/>
      <c r="I7700" s="473"/>
      <c r="J7700" s="473"/>
      <c r="K7700" s="473"/>
      <c r="L7700" s="473"/>
      <c r="M7700" s="473"/>
    </row>
    <row r="7701" spans="5:13">
      <c r="E7701" s="473"/>
      <c r="F7701" s="473"/>
      <c r="G7701" s="473"/>
      <c r="H7701" s="473"/>
      <c r="I7701" s="473"/>
      <c r="J7701" s="473"/>
      <c r="K7701" s="473"/>
      <c r="L7701" s="473"/>
      <c r="M7701" s="473"/>
    </row>
    <row r="7702" spans="5:13">
      <c r="E7702" s="473"/>
      <c r="F7702" s="473"/>
      <c r="G7702" s="473"/>
      <c r="H7702" s="473"/>
      <c r="I7702" s="473"/>
      <c r="J7702" s="473"/>
      <c r="K7702" s="473"/>
      <c r="L7702" s="473"/>
      <c r="M7702" s="473"/>
    </row>
    <row r="7703" spans="5:13">
      <c r="E7703" s="473"/>
      <c r="F7703" s="473"/>
      <c r="G7703" s="473"/>
      <c r="H7703" s="473"/>
      <c r="I7703" s="473"/>
      <c r="J7703" s="473"/>
      <c r="K7703" s="473"/>
      <c r="L7703" s="473"/>
      <c r="M7703" s="473"/>
    </row>
    <row r="7704" spans="5:13">
      <c r="E7704" s="473"/>
      <c r="F7704" s="473"/>
      <c r="G7704" s="473"/>
      <c r="H7704" s="473"/>
      <c r="I7704" s="473"/>
      <c r="J7704" s="473"/>
      <c r="K7704" s="473"/>
      <c r="L7704" s="473"/>
      <c r="M7704" s="473"/>
    </row>
    <row r="7705" spans="5:13">
      <c r="E7705" s="473"/>
      <c r="F7705" s="473"/>
      <c r="G7705" s="473"/>
      <c r="H7705" s="473"/>
      <c r="I7705" s="473"/>
      <c r="J7705" s="473"/>
      <c r="K7705" s="473"/>
      <c r="L7705" s="473"/>
      <c r="M7705" s="473"/>
    </row>
    <row r="7706" spans="5:13">
      <c r="E7706" s="473"/>
      <c r="F7706" s="473"/>
      <c r="G7706" s="473"/>
      <c r="H7706" s="473"/>
      <c r="I7706" s="473"/>
      <c r="J7706" s="473"/>
      <c r="K7706" s="473"/>
      <c r="L7706" s="473"/>
      <c r="M7706" s="473"/>
    </row>
    <row r="7707" spans="5:13">
      <c r="E7707" s="473"/>
      <c r="F7707" s="473"/>
      <c r="G7707" s="473"/>
      <c r="H7707" s="473"/>
      <c r="I7707" s="473"/>
      <c r="J7707" s="473"/>
      <c r="K7707" s="473"/>
      <c r="L7707" s="473"/>
      <c r="M7707" s="473"/>
    </row>
    <row r="7708" spans="5:13">
      <c r="E7708" s="473"/>
      <c r="F7708" s="473"/>
      <c r="G7708" s="473"/>
      <c r="H7708" s="473"/>
      <c r="I7708" s="473"/>
      <c r="J7708" s="473"/>
      <c r="K7708" s="473"/>
      <c r="L7708" s="473"/>
      <c r="M7708" s="473"/>
    </row>
    <row r="7709" spans="5:13">
      <c r="E7709" s="473"/>
      <c r="F7709" s="473"/>
      <c r="G7709" s="473"/>
      <c r="H7709" s="473"/>
      <c r="I7709" s="473"/>
      <c r="J7709" s="473"/>
      <c r="K7709" s="473"/>
      <c r="L7709" s="473"/>
      <c r="M7709" s="473"/>
    </row>
    <row r="7710" spans="5:13">
      <c r="E7710" s="473"/>
      <c r="F7710" s="473"/>
      <c r="G7710" s="473"/>
      <c r="H7710" s="473"/>
      <c r="I7710" s="473"/>
      <c r="J7710" s="473"/>
      <c r="K7710" s="473"/>
      <c r="L7710" s="473"/>
      <c r="M7710" s="473"/>
    </row>
    <row r="7711" spans="5:13">
      <c r="E7711" s="473"/>
      <c r="F7711" s="473"/>
      <c r="G7711" s="473"/>
      <c r="H7711" s="473"/>
      <c r="I7711" s="473"/>
      <c r="J7711" s="473"/>
      <c r="K7711" s="473"/>
      <c r="L7711" s="473"/>
      <c r="M7711" s="473"/>
    </row>
    <row r="7712" spans="5:13">
      <c r="E7712" s="473"/>
      <c r="F7712" s="473"/>
      <c r="G7712" s="473"/>
      <c r="H7712" s="473"/>
      <c r="I7712" s="473"/>
      <c r="J7712" s="473"/>
      <c r="K7712" s="473"/>
      <c r="L7712" s="473"/>
      <c r="M7712" s="473"/>
    </row>
    <row r="7713" spans="5:13">
      <c r="E7713" s="473"/>
      <c r="F7713" s="473"/>
      <c r="G7713" s="473"/>
      <c r="H7713" s="473"/>
      <c r="I7713" s="473"/>
      <c r="J7713" s="473"/>
      <c r="K7713" s="473"/>
      <c r="L7713" s="473"/>
      <c r="M7713" s="473"/>
    </row>
    <row r="7714" spans="5:13">
      <c r="E7714" s="473"/>
      <c r="F7714" s="473"/>
      <c r="G7714" s="473"/>
      <c r="H7714" s="473"/>
      <c r="I7714" s="473"/>
      <c r="J7714" s="473"/>
      <c r="K7714" s="473"/>
      <c r="L7714" s="473"/>
      <c r="M7714" s="473"/>
    </row>
    <row r="7715" spans="5:13">
      <c r="E7715" s="473"/>
      <c r="F7715" s="473"/>
      <c r="G7715" s="473"/>
      <c r="H7715" s="473"/>
      <c r="I7715" s="473"/>
      <c r="J7715" s="473"/>
      <c r="K7715" s="473"/>
      <c r="L7715" s="473"/>
      <c r="M7715" s="473"/>
    </row>
    <row r="7716" spans="5:13">
      <c r="E7716" s="473"/>
      <c r="F7716" s="473"/>
      <c r="G7716" s="473"/>
      <c r="H7716" s="473"/>
      <c r="I7716" s="473"/>
      <c r="J7716" s="473"/>
      <c r="K7716" s="473"/>
      <c r="L7716" s="473"/>
      <c r="M7716" s="473"/>
    </row>
    <row r="7717" spans="5:13">
      <c r="E7717" s="473"/>
      <c r="F7717" s="473"/>
      <c r="G7717" s="473"/>
      <c r="H7717" s="473"/>
      <c r="I7717" s="473"/>
      <c r="J7717" s="473"/>
      <c r="K7717" s="473"/>
      <c r="L7717" s="473"/>
      <c r="M7717" s="473"/>
    </row>
    <row r="7718" spans="5:13">
      <c r="E7718" s="473"/>
      <c r="F7718" s="473"/>
      <c r="G7718" s="473"/>
      <c r="H7718" s="473"/>
      <c r="I7718" s="473"/>
      <c r="J7718" s="473"/>
      <c r="K7718" s="473"/>
      <c r="L7718" s="473"/>
      <c r="M7718" s="473"/>
    </row>
    <row r="7719" spans="5:13">
      <c r="E7719" s="473"/>
      <c r="F7719" s="473"/>
      <c r="G7719" s="473"/>
      <c r="H7719" s="473"/>
      <c r="I7719" s="473"/>
      <c r="J7719" s="473"/>
      <c r="K7719" s="473"/>
      <c r="L7719" s="473"/>
      <c r="M7719" s="473"/>
    </row>
    <row r="7720" spans="5:13">
      <c r="E7720" s="473"/>
      <c r="F7720" s="473"/>
      <c r="G7720" s="473"/>
      <c r="H7720" s="473"/>
      <c r="I7720" s="473"/>
      <c r="J7720" s="473"/>
      <c r="K7720" s="473"/>
      <c r="L7720" s="473"/>
      <c r="M7720" s="473"/>
    </row>
    <row r="7721" spans="5:13">
      <c r="E7721" s="473"/>
      <c r="F7721" s="473"/>
      <c r="G7721" s="473"/>
      <c r="H7721" s="473"/>
      <c r="I7721" s="473"/>
      <c r="J7721" s="473"/>
      <c r="K7721" s="473"/>
      <c r="L7721" s="473"/>
      <c r="M7721" s="473"/>
    </row>
    <row r="7722" spans="5:13">
      <c r="E7722" s="473"/>
      <c r="F7722" s="473"/>
      <c r="G7722" s="473"/>
      <c r="H7722" s="473"/>
      <c r="I7722" s="473"/>
      <c r="J7722" s="473"/>
      <c r="K7722" s="473"/>
      <c r="L7722" s="473"/>
      <c r="M7722" s="473"/>
    </row>
    <row r="7723" spans="5:13">
      <c r="E7723" s="473"/>
      <c r="F7723" s="473"/>
      <c r="G7723" s="473"/>
      <c r="H7723" s="473"/>
      <c r="I7723" s="473"/>
      <c r="J7723" s="473"/>
      <c r="K7723" s="473"/>
      <c r="L7723" s="473"/>
      <c r="M7723" s="473"/>
    </row>
    <row r="7724" spans="5:13">
      <c r="E7724" s="473"/>
      <c r="F7724" s="473"/>
      <c r="G7724" s="473"/>
      <c r="H7724" s="473"/>
      <c r="I7724" s="473"/>
      <c r="J7724" s="473"/>
      <c r="K7724" s="473"/>
      <c r="L7724" s="473"/>
      <c r="M7724" s="473"/>
    </row>
    <row r="7725" spans="5:13">
      <c r="E7725" s="473"/>
      <c r="F7725" s="473"/>
      <c r="G7725" s="473"/>
      <c r="H7725" s="473"/>
      <c r="I7725" s="473"/>
      <c r="J7725" s="473"/>
      <c r="K7725" s="473"/>
      <c r="L7725" s="473"/>
      <c r="M7725" s="473"/>
    </row>
    <row r="7726" spans="5:13">
      <c r="E7726" s="473"/>
      <c r="F7726" s="473"/>
      <c r="G7726" s="473"/>
      <c r="H7726" s="473"/>
      <c r="I7726" s="473"/>
      <c r="J7726" s="473"/>
      <c r="K7726" s="473"/>
      <c r="L7726" s="473"/>
      <c r="M7726" s="473"/>
    </row>
    <row r="7727" spans="5:13">
      <c r="E7727" s="473"/>
      <c r="F7727" s="473"/>
      <c r="G7727" s="473"/>
      <c r="H7727" s="473"/>
      <c r="I7727" s="473"/>
      <c r="J7727" s="473"/>
      <c r="K7727" s="473"/>
      <c r="L7727" s="473"/>
      <c r="M7727" s="473"/>
    </row>
    <row r="7728" spans="5:13">
      <c r="E7728" s="473"/>
      <c r="F7728" s="473"/>
      <c r="G7728" s="473"/>
      <c r="H7728" s="473"/>
      <c r="I7728" s="473"/>
      <c r="J7728" s="473"/>
      <c r="K7728" s="473"/>
      <c r="L7728" s="473"/>
      <c r="M7728" s="473"/>
    </row>
    <row r="7729" spans="5:13">
      <c r="E7729" s="473"/>
      <c r="F7729" s="473"/>
      <c r="G7729" s="473"/>
      <c r="H7729" s="473"/>
      <c r="I7729" s="473"/>
      <c r="J7729" s="473"/>
      <c r="K7729" s="473"/>
      <c r="L7729" s="473"/>
      <c r="M7729" s="473"/>
    </row>
    <row r="7730" spans="5:13">
      <c r="E7730" s="473"/>
      <c r="F7730" s="473"/>
      <c r="G7730" s="473"/>
      <c r="H7730" s="473"/>
      <c r="I7730" s="473"/>
      <c r="J7730" s="473"/>
      <c r="K7730" s="473"/>
      <c r="L7730" s="473"/>
      <c r="M7730" s="473"/>
    </row>
    <row r="7731" spans="5:13">
      <c r="E7731" s="473"/>
      <c r="F7731" s="473"/>
      <c r="G7731" s="473"/>
      <c r="H7731" s="473"/>
      <c r="I7731" s="473"/>
      <c r="J7731" s="473"/>
      <c r="K7731" s="473"/>
      <c r="L7731" s="473"/>
      <c r="M7731" s="473"/>
    </row>
    <row r="7732" spans="5:13">
      <c r="E7732" s="473"/>
      <c r="F7732" s="473"/>
      <c r="G7732" s="473"/>
      <c r="H7732" s="473"/>
      <c r="I7732" s="473"/>
      <c r="J7732" s="473"/>
      <c r="K7732" s="473"/>
      <c r="L7732" s="473"/>
      <c r="M7732" s="473"/>
    </row>
    <row r="7733" spans="5:13">
      <c r="E7733" s="473"/>
      <c r="F7733" s="473"/>
      <c r="G7733" s="473"/>
      <c r="H7733" s="473"/>
      <c r="I7733" s="473"/>
      <c r="J7733" s="473"/>
      <c r="K7733" s="473"/>
      <c r="L7733" s="473"/>
      <c r="M7733" s="473"/>
    </row>
    <row r="7734" spans="5:13">
      <c r="E7734" s="473"/>
      <c r="F7734" s="473"/>
      <c r="G7734" s="473"/>
      <c r="H7734" s="473"/>
      <c r="I7734" s="473"/>
      <c r="J7734" s="473"/>
      <c r="K7734" s="473"/>
      <c r="L7734" s="473"/>
      <c r="M7734" s="473"/>
    </row>
    <row r="7735" spans="5:13">
      <c r="E7735" s="473"/>
      <c r="F7735" s="473"/>
      <c r="G7735" s="473"/>
      <c r="H7735" s="473"/>
      <c r="I7735" s="473"/>
      <c r="J7735" s="473"/>
      <c r="K7735" s="473"/>
      <c r="L7735" s="473"/>
      <c r="M7735" s="473"/>
    </row>
    <row r="7736" spans="5:13">
      <c r="E7736" s="473"/>
      <c r="F7736" s="473"/>
      <c r="G7736" s="473"/>
      <c r="H7736" s="473"/>
      <c r="I7736" s="473"/>
      <c r="J7736" s="473"/>
      <c r="K7736" s="473"/>
      <c r="L7736" s="473"/>
      <c r="M7736" s="473"/>
    </row>
    <row r="7737" spans="5:13">
      <c r="E7737" s="473"/>
      <c r="F7737" s="473"/>
      <c r="G7737" s="473"/>
      <c r="H7737" s="473"/>
      <c r="I7737" s="473"/>
      <c r="J7737" s="473"/>
      <c r="K7737" s="473"/>
      <c r="L7737" s="473"/>
      <c r="M7737" s="473"/>
    </row>
    <row r="7738" spans="5:13">
      <c r="E7738" s="473"/>
      <c r="F7738" s="473"/>
      <c r="G7738" s="473"/>
      <c r="H7738" s="473"/>
      <c r="I7738" s="473"/>
      <c r="J7738" s="473"/>
      <c r="K7738" s="473"/>
      <c r="L7738" s="473"/>
      <c r="M7738" s="473"/>
    </row>
    <row r="7739" spans="5:13">
      <c r="E7739" s="473"/>
      <c r="F7739" s="473"/>
      <c r="G7739" s="473"/>
      <c r="H7739" s="473"/>
      <c r="I7739" s="473"/>
      <c r="J7739" s="473"/>
      <c r="K7739" s="473"/>
      <c r="L7739" s="473"/>
      <c r="M7739" s="473"/>
    </row>
    <row r="7740" spans="5:13">
      <c r="E7740" s="473"/>
      <c r="F7740" s="473"/>
      <c r="G7740" s="473"/>
      <c r="H7740" s="473"/>
      <c r="I7740" s="473"/>
      <c r="J7740" s="473"/>
      <c r="K7740" s="473"/>
      <c r="L7740" s="473"/>
      <c r="M7740" s="473"/>
    </row>
    <row r="7741" spans="5:13">
      <c r="E7741" s="473"/>
      <c r="F7741" s="473"/>
      <c r="G7741" s="473"/>
      <c r="H7741" s="473"/>
      <c r="I7741" s="473"/>
      <c r="J7741" s="473"/>
      <c r="K7741" s="473"/>
      <c r="L7741" s="473"/>
      <c r="M7741" s="473"/>
    </row>
    <row r="7742" spans="5:13">
      <c r="E7742" s="473"/>
      <c r="F7742" s="473"/>
      <c r="G7742" s="473"/>
      <c r="H7742" s="473"/>
      <c r="I7742" s="473"/>
      <c r="J7742" s="473"/>
      <c r="K7742" s="473"/>
      <c r="L7742" s="473"/>
      <c r="M7742" s="473"/>
    </row>
    <row r="7743" spans="5:13">
      <c r="E7743" s="473"/>
      <c r="F7743" s="473"/>
      <c r="G7743" s="473"/>
      <c r="H7743" s="473"/>
      <c r="I7743" s="473"/>
      <c r="J7743" s="473"/>
      <c r="K7743" s="473"/>
      <c r="L7743" s="473"/>
      <c r="M7743" s="473"/>
    </row>
    <row r="7744" spans="5:13">
      <c r="E7744" s="473"/>
      <c r="F7744" s="473"/>
      <c r="G7744" s="473"/>
      <c r="H7744" s="473"/>
      <c r="I7744" s="473"/>
      <c r="J7744" s="473"/>
      <c r="K7744" s="473"/>
      <c r="L7744" s="473"/>
      <c r="M7744" s="473"/>
    </row>
    <row r="7745" spans="5:13">
      <c r="E7745" s="473"/>
      <c r="F7745" s="473"/>
      <c r="G7745" s="473"/>
      <c r="H7745" s="473"/>
      <c r="I7745" s="473"/>
      <c r="J7745" s="473"/>
      <c r="K7745" s="473"/>
      <c r="L7745" s="473"/>
      <c r="M7745" s="473"/>
    </row>
    <row r="7746" spans="5:13">
      <c r="E7746" s="473"/>
      <c r="F7746" s="473"/>
      <c r="G7746" s="473"/>
      <c r="H7746" s="473"/>
      <c r="I7746" s="473"/>
      <c r="J7746" s="473"/>
      <c r="K7746" s="473"/>
      <c r="L7746" s="473"/>
      <c r="M7746" s="473"/>
    </row>
    <row r="7747" spans="5:13">
      <c r="E7747" s="473"/>
      <c r="F7747" s="473"/>
      <c r="G7747" s="473"/>
      <c r="H7747" s="473"/>
      <c r="I7747" s="473"/>
      <c r="J7747" s="473"/>
      <c r="K7747" s="473"/>
      <c r="L7747" s="473"/>
      <c r="M7747" s="473"/>
    </row>
    <row r="7748" spans="5:13">
      <c r="E7748" s="473"/>
      <c r="F7748" s="473"/>
      <c r="G7748" s="473"/>
      <c r="H7748" s="473"/>
      <c r="I7748" s="473"/>
      <c r="J7748" s="473"/>
      <c r="K7748" s="473"/>
      <c r="L7748" s="473"/>
      <c r="M7748" s="473"/>
    </row>
    <row r="7749" spans="5:13">
      <c r="E7749" s="473"/>
      <c r="F7749" s="473"/>
      <c r="G7749" s="473"/>
      <c r="H7749" s="473"/>
      <c r="I7749" s="473"/>
      <c r="J7749" s="473"/>
      <c r="K7749" s="473"/>
      <c r="L7749" s="473"/>
      <c r="M7749" s="473"/>
    </row>
    <row r="7750" spans="5:13">
      <c r="E7750" s="473"/>
      <c r="F7750" s="473"/>
      <c r="G7750" s="473"/>
      <c r="H7750" s="473"/>
      <c r="I7750" s="473"/>
      <c r="J7750" s="473"/>
      <c r="K7750" s="473"/>
      <c r="L7750" s="473"/>
      <c r="M7750" s="473"/>
    </row>
    <row r="7751" spans="5:13">
      <c r="E7751" s="473"/>
      <c r="F7751" s="473"/>
      <c r="G7751" s="473"/>
      <c r="H7751" s="473"/>
      <c r="I7751" s="473"/>
      <c r="J7751" s="473"/>
      <c r="K7751" s="473"/>
      <c r="L7751" s="473"/>
      <c r="M7751" s="473"/>
    </row>
    <row r="7752" spans="5:13">
      <c r="E7752" s="473"/>
      <c r="F7752" s="473"/>
      <c r="G7752" s="473"/>
      <c r="H7752" s="473"/>
      <c r="I7752" s="473"/>
      <c r="J7752" s="473"/>
      <c r="K7752" s="473"/>
      <c r="L7752" s="473"/>
      <c r="M7752" s="473"/>
    </row>
    <row r="7753" spans="5:13">
      <c r="E7753" s="473"/>
      <c r="F7753" s="473"/>
      <c r="G7753" s="473"/>
      <c r="H7753" s="473"/>
      <c r="I7753" s="473"/>
      <c r="J7753" s="473"/>
      <c r="K7753" s="473"/>
      <c r="L7753" s="473"/>
      <c r="M7753" s="473"/>
    </row>
    <row r="7754" spans="5:13">
      <c r="E7754" s="473"/>
      <c r="F7754" s="473"/>
      <c r="G7754" s="473"/>
      <c r="H7754" s="473"/>
      <c r="I7754" s="473"/>
      <c r="J7754" s="473"/>
      <c r="K7754" s="473"/>
      <c r="L7754" s="473"/>
      <c r="M7754" s="473"/>
    </row>
    <row r="7755" spans="5:13">
      <c r="E7755" s="473"/>
      <c r="F7755" s="473"/>
      <c r="G7755" s="473"/>
      <c r="H7755" s="473"/>
      <c r="I7755" s="473"/>
      <c r="J7755" s="473"/>
      <c r="K7755" s="473"/>
      <c r="L7755" s="473"/>
      <c r="M7755" s="473"/>
    </row>
    <row r="7756" spans="5:13">
      <c r="E7756" s="473"/>
      <c r="F7756" s="473"/>
      <c r="G7756" s="473"/>
      <c r="H7756" s="473"/>
      <c r="I7756" s="473"/>
      <c r="J7756" s="473"/>
      <c r="K7756" s="473"/>
      <c r="L7756" s="473"/>
      <c r="M7756" s="473"/>
    </row>
    <row r="7757" spans="5:13">
      <c r="E7757" s="473"/>
      <c r="F7757" s="473"/>
      <c r="G7757" s="473"/>
      <c r="H7757" s="473"/>
      <c r="I7757" s="473"/>
      <c r="J7757" s="473"/>
      <c r="K7757" s="473"/>
      <c r="L7757" s="473"/>
      <c r="M7757" s="473"/>
    </row>
    <row r="7758" spans="5:13">
      <c r="E7758" s="473"/>
      <c r="F7758" s="473"/>
      <c r="G7758" s="473"/>
      <c r="H7758" s="473"/>
      <c r="I7758" s="473"/>
      <c r="J7758" s="473"/>
      <c r="K7758" s="473"/>
      <c r="L7758" s="473"/>
      <c r="M7758" s="473"/>
    </row>
    <row r="7759" spans="5:13">
      <c r="E7759" s="473"/>
      <c r="F7759" s="473"/>
      <c r="G7759" s="473"/>
      <c r="H7759" s="473"/>
      <c r="I7759" s="473"/>
      <c r="J7759" s="473"/>
      <c r="K7759" s="473"/>
      <c r="L7759" s="473"/>
      <c r="M7759" s="473"/>
    </row>
    <row r="7760" spans="5:13">
      <c r="E7760" s="473"/>
      <c r="F7760" s="473"/>
      <c r="G7760" s="473"/>
      <c r="H7760" s="473"/>
      <c r="I7760" s="473"/>
      <c r="J7760" s="473"/>
      <c r="K7760" s="473"/>
      <c r="L7760" s="473"/>
      <c r="M7760" s="473"/>
    </row>
    <row r="7761" spans="5:13">
      <c r="E7761" s="473"/>
      <c r="F7761" s="473"/>
      <c r="G7761" s="473"/>
      <c r="H7761" s="473"/>
      <c r="I7761" s="473"/>
      <c r="J7761" s="473"/>
      <c r="K7761" s="473"/>
      <c r="L7761" s="473"/>
      <c r="M7761" s="473"/>
    </row>
    <row r="7762" spans="5:13">
      <c r="E7762" s="473"/>
      <c r="F7762" s="473"/>
      <c r="G7762" s="473"/>
      <c r="H7762" s="473"/>
      <c r="I7762" s="473"/>
      <c r="J7762" s="473"/>
      <c r="K7762" s="473"/>
      <c r="L7762" s="473"/>
      <c r="M7762" s="473"/>
    </row>
    <row r="7763" spans="5:13">
      <c r="E7763" s="473"/>
      <c r="F7763" s="473"/>
      <c r="G7763" s="473"/>
      <c r="H7763" s="473"/>
      <c r="I7763" s="473"/>
      <c r="J7763" s="473"/>
      <c r="K7763" s="473"/>
      <c r="L7763" s="473"/>
      <c r="M7763" s="473"/>
    </row>
    <row r="7764" spans="5:13">
      <c r="E7764" s="473"/>
      <c r="F7764" s="473"/>
      <c r="G7764" s="473"/>
      <c r="H7764" s="473"/>
      <c r="I7764" s="473"/>
      <c r="J7764" s="473"/>
      <c r="K7764" s="473"/>
      <c r="L7764" s="473"/>
      <c r="M7764" s="473"/>
    </row>
    <row r="7765" spans="5:13">
      <c r="E7765" s="473"/>
      <c r="F7765" s="473"/>
      <c r="G7765" s="473"/>
      <c r="H7765" s="473"/>
      <c r="I7765" s="473"/>
      <c r="J7765" s="473"/>
      <c r="K7765" s="473"/>
      <c r="L7765" s="473"/>
      <c r="M7765" s="473"/>
    </row>
    <row r="7766" spans="5:13">
      <c r="E7766" s="473"/>
      <c r="F7766" s="473"/>
      <c r="G7766" s="473"/>
      <c r="H7766" s="473"/>
      <c r="I7766" s="473"/>
      <c r="J7766" s="473"/>
      <c r="K7766" s="473"/>
      <c r="L7766" s="473"/>
      <c r="M7766" s="473"/>
    </row>
    <row r="7767" spans="5:13">
      <c r="E7767" s="473"/>
      <c r="F7767" s="473"/>
      <c r="G7767" s="473"/>
      <c r="H7767" s="473"/>
      <c r="I7767" s="473"/>
      <c r="J7767" s="473"/>
      <c r="K7767" s="473"/>
      <c r="L7767" s="473"/>
      <c r="M7767" s="473"/>
    </row>
    <row r="7768" spans="5:13">
      <c r="E7768" s="473"/>
      <c r="F7768" s="473"/>
      <c r="G7768" s="473"/>
      <c r="H7768" s="473"/>
      <c r="I7768" s="473"/>
      <c r="J7768" s="473"/>
      <c r="K7768" s="473"/>
      <c r="L7768" s="473"/>
      <c r="M7768" s="473"/>
    </row>
    <row r="7769" spans="5:13">
      <c r="E7769" s="473"/>
      <c r="F7769" s="473"/>
      <c r="G7769" s="473"/>
      <c r="H7769" s="473"/>
      <c r="I7769" s="473"/>
      <c r="J7769" s="473"/>
      <c r="K7769" s="473"/>
      <c r="L7769" s="473"/>
      <c r="M7769" s="473"/>
    </row>
    <row r="7770" spans="5:13">
      <c r="E7770" s="473"/>
      <c r="F7770" s="473"/>
      <c r="G7770" s="473"/>
      <c r="H7770" s="473"/>
      <c r="I7770" s="473"/>
      <c r="J7770" s="473"/>
      <c r="K7770" s="473"/>
      <c r="L7770" s="473"/>
      <c r="M7770" s="473"/>
    </row>
    <row r="7771" spans="5:13">
      <c r="E7771" s="473"/>
      <c r="F7771" s="473"/>
      <c r="G7771" s="473"/>
      <c r="H7771" s="473"/>
      <c r="I7771" s="473"/>
      <c r="J7771" s="473"/>
      <c r="K7771" s="473"/>
      <c r="L7771" s="473"/>
      <c r="M7771" s="473"/>
    </row>
    <row r="7772" spans="5:13">
      <c r="E7772" s="473"/>
      <c r="F7772" s="473"/>
      <c r="G7772" s="473"/>
      <c r="H7772" s="473"/>
      <c r="I7772" s="473"/>
      <c r="J7772" s="473"/>
      <c r="K7772" s="473"/>
      <c r="L7772" s="473"/>
      <c r="M7772" s="473"/>
    </row>
    <row r="7773" spans="5:13">
      <c r="E7773" s="473"/>
      <c r="F7773" s="473"/>
      <c r="G7773" s="473"/>
      <c r="H7773" s="473"/>
      <c r="I7773" s="473"/>
      <c r="J7773" s="473"/>
      <c r="K7773" s="473"/>
      <c r="L7773" s="473"/>
      <c r="M7773" s="473"/>
    </row>
    <row r="7774" spans="5:13">
      <c r="E7774" s="473"/>
      <c r="F7774" s="473"/>
      <c r="G7774" s="473"/>
      <c r="H7774" s="473"/>
      <c r="I7774" s="473"/>
      <c r="J7774" s="473"/>
      <c r="K7774" s="473"/>
      <c r="L7774" s="473"/>
      <c r="M7774" s="473"/>
    </row>
    <row r="7775" spans="5:13">
      <c r="E7775" s="473"/>
      <c r="F7775" s="473"/>
      <c r="G7775" s="473"/>
      <c r="H7775" s="473"/>
      <c r="I7775" s="473"/>
      <c r="J7775" s="473"/>
      <c r="K7775" s="473"/>
      <c r="L7775" s="473"/>
      <c r="M7775" s="473"/>
    </row>
    <row r="7776" spans="5:13">
      <c r="E7776" s="473"/>
      <c r="F7776" s="473"/>
      <c r="G7776" s="473"/>
      <c r="H7776" s="473"/>
      <c r="I7776" s="473"/>
      <c r="J7776" s="473"/>
      <c r="K7776" s="473"/>
      <c r="L7776" s="473"/>
      <c r="M7776" s="473"/>
    </row>
    <row r="7777" spans="5:13">
      <c r="E7777" s="473"/>
      <c r="F7777" s="473"/>
      <c r="G7777" s="473"/>
      <c r="H7777" s="473"/>
      <c r="I7777" s="473"/>
      <c r="J7777" s="473"/>
      <c r="K7777" s="473"/>
      <c r="L7777" s="473"/>
      <c r="M7777" s="473"/>
    </row>
    <row r="7778" spans="5:13">
      <c r="E7778" s="473"/>
      <c r="F7778" s="473"/>
      <c r="G7778" s="473"/>
      <c r="H7778" s="473"/>
      <c r="I7778" s="473"/>
      <c r="J7778" s="473"/>
      <c r="K7778" s="473"/>
      <c r="L7778" s="473"/>
      <c r="M7778" s="473"/>
    </row>
    <row r="7779" spans="5:13">
      <c r="E7779" s="473"/>
      <c r="F7779" s="473"/>
      <c r="G7779" s="473"/>
      <c r="H7779" s="473"/>
      <c r="I7779" s="473"/>
      <c r="J7779" s="473"/>
      <c r="K7779" s="473"/>
      <c r="L7779" s="473"/>
      <c r="M7779" s="473"/>
    </row>
    <row r="7780" spans="5:13">
      <c r="E7780" s="473"/>
      <c r="F7780" s="473"/>
      <c r="G7780" s="473"/>
      <c r="H7780" s="473"/>
      <c r="I7780" s="473"/>
      <c r="J7780" s="473"/>
      <c r="K7780" s="473"/>
      <c r="L7780" s="473"/>
      <c r="M7780" s="473"/>
    </row>
    <row r="7781" spans="5:13">
      <c r="E7781" s="473"/>
      <c r="F7781" s="473"/>
      <c r="G7781" s="473"/>
      <c r="H7781" s="473"/>
      <c r="I7781" s="473"/>
      <c r="J7781" s="473"/>
      <c r="K7781" s="473"/>
      <c r="L7781" s="473"/>
      <c r="M7781" s="473"/>
    </row>
    <row r="7782" spans="5:13">
      <c r="E7782" s="473"/>
      <c r="F7782" s="473"/>
      <c r="G7782" s="473"/>
      <c r="H7782" s="473"/>
      <c r="I7782" s="473"/>
      <c r="J7782" s="473"/>
      <c r="K7782" s="473"/>
      <c r="L7782" s="473"/>
      <c r="M7782" s="473"/>
    </row>
    <row r="7783" spans="5:13">
      <c r="E7783" s="473"/>
      <c r="F7783" s="473"/>
      <c r="G7783" s="473"/>
      <c r="H7783" s="473"/>
      <c r="I7783" s="473"/>
      <c r="J7783" s="473"/>
      <c r="K7783" s="473"/>
      <c r="L7783" s="473"/>
      <c r="M7783" s="473"/>
    </row>
    <row r="7784" spans="5:13">
      <c r="E7784" s="473"/>
      <c r="F7784" s="473"/>
      <c r="G7784" s="473"/>
      <c r="H7784" s="473"/>
      <c r="I7784" s="473"/>
      <c r="J7784" s="473"/>
      <c r="K7784" s="473"/>
      <c r="L7784" s="473"/>
      <c r="M7784" s="473"/>
    </row>
    <row r="7785" spans="5:13">
      <c r="E7785" s="473"/>
      <c r="F7785" s="473"/>
      <c r="G7785" s="473"/>
      <c r="H7785" s="473"/>
      <c r="I7785" s="473"/>
      <c r="J7785" s="473"/>
      <c r="K7785" s="473"/>
      <c r="L7785" s="473"/>
      <c r="M7785" s="473"/>
    </row>
    <row r="7786" spans="5:13">
      <c r="E7786" s="473"/>
      <c r="F7786" s="473"/>
      <c r="G7786" s="473"/>
      <c r="H7786" s="473"/>
      <c r="I7786" s="473"/>
      <c r="J7786" s="473"/>
      <c r="K7786" s="473"/>
      <c r="L7786" s="473"/>
      <c r="M7786" s="473"/>
    </row>
    <row r="7787" spans="5:13">
      <c r="E7787" s="473"/>
      <c r="F7787" s="473"/>
      <c r="G7787" s="473"/>
      <c r="H7787" s="473"/>
      <c r="I7787" s="473"/>
      <c r="J7787" s="473"/>
      <c r="K7787" s="473"/>
      <c r="L7787" s="473"/>
      <c r="M7787" s="473"/>
    </row>
    <row r="7788" spans="5:13">
      <c r="E7788" s="473"/>
      <c r="F7788" s="473"/>
      <c r="G7788" s="473"/>
      <c r="H7788" s="473"/>
      <c r="I7788" s="473"/>
      <c r="J7788" s="473"/>
      <c r="K7788" s="473"/>
      <c r="L7788" s="473"/>
      <c r="M7788" s="473"/>
    </row>
    <row r="7789" spans="5:13">
      <c r="E7789" s="473"/>
      <c r="F7789" s="473"/>
      <c r="G7789" s="473"/>
      <c r="H7789" s="473"/>
      <c r="I7789" s="473"/>
      <c r="J7789" s="473"/>
      <c r="K7789" s="473"/>
      <c r="L7789" s="473"/>
      <c r="M7789" s="473"/>
    </row>
    <row r="7790" spans="5:13">
      <c r="E7790" s="473"/>
      <c r="F7790" s="473"/>
      <c r="G7790" s="473"/>
      <c r="H7790" s="473"/>
      <c r="I7790" s="473"/>
      <c r="J7790" s="473"/>
      <c r="K7790" s="473"/>
      <c r="L7790" s="473"/>
      <c r="M7790" s="473"/>
    </row>
    <row r="7791" spans="5:13">
      <c r="E7791" s="473"/>
      <c r="F7791" s="473"/>
      <c r="G7791" s="473"/>
      <c r="H7791" s="473"/>
      <c r="I7791" s="473"/>
      <c r="J7791" s="473"/>
      <c r="K7791" s="473"/>
      <c r="L7791" s="473"/>
      <c r="M7791" s="473"/>
    </row>
    <row r="7792" spans="5:13">
      <c r="E7792" s="473"/>
      <c r="F7792" s="473"/>
      <c r="G7792" s="473"/>
      <c r="H7792" s="473"/>
      <c r="I7792" s="473"/>
      <c r="J7792" s="473"/>
      <c r="K7792" s="473"/>
      <c r="L7792" s="473"/>
      <c r="M7792" s="473"/>
    </row>
    <row r="7793" spans="5:13">
      <c r="E7793" s="473"/>
      <c r="F7793" s="473"/>
      <c r="G7793" s="473"/>
      <c r="H7793" s="473"/>
      <c r="I7793" s="473"/>
      <c r="J7793" s="473"/>
      <c r="K7793" s="473"/>
      <c r="L7793" s="473"/>
      <c r="M7793" s="473"/>
    </row>
    <row r="7794" spans="5:13">
      <c r="E7794" s="473"/>
      <c r="F7794" s="473"/>
      <c r="G7794" s="473"/>
      <c r="H7794" s="473"/>
      <c r="I7794" s="473"/>
      <c r="J7794" s="473"/>
      <c r="K7794" s="473"/>
      <c r="L7794" s="473"/>
      <c r="M7794" s="473"/>
    </row>
    <row r="7795" spans="5:13">
      <c r="E7795" s="473"/>
      <c r="F7795" s="473"/>
      <c r="G7795" s="473"/>
      <c r="H7795" s="473"/>
      <c r="I7795" s="473"/>
      <c r="J7795" s="473"/>
      <c r="K7795" s="473"/>
      <c r="L7795" s="473"/>
      <c r="M7795" s="473"/>
    </row>
    <row r="7796" spans="5:13">
      <c r="E7796" s="473"/>
      <c r="F7796" s="473"/>
      <c r="G7796" s="473"/>
      <c r="H7796" s="473"/>
      <c r="I7796" s="473"/>
      <c r="J7796" s="473"/>
      <c r="K7796" s="473"/>
      <c r="L7796" s="473"/>
      <c r="M7796" s="473"/>
    </row>
    <row r="7797" spans="5:13">
      <c r="E7797" s="473"/>
      <c r="F7797" s="473"/>
      <c r="G7797" s="473"/>
      <c r="H7797" s="473"/>
      <c r="I7797" s="473"/>
      <c r="J7797" s="473"/>
      <c r="K7797" s="473"/>
      <c r="L7797" s="473"/>
      <c r="M7797" s="473"/>
    </row>
    <row r="7798" spans="5:13">
      <c r="E7798" s="473"/>
      <c r="F7798" s="473"/>
      <c r="G7798" s="473"/>
      <c r="H7798" s="473"/>
      <c r="I7798" s="473"/>
      <c r="J7798" s="473"/>
      <c r="K7798" s="473"/>
      <c r="L7798" s="473"/>
      <c r="M7798" s="473"/>
    </row>
    <row r="7799" spans="5:13">
      <c r="E7799" s="473"/>
      <c r="F7799" s="473"/>
      <c r="G7799" s="473"/>
      <c r="H7799" s="473"/>
      <c r="I7799" s="473"/>
      <c r="J7799" s="473"/>
      <c r="K7799" s="473"/>
      <c r="L7799" s="473"/>
      <c r="M7799" s="473"/>
    </row>
    <row r="7800" spans="5:13">
      <c r="E7800" s="473"/>
      <c r="F7800" s="473"/>
      <c r="G7800" s="473"/>
      <c r="H7800" s="473"/>
      <c r="I7800" s="473"/>
      <c r="J7800" s="473"/>
      <c r="K7800" s="473"/>
      <c r="L7800" s="473"/>
      <c r="M7800" s="473"/>
    </row>
    <row r="7801" spans="5:13">
      <c r="E7801" s="473"/>
      <c r="F7801" s="473"/>
      <c r="G7801" s="473"/>
      <c r="H7801" s="473"/>
      <c r="I7801" s="473"/>
      <c r="J7801" s="473"/>
      <c r="K7801" s="473"/>
      <c r="L7801" s="473"/>
      <c r="M7801" s="473"/>
    </row>
    <row r="7802" spans="5:13">
      <c r="E7802" s="473"/>
      <c r="F7802" s="473"/>
      <c r="G7802" s="473"/>
      <c r="H7802" s="473"/>
      <c r="I7802" s="473"/>
      <c r="J7802" s="473"/>
      <c r="K7802" s="473"/>
      <c r="L7802" s="473"/>
      <c r="M7802" s="473"/>
    </row>
    <row r="7803" spans="5:13">
      <c r="E7803" s="473"/>
      <c r="F7803" s="473"/>
      <c r="G7803" s="473"/>
      <c r="H7803" s="473"/>
      <c r="I7803" s="473"/>
      <c r="J7803" s="473"/>
      <c r="K7803" s="473"/>
      <c r="L7803" s="473"/>
      <c r="M7803" s="473"/>
    </row>
    <row r="7804" spans="5:13">
      <c r="E7804" s="473"/>
      <c r="F7804" s="473"/>
      <c r="G7804" s="473"/>
      <c r="H7804" s="473"/>
      <c r="I7804" s="473"/>
      <c r="J7804" s="473"/>
      <c r="K7804" s="473"/>
      <c r="L7804" s="473"/>
      <c r="M7804" s="473"/>
    </row>
    <row r="7805" spans="5:13">
      <c r="E7805" s="473"/>
      <c r="F7805" s="473"/>
      <c r="G7805" s="473"/>
      <c r="H7805" s="473"/>
      <c r="I7805" s="473"/>
      <c r="J7805" s="473"/>
      <c r="K7805" s="473"/>
      <c r="L7805" s="473"/>
      <c r="M7805" s="473"/>
    </row>
    <row r="7806" spans="5:13">
      <c r="E7806" s="473"/>
      <c r="F7806" s="473"/>
      <c r="G7806" s="473"/>
      <c r="H7806" s="473"/>
      <c r="I7806" s="473"/>
      <c r="J7806" s="473"/>
      <c r="K7806" s="473"/>
      <c r="L7806" s="473"/>
      <c r="M7806" s="473"/>
    </row>
    <row r="7807" spans="5:13">
      <c r="E7807" s="473"/>
      <c r="F7807" s="473"/>
      <c r="G7807" s="473"/>
      <c r="H7807" s="473"/>
      <c r="I7807" s="473"/>
      <c r="J7807" s="473"/>
      <c r="K7807" s="473"/>
      <c r="L7807" s="473"/>
      <c r="M7807" s="473"/>
    </row>
    <row r="7808" spans="5:13">
      <c r="E7808" s="473"/>
      <c r="F7808" s="473"/>
      <c r="G7808" s="473"/>
      <c r="H7808" s="473"/>
      <c r="I7808" s="473"/>
      <c r="J7808" s="473"/>
      <c r="K7808" s="473"/>
      <c r="L7808" s="473"/>
      <c r="M7808" s="473"/>
    </row>
    <row r="7809" spans="5:13">
      <c r="E7809" s="473"/>
      <c r="F7809" s="473"/>
      <c r="G7809" s="473"/>
      <c r="H7809" s="473"/>
      <c r="I7809" s="473"/>
      <c r="J7809" s="473"/>
      <c r="K7809" s="473"/>
      <c r="L7809" s="473"/>
      <c r="M7809" s="473"/>
    </row>
    <row r="7810" spans="5:13">
      <c r="E7810" s="473"/>
      <c r="F7810" s="473"/>
      <c r="G7810" s="473"/>
      <c r="H7810" s="473"/>
      <c r="I7810" s="473"/>
      <c r="J7810" s="473"/>
      <c r="K7810" s="473"/>
      <c r="L7810" s="473"/>
      <c r="M7810" s="473"/>
    </row>
    <row r="7811" spans="5:13">
      <c r="E7811" s="473"/>
      <c r="F7811" s="473"/>
      <c r="G7811" s="473"/>
      <c r="H7811" s="473"/>
      <c r="I7811" s="473"/>
      <c r="J7811" s="473"/>
      <c r="K7811" s="473"/>
      <c r="L7811" s="473"/>
      <c r="M7811" s="473"/>
    </row>
    <row r="7812" spans="5:13">
      <c r="E7812" s="473"/>
      <c r="F7812" s="473"/>
      <c r="G7812" s="473"/>
      <c r="H7812" s="473"/>
      <c r="I7812" s="473"/>
      <c r="J7812" s="473"/>
      <c r="K7812" s="473"/>
      <c r="L7812" s="473"/>
      <c r="M7812" s="473"/>
    </row>
    <row r="7813" spans="5:13">
      <c r="E7813" s="473"/>
      <c r="F7813" s="473"/>
      <c r="G7813" s="473"/>
      <c r="H7813" s="473"/>
      <c r="I7813" s="473"/>
      <c r="J7813" s="473"/>
      <c r="K7813" s="473"/>
      <c r="L7813" s="473"/>
      <c r="M7813" s="473"/>
    </row>
    <row r="7814" spans="5:13">
      <c r="E7814" s="473"/>
      <c r="F7814" s="473"/>
      <c r="G7814" s="473"/>
      <c r="H7814" s="473"/>
      <c r="I7814" s="473"/>
      <c r="J7814" s="473"/>
      <c r="K7814" s="473"/>
      <c r="L7814" s="473"/>
      <c r="M7814" s="473"/>
    </row>
    <row r="7815" spans="5:13">
      <c r="E7815" s="473"/>
      <c r="F7815" s="473"/>
      <c r="G7815" s="473"/>
      <c r="H7815" s="473"/>
      <c r="I7815" s="473"/>
      <c r="J7815" s="473"/>
      <c r="K7815" s="473"/>
      <c r="L7815" s="473"/>
      <c r="M7815" s="473"/>
    </row>
    <row r="7816" spans="5:13">
      <c r="E7816" s="473"/>
      <c r="F7816" s="473"/>
      <c r="G7816" s="473"/>
      <c r="H7816" s="473"/>
      <c r="I7816" s="473"/>
      <c r="J7816" s="473"/>
      <c r="K7816" s="473"/>
      <c r="L7816" s="473"/>
      <c r="M7816" s="473"/>
    </row>
    <row r="7817" spans="5:13">
      <c r="E7817" s="473"/>
      <c r="F7817" s="473"/>
      <c r="G7817" s="473"/>
      <c r="H7817" s="473"/>
      <c r="I7817" s="473"/>
      <c r="J7817" s="473"/>
      <c r="K7817" s="473"/>
      <c r="L7817" s="473"/>
      <c r="M7817" s="473"/>
    </row>
    <row r="7818" spans="5:13">
      <c r="E7818" s="473"/>
      <c r="F7818" s="473"/>
      <c r="G7818" s="473"/>
      <c r="H7818" s="473"/>
      <c r="I7818" s="473"/>
      <c r="J7818" s="473"/>
      <c r="K7818" s="473"/>
      <c r="L7818" s="473"/>
      <c r="M7818" s="473"/>
    </row>
    <row r="7819" spans="5:13">
      <c r="E7819" s="473"/>
      <c r="F7819" s="473"/>
      <c r="G7819" s="473"/>
      <c r="H7819" s="473"/>
      <c r="I7819" s="473"/>
      <c r="J7819" s="473"/>
      <c r="K7819" s="473"/>
      <c r="L7819" s="473"/>
      <c r="M7819" s="473"/>
    </row>
    <row r="7820" spans="5:13">
      <c r="E7820" s="473"/>
      <c r="F7820" s="473"/>
      <c r="G7820" s="473"/>
      <c r="H7820" s="473"/>
      <c r="I7820" s="473"/>
      <c r="J7820" s="473"/>
      <c r="K7820" s="473"/>
      <c r="L7820" s="473"/>
      <c r="M7820" s="473"/>
    </row>
    <row r="7821" spans="5:13">
      <c r="E7821" s="473"/>
      <c r="F7821" s="473"/>
      <c r="G7821" s="473"/>
      <c r="H7821" s="473"/>
      <c r="I7821" s="473"/>
      <c r="J7821" s="473"/>
      <c r="K7821" s="473"/>
      <c r="L7821" s="473"/>
      <c r="M7821" s="473"/>
    </row>
    <row r="7822" spans="5:13">
      <c r="E7822" s="473"/>
      <c r="F7822" s="473"/>
      <c r="G7822" s="473"/>
      <c r="H7822" s="473"/>
      <c r="I7822" s="473"/>
      <c r="J7822" s="473"/>
      <c r="K7822" s="473"/>
      <c r="L7822" s="473"/>
      <c r="M7822" s="473"/>
    </row>
    <row r="7823" spans="5:13">
      <c r="E7823" s="473"/>
      <c r="F7823" s="473"/>
      <c r="G7823" s="473"/>
      <c r="H7823" s="473"/>
      <c r="I7823" s="473"/>
      <c r="J7823" s="473"/>
      <c r="K7823" s="473"/>
      <c r="L7823" s="473"/>
      <c r="M7823" s="473"/>
    </row>
    <row r="7824" spans="5:13">
      <c r="E7824" s="473"/>
      <c r="F7824" s="473"/>
      <c r="G7824" s="473"/>
      <c r="H7824" s="473"/>
      <c r="I7824" s="473"/>
      <c r="J7824" s="473"/>
      <c r="K7824" s="473"/>
      <c r="L7824" s="473"/>
      <c r="M7824" s="473"/>
    </row>
    <row r="7825" spans="5:13">
      <c r="E7825" s="473"/>
      <c r="F7825" s="473"/>
      <c r="G7825" s="473"/>
      <c r="H7825" s="473"/>
      <c r="I7825" s="473"/>
      <c r="J7825" s="473"/>
      <c r="K7825" s="473"/>
      <c r="L7825" s="473"/>
      <c r="M7825" s="473"/>
    </row>
    <row r="7826" spans="5:13">
      <c r="E7826" s="473"/>
      <c r="F7826" s="473"/>
      <c r="G7826" s="473"/>
      <c r="H7826" s="473"/>
      <c r="I7826" s="473"/>
      <c r="J7826" s="473"/>
      <c r="K7826" s="473"/>
      <c r="L7826" s="473"/>
      <c r="M7826" s="473"/>
    </row>
    <row r="7827" spans="5:13">
      <c r="E7827" s="473"/>
      <c r="F7827" s="473"/>
      <c r="G7827" s="473"/>
      <c r="H7827" s="473"/>
      <c r="I7827" s="473"/>
      <c r="J7827" s="473"/>
      <c r="K7827" s="473"/>
      <c r="L7827" s="473"/>
      <c r="M7827" s="473"/>
    </row>
    <row r="7828" spans="5:13">
      <c r="E7828" s="473"/>
      <c r="F7828" s="473"/>
      <c r="G7828" s="473"/>
      <c r="H7828" s="473"/>
      <c r="I7828" s="473"/>
      <c r="J7828" s="473"/>
      <c r="K7828" s="473"/>
      <c r="L7828" s="473"/>
      <c r="M7828" s="473"/>
    </row>
    <row r="7829" spans="5:13">
      <c r="E7829" s="473"/>
      <c r="F7829" s="473"/>
      <c r="G7829" s="473"/>
      <c r="H7829" s="473"/>
      <c r="I7829" s="473"/>
      <c r="J7829" s="473"/>
      <c r="K7829" s="473"/>
      <c r="L7829" s="473"/>
      <c r="M7829" s="473"/>
    </row>
    <row r="7830" spans="5:13">
      <c r="E7830" s="473"/>
      <c r="F7830" s="473"/>
      <c r="G7830" s="473"/>
      <c r="H7830" s="473"/>
      <c r="I7830" s="473"/>
      <c r="J7830" s="473"/>
      <c r="K7830" s="473"/>
      <c r="L7830" s="473"/>
      <c r="M7830" s="473"/>
    </row>
    <row r="7831" spans="5:13">
      <c r="E7831" s="473"/>
      <c r="F7831" s="473"/>
      <c r="G7831" s="473"/>
      <c r="H7831" s="473"/>
      <c r="I7831" s="473"/>
      <c r="J7831" s="473"/>
      <c r="K7831" s="473"/>
      <c r="L7831" s="473"/>
      <c r="M7831" s="473"/>
    </row>
    <row r="7832" spans="5:13">
      <c r="E7832" s="473"/>
      <c r="F7832" s="473"/>
      <c r="G7832" s="473"/>
      <c r="H7832" s="473"/>
      <c r="I7832" s="473"/>
      <c r="J7832" s="473"/>
      <c r="K7832" s="473"/>
      <c r="L7832" s="473"/>
      <c r="M7832" s="473"/>
    </row>
    <row r="7833" spans="5:13">
      <c r="E7833" s="473"/>
      <c r="F7833" s="473"/>
      <c r="G7833" s="473"/>
      <c r="H7833" s="473"/>
      <c r="I7833" s="473"/>
      <c r="J7833" s="473"/>
      <c r="K7833" s="473"/>
      <c r="L7833" s="473"/>
      <c r="M7833" s="473"/>
    </row>
    <row r="7834" spans="5:13">
      <c r="E7834" s="473"/>
      <c r="F7834" s="473"/>
      <c r="G7834" s="473"/>
      <c r="H7834" s="473"/>
      <c r="I7834" s="473"/>
      <c r="J7834" s="473"/>
      <c r="K7834" s="473"/>
      <c r="L7834" s="473"/>
      <c r="M7834" s="473"/>
    </row>
    <row r="7835" spans="5:13">
      <c r="E7835" s="473"/>
      <c r="F7835" s="473"/>
      <c r="G7835" s="473"/>
      <c r="H7835" s="473"/>
      <c r="I7835" s="473"/>
      <c r="J7835" s="473"/>
      <c r="K7835" s="473"/>
      <c r="L7835" s="473"/>
      <c r="M7835" s="473"/>
    </row>
    <row r="7836" spans="5:13">
      <c r="E7836" s="473"/>
      <c r="F7836" s="473"/>
      <c r="G7836" s="473"/>
      <c r="H7836" s="473"/>
      <c r="I7836" s="473"/>
      <c r="J7836" s="473"/>
      <c r="K7836" s="473"/>
      <c r="L7836" s="473"/>
      <c r="M7836" s="473"/>
    </row>
    <row r="7837" spans="5:13">
      <c r="E7837" s="473"/>
      <c r="F7837" s="473"/>
      <c r="G7837" s="473"/>
      <c r="H7837" s="473"/>
      <c r="I7837" s="473"/>
      <c r="J7837" s="473"/>
      <c r="K7837" s="473"/>
      <c r="L7837" s="473"/>
      <c r="M7837" s="473"/>
    </row>
    <row r="7838" spans="5:13">
      <c r="E7838" s="473"/>
      <c r="F7838" s="473"/>
      <c r="G7838" s="473"/>
      <c r="H7838" s="473"/>
      <c r="I7838" s="473"/>
      <c r="J7838" s="473"/>
      <c r="K7838" s="473"/>
      <c r="L7838" s="473"/>
      <c r="M7838" s="473"/>
    </row>
    <row r="7839" spans="5:13">
      <c r="E7839" s="473"/>
      <c r="F7839" s="473"/>
      <c r="G7839" s="473"/>
      <c r="H7839" s="473"/>
      <c r="I7839" s="473"/>
      <c r="J7839" s="473"/>
      <c r="K7839" s="473"/>
      <c r="L7839" s="473"/>
      <c r="M7839" s="473"/>
    </row>
    <row r="7840" spans="5:13">
      <c r="E7840" s="473"/>
      <c r="F7840" s="473"/>
      <c r="G7840" s="473"/>
      <c r="H7840" s="473"/>
      <c r="I7840" s="473"/>
      <c r="J7840" s="473"/>
      <c r="K7840" s="473"/>
      <c r="L7840" s="473"/>
      <c r="M7840" s="473"/>
    </row>
    <row r="7841" spans="5:13">
      <c r="E7841" s="473"/>
      <c r="F7841" s="473"/>
      <c r="G7841" s="473"/>
      <c r="H7841" s="473"/>
      <c r="I7841" s="473"/>
      <c r="J7841" s="473"/>
      <c r="K7841" s="473"/>
      <c r="L7841" s="473"/>
      <c r="M7841" s="473"/>
    </row>
    <row r="7842" spans="5:13">
      <c r="E7842" s="473"/>
      <c r="F7842" s="473"/>
      <c r="G7842" s="473"/>
      <c r="H7842" s="473"/>
      <c r="I7842" s="473"/>
      <c r="J7842" s="473"/>
      <c r="K7842" s="473"/>
      <c r="L7842" s="473"/>
      <c r="M7842" s="473"/>
    </row>
    <row r="7843" spans="5:13">
      <c r="E7843" s="473"/>
      <c r="F7843" s="473"/>
      <c r="G7843" s="473"/>
      <c r="H7843" s="473"/>
      <c r="I7843" s="473"/>
      <c r="J7843" s="473"/>
      <c r="K7843" s="473"/>
      <c r="L7843" s="473"/>
      <c r="M7843" s="473"/>
    </row>
    <row r="7844" spans="5:13">
      <c r="E7844" s="473"/>
      <c r="F7844" s="473"/>
      <c r="G7844" s="473"/>
      <c r="H7844" s="473"/>
      <c r="I7844" s="473"/>
      <c r="J7844" s="473"/>
      <c r="K7844" s="473"/>
      <c r="L7844" s="473"/>
      <c r="M7844" s="473"/>
    </row>
    <row r="7845" spans="5:13">
      <c r="E7845" s="473"/>
      <c r="F7845" s="473"/>
      <c r="G7845" s="473"/>
      <c r="H7845" s="473"/>
      <c r="I7845" s="473"/>
      <c r="J7845" s="473"/>
      <c r="K7845" s="473"/>
      <c r="L7845" s="473"/>
      <c r="M7845" s="473"/>
    </row>
    <row r="7846" spans="5:13">
      <c r="E7846" s="473"/>
      <c r="F7846" s="473"/>
      <c r="G7846" s="473"/>
      <c r="H7846" s="473"/>
      <c r="I7846" s="473"/>
      <c r="J7846" s="473"/>
      <c r="K7846" s="473"/>
      <c r="L7846" s="473"/>
      <c r="M7846" s="473"/>
    </row>
    <row r="7847" spans="5:13">
      <c r="E7847" s="473"/>
      <c r="F7847" s="473"/>
      <c r="G7847" s="473"/>
      <c r="H7847" s="473"/>
      <c r="I7847" s="473"/>
      <c r="J7847" s="473"/>
      <c r="K7847" s="473"/>
      <c r="L7847" s="473"/>
      <c r="M7847" s="473"/>
    </row>
    <row r="7848" spans="5:13">
      <c r="E7848" s="473"/>
      <c r="F7848" s="473"/>
      <c r="G7848" s="473"/>
      <c r="H7848" s="473"/>
      <c r="I7848" s="473"/>
      <c r="J7848" s="473"/>
      <c r="K7848" s="473"/>
      <c r="L7848" s="473"/>
      <c r="M7848" s="473"/>
    </row>
    <row r="7849" spans="5:13">
      <c r="E7849" s="473"/>
      <c r="F7849" s="473"/>
      <c r="G7849" s="473"/>
      <c r="H7849" s="473"/>
      <c r="I7849" s="473"/>
      <c r="J7849" s="473"/>
      <c r="K7849" s="473"/>
      <c r="L7849" s="473"/>
      <c r="M7849" s="473"/>
    </row>
    <row r="7850" spans="5:13">
      <c r="E7850" s="473"/>
      <c r="F7850" s="473"/>
      <c r="G7850" s="473"/>
      <c r="H7850" s="473"/>
      <c r="I7850" s="473"/>
      <c r="J7850" s="473"/>
      <c r="K7850" s="473"/>
      <c r="L7850" s="473"/>
      <c r="M7850" s="473"/>
    </row>
    <row r="7851" spans="5:13">
      <c r="E7851" s="473"/>
      <c r="F7851" s="473"/>
      <c r="G7851" s="473"/>
      <c r="H7851" s="473"/>
      <c r="I7851" s="473"/>
      <c r="J7851" s="473"/>
      <c r="K7851" s="473"/>
      <c r="L7851" s="473"/>
      <c r="M7851" s="473"/>
    </row>
    <row r="7852" spans="5:13">
      <c r="E7852" s="473"/>
      <c r="F7852" s="473"/>
      <c r="G7852" s="473"/>
      <c r="H7852" s="473"/>
      <c r="I7852" s="473"/>
      <c r="J7852" s="473"/>
      <c r="K7852" s="473"/>
      <c r="L7852" s="473"/>
      <c r="M7852" s="473"/>
    </row>
    <row r="7853" spans="5:13">
      <c r="E7853" s="473"/>
      <c r="F7853" s="473"/>
      <c r="G7853" s="473"/>
      <c r="H7853" s="473"/>
      <c r="I7853" s="473"/>
      <c r="J7853" s="473"/>
      <c r="K7853" s="473"/>
      <c r="L7853" s="473"/>
      <c r="M7853" s="473"/>
    </row>
    <row r="7854" spans="5:13">
      <c r="E7854" s="473"/>
      <c r="F7854" s="473"/>
      <c r="G7854" s="473"/>
      <c r="H7854" s="473"/>
      <c r="I7854" s="473"/>
      <c r="J7854" s="473"/>
      <c r="K7854" s="473"/>
      <c r="L7854" s="473"/>
      <c r="M7854" s="473"/>
    </row>
    <row r="7855" spans="5:13">
      <c r="E7855" s="473"/>
      <c r="F7855" s="473"/>
      <c r="G7855" s="473"/>
      <c r="H7855" s="473"/>
      <c r="I7855" s="473"/>
      <c r="J7855" s="473"/>
      <c r="K7855" s="473"/>
      <c r="L7855" s="473"/>
      <c r="M7855" s="473"/>
    </row>
    <row r="7856" spans="5:13">
      <c r="E7856" s="473"/>
      <c r="F7856" s="473"/>
      <c r="G7856" s="473"/>
      <c r="H7856" s="473"/>
      <c r="I7856" s="473"/>
      <c r="J7856" s="473"/>
      <c r="K7856" s="473"/>
      <c r="L7856" s="473"/>
      <c r="M7856" s="473"/>
    </row>
    <row r="7857" spans="5:13">
      <c r="E7857" s="473"/>
      <c r="F7857" s="473"/>
      <c r="G7857" s="473"/>
      <c r="H7857" s="473"/>
      <c r="I7857" s="473"/>
      <c r="J7857" s="473"/>
      <c r="K7857" s="473"/>
      <c r="L7857" s="473"/>
      <c r="M7857" s="473"/>
    </row>
    <row r="7858" spans="5:13">
      <c r="E7858" s="473"/>
      <c r="F7858" s="473"/>
      <c r="G7858" s="473"/>
      <c r="H7858" s="473"/>
      <c r="I7858" s="473"/>
      <c r="J7858" s="473"/>
      <c r="K7858" s="473"/>
      <c r="L7858" s="473"/>
      <c r="M7858" s="473"/>
    </row>
    <row r="7859" spans="5:13">
      <c r="E7859" s="473"/>
      <c r="F7859" s="473"/>
      <c r="G7859" s="473"/>
      <c r="H7859" s="473"/>
      <c r="I7859" s="473"/>
      <c r="J7859" s="473"/>
      <c r="K7859" s="473"/>
      <c r="L7859" s="473"/>
      <c r="M7859" s="473"/>
    </row>
    <row r="7860" spans="5:13">
      <c r="E7860" s="473"/>
      <c r="F7860" s="473"/>
      <c r="G7860" s="473"/>
      <c r="H7860" s="473"/>
      <c r="I7860" s="473"/>
      <c r="J7860" s="473"/>
      <c r="K7860" s="473"/>
      <c r="L7860" s="473"/>
      <c r="M7860" s="473"/>
    </row>
    <row r="7861" spans="5:13">
      <c r="E7861" s="473"/>
      <c r="F7861" s="473"/>
      <c r="G7861" s="473"/>
      <c r="H7861" s="473"/>
      <c r="I7861" s="473"/>
      <c r="J7861" s="473"/>
      <c r="K7861" s="473"/>
      <c r="L7861" s="473"/>
      <c r="M7861" s="473"/>
    </row>
    <row r="7862" spans="5:13">
      <c r="E7862" s="473"/>
      <c r="F7862" s="473"/>
      <c r="G7862" s="473"/>
      <c r="H7862" s="473"/>
      <c r="I7862" s="473"/>
      <c r="J7862" s="473"/>
      <c r="K7862" s="473"/>
      <c r="L7862" s="473"/>
      <c r="M7862" s="473"/>
    </row>
    <row r="7863" spans="5:13">
      <c r="E7863" s="473"/>
      <c r="F7863" s="473"/>
      <c r="G7863" s="473"/>
      <c r="H7863" s="473"/>
      <c r="I7863" s="473"/>
      <c r="J7863" s="473"/>
      <c r="K7863" s="473"/>
      <c r="L7863" s="473"/>
      <c r="M7863" s="473"/>
    </row>
    <row r="7864" spans="5:13">
      <c r="E7864" s="473"/>
      <c r="F7864" s="473"/>
      <c r="G7864" s="473"/>
      <c r="H7864" s="473"/>
      <c r="I7864" s="473"/>
      <c r="J7864" s="473"/>
      <c r="K7864" s="473"/>
      <c r="L7864" s="473"/>
      <c r="M7864" s="473"/>
    </row>
    <row r="7865" spans="5:13">
      <c r="E7865" s="473"/>
      <c r="F7865" s="473"/>
      <c r="G7865" s="473"/>
      <c r="H7865" s="473"/>
      <c r="I7865" s="473"/>
      <c r="J7865" s="473"/>
      <c r="K7865" s="473"/>
      <c r="L7865" s="473"/>
      <c r="M7865" s="473"/>
    </row>
    <row r="7866" spans="5:13">
      <c r="E7866" s="473"/>
      <c r="F7866" s="473"/>
      <c r="G7866" s="473"/>
      <c r="H7866" s="473"/>
      <c r="I7866" s="473"/>
      <c r="J7866" s="473"/>
      <c r="K7866" s="473"/>
      <c r="L7866" s="473"/>
      <c r="M7866" s="473"/>
    </row>
    <row r="7867" spans="5:13">
      <c r="E7867" s="473"/>
      <c r="F7867" s="473"/>
      <c r="G7867" s="473"/>
      <c r="H7867" s="473"/>
      <c r="I7867" s="473"/>
      <c r="J7867" s="473"/>
      <c r="K7867" s="473"/>
      <c r="L7867" s="473"/>
      <c r="M7867" s="473"/>
    </row>
    <row r="7868" spans="5:13">
      <c r="E7868" s="473"/>
      <c r="F7868" s="473"/>
      <c r="G7868" s="473"/>
      <c r="H7868" s="473"/>
      <c r="I7868" s="473"/>
      <c r="J7868" s="473"/>
      <c r="K7868" s="473"/>
      <c r="L7868" s="473"/>
      <c r="M7868" s="473"/>
    </row>
    <row r="7869" spans="5:13">
      <c r="E7869" s="473"/>
      <c r="F7869" s="473"/>
      <c r="G7869" s="473"/>
      <c r="H7869" s="473"/>
      <c r="I7869" s="473"/>
      <c r="J7869" s="473"/>
      <c r="K7869" s="473"/>
      <c r="L7869" s="473"/>
      <c r="M7869" s="473"/>
    </row>
    <row r="7870" spans="5:13">
      <c r="E7870" s="473"/>
      <c r="F7870" s="473"/>
      <c r="G7870" s="473"/>
      <c r="H7870" s="473"/>
      <c r="I7870" s="473"/>
      <c r="J7870" s="473"/>
      <c r="K7870" s="473"/>
      <c r="L7870" s="473"/>
      <c r="M7870" s="473"/>
    </row>
    <row r="7871" spans="5:13">
      <c r="E7871" s="473"/>
      <c r="F7871" s="473"/>
      <c r="G7871" s="473"/>
      <c r="H7871" s="473"/>
      <c r="I7871" s="473"/>
      <c r="J7871" s="473"/>
      <c r="K7871" s="473"/>
      <c r="L7871" s="473"/>
      <c r="M7871" s="473"/>
    </row>
    <row r="7872" spans="5:13">
      <c r="E7872" s="473"/>
      <c r="F7872" s="473"/>
      <c r="G7872" s="473"/>
      <c r="H7872" s="473"/>
      <c r="I7872" s="473"/>
      <c r="J7872" s="473"/>
      <c r="K7872" s="473"/>
      <c r="L7872" s="473"/>
      <c r="M7872" s="473"/>
    </row>
    <row r="7873" spans="5:13">
      <c r="E7873" s="473"/>
      <c r="F7873" s="473"/>
      <c r="G7873" s="473"/>
      <c r="H7873" s="473"/>
      <c r="I7873" s="473"/>
      <c r="J7873" s="473"/>
      <c r="K7873" s="473"/>
      <c r="L7873" s="473"/>
      <c r="M7873" s="473"/>
    </row>
    <row r="7874" spans="5:13">
      <c r="E7874" s="473"/>
      <c r="F7874" s="473"/>
      <c r="G7874" s="473"/>
      <c r="H7874" s="473"/>
      <c r="I7874" s="473"/>
      <c r="J7874" s="473"/>
      <c r="K7874" s="473"/>
      <c r="L7874" s="473"/>
      <c r="M7874" s="473"/>
    </row>
    <row r="7875" spans="5:13">
      <c r="E7875" s="473"/>
      <c r="F7875" s="473"/>
      <c r="G7875" s="473"/>
      <c r="H7875" s="473"/>
      <c r="I7875" s="473"/>
      <c r="J7875" s="473"/>
      <c r="K7875" s="473"/>
      <c r="L7875" s="473"/>
      <c r="M7875" s="473"/>
    </row>
    <row r="7876" spans="5:13">
      <c r="E7876" s="473"/>
      <c r="F7876" s="473"/>
      <c r="G7876" s="473"/>
      <c r="H7876" s="473"/>
      <c r="I7876" s="473"/>
      <c r="J7876" s="473"/>
      <c r="K7876" s="473"/>
      <c r="L7876" s="473"/>
      <c r="M7876" s="473"/>
    </row>
    <row r="7877" spans="5:13">
      <c r="E7877" s="473"/>
      <c r="F7877" s="473"/>
      <c r="G7877" s="473"/>
      <c r="H7877" s="473"/>
      <c r="I7877" s="473"/>
      <c r="J7877" s="473"/>
      <c r="K7877" s="473"/>
      <c r="L7877" s="473"/>
      <c r="M7877" s="473"/>
    </row>
    <row r="7878" spans="5:13">
      <c r="E7878" s="473"/>
      <c r="F7878" s="473"/>
      <c r="G7878" s="473"/>
      <c r="H7878" s="473"/>
      <c r="I7878" s="473"/>
      <c r="J7878" s="473"/>
      <c r="K7878" s="473"/>
      <c r="L7878" s="473"/>
      <c r="M7878" s="473"/>
    </row>
    <row r="7879" spans="5:13">
      <c r="E7879" s="473"/>
      <c r="F7879" s="473"/>
      <c r="G7879" s="473"/>
      <c r="H7879" s="473"/>
      <c r="I7879" s="473"/>
      <c r="J7879" s="473"/>
      <c r="K7879" s="473"/>
      <c r="L7879" s="473"/>
      <c r="M7879" s="473"/>
    </row>
    <row r="7880" spans="5:13">
      <c r="E7880" s="473"/>
      <c r="F7880" s="473"/>
      <c r="G7880" s="473"/>
      <c r="H7880" s="473"/>
      <c r="I7880" s="473"/>
      <c r="J7880" s="473"/>
      <c r="K7880" s="473"/>
      <c r="L7880" s="473"/>
      <c r="M7880" s="473"/>
    </row>
    <row r="7881" spans="5:13">
      <c r="E7881" s="473"/>
      <c r="F7881" s="473"/>
      <c r="G7881" s="473"/>
      <c r="H7881" s="473"/>
      <c r="I7881" s="473"/>
      <c r="J7881" s="473"/>
      <c r="K7881" s="473"/>
      <c r="L7881" s="473"/>
      <c r="M7881" s="473"/>
    </row>
    <row r="7882" spans="5:13">
      <c r="E7882" s="473"/>
      <c r="F7882" s="473"/>
      <c r="G7882" s="473"/>
      <c r="H7882" s="473"/>
      <c r="I7882" s="473"/>
      <c r="J7882" s="473"/>
      <c r="K7882" s="473"/>
      <c r="L7882" s="473"/>
      <c r="M7882" s="473"/>
    </row>
    <row r="7883" spans="5:13">
      <c r="E7883" s="473"/>
      <c r="F7883" s="473"/>
      <c r="G7883" s="473"/>
      <c r="H7883" s="473"/>
      <c r="I7883" s="473"/>
      <c r="J7883" s="473"/>
      <c r="K7883" s="473"/>
      <c r="L7883" s="473"/>
      <c r="M7883" s="473"/>
    </row>
    <row r="7884" spans="5:13">
      <c r="E7884" s="473"/>
      <c r="F7884" s="473"/>
      <c r="G7884" s="473"/>
      <c r="H7884" s="473"/>
      <c r="I7884" s="473"/>
      <c r="J7884" s="473"/>
      <c r="K7884" s="473"/>
      <c r="L7884" s="473"/>
      <c r="M7884" s="473"/>
    </row>
    <row r="7885" spans="5:13">
      <c r="E7885" s="473"/>
      <c r="F7885" s="473"/>
      <c r="G7885" s="473"/>
      <c r="H7885" s="473"/>
      <c r="I7885" s="473"/>
      <c r="J7885" s="473"/>
      <c r="K7885" s="473"/>
      <c r="L7885" s="473"/>
      <c r="M7885" s="473"/>
    </row>
    <row r="7886" spans="5:13">
      <c r="E7886" s="473"/>
      <c r="F7886" s="473"/>
      <c r="G7886" s="473"/>
      <c r="H7886" s="473"/>
      <c r="I7886" s="473"/>
      <c r="J7886" s="473"/>
      <c r="K7886" s="473"/>
      <c r="L7886" s="473"/>
      <c r="M7886" s="473"/>
    </row>
    <row r="7887" spans="5:13">
      <c r="E7887" s="473"/>
      <c r="F7887" s="473"/>
      <c r="G7887" s="473"/>
      <c r="H7887" s="473"/>
      <c r="I7887" s="473"/>
      <c r="J7887" s="473"/>
      <c r="K7887" s="473"/>
      <c r="L7887" s="473"/>
      <c r="M7887" s="473"/>
    </row>
    <row r="7888" spans="5:13">
      <c r="E7888" s="473"/>
      <c r="F7888" s="473"/>
      <c r="G7888" s="473"/>
      <c r="H7888" s="473"/>
      <c r="I7888" s="473"/>
      <c r="J7888" s="473"/>
      <c r="K7888" s="473"/>
      <c r="L7888" s="473"/>
      <c r="M7888" s="473"/>
    </row>
    <row r="7889" spans="5:13">
      <c r="E7889" s="473"/>
      <c r="F7889" s="473"/>
      <c r="G7889" s="473"/>
      <c r="H7889" s="473"/>
      <c r="I7889" s="473"/>
      <c r="J7889" s="473"/>
      <c r="K7889" s="473"/>
      <c r="L7889" s="473"/>
      <c r="M7889" s="473"/>
    </row>
    <row r="7890" spans="5:13">
      <c r="E7890" s="473"/>
      <c r="F7890" s="473"/>
      <c r="G7890" s="473"/>
      <c r="H7890" s="473"/>
      <c r="I7890" s="473"/>
      <c r="J7890" s="473"/>
      <c r="K7890" s="473"/>
      <c r="L7890" s="473"/>
      <c r="M7890" s="473"/>
    </row>
    <row r="7891" spans="5:13">
      <c r="E7891" s="473"/>
      <c r="F7891" s="473"/>
      <c r="G7891" s="473"/>
      <c r="H7891" s="473"/>
      <c r="I7891" s="473"/>
      <c r="J7891" s="473"/>
      <c r="K7891" s="473"/>
      <c r="L7891" s="473"/>
      <c r="M7891" s="473"/>
    </row>
    <row r="7892" spans="5:13">
      <c r="E7892" s="473"/>
      <c r="F7892" s="473"/>
      <c r="G7892" s="473"/>
      <c r="H7892" s="473"/>
      <c r="I7892" s="473"/>
      <c r="J7892" s="473"/>
      <c r="K7892" s="473"/>
      <c r="L7892" s="473"/>
      <c r="M7892" s="473"/>
    </row>
    <row r="7893" spans="5:13">
      <c r="E7893" s="473"/>
      <c r="F7893" s="473"/>
      <c r="G7893" s="473"/>
      <c r="H7893" s="473"/>
      <c r="I7893" s="473"/>
      <c r="J7893" s="473"/>
      <c r="K7893" s="473"/>
      <c r="L7893" s="473"/>
      <c r="M7893" s="473"/>
    </row>
    <row r="7894" spans="5:13">
      <c r="E7894" s="473"/>
      <c r="F7894" s="473"/>
      <c r="G7894" s="473"/>
      <c r="H7894" s="473"/>
      <c r="I7894" s="473"/>
      <c r="J7894" s="473"/>
      <c r="K7894" s="473"/>
      <c r="L7894" s="473"/>
      <c r="M7894" s="473"/>
    </row>
    <row r="7895" spans="5:13">
      <c r="E7895" s="473"/>
      <c r="F7895" s="473"/>
      <c r="G7895" s="473"/>
      <c r="H7895" s="473"/>
      <c r="I7895" s="473"/>
      <c r="J7895" s="473"/>
      <c r="K7895" s="473"/>
      <c r="L7895" s="473"/>
      <c r="M7895" s="473"/>
    </row>
    <row r="7896" spans="5:13">
      <c r="E7896" s="473"/>
      <c r="F7896" s="473"/>
      <c r="G7896" s="473"/>
      <c r="H7896" s="473"/>
      <c r="I7896" s="473"/>
      <c r="J7896" s="473"/>
      <c r="K7896" s="473"/>
      <c r="L7896" s="473"/>
      <c r="M7896" s="473"/>
    </row>
    <row r="7897" spans="5:13">
      <c r="E7897" s="473"/>
      <c r="F7897" s="473"/>
      <c r="G7897" s="473"/>
      <c r="H7897" s="473"/>
      <c r="I7897" s="473"/>
      <c r="J7897" s="473"/>
      <c r="K7897" s="473"/>
      <c r="L7897" s="473"/>
      <c r="M7897" s="473"/>
    </row>
    <row r="7898" spans="5:13">
      <c r="E7898" s="473"/>
      <c r="F7898" s="473"/>
      <c r="G7898" s="473"/>
      <c r="H7898" s="473"/>
      <c r="I7898" s="473"/>
      <c r="J7898" s="473"/>
      <c r="K7898" s="473"/>
      <c r="L7898" s="473"/>
      <c r="M7898" s="473"/>
    </row>
    <row r="7899" spans="5:13">
      <c r="E7899" s="473"/>
      <c r="F7899" s="473"/>
      <c r="G7899" s="473"/>
      <c r="H7899" s="473"/>
      <c r="I7899" s="473"/>
      <c r="J7899" s="473"/>
      <c r="K7899" s="473"/>
      <c r="L7899" s="473"/>
      <c r="M7899" s="473"/>
    </row>
    <row r="7900" spans="5:13">
      <c r="E7900" s="473"/>
      <c r="F7900" s="473"/>
      <c r="G7900" s="473"/>
      <c r="H7900" s="473"/>
      <c r="I7900" s="473"/>
      <c r="J7900" s="473"/>
      <c r="K7900" s="473"/>
      <c r="L7900" s="473"/>
      <c r="M7900" s="473"/>
    </row>
    <row r="7901" spans="5:13">
      <c r="H7901" s="394"/>
    </row>
    <row r="7902" spans="5:13">
      <c r="H7902" s="394"/>
    </row>
    <row r="7903" spans="5:13">
      <c r="H7903" s="394"/>
    </row>
    <row r="7904" spans="5:13">
      <c r="H7904" s="394"/>
    </row>
    <row r="7905" spans="8:8">
      <c r="H7905" s="394"/>
    </row>
    <row r="7906" spans="8:8">
      <c r="H7906" s="394"/>
    </row>
    <row r="7907" spans="8:8">
      <c r="H7907" s="394"/>
    </row>
    <row r="7908" spans="8:8">
      <c r="H7908" s="394"/>
    </row>
    <row r="7909" spans="8:8">
      <c r="H7909" s="394"/>
    </row>
    <row r="7910" spans="8:8">
      <c r="H7910" s="394"/>
    </row>
    <row r="7911" spans="8:8">
      <c r="H7911" s="394"/>
    </row>
    <row r="7912" spans="8:8">
      <c r="H7912" s="394"/>
    </row>
    <row r="7913" spans="8:8">
      <c r="H7913" s="394"/>
    </row>
    <row r="7914" spans="8:8">
      <c r="H7914" s="394"/>
    </row>
    <row r="7915" spans="8:8">
      <c r="H7915" s="394"/>
    </row>
    <row r="7916" spans="8:8">
      <c r="H7916" s="394"/>
    </row>
    <row r="7917" spans="8:8">
      <c r="H7917" s="394"/>
    </row>
    <row r="7918" spans="8:8">
      <c r="H7918" s="394"/>
    </row>
    <row r="7919" spans="8:8">
      <c r="H7919" s="394"/>
    </row>
    <row r="7920" spans="8:8">
      <c r="H7920" s="394"/>
    </row>
    <row r="7921" spans="8:8">
      <c r="H7921" s="394"/>
    </row>
    <row r="7922" spans="8:8">
      <c r="H7922" s="394"/>
    </row>
    <row r="7923" spans="8:8">
      <c r="H7923" s="394"/>
    </row>
    <row r="7924" spans="8:8">
      <c r="H7924" s="394"/>
    </row>
    <row r="7925" spans="8:8">
      <c r="H7925" s="394"/>
    </row>
    <row r="7926" spans="8:8">
      <c r="H7926" s="394"/>
    </row>
    <row r="7927" spans="8:8">
      <c r="H7927" s="394"/>
    </row>
    <row r="7928" spans="8:8">
      <c r="H7928" s="394"/>
    </row>
    <row r="7929" spans="8:8">
      <c r="H7929" s="394"/>
    </row>
    <row r="7930" spans="8:8">
      <c r="H7930" s="394"/>
    </row>
    <row r="7931" spans="8:8">
      <c r="H7931" s="394"/>
    </row>
    <row r="7932" spans="8:8">
      <c r="H7932" s="394"/>
    </row>
    <row r="7933" spans="8:8">
      <c r="H7933" s="394"/>
    </row>
    <row r="7934" spans="8:8">
      <c r="H7934" s="394"/>
    </row>
    <row r="7935" spans="8:8">
      <c r="H7935" s="394"/>
    </row>
    <row r="7936" spans="8:8">
      <c r="H7936" s="394"/>
    </row>
    <row r="7937" spans="8:8">
      <c r="H7937" s="394"/>
    </row>
    <row r="7938" spans="8:8">
      <c r="H7938" s="394"/>
    </row>
    <row r="7939" spans="8:8">
      <c r="H7939" s="394"/>
    </row>
    <row r="7940" spans="8:8">
      <c r="H7940" s="394"/>
    </row>
    <row r="7941" spans="8:8">
      <c r="H7941" s="394"/>
    </row>
    <row r="7942" spans="8:8">
      <c r="H7942" s="394"/>
    </row>
    <row r="7943" spans="8:8">
      <c r="H7943" s="394"/>
    </row>
    <row r="7944" spans="8:8">
      <c r="H7944" s="394"/>
    </row>
    <row r="7945" spans="8:8">
      <c r="H7945" s="394"/>
    </row>
    <row r="7946" spans="8:8">
      <c r="H7946" s="394"/>
    </row>
    <row r="7947" spans="8:8">
      <c r="H7947" s="394"/>
    </row>
    <row r="7948" spans="8:8">
      <c r="H7948" s="394"/>
    </row>
    <row r="7949" spans="8:8">
      <c r="H7949" s="394"/>
    </row>
    <row r="7950" spans="8:8">
      <c r="H7950" s="394"/>
    </row>
    <row r="7951" spans="8:8">
      <c r="H7951" s="394"/>
    </row>
    <row r="7952" spans="8:8">
      <c r="H7952" s="394"/>
    </row>
    <row r="7953" spans="8:8">
      <c r="H7953" s="394"/>
    </row>
    <row r="7954" spans="8:8">
      <c r="H7954" s="394"/>
    </row>
    <row r="7955" spans="8:8">
      <c r="H7955" s="394"/>
    </row>
    <row r="7956" spans="8:8">
      <c r="H7956" s="394"/>
    </row>
    <row r="7957" spans="8:8">
      <c r="H7957" s="394"/>
    </row>
    <row r="7958" spans="8:8">
      <c r="H7958" s="394"/>
    </row>
    <row r="7959" spans="8:8">
      <c r="H7959" s="394"/>
    </row>
    <row r="7960" spans="8:8">
      <c r="H7960" s="394"/>
    </row>
    <row r="7961" spans="8:8">
      <c r="H7961" s="394"/>
    </row>
    <row r="7962" spans="8:8">
      <c r="H7962" s="394"/>
    </row>
    <row r="7963" spans="8:8">
      <c r="H7963" s="394"/>
    </row>
    <row r="7964" spans="8:8">
      <c r="H7964" s="394"/>
    </row>
    <row r="7965" spans="8:8">
      <c r="H7965" s="394"/>
    </row>
    <row r="7966" spans="8:8">
      <c r="H7966" s="394"/>
    </row>
    <row r="7967" spans="8:8">
      <c r="H7967" s="394"/>
    </row>
    <row r="7968" spans="8:8">
      <c r="H7968" s="394"/>
    </row>
    <row r="7969" spans="8:8">
      <c r="H7969" s="394"/>
    </row>
    <row r="7970" spans="8:8">
      <c r="H7970" s="394"/>
    </row>
    <row r="7971" spans="8:8">
      <c r="H7971" s="394"/>
    </row>
    <row r="7972" spans="8:8">
      <c r="H7972" s="394"/>
    </row>
    <row r="7973" spans="8:8">
      <c r="H7973" s="394"/>
    </row>
    <row r="7974" spans="8:8">
      <c r="H7974" s="394"/>
    </row>
    <row r="7975" spans="8:8">
      <c r="H7975" s="394"/>
    </row>
    <row r="7976" spans="8:8">
      <c r="H7976" s="394"/>
    </row>
    <row r="7977" spans="8:8">
      <c r="H7977" s="394"/>
    </row>
    <row r="7978" spans="8:8">
      <c r="H7978" s="394"/>
    </row>
    <row r="7979" spans="8:8">
      <c r="H7979" s="394"/>
    </row>
    <row r="7980" spans="8:8">
      <c r="H7980" s="394"/>
    </row>
    <row r="7981" spans="8:8">
      <c r="H7981" s="394"/>
    </row>
    <row r="7982" spans="8:8">
      <c r="H7982" s="394"/>
    </row>
    <row r="7983" spans="8:8">
      <c r="H7983" s="394"/>
    </row>
    <row r="7984" spans="8:8">
      <c r="H7984" s="394"/>
    </row>
    <row r="7985" spans="8:8">
      <c r="H7985" s="394"/>
    </row>
    <row r="7986" spans="8:8">
      <c r="H7986" s="394"/>
    </row>
    <row r="7987" spans="8:8">
      <c r="H7987" s="394"/>
    </row>
    <row r="7988" spans="8:8">
      <c r="H7988" s="394"/>
    </row>
    <row r="7989" spans="8:8">
      <c r="H7989" s="394"/>
    </row>
    <row r="7990" spans="8:8">
      <c r="H7990" s="394"/>
    </row>
    <row r="7991" spans="8:8">
      <c r="H7991" s="394"/>
    </row>
    <row r="7992" spans="8:8">
      <c r="H7992" s="394"/>
    </row>
    <row r="7993" spans="8:8">
      <c r="H7993" s="394"/>
    </row>
    <row r="7994" spans="8:8">
      <c r="H7994" s="394"/>
    </row>
    <row r="7995" spans="8:8">
      <c r="H7995" s="394"/>
    </row>
    <row r="7996" spans="8:8">
      <c r="H7996" s="394"/>
    </row>
    <row r="7997" spans="8:8">
      <c r="H7997" s="394"/>
    </row>
    <row r="7998" spans="8:8">
      <c r="H7998" s="394"/>
    </row>
    <row r="7999" spans="8:8">
      <c r="H7999" s="394"/>
    </row>
    <row r="8000" spans="8:8">
      <c r="H8000" s="394"/>
    </row>
    <row r="8001" spans="8:8">
      <c r="H8001" s="394"/>
    </row>
    <row r="8002" spans="8:8">
      <c r="H8002" s="394"/>
    </row>
    <row r="8003" spans="8:8">
      <c r="H8003" s="394"/>
    </row>
    <row r="8004" spans="8:8">
      <c r="H8004" s="394"/>
    </row>
    <row r="8005" spans="8:8">
      <c r="H8005" s="394"/>
    </row>
    <row r="8006" spans="8:8">
      <c r="H8006" s="394"/>
    </row>
    <row r="8007" spans="8:8">
      <c r="H8007" s="394"/>
    </row>
    <row r="8008" spans="8:8">
      <c r="H8008" s="394"/>
    </row>
    <row r="8009" spans="8:8">
      <c r="H8009" s="394"/>
    </row>
    <row r="8010" spans="8:8">
      <c r="H8010" s="394"/>
    </row>
    <row r="8011" spans="8:8">
      <c r="H8011" s="394"/>
    </row>
    <row r="8012" spans="8:8">
      <c r="H8012" s="394"/>
    </row>
    <row r="8013" spans="8:8">
      <c r="H8013" s="394"/>
    </row>
    <row r="8014" spans="8:8">
      <c r="H8014" s="394"/>
    </row>
    <row r="8015" spans="8:8">
      <c r="H8015" s="394"/>
    </row>
    <row r="8016" spans="8:8">
      <c r="H8016" s="394"/>
    </row>
    <row r="8017" spans="8:8">
      <c r="H8017" s="394"/>
    </row>
    <row r="8018" spans="8:8">
      <c r="H8018" s="394"/>
    </row>
    <row r="8019" spans="8:8">
      <c r="H8019" s="394"/>
    </row>
    <row r="8020" spans="8:8">
      <c r="H8020" s="394"/>
    </row>
    <row r="8021" spans="8:8">
      <c r="H8021" s="394"/>
    </row>
    <row r="8022" spans="8:8">
      <c r="H8022" s="394"/>
    </row>
    <row r="8023" spans="8:8">
      <c r="H8023" s="394"/>
    </row>
    <row r="8024" spans="8:8">
      <c r="H8024" s="394"/>
    </row>
    <row r="8025" spans="8:8">
      <c r="H8025" s="394"/>
    </row>
    <row r="8026" spans="8:8">
      <c r="H8026" s="394"/>
    </row>
    <row r="8027" spans="8:8">
      <c r="H8027" s="394"/>
    </row>
    <row r="8028" spans="8:8">
      <c r="H8028" s="394"/>
    </row>
    <row r="8029" spans="8:8">
      <c r="H8029" s="394"/>
    </row>
    <row r="8030" spans="8:8">
      <c r="H8030" s="394"/>
    </row>
    <row r="8031" spans="8:8">
      <c r="H8031" s="394"/>
    </row>
    <row r="8032" spans="8:8">
      <c r="H8032" s="394"/>
    </row>
    <row r="8033" spans="8:8">
      <c r="H8033" s="394"/>
    </row>
    <row r="8034" spans="8:8">
      <c r="H8034" s="394"/>
    </row>
    <row r="8035" spans="8:8">
      <c r="H8035" s="394"/>
    </row>
    <row r="8036" spans="8:8">
      <c r="H8036" s="394"/>
    </row>
    <row r="8037" spans="8:8">
      <c r="H8037" s="394"/>
    </row>
    <row r="8038" spans="8:8">
      <c r="H8038" s="394"/>
    </row>
    <row r="8039" spans="8:8">
      <c r="H8039" s="394"/>
    </row>
    <row r="8040" spans="8:8">
      <c r="H8040" s="394"/>
    </row>
    <row r="8041" spans="8:8">
      <c r="H8041" s="394"/>
    </row>
    <row r="8042" spans="8:8">
      <c r="H8042" s="394"/>
    </row>
    <row r="8043" spans="8:8">
      <c r="H8043" s="394"/>
    </row>
    <row r="8044" spans="8:8">
      <c r="H8044" s="394"/>
    </row>
    <row r="8045" spans="8:8">
      <c r="H8045" s="394"/>
    </row>
    <row r="8046" spans="8:8">
      <c r="H8046" s="394"/>
    </row>
    <row r="8047" spans="8:8">
      <c r="H8047" s="394"/>
    </row>
    <row r="8048" spans="8:8">
      <c r="H8048" s="394"/>
    </row>
    <row r="8049" spans="8:8">
      <c r="H8049" s="394"/>
    </row>
    <row r="8050" spans="8:8">
      <c r="H8050" s="394"/>
    </row>
    <row r="8051" spans="8:8">
      <c r="H8051" s="394"/>
    </row>
    <row r="8052" spans="8:8">
      <c r="H8052" s="394"/>
    </row>
    <row r="8053" spans="8:8">
      <c r="H8053" s="394"/>
    </row>
    <row r="8054" spans="8:8">
      <c r="H8054" s="394"/>
    </row>
    <row r="8055" spans="8:8">
      <c r="H8055" s="394"/>
    </row>
    <row r="8056" spans="8:8">
      <c r="H8056" s="394"/>
    </row>
    <row r="8057" spans="8:8">
      <c r="H8057" s="394"/>
    </row>
    <row r="8058" spans="8:8">
      <c r="H8058" s="394"/>
    </row>
    <row r="8059" spans="8:8">
      <c r="H8059" s="394"/>
    </row>
    <row r="8060" spans="8:8">
      <c r="H8060" s="394"/>
    </row>
    <row r="8061" spans="8:8">
      <c r="H8061" s="394"/>
    </row>
    <row r="8062" spans="8:8">
      <c r="H8062" s="394"/>
    </row>
    <row r="8063" spans="8:8">
      <c r="H8063" s="394"/>
    </row>
    <row r="8064" spans="8:8">
      <c r="H8064" s="394"/>
    </row>
    <row r="8065" spans="8:8">
      <c r="H8065" s="394"/>
    </row>
    <row r="8066" spans="8:8">
      <c r="H8066" s="394"/>
    </row>
    <row r="8067" spans="8:8">
      <c r="H8067" s="394"/>
    </row>
    <row r="8068" spans="8:8">
      <c r="H8068" s="394"/>
    </row>
    <row r="8069" spans="8:8">
      <c r="H8069" s="394"/>
    </row>
    <row r="8070" spans="8:8">
      <c r="H8070" s="394"/>
    </row>
    <row r="8071" spans="8:8">
      <c r="H8071" s="394"/>
    </row>
    <row r="8072" spans="8:8">
      <c r="H8072" s="394"/>
    </row>
    <row r="8073" spans="8:8">
      <c r="H8073" s="394"/>
    </row>
    <row r="8074" spans="8:8">
      <c r="H8074" s="394"/>
    </row>
    <row r="8075" spans="8:8">
      <c r="H8075" s="394"/>
    </row>
    <row r="8076" spans="8:8">
      <c r="H8076" s="394"/>
    </row>
    <row r="8077" spans="8:8">
      <c r="H8077" s="394"/>
    </row>
    <row r="8078" spans="8:8">
      <c r="H8078" s="394"/>
    </row>
    <row r="8079" spans="8:8">
      <c r="H8079" s="394"/>
    </row>
    <row r="8080" spans="8:8">
      <c r="H8080" s="394"/>
    </row>
    <row r="8081" spans="8:8">
      <c r="H8081" s="394"/>
    </row>
    <row r="8082" spans="8:8">
      <c r="H8082" s="394"/>
    </row>
    <row r="8083" spans="8:8">
      <c r="H8083" s="394"/>
    </row>
    <row r="8084" spans="8:8">
      <c r="H8084" s="394"/>
    </row>
    <row r="8085" spans="8:8">
      <c r="H8085" s="394"/>
    </row>
    <row r="8086" spans="8:8">
      <c r="H8086" s="394"/>
    </row>
    <row r="8087" spans="8:8">
      <c r="H8087" s="394"/>
    </row>
    <row r="8088" spans="8:8">
      <c r="H8088" s="394"/>
    </row>
    <row r="8089" spans="8:8">
      <c r="H8089" s="394"/>
    </row>
    <row r="8090" spans="8:8">
      <c r="H8090" s="394"/>
    </row>
    <row r="8091" spans="8:8">
      <c r="H8091" s="394"/>
    </row>
    <row r="8092" spans="8:8">
      <c r="H8092" s="394"/>
    </row>
    <row r="8093" spans="8:8">
      <c r="H8093" s="394"/>
    </row>
    <row r="8094" spans="8:8">
      <c r="H8094" s="394"/>
    </row>
    <row r="8095" spans="8:8">
      <c r="H8095" s="394"/>
    </row>
    <row r="8096" spans="8:8">
      <c r="H8096" s="394"/>
    </row>
    <row r="8097" spans="8:8">
      <c r="H8097" s="394"/>
    </row>
    <row r="8098" spans="8:8">
      <c r="H8098" s="394"/>
    </row>
    <row r="8099" spans="8:8">
      <c r="H8099" s="394"/>
    </row>
    <row r="8100" spans="8:8">
      <c r="H8100" s="394"/>
    </row>
    <row r="8101" spans="8:8">
      <c r="H8101" s="394"/>
    </row>
    <row r="8102" spans="8:8">
      <c r="H8102" s="394"/>
    </row>
    <row r="8103" spans="8:8">
      <c r="H8103" s="394"/>
    </row>
    <row r="8104" spans="8:8">
      <c r="H8104" s="394"/>
    </row>
    <row r="8105" spans="8:8">
      <c r="H8105" s="394"/>
    </row>
    <row r="8106" spans="8:8">
      <c r="H8106" s="394"/>
    </row>
    <row r="8107" spans="8:8">
      <c r="H8107" s="394"/>
    </row>
    <row r="8108" spans="8:8">
      <c r="H8108" s="394"/>
    </row>
    <row r="8109" spans="8:8">
      <c r="H8109" s="394"/>
    </row>
    <row r="8110" spans="8:8">
      <c r="H8110" s="394"/>
    </row>
    <row r="8111" spans="8:8">
      <c r="H8111" s="394"/>
    </row>
    <row r="8112" spans="8:8">
      <c r="H8112" s="394"/>
    </row>
    <row r="8113" spans="8:8">
      <c r="H8113" s="394"/>
    </row>
    <row r="8114" spans="8:8">
      <c r="H8114" s="394"/>
    </row>
    <row r="8115" spans="8:8">
      <c r="H8115" s="394"/>
    </row>
    <row r="8116" spans="8:8">
      <c r="H8116" s="394"/>
    </row>
    <row r="8117" spans="8:8">
      <c r="H8117" s="394"/>
    </row>
    <row r="8118" spans="8:8">
      <c r="H8118" s="394"/>
    </row>
    <row r="8119" spans="8:8">
      <c r="H8119" s="394"/>
    </row>
    <row r="8120" spans="8:8">
      <c r="H8120" s="394"/>
    </row>
    <row r="8121" spans="8:8">
      <c r="H8121" s="394"/>
    </row>
    <row r="8122" spans="8:8">
      <c r="H8122" s="394"/>
    </row>
    <row r="8123" spans="8:8">
      <c r="H8123" s="394"/>
    </row>
    <row r="8124" spans="8:8">
      <c r="H8124" s="394"/>
    </row>
    <row r="8125" spans="8:8">
      <c r="H8125" s="394"/>
    </row>
    <row r="8126" spans="8:8">
      <c r="H8126" s="394"/>
    </row>
    <row r="8127" spans="8:8">
      <c r="H8127" s="394"/>
    </row>
    <row r="8128" spans="8:8">
      <c r="H8128" s="394"/>
    </row>
    <row r="8129" spans="8:8">
      <c r="H8129" s="394"/>
    </row>
    <row r="8130" spans="8:8">
      <c r="H8130" s="394"/>
    </row>
    <row r="8131" spans="8:8">
      <c r="H8131" s="394"/>
    </row>
    <row r="8132" spans="8:8">
      <c r="H8132" s="394"/>
    </row>
    <row r="8133" spans="8:8">
      <c r="H8133" s="394"/>
    </row>
    <row r="8134" spans="8:8">
      <c r="H8134" s="394"/>
    </row>
    <row r="8135" spans="8:8">
      <c r="H8135" s="394"/>
    </row>
    <row r="8136" spans="8:8">
      <c r="H8136" s="394"/>
    </row>
    <row r="8137" spans="8:8">
      <c r="H8137" s="394"/>
    </row>
    <row r="8138" spans="8:8">
      <c r="H8138" s="394"/>
    </row>
    <row r="8139" spans="8:8">
      <c r="H8139" s="394"/>
    </row>
    <row r="8140" spans="8:8">
      <c r="H8140" s="394"/>
    </row>
    <row r="8141" spans="8:8">
      <c r="H8141" s="394"/>
    </row>
    <row r="8142" spans="8:8">
      <c r="H8142" s="394"/>
    </row>
    <row r="8143" spans="8:8">
      <c r="H8143" s="394"/>
    </row>
    <row r="8144" spans="8:8">
      <c r="H8144" s="394"/>
    </row>
    <row r="8145" spans="8:8">
      <c r="H8145" s="394"/>
    </row>
    <row r="8146" spans="8:8">
      <c r="H8146" s="394"/>
    </row>
    <row r="8147" spans="8:8">
      <c r="H8147" s="394"/>
    </row>
    <row r="8148" spans="8:8">
      <c r="H8148" s="394"/>
    </row>
    <row r="8149" spans="8:8">
      <c r="H8149" s="394"/>
    </row>
    <row r="8150" spans="8:8">
      <c r="H8150" s="394"/>
    </row>
    <row r="8151" spans="8:8">
      <c r="H8151" s="394"/>
    </row>
    <row r="8152" spans="8:8">
      <c r="H8152" s="394"/>
    </row>
    <row r="8153" spans="8:8">
      <c r="H8153" s="394"/>
    </row>
    <row r="8154" spans="8:8">
      <c r="H8154" s="394"/>
    </row>
    <row r="8155" spans="8:8">
      <c r="H8155" s="394"/>
    </row>
    <row r="8156" spans="8:8">
      <c r="H8156" s="394"/>
    </row>
    <row r="8157" spans="8:8">
      <c r="H8157" s="394"/>
    </row>
    <row r="8158" spans="8:8">
      <c r="H8158" s="394"/>
    </row>
    <row r="8159" spans="8:8">
      <c r="H8159" s="394"/>
    </row>
    <row r="8160" spans="8:8">
      <c r="H8160" s="394"/>
    </row>
    <row r="8161" spans="8:8">
      <c r="H8161" s="394"/>
    </row>
    <row r="8162" spans="8:8">
      <c r="H8162" s="394"/>
    </row>
    <row r="8163" spans="8:8">
      <c r="H8163" s="394"/>
    </row>
    <row r="8164" spans="8:8">
      <c r="H8164" s="394"/>
    </row>
    <row r="8165" spans="8:8">
      <c r="H8165" s="394"/>
    </row>
    <row r="8166" spans="8:8">
      <c r="H8166" s="394"/>
    </row>
    <row r="8167" spans="8:8">
      <c r="H8167" s="394"/>
    </row>
    <row r="8168" spans="8:8">
      <c r="H8168" s="394"/>
    </row>
    <row r="8169" spans="8:8">
      <c r="H8169" s="394"/>
    </row>
    <row r="8170" spans="8:8">
      <c r="H8170" s="394"/>
    </row>
    <row r="8171" spans="8:8">
      <c r="H8171" s="394"/>
    </row>
    <row r="8172" spans="8:8">
      <c r="H8172" s="394"/>
    </row>
    <row r="8173" spans="8:8">
      <c r="H8173" s="394"/>
    </row>
    <row r="8174" spans="8:8">
      <c r="H8174" s="394"/>
    </row>
    <row r="8175" spans="8:8">
      <c r="H8175" s="394"/>
    </row>
    <row r="8176" spans="8:8">
      <c r="H8176" s="394"/>
    </row>
    <row r="8177" spans="8:8">
      <c r="H8177" s="394"/>
    </row>
    <row r="8178" spans="8:8">
      <c r="H8178" s="394"/>
    </row>
    <row r="8179" spans="8:8">
      <c r="H8179" s="394"/>
    </row>
    <row r="8180" spans="8:8">
      <c r="H8180" s="394"/>
    </row>
    <row r="8181" spans="8:8">
      <c r="H8181" s="394"/>
    </row>
    <row r="8182" spans="8:8">
      <c r="H8182" s="394"/>
    </row>
    <row r="8183" spans="8:8">
      <c r="H8183" s="394"/>
    </row>
    <row r="8184" spans="8:8">
      <c r="H8184" s="394"/>
    </row>
    <row r="8185" spans="8:8">
      <c r="H8185" s="394"/>
    </row>
    <row r="8186" spans="8:8">
      <c r="H8186" s="394"/>
    </row>
    <row r="8187" spans="8:8">
      <c r="H8187" s="394"/>
    </row>
    <row r="8188" spans="8:8">
      <c r="H8188" s="394"/>
    </row>
    <row r="8189" spans="8:8">
      <c r="H8189" s="394"/>
    </row>
    <row r="8190" spans="8:8">
      <c r="H8190" s="394"/>
    </row>
    <row r="8191" spans="8:8">
      <c r="H8191" s="394"/>
    </row>
    <row r="8192" spans="8:8">
      <c r="H8192" s="394"/>
    </row>
    <row r="8193" spans="8:8">
      <c r="H8193" s="394"/>
    </row>
    <row r="8194" spans="8:8">
      <c r="H8194" s="394"/>
    </row>
    <row r="8195" spans="8:8">
      <c r="H8195" s="394"/>
    </row>
    <row r="8196" spans="8:8">
      <c r="H8196" s="394"/>
    </row>
    <row r="8197" spans="8:8">
      <c r="H8197" s="394"/>
    </row>
    <row r="8198" spans="8:8">
      <c r="H8198" s="394"/>
    </row>
    <row r="8199" spans="8:8">
      <c r="H8199" s="394"/>
    </row>
    <row r="8200" spans="8:8">
      <c r="H8200" s="394"/>
    </row>
    <row r="8201" spans="8:8">
      <c r="H8201" s="394"/>
    </row>
    <row r="8202" spans="8:8">
      <c r="H8202" s="394"/>
    </row>
    <row r="8203" spans="8:8">
      <c r="H8203" s="394"/>
    </row>
    <row r="8204" spans="8:8">
      <c r="H8204" s="394"/>
    </row>
    <row r="8205" spans="8:8">
      <c r="H8205" s="394"/>
    </row>
    <row r="8206" spans="8:8">
      <c r="H8206" s="394"/>
    </row>
    <row r="8207" spans="8:8">
      <c r="H8207" s="394"/>
    </row>
    <row r="8208" spans="8:8">
      <c r="H8208" s="394"/>
    </row>
    <row r="8209" spans="8:8">
      <c r="H8209" s="394"/>
    </row>
    <row r="8210" spans="8:8">
      <c r="H8210" s="394"/>
    </row>
    <row r="8211" spans="8:8">
      <c r="H8211" s="394"/>
    </row>
    <row r="8212" spans="8:8">
      <c r="H8212" s="394"/>
    </row>
    <row r="8213" spans="8:8">
      <c r="H8213" s="394"/>
    </row>
    <row r="8214" spans="8:8">
      <c r="H8214" s="394"/>
    </row>
    <row r="8215" spans="8:8">
      <c r="H8215" s="394"/>
    </row>
    <row r="8216" spans="8:8">
      <c r="H8216" s="394"/>
    </row>
    <row r="8217" spans="8:8">
      <c r="H8217" s="394"/>
    </row>
    <row r="8218" spans="8:8">
      <c r="H8218" s="394"/>
    </row>
    <row r="8219" spans="8:8">
      <c r="H8219" s="394"/>
    </row>
    <row r="8220" spans="8:8">
      <c r="H8220" s="394"/>
    </row>
    <row r="8221" spans="8:8">
      <c r="H8221" s="394"/>
    </row>
    <row r="8222" spans="8:8">
      <c r="H8222" s="394"/>
    </row>
    <row r="8223" spans="8:8">
      <c r="H8223" s="394"/>
    </row>
    <row r="8224" spans="8:8">
      <c r="H8224" s="394"/>
    </row>
    <row r="8225" spans="8:8">
      <c r="H8225" s="394"/>
    </row>
    <row r="8226" spans="8:8">
      <c r="H8226" s="394"/>
    </row>
    <row r="8227" spans="8:8">
      <c r="H8227" s="394"/>
    </row>
    <row r="8228" spans="8:8">
      <c r="H8228" s="394"/>
    </row>
    <row r="8229" spans="8:8">
      <c r="H8229" s="394"/>
    </row>
    <row r="8230" spans="8:8">
      <c r="H8230" s="394"/>
    </row>
    <row r="8231" spans="8:8">
      <c r="H8231" s="394"/>
    </row>
    <row r="8232" spans="8:8">
      <c r="H8232" s="394"/>
    </row>
    <row r="8233" spans="8:8">
      <c r="H8233" s="394"/>
    </row>
    <row r="8234" spans="8:8">
      <c r="H8234" s="394"/>
    </row>
    <row r="8235" spans="8:8">
      <c r="H8235" s="394"/>
    </row>
    <row r="8236" spans="8:8">
      <c r="H8236" s="394"/>
    </row>
    <row r="8237" spans="8:8">
      <c r="H8237" s="394"/>
    </row>
    <row r="8238" spans="8:8">
      <c r="H8238" s="394"/>
    </row>
    <row r="8239" spans="8:8">
      <c r="H8239" s="394"/>
    </row>
    <row r="8240" spans="8:8">
      <c r="H8240" s="394"/>
    </row>
    <row r="8241" spans="8:8">
      <c r="H8241" s="394"/>
    </row>
    <row r="8242" spans="8:8">
      <c r="H8242" s="394"/>
    </row>
    <row r="8243" spans="8:8">
      <c r="H8243" s="394"/>
    </row>
    <row r="8244" spans="8:8">
      <c r="H8244" s="394"/>
    </row>
    <row r="8245" spans="8:8">
      <c r="H8245" s="394"/>
    </row>
    <row r="8246" spans="8:8">
      <c r="H8246" s="394"/>
    </row>
    <row r="8247" spans="8:8">
      <c r="H8247" s="394"/>
    </row>
    <row r="8248" spans="8:8">
      <c r="H8248" s="394"/>
    </row>
    <row r="8249" spans="8:8">
      <c r="H8249" s="394"/>
    </row>
    <row r="8250" spans="8:8">
      <c r="H8250" s="394"/>
    </row>
    <row r="8251" spans="8:8">
      <c r="H8251" s="394"/>
    </row>
    <row r="8252" spans="8:8">
      <c r="H8252" s="394"/>
    </row>
    <row r="8253" spans="8:8">
      <c r="H8253" s="394"/>
    </row>
    <row r="8254" spans="8:8">
      <c r="H8254" s="394"/>
    </row>
    <row r="8255" spans="8:8">
      <c r="H8255" s="394"/>
    </row>
    <row r="8256" spans="8:8">
      <c r="H8256" s="394"/>
    </row>
    <row r="8257" spans="8:8">
      <c r="H8257" s="394"/>
    </row>
    <row r="8258" spans="8:8">
      <c r="H8258" s="394"/>
    </row>
    <row r="8259" spans="8:8">
      <c r="H8259" s="394"/>
    </row>
    <row r="8260" spans="8:8">
      <c r="H8260" s="394"/>
    </row>
    <row r="8261" spans="8:8">
      <c r="H8261" s="394"/>
    </row>
    <row r="8262" spans="8:8">
      <c r="H8262" s="394"/>
    </row>
    <row r="8263" spans="8:8">
      <c r="H8263" s="394"/>
    </row>
    <row r="8264" spans="8:8">
      <c r="H8264" s="394"/>
    </row>
    <row r="8265" spans="8:8">
      <c r="H8265" s="394"/>
    </row>
    <row r="8266" spans="8:8">
      <c r="H8266" s="394"/>
    </row>
    <row r="8267" spans="8:8">
      <c r="H8267" s="394"/>
    </row>
    <row r="8268" spans="8:8">
      <c r="H8268" s="394"/>
    </row>
    <row r="8269" spans="8:8">
      <c r="H8269" s="394"/>
    </row>
    <row r="8270" spans="8:8">
      <c r="H8270" s="394"/>
    </row>
    <row r="8271" spans="8:8">
      <c r="H8271" s="394"/>
    </row>
    <row r="8272" spans="8:8">
      <c r="H8272" s="394"/>
    </row>
    <row r="8273" spans="8:8">
      <c r="H8273" s="394"/>
    </row>
    <row r="8274" spans="8:8">
      <c r="H8274" s="394"/>
    </row>
    <row r="8275" spans="8:8">
      <c r="H8275" s="394"/>
    </row>
    <row r="8276" spans="8:8">
      <c r="H8276" s="394"/>
    </row>
    <row r="8277" spans="8:8">
      <c r="H8277" s="394"/>
    </row>
    <row r="8278" spans="8:8">
      <c r="H8278" s="394"/>
    </row>
    <row r="8279" spans="8:8">
      <c r="H8279" s="394"/>
    </row>
    <row r="8280" spans="8:8">
      <c r="H8280" s="394"/>
    </row>
    <row r="8281" spans="8:8">
      <c r="H8281" s="394"/>
    </row>
    <row r="8282" spans="8:8">
      <c r="H8282" s="394"/>
    </row>
    <row r="8283" spans="8:8">
      <c r="H8283" s="394"/>
    </row>
    <row r="8284" spans="8:8">
      <c r="H8284" s="394"/>
    </row>
    <row r="8285" spans="8:8">
      <c r="H8285" s="394"/>
    </row>
    <row r="8286" spans="8:8">
      <c r="H8286" s="394"/>
    </row>
    <row r="8287" spans="8:8">
      <c r="H8287" s="394"/>
    </row>
    <row r="8288" spans="8:8">
      <c r="H8288" s="394"/>
    </row>
    <row r="8289" spans="8:8">
      <c r="H8289" s="394"/>
    </row>
    <row r="8290" spans="8:8">
      <c r="H8290" s="394"/>
    </row>
    <row r="8291" spans="8:8">
      <c r="H8291" s="394"/>
    </row>
    <row r="8292" spans="8:8">
      <c r="H8292" s="394"/>
    </row>
  </sheetData>
  <mergeCells count="6">
    <mergeCell ref="H2713:I2713"/>
    <mergeCell ref="I2390:J2390"/>
    <mergeCell ref="E2341:K2341"/>
    <mergeCell ref="F2370:G2370"/>
    <mergeCell ref="F2374:G2374"/>
    <mergeCell ref="I2374:J2374"/>
  </mergeCells>
  <phoneticPr fontId="0" type="noConversion"/>
  <pageMargins left="0.85" right="0.37" top="0.5" bottom="0.3" header="0.34" footer="0.18"/>
  <pageSetup paperSize="9" scale="85" orientation="portrait" r:id="rId1"/>
  <headerFooter alignWithMargins="0">
    <oddHeader>&amp;L2010 - 2011&amp;CElectrical Data&amp;R&amp;P</oddHeader>
  </headerFooter>
  <rowBreaks count="1" manualBreakCount="1">
    <brk id="3667" min="5" max="10" man="1"/>
  </rowBreaks>
  <drawing r:id="rId2"/>
</worksheet>
</file>

<file path=xl/worksheets/sheet4.xml><?xml version="1.0" encoding="utf-8"?>
<worksheet xmlns="http://schemas.openxmlformats.org/spreadsheetml/2006/main" xmlns:r="http://schemas.openxmlformats.org/officeDocument/2006/relationships">
  <sheetPr syncVertical="1" syncRef="F3064" transitionEvaluation="1"/>
  <dimension ref="A1:AK8291"/>
  <sheetViews>
    <sheetView view="pageBreakPreview" topLeftCell="F3064" zoomScale="75" zoomScaleNormal="60" workbookViewId="0">
      <selection activeCell="I2843" sqref="I2843"/>
    </sheetView>
  </sheetViews>
  <sheetFormatPr defaultColWidth="7.44140625" defaultRowHeight="15.75"/>
  <cols>
    <col min="1" max="1" width="7.77734375" style="245" hidden="1" customWidth="1"/>
    <col min="2" max="2" width="45.77734375" style="245" hidden="1" customWidth="1"/>
    <col min="3" max="3" width="11.77734375" style="245" hidden="1" customWidth="1"/>
    <col min="4" max="4" width="9.77734375" style="245" hidden="1" customWidth="1"/>
    <col min="5" max="5" width="9.21875" style="245" hidden="1" customWidth="1"/>
    <col min="6" max="6" width="8.88671875" style="245" customWidth="1"/>
    <col min="7" max="7" width="6.5546875" style="243" customWidth="1"/>
    <col min="8" max="8" width="43.77734375" style="245" customWidth="1"/>
    <col min="9" max="9" width="9.21875" style="245" customWidth="1"/>
    <col min="10" max="10" width="8.77734375" style="197" customWidth="1"/>
    <col min="11" max="11" width="11.33203125" style="551" customWidth="1"/>
    <col min="12" max="13" width="9.77734375" style="245" customWidth="1"/>
    <col min="14" max="14" width="9" style="245" bestFit="1" customWidth="1"/>
    <col min="15" max="15" width="32.77734375" style="245" customWidth="1"/>
    <col min="16" max="16" width="9.77734375" style="245" customWidth="1"/>
    <col min="17" max="17" width="7.77734375" style="245" customWidth="1"/>
    <col min="18" max="18" width="10.77734375" style="245" customWidth="1"/>
    <col min="19" max="19" width="7.44140625" style="245"/>
    <col min="20" max="20" width="7.77734375" style="245" customWidth="1"/>
    <col min="21" max="21" width="49.77734375" style="245" customWidth="1"/>
    <col min="22" max="22" width="7.77734375" style="245" hidden="1" customWidth="1"/>
    <col min="23" max="23" width="16.77734375" style="245" hidden="1" customWidth="1"/>
    <col min="24" max="24" width="9.109375" style="245" customWidth="1"/>
    <col min="25" max="25" width="11.21875" style="245" bestFit="1" customWidth="1"/>
    <col min="26" max="26" width="9.6640625" style="245" customWidth="1"/>
    <col min="27" max="27" width="8.6640625" style="245" customWidth="1"/>
    <col min="28" max="28" width="9.6640625" style="245" customWidth="1"/>
    <col min="29" max="29" width="10.6640625" style="245" customWidth="1"/>
    <col min="30" max="30" width="23.21875" style="245" customWidth="1"/>
    <col min="31" max="31" width="8.77734375" style="245" customWidth="1"/>
    <col min="32" max="32" width="8.109375" style="245" bestFit="1" customWidth="1"/>
    <col min="33" max="33" width="9" style="245" customWidth="1"/>
    <col min="34" max="34" width="8.77734375" style="245" customWidth="1"/>
    <col min="35" max="16384" width="7.44140625" style="245"/>
  </cols>
  <sheetData>
    <row r="1" spans="1:37" ht="19.5" hidden="1">
      <c r="A1" s="244" t="s">
        <v>995</v>
      </c>
      <c r="B1" s="354" t="s">
        <v>2129</v>
      </c>
      <c r="E1" s="244" t="s">
        <v>995</v>
      </c>
      <c r="H1" s="244" t="s">
        <v>245</v>
      </c>
      <c r="O1" s="244" t="s">
        <v>245</v>
      </c>
      <c r="U1" s="355" t="s">
        <v>2129</v>
      </c>
      <c r="V1" s="244" t="s">
        <v>246</v>
      </c>
      <c r="W1" s="244" t="s">
        <v>995</v>
      </c>
    </row>
    <row r="2" spans="1:37" hidden="1">
      <c r="B2" s="248" t="s">
        <v>2130</v>
      </c>
      <c r="E2" s="244" t="s">
        <v>995</v>
      </c>
      <c r="H2" s="354" t="s">
        <v>660</v>
      </c>
      <c r="O2" s="354" t="s">
        <v>660</v>
      </c>
      <c r="U2" s="248" t="s">
        <v>2130</v>
      </c>
    </row>
    <row r="3" spans="1:37" hidden="1">
      <c r="A3" s="244" t="s">
        <v>1666</v>
      </c>
      <c r="B3" s="356" t="s">
        <v>2595</v>
      </c>
      <c r="C3" s="244" t="s">
        <v>2596</v>
      </c>
      <c r="E3" s="244" t="s">
        <v>995</v>
      </c>
      <c r="F3" s="252" t="s">
        <v>1666</v>
      </c>
      <c r="G3" s="250" t="s">
        <v>995</v>
      </c>
      <c r="H3" s="251" t="str">
        <f>B3</f>
        <v>Madurai TSp VIth Bn under 4000 quarters Scheme.</v>
      </c>
      <c r="J3" s="354" t="str">
        <f>C3</f>
        <v>2006-2007</v>
      </c>
      <c r="M3" s="244" t="s">
        <v>1666</v>
      </c>
      <c r="N3" s="244" t="s">
        <v>995</v>
      </c>
      <c r="O3" s="251" t="str">
        <f>B3</f>
        <v>Madurai TSp VIth Bn under 4000 quarters Scheme.</v>
      </c>
      <c r="Q3" s="251" t="str">
        <f>C3</f>
        <v>2006-2007</v>
      </c>
      <c r="T3" s="244" t="s">
        <v>1666</v>
      </c>
      <c r="U3" s="251" t="str">
        <f>B3</f>
        <v>Madurai TSp VIth Bn under 4000 quarters Scheme.</v>
      </c>
      <c r="W3" s="357" t="str">
        <f>C3</f>
        <v>2006-2007</v>
      </c>
      <c r="AA3" s="244" t="s">
        <v>995</v>
      </c>
    </row>
    <row r="4" spans="1:37" hidden="1">
      <c r="F4" s="248" t="s">
        <v>1667</v>
      </c>
      <c r="G4" s="248" t="s">
        <v>1667</v>
      </c>
      <c r="H4" s="248" t="s">
        <v>1667</v>
      </c>
      <c r="I4" s="248" t="s">
        <v>1667</v>
      </c>
      <c r="J4" s="248" t="s">
        <v>1667</v>
      </c>
      <c r="K4" s="252" t="s">
        <v>1667</v>
      </c>
      <c r="M4" s="248" t="s">
        <v>1667</v>
      </c>
      <c r="N4" s="248" t="s">
        <v>1667</v>
      </c>
      <c r="O4" s="248" t="s">
        <v>1667</v>
      </c>
      <c r="P4" s="248" t="s">
        <v>1667</v>
      </c>
      <c r="Q4" s="248" t="s">
        <v>1667</v>
      </c>
      <c r="R4" s="248" t="s">
        <v>1667</v>
      </c>
      <c r="U4" s="244" t="s">
        <v>995</v>
      </c>
      <c r="W4" s="244" t="s">
        <v>995</v>
      </c>
      <c r="X4" s="244" t="s">
        <v>246</v>
      </c>
      <c r="Y4" s="244" t="s">
        <v>995</v>
      </c>
      <c r="AC4" s="244" t="s">
        <v>995</v>
      </c>
      <c r="AG4" s="244" t="s">
        <v>1668</v>
      </c>
    </row>
    <row r="5" spans="1:37" hidden="1">
      <c r="A5" s="248" t="s">
        <v>1667</v>
      </c>
      <c r="B5" s="248" t="s">
        <v>1667</v>
      </c>
      <c r="C5" s="248" t="s">
        <v>1667</v>
      </c>
      <c r="D5" s="248" t="s">
        <v>1667</v>
      </c>
      <c r="E5" s="244" t="s">
        <v>995</v>
      </c>
      <c r="F5" s="252" t="s">
        <v>1669</v>
      </c>
      <c r="G5" s="250" t="s">
        <v>995</v>
      </c>
      <c r="H5" s="354" t="s">
        <v>1670</v>
      </c>
      <c r="I5" s="354" t="s">
        <v>1671</v>
      </c>
      <c r="J5" s="354" t="s">
        <v>1672</v>
      </c>
      <c r="K5" s="252" t="s">
        <v>1673</v>
      </c>
      <c r="M5" s="354" t="s">
        <v>1669</v>
      </c>
      <c r="N5" s="244" t="s">
        <v>995</v>
      </c>
      <c r="O5" s="354" t="s">
        <v>1670</v>
      </c>
      <c r="P5" s="354" t="s">
        <v>1671</v>
      </c>
      <c r="Q5" s="354" t="s">
        <v>1672</v>
      </c>
      <c r="R5" s="354" t="s">
        <v>1673</v>
      </c>
      <c r="T5" s="248" t="s">
        <v>1667</v>
      </c>
      <c r="U5" s="248" t="s">
        <v>1667</v>
      </c>
      <c r="V5" s="248" t="s">
        <v>1667</v>
      </c>
      <c r="W5" s="248" t="s">
        <v>1667</v>
      </c>
      <c r="X5" s="248" t="s">
        <v>1667</v>
      </c>
      <c r="Y5" s="248" t="s">
        <v>1667</v>
      </c>
      <c r="Z5" s="248" t="s">
        <v>1667</v>
      </c>
      <c r="AA5" s="248" t="s">
        <v>1667</v>
      </c>
      <c r="AB5" s="248" t="s">
        <v>1667</v>
      </c>
      <c r="AC5" s="248" t="s">
        <v>1667</v>
      </c>
      <c r="AD5" s="248" t="s">
        <v>1667</v>
      </c>
      <c r="AE5" s="248" t="s">
        <v>1667</v>
      </c>
    </row>
    <row r="6" spans="1:37" hidden="1">
      <c r="A6" s="244" t="s">
        <v>704</v>
      </c>
      <c r="B6" s="244" t="s">
        <v>1670</v>
      </c>
      <c r="C6" s="244" t="s">
        <v>1671</v>
      </c>
      <c r="D6" s="244" t="s">
        <v>1672</v>
      </c>
      <c r="F6" s="248" t="s">
        <v>1667</v>
      </c>
      <c r="G6" s="248" t="s">
        <v>1667</v>
      </c>
      <c r="H6" s="248" t="s">
        <v>1667</v>
      </c>
      <c r="I6" s="248" t="s">
        <v>1667</v>
      </c>
      <c r="J6" s="248" t="s">
        <v>1667</v>
      </c>
      <c r="K6" s="252" t="s">
        <v>1667</v>
      </c>
      <c r="M6" s="248" t="s">
        <v>1667</v>
      </c>
      <c r="N6" s="248" t="s">
        <v>1667</v>
      </c>
      <c r="O6" s="248" t="s">
        <v>1667</v>
      </c>
      <c r="P6" s="248" t="s">
        <v>1667</v>
      </c>
      <c r="Q6" s="248" t="s">
        <v>1667</v>
      </c>
      <c r="R6" s="248" t="s">
        <v>1667</v>
      </c>
      <c r="T6" s="354" t="s">
        <v>704</v>
      </c>
      <c r="U6" s="354" t="s">
        <v>60</v>
      </c>
      <c r="V6" s="354" t="s">
        <v>2330</v>
      </c>
      <c r="W6" s="354" t="s">
        <v>2331</v>
      </c>
      <c r="X6" s="354" t="s">
        <v>2332</v>
      </c>
      <c r="Y6" s="354" t="s">
        <v>2333</v>
      </c>
      <c r="Z6" s="354" t="s">
        <v>2334</v>
      </c>
      <c r="AA6" s="244" t="s">
        <v>2597</v>
      </c>
      <c r="AB6" s="244" t="s">
        <v>2335</v>
      </c>
      <c r="AC6" s="244" t="s">
        <v>2336</v>
      </c>
      <c r="AD6" s="354" t="s">
        <v>2337</v>
      </c>
      <c r="AG6" s="245">
        <f>135*1.1</f>
        <v>148.5</v>
      </c>
    </row>
    <row r="7" spans="1:37" hidden="1">
      <c r="A7" s="248" t="s">
        <v>1667</v>
      </c>
      <c r="B7" s="248" t="s">
        <v>1667</v>
      </c>
      <c r="C7" s="248" t="s">
        <v>1667</v>
      </c>
      <c r="D7" s="248" t="s">
        <v>1667</v>
      </c>
      <c r="G7" s="250" t="s">
        <v>2338</v>
      </c>
      <c r="H7" s="244" t="s">
        <v>2339</v>
      </c>
      <c r="O7" s="244" t="s">
        <v>2340</v>
      </c>
      <c r="X7" s="354" t="s">
        <v>2341</v>
      </c>
      <c r="Y7" s="354" t="s">
        <v>2336</v>
      </c>
      <c r="Z7" s="354" t="s">
        <v>2342</v>
      </c>
      <c r="AA7" s="244" t="s">
        <v>2598</v>
      </c>
      <c r="AB7" s="244" t="s">
        <v>2343</v>
      </c>
      <c r="AC7" s="244" t="s">
        <v>2344</v>
      </c>
    </row>
    <row r="8" spans="1:37" hidden="1">
      <c r="B8" s="244" t="s">
        <v>2345</v>
      </c>
      <c r="C8"/>
      <c r="D8"/>
      <c r="E8"/>
      <c r="H8" s="248" t="s">
        <v>1667</v>
      </c>
      <c r="O8" s="248" t="s">
        <v>1667</v>
      </c>
      <c r="T8" s="248" t="s">
        <v>1667</v>
      </c>
      <c r="U8" s="248" t="s">
        <v>1667</v>
      </c>
      <c r="V8" s="248" t="s">
        <v>1667</v>
      </c>
      <c r="W8" s="248" t="s">
        <v>1667</v>
      </c>
      <c r="X8" s="248" t="s">
        <v>1667</v>
      </c>
      <c r="Y8" s="248" t="s">
        <v>1667</v>
      </c>
      <c r="Z8" s="248" t="s">
        <v>1667</v>
      </c>
      <c r="AA8" s="248" t="s">
        <v>1667</v>
      </c>
      <c r="AB8" s="248" t="s">
        <v>1667</v>
      </c>
      <c r="AC8" s="248" t="s">
        <v>1667</v>
      </c>
      <c r="AD8" s="248" t="s">
        <v>1667</v>
      </c>
      <c r="AE8" s="248" t="s">
        <v>1667</v>
      </c>
      <c r="AG8" s="244" t="s">
        <v>2346</v>
      </c>
      <c r="AI8">
        <v>148.5</v>
      </c>
      <c r="AJ8" s="245">
        <v>1.1000000000000001</v>
      </c>
      <c r="AK8" s="245">
        <f t="shared" ref="AK8:AK36" si="0">AI8*AJ8</f>
        <v>163.35</v>
      </c>
    </row>
    <row r="9" spans="1:37" hidden="1">
      <c r="B9" s="244" t="s">
        <v>875</v>
      </c>
      <c r="C9"/>
      <c r="D9"/>
      <c r="E9"/>
      <c r="F9" s="251">
        <v>0.96</v>
      </c>
      <c r="G9" s="250" t="s">
        <v>876</v>
      </c>
      <c r="H9" s="244" t="s">
        <v>877</v>
      </c>
      <c r="I9" s="8">
        <f>(C67)</f>
        <v>3800</v>
      </c>
      <c r="J9" s="2" t="s">
        <v>876</v>
      </c>
      <c r="K9" s="6">
        <f>(F9*I9)</f>
        <v>3648</v>
      </c>
      <c r="M9" s="251">
        <v>0.5</v>
      </c>
      <c r="N9" s="244" t="s">
        <v>876</v>
      </c>
      <c r="O9" s="244" t="s">
        <v>878</v>
      </c>
      <c r="P9" s="251" t="e">
        <f>(C85)</f>
        <v>#REF!</v>
      </c>
      <c r="Q9" s="244" t="s">
        <v>876</v>
      </c>
      <c r="R9" s="251" t="e">
        <f>(M9*P9)</f>
        <v>#REF!</v>
      </c>
      <c r="T9" s="354" t="s">
        <v>879</v>
      </c>
      <c r="U9" s="244" t="s">
        <v>880</v>
      </c>
      <c r="V9" s="244" t="s">
        <v>881</v>
      </c>
      <c r="W9" s="244" t="s">
        <v>2599</v>
      </c>
      <c r="X9" s="251" t="e">
        <f>#REF!</f>
        <v>#REF!</v>
      </c>
      <c r="Y9" s="8">
        <v>200</v>
      </c>
      <c r="Z9" s="251" t="e">
        <f>#REF!</f>
        <v>#REF!</v>
      </c>
      <c r="AA9" s="354">
        <v>0</v>
      </c>
      <c r="AB9" s="244">
        <v>0</v>
      </c>
      <c r="AC9" s="244" t="e">
        <f t="shared" ref="AC9:AC30" si="1">SUM(Y9+Z9+AA9+AB9)</f>
        <v>#REF!</v>
      </c>
      <c r="AD9" s="244" t="s">
        <v>2629</v>
      </c>
      <c r="AE9" s="8">
        <v>150</v>
      </c>
      <c r="AF9" s="251"/>
      <c r="AG9" s="251"/>
      <c r="AI9">
        <v>126.5</v>
      </c>
      <c r="AJ9" s="245">
        <v>1.1000000000000001</v>
      </c>
      <c r="AK9" s="245">
        <f t="shared" si="0"/>
        <v>139.15</v>
      </c>
    </row>
    <row r="10" spans="1:37" ht="15" hidden="1" customHeight="1">
      <c r="A10" s="358">
        <v>1</v>
      </c>
      <c r="B10" s="244" t="s">
        <v>882</v>
      </c>
      <c r="C10" s="8">
        <f>AE9</f>
        <v>150</v>
      </c>
      <c r="D10" s="1" t="s">
        <v>883</v>
      </c>
      <c r="E10"/>
      <c r="F10" s="251">
        <v>1</v>
      </c>
      <c r="G10" s="250" t="s">
        <v>884</v>
      </c>
      <c r="H10" s="244" t="s">
        <v>885</v>
      </c>
      <c r="I10" s="8" t="e">
        <f>(C78)</f>
        <v>#REF!</v>
      </c>
      <c r="J10" s="2" t="s">
        <v>884</v>
      </c>
      <c r="K10" s="6" t="e">
        <f>(F10*I10)</f>
        <v>#REF!</v>
      </c>
      <c r="M10" s="251">
        <v>1</v>
      </c>
      <c r="N10" s="244" t="s">
        <v>884</v>
      </c>
      <c r="O10" s="244" t="s">
        <v>885</v>
      </c>
      <c r="P10" s="251" t="e">
        <f>(C78)</f>
        <v>#REF!</v>
      </c>
      <c r="Q10" s="244" t="s">
        <v>884</v>
      </c>
      <c r="R10" s="251" t="e">
        <f>(M10*P10)</f>
        <v>#REF!</v>
      </c>
      <c r="T10" s="354" t="s">
        <v>886</v>
      </c>
      <c r="U10" s="244" t="s">
        <v>887</v>
      </c>
      <c r="V10" s="244" t="s">
        <v>881</v>
      </c>
      <c r="W10" s="251" t="str">
        <f>W9</f>
        <v>Nallambakkam</v>
      </c>
      <c r="X10" s="251" t="e">
        <f>+X9</f>
        <v>#REF!</v>
      </c>
      <c r="Y10" s="8">
        <v>300</v>
      </c>
      <c r="Z10" s="251" t="e">
        <f t="shared" ref="Z10:Z15" si="2">+Z9</f>
        <v>#REF!</v>
      </c>
      <c r="AA10" s="197">
        <v>0</v>
      </c>
      <c r="AB10" s="246">
        <v>0</v>
      </c>
      <c r="AC10" s="244" t="e">
        <f t="shared" si="1"/>
        <v>#REF!</v>
      </c>
      <c r="AD10" s="244" t="s">
        <v>2630</v>
      </c>
      <c r="AE10" s="8">
        <v>135</v>
      </c>
      <c r="AF10" s="251"/>
      <c r="AG10" s="251"/>
      <c r="AI10">
        <v>85.5</v>
      </c>
      <c r="AJ10" s="245">
        <v>1.1000000000000001</v>
      </c>
      <c r="AK10" s="245">
        <f t="shared" si="0"/>
        <v>94.05</v>
      </c>
    </row>
    <row r="11" spans="1:37" hidden="1">
      <c r="A11" s="358">
        <f t="shared" ref="A11:A35" si="3">(A10+1)</f>
        <v>2</v>
      </c>
      <c r="B11" s="244" t="s">
        <v>888</v>
      </c>
      <c r="C11" s="8">
        <f>AE10</f>
        <v>135</v>
      </c>
      <c r="D11" s="1" t="s">
        <v>883</v>
      </c>
      <c r="E11"/>
      <c r="F11" s="251">
        <v>1</v>
      </c>
      <c r="G11" s="250" t="s">
        <v>884</v>
      </c>
      <c r="H11" s="244" t="s">
        <v>889</v>
      </c>
      <c r="I11" s="8">
        <f>(C18)</f>
        <v>26</v>
      </c>
      <c r="J11" s="2" t="s">
        <v>884</v>
      </c>
      <c r="K11" s="6">
        <f>(F11*I11)</f>
        <v>26</v>
      </c>
      <c r="M11" s="251">
        <v>1</v>
      </c>
      <c r="N11" s="244" t="s">
        <v>884</v>
      </c>
      <c r="O11" s="244" t="s">
        <v>890</v>
      </c>
      <c r="P11" s="251">
        <f>(C64)</f>
        <v>62.5</v>
      </c>
      <c r="Q11" s="244" t="s">
        <v>884</v>
      </c>
      <c r="R11" s="251">
        <f>(M11*P11)</f>
        <v>62.5</v>
      </c>
      <c r="T11" s="354" t="s">
        <v>891</v>
      </c>
      <c r="U11" s="244" t="s">
        <v>892</v>
      </c>
      <c r="V11" s="244" t="s">
        <v>881</v>
      </c>
      <c r="W11" s="244" t="s">
        <v>2631</v>
      </c>
      <c r="X11" s="251" t="e">
        <f>#REF!</f>
        <v>#REF!</v>
      </c>
      <c r="Y11" s="8">
        <v>333.33</v>
      </c>
      <c r="Z11" s="251" t="e">
        <f t="shared" si="2"/>
        <v>#REF!</v>
      </c>
      <c r="AA11" s="354">
        <v>0</v>
      </c>
      <c r="AB11" s="246">
        <v>0</v>
      </c>
      <c r="AC11" s="244" t="e">
        <f t="shared" si="1"/>
        <v>#REF!</v>
      </c>
      <c r="AD11" s="244" t="s">
        <v>893</v>
      </c>
      <c r="AE11" s="8">
        <v>95</v>
      </c>
      <c r="AF11" s="251"/>
      <c r="AG11" s="251"/>
      <c r="AI11">
        <v>80.5</v>
      </c>
      <c r="AJ11" s="245">
        <v>1.1000000000000001</v>
      </c>
      <c r="AK11" s="245">
        <f t="shared" si="0"/>
        <v>88.55</v>
      </c>
    </row>
    <row r="12" spans="1:37" hidden="1">
      <c r="A12" s="358">
        <f t="shared" si="3"/>
        <v>3</v>
      </c>
      <c r="B12" s="244" t="s">
        <v>447</v>
      </c>
      <c r="C12" s="8">
        <f>AE11</f>
        <v>95</v>
      </c>
      <c r="D12" s="1" t="s">
        <v>883</v>
      </c>
      <c r="E12"/>
      <c r="G12" s="250" t="s">
        <v>448</v>
      </c>
      <c r="H12" s="244" t="s">
        <v>449</v>
      </c>
      <c r="I12" s="1" t="s">
        <v>995</v>
      </c>
      <c r="J12" s="2" t="s">
        <v>448</v>
      </c>
      <c r="K12" s="6">
        <v>0</v>
      </c>
      <c r="N12" s="244" t="s">
        <v>448</v>
      </c>
      <c r="O12" s="244" t="s">
        <v>449</v>
      </c>
      <c r="P12" s="244" t="s">
        <v>995</v>
      </c>
      <c r="Q12" s="244" t="s">
        <v>448</v>
      </c>
      <c r="R12" s="251">
        <v>0</v>
      </c>
      <c r="T12" s="354" t="s">
        <v>450</v>
      </c>
      <c r="U12" s="244" t="s">
        <v>1571</v>
      </c>
      <c r="V12" s="244" t="s">
        <v>881</v>
      </c>
      <c r="W12" s="251" t="str">
        <f>W11</f>
        <v>Pallavaram</v>
      </c>
      <c r="X12" s="251" t="e">
        <f>+X11</f>
        <v>#REF!</v>
      </c>
      <c r="Y12" s="8">
        <v>425</v>
      </c>
      <c r="Z12" s="251" t="e">
        <f t="shared" si="2"/>
        <v>#REF!</v>
      </c>
      <c r="AA12" s="354">
        <v>0</v>
      </c>
      <c r="AB12" s="246">
        <v>0</v>
      </c>
      <c r="AC12" s="244" t="e">
        <f t="shared" si="1"/>
        <v>#REF!</v>
      </c>
      <c r="AD12" s="244" t="s">
        <v>1572</v>
      </c>
      <c r="AE12" s="8">
        <v>85</v>
      </c>
      <c r="AF12" s="251"/>
      <c r="AG12" s="251"/>
      <c r="AI12">
        <v>114.5</v>
      </c>
      <c r="AJ12" s="245">
        <v>1.1000000000000001</v>
      </c>
      <c r="AK12" s="245">
        <f t="shared" si="0"/>
        <v>125.95</v>
      </c>
    </row>
    <row r="13" spans="1:37" hidden="1">
      <c r="A13" s="358">
        <f t="shared" si="3"/>
        <v>4</v>
      </c>
      <c r="B13" s="244" t="s">
        <v>1573</v>
      </c>
      <c r="C13" s="8">
        <f>AE12</f>
        <v>85</v>
      </c>
      <c r="D13" s="1" t="s">
        <v>883</v>
      </c>
      <c r="E13"/>
      <c r="I13"/>
      <c r="J13" s="4"/>
      <c r="K13" s="6" t="s">
        <v>1667</v>
      </c>
      <c r="R13" s="248" t="s">
        <v>1667</v>
      </c>
      <c r="T13" s="354" t="s">
        <v>1574</v>
      </c>
      <c r="U13" s="244" t="s">
        <v>1575</v>
      </c>
      <c r="V13" s="244" t="s">
        <v>881</v>
      </c>
      <c r="W13" s="251" t="str">
        <f>W11</f>
        <v>Pallavaram</v>
      </c>
      <c r="X13" s="251" t="e">
        <f>+X12</f>
        <v>#REF!</v>
      </c>
      <c r="Y13" s="8">
        <v>630</v>
      </c>
      <c r="Z13" s="251" t="e">
        <f t="shared" si="2"/>
        <v>#REF!</v>
      </c>
      <c r="AA13" s="354">
        <v>0</v>
      </c>
      <c r="AB13" s="246">
        <v>0</v>
      </c>
      <c r="AC13" s="244" t="e">
        <f t="shared" si="1"/>
        <v>#REF!</v>
      </c>
      <c r="AD13" s="244" t="s">
        <v>1576</v>
      </c>
      <c r="AE13" s="8">
        <v>120</v>
      </c>
      <c r="AF13" s="251"/>
      <c r="AG13" s="251"/>
      <c r="AI13">
        <v>106.5</v>
      </c>
      <c r="AJ13" s="245">
        <v>1.1000000000000001</v>
      </c>
      <c r="AK13" s="245">
        <f t="shared" si="0"/>
        <v>117.15</v>
      </c>
    </row>
    <row r="14" spans="1:37" hidden="1">
      <c r="A14" s="358">
        <f t="shared" si="3"/>
        <v>5</v>
      </c>
      <c r="B14" s="244" t="s">
        <v>1577</v>
      </c>
      <c r="C14" s="8">
        <f>AE13</f>
        <v>120</v>
      </c>
      <c r="D14" s="8">
        <f>AE14</f>
        <v>110</v>
      </c>
      <c r="E14"/>
      <c r="H14" s="244" t="s">
        <v>1578</v>
      </c>
      <c r="I14"/>
      <c r="J14" s="4"/>
      <c r="K14" s="6" t="e">
        <f>SUM(K9:K12)</f>
        <v>#REF!</v>
      </c>
      <c r="N14" s="251" t="e">
        <f>SUM(K9:K12)</f>
        <v>#REF!</v>
      </c>
      <c r="O14" s="244" t="s">
        <v>1578</v>
      </c>
      <c r="R14" s="251" t="e">
        <f>SUM(R9:R12)</f>
        <v>#REF!</v>
      </c>
      <c r="T14" s="354" t="s">
        <v>2081</v>
      </c>
      <c r="U14" s="244" t="s">
        <v>116</v>
      </c>
      <c r="V14" s="244" t="s">
        <v>881</v>
      </c>
      <c r="W14" s="251" t="str">
        <f>W11</f>
        <v>Pallavaram</v>
      </c>
      <c r="X14" s="251" t="e">
        <f>+X13</f>
        <v>#REF!</v>
      </c>
      <c r="Y14" s="8">
        <v>685</v>
      </c>
      <c r="Z14" s="251" t="e">
        <f t="shared" si="2"/>
        <v>#REF!</v>
      </c>
      <c r="AA14" s="354">
        <v>0</v>
      </c>
      <c r="AB14" s="246">
        <v>0</v>
      </c>
      <c r="AC14" s="244" t="e">
        <f t="shared" si="1"/>
        <v>#REF!</v>
      </c>
      <c r="AD14" s="244" t="s">
        <v>117</v>
      </c>
      <c r="AE14" s="8">
        <v>110</v>
      </c>
      <c r="AF14" s="251"/>
      <c r="AG14" s="251"/>
      <c r="AI14">
        <v>116.5</v>
      </c>
      <c r="AJ14" s="245">
        <v>1.1000000000000001</v>
      </c>
      <c r="AK14" s="245">
        <f t="shared" si="0"/>
        <v>128.15</v>
      </c>
    </row>
    <row r="15" spans="1:37" hidden="1">
      <c r="A15" s="358">
        <f t="shared" si="3"/>
        <v>6</v>
      </c>
      <c r="B15" s="244" t="s">
        <v>118</v>
      </c>
      <c r="C15" s="8">
        <f>AE15</f>
        <v>130</v>
      </c>
      <c r="D15" s="1" t="s">
        <v>883</v>
      </c>
      <c r="E15"/>
      <c r="I15"/>
      <c r="J15" s="4"/>
      <c r="K15" s="6" t="s">
        <v>1667</v>
      </c>
      <c r="R15" s="248" t="s">
        <v>1667</v>
      </c>
      <c r="T15" s="354" t="s">
        <v>119</v>
      </c>
      <c r="U15" s="244" t="s">
        <v>120</v>
      </c>
      <c r="V15" s="244" t="s">
        <v>881</v>
      </c>
      <c r="W15" s="251" t="str">
        <f>W11</f>
        <v>Pallavaram</v>
      </c>
      <c r="X15" s="251" t="e">
        <f>+X14</f>
        <v>#REF!</v>
      </c>
      <c r="Y15" s="8">
        <v>490</v>
      </c>
      <c r="Z15" s="251" t="e">
        <f t="shared" si="2"/>
        <v>#REF!</v>
      </c>
      <c r="AA15" s="354">
        <v>0</v>
      </c>
      <c r="AB15" s="246">
        <v>0</v>
      </c>
      <c r="AC15" s="244" t="e">
        <f t="shared" si="1"/>
        <v>#REF!</v>
      </c>
      <c r="AD15" s="244" t="s">
        <v>121</v>
      </c>
      <c r="AE15" s="8">
        <v>130</v>
      </c>
      <c r="AF15" s="251"/>
      <c r="AG15" s="251"/>
      <c r="AI15">
        <v>106.5</v>
      </c>
      <c r="AJ15" s="245">
        <v>1.1000000000000001</v>
      </c>
      <c r="AK15" s="245">
        <f t="shared" si="0"/>
        <v>117.15</v>
      </c>
    </row>
    <row r="16" spans="1:37" hidden="1">
      <c r="A16" s="358">
        <f t="shared" si="3"/>
        <v>7</v>
      </c>
      <c r="B16" s="244" t="s">
        <v>122</v>
      </c>
      <c r="C16" s="8">
        <f>AE19</f>
        <v>150</v>
      </c>
      <c r="D16" s="8">
        <f>AE20</f>
        <v>135</v>
      </c>
      <c r="E16"/>
      <c r="G16" s="250" t="s">
        <v>2338</v>
      </c>
      <c r="H16" s="244" t="s">
        <v>123</v>
      </c>
      <c r="I16"/>
      <c r="J16" s="4"/>
      <c r="K16" s="34"/>
      <c r="N16" s="244" t="s">
        <v>2338</v>
      </c>
      <c r="O16" s="244" t="s">
        <v>124</v>
      </c>
      <c r="T16" s="354" t="s">
        <v>125</v>
      </c>
      <c r="U16" s="244" t="s">
        <v>126</v>
      </c>
      <c r="V16" s="244" t="s">
        <v>881</v>
      </c>
      <c r="W16" s="244" t="s">
        <v>2632</v>
      </c>
      <c r="X16" s="251" t="e">
        <f>#REF!</f>
        <v>#REF!</v>
      </c>
      <c r="Y16" s="8">
        <v>110</v>
      </c>
      <c r="Z16" s="251" t="e">
        <f>#REF!</f>
        <v>#REF!</v>
      </c>
      <c r="AA16" s="354">
        <v>0</v>
      </c>
      <c r="AB16" s="246">
        <v>0</v>
      </c>
      <c r="AC16" s="244" t="e">
        <f t="shared" si="1"/>
        <v>#REF!</v>
      </c>
      <c r="AD16" s="244" t="s">
        <v>2328</v>
      </c>
      <c r="AE16" s="8">
        <v>120</v>
      </c>
      <c r="AF16" s="251"/>
      <c r="AG16" s="251"/>
      <c r="AI16">
        <v>106.5</v>
      </c>
      <c r="AJ16" s="245">
        <v>1.1000000000000001</v>
      </c>
      <c r="AK16" s="245">
        <f t="shared" si="0"/>
        <v>117.15</v>
      </c>
    </row>
    <row r="17" spans="1:37" hidden="1">
      <c r="A17" s="358">
        <f t="shared" si="3"/>
        <v>8</v>
      </c>
      <c r="B17" s="244" t="s">
        <v>2329</v>
      </c>
      <c r="C17" s="8">
        <f>AE17</f>
        <v>130</v>
      </c>
      <c r="D17" s="8">
        <f>AE18</f>
        <v>120</v>
      </c>
      <c r="E17"/>
      <c r="H17" s="248" t="s">
        <v>1667</v>
      </c>
      <c r="I17"/>
      <c r="J17" s="4"/>
      <c r="K17" s="34"/>
      <c r="O17" s="244" t="s">
        <v>1062</v>
      </c>
      <c r="T17" s="354" t="s">
        <v>1063</v>
      </c>
      <c r="U17" s="244" t="s">
        <v>1064</v>
      </c>
      <c r="V17" s="244" t="s">
        <v>881</v>
      </c>
      <c r="W17" s="244" t="s">
        <v>2633</v>
      </c>
      <c r="X17" s="251" t="e">
        <f>X16</f>
        <v>#REF!</v>
      </c>
      <c r="Y17" s="8">
        <v>110</v>
      </c>
      <c r="Z17" s="251" t="e">
        <f>Z16</f>
        <v>#REF!</v>
      </c>
      <c r="AA17" s="354">
        <v>0</v>
      </c>
      <c r="AB17" s="246">
        <v>0</v>
      </c>
      <c r="AC17" s="244" t="e">
        <f t="shared" si="1"/>
        <v>#REF!</v>
      </c>
      <c r="AD17" s="244" t="s">
        <v>1065</v>
      </c>
      <c r="AE17" s="8">
        <v>130</v>
      </c>
      <c r="AF17" s="251"/>
      <c r="AG17" s="251"/>
      <c r="AI17">
        <v>98.5</v>
      </c>
      <c r="AJ17" s="245">
        <v>1.1000000000000001</v>
      </c>
      <c r="AK17" s="245">
        <f t="shared" si="0"/>
        <v>108.35</v>
      </c>
    </row>
    <row r="18" spans="1:37" hidden="1">
      <c r="A18" s="358">
        <f t="shared" si="3"/>
        <v>9</v>
      </c>
      <c r="B18" s="244" t="s">
        <v>1066</v>
      </c>
      <c r="C18" s="8">
        <f>AE24</f>
        <v>26</v>
      </c>
      <c r="D18" s="1" t="s">
        <v>1067</v>
      </c>
      <c r="E18"/>
      <c r="F18" s="251">
        <v>0.72</v>
      </c>
      <c r="G18" s="250" t="s">
        <v>876</v>
      </c>
      <c r="H18" s="244" t="s">
        <v>877</v>
      </c>
      <c r="I18" s="8">
        <f>(C67)</f>
        <v>3800</v>
      </c>
      <c r="J18" s="2" t="s">
        <v>876</v>
      </c>
      <c r="K18" s="6">
        <f>(F18*I18)</f>
        <v>2736</v>
      </c>
      <c r="O18" s="244" t="s">
        <v>1506</v>
      </c>
      <c r="T18" s="354" t="s">
        <v>1507</v>
      </c>
      <c r="U18" s="244" t="s">
        <v>2634</v>
      </c>
      <c r="V18" s="244" t="s">
        <v>1508</v>
      </c>
      <c r="W18" s="244" t="s">
        <v>2635</v>
      </c>
      <c r="X18" s="251" t="e">
        <f>#REF!</f>
        <v>#REF!</v>
      </c>
      <c r="Y18" s="8">
        <v>1950</v>
      </c>
      <c r="Z18" s="251" t="e">
        <f>#REF!</f>
        <v>#REF!</v>
      </c>
      <c r="AA18" s="354">
        <v>0</v>
      </c>
      <c r="AB18" s="246">
        <v>0</v>
      </c>
      <c r="AC18" s="244" t="e">
        <f t="shared" si="1"/>
        <v>#REF!</v>
      </c>
      <c r="AD18" s="244" t="s">
        <v>1509</v>
      </c>
      <c r="AE18" s="8">
        <v>120</v>
      </c>
      <c r="AF18" s="251"/>
      <c r="AG18" s="251"/>
      <c r="AI18">
        <v>148.5</v>
      </c>
      <c r="AJ18" s="245">
        <v>1.1000000000000001</v>
      </c>
      <c r="AK18" s="245">
        <f t="shared" si="0"/>
        <v>163.35</v>
      </c>
    </row>
    <row r="19" spans="1:37" hidden="1">
      <c r="A19" s="358">
        <f t="shared" si="3"/>
        <v>10</v>
      </c>
      <c r="B19" s="244" t="s">
        <v>1510</v>
      </c>
      <c r="C19" s="8">
        <v>17.600000000000001</v>
      </c>
      <c r="D19" s="1" t="s">
        <v>884</v>
      </c>
      <c r="E19"/>
      <c r="F19" s="251">
        <v>1</v>
      </c>
      <c r="G19" s="250" t="s">
        <v>884</v>
      </c>
      <c r="H19" s="244" t="s">
        <v>885</v>
      </c>
      <c r="I19" s="8" t="e">
        <f>(C78)</f>
        <v>#REF!</v>
      </c>
      <c r="J19" s="2" t="s">
        <v>884</v>
      </c>
      <c r="K19" s="6" t="e">
        <f>(F19*I19)</f>
        <v>#REF!</v>
      </c>
      <c r="O19" s="244" t="s">
        <v>75</v>
      </c>
      <c r="T19" s="354" t="s">
        <v>76</v>
      </c>
      <c r="U19" s="244" t="s">
        <v>77</v>
      </c>
      <c r="V19" s="244" t="s">
        <v>884</v>
      </c>
      <c r="W19" s="251" t="str">
        <f>W18</f>
        <v>Nerkundram</v>
      </c>
      <c r="X19" s="251" t="e">
        <f>#REF!</f>
        <v>#REF!</v>
      </c>
      <c r="Y19" s="8">
        <v>260</v>
      </c>
      <c r="Z19" s="251" t="e">
        <f>#REF!</f>
        <v>#REF!</v>
      </c>
      <c r="AA19" s="354">
        <v>0</v>
      </c>
      <c r="AB19" s="246">
        <v>0</v>
      </c>
      <c r="AC19" s="244" t="e">
        <f t="shared" si="1"/>
        <v>#REF!</v>
      </c>
      <c r="AD19" s="244" t="s">
        <v>78</v>
      </c>
      <c r="AE19" s="8">
        <v>150</v>
      </c>
      <c r="AF19" s="251"/>
      <c r="AG19" s="251"/>
      <c r="AI19">
        <v>126.5</v>
      </c>
      <c r="AJ19" s="245">
        <v>1.1000000000000001</v>
      </c>
      <c r="AK19" s="245">
        <f t="shared" si="0"/>
        <v>139.15</v>
      </c>
    </row>
    <row r="20" spans="1:37" hidden="1">
      <c r="A20" s="358">
        <f t="shared" si="3"/>
        <v>11</v>
      </c>
      <c r="B20" s="244" t="s">
        <v>376</v>
      </c>
      <c r="C20" s="8">
        <v>35.200000000000003</v>
      </c>
      <c r="D20" s="1" t="s">
        <v>884</v>
      </c>
      <c r="E20"/>
      <c r="F20" s="251">
        <v>1</v>
      </c>
      <c r="G20" s="250" t="s">
        <v>884</v>
      </c>
      <c r="H20" s="244" t="s">
        <v>889</v>
      </c>
      <c r="I20" s="8">
        <f>(C18)</f>
        <v>26</v>
      </c>
      <c r="J20" s="2" t="s">
        <v>884</v>
      </c>
      <c r="K20" s="6">
        <f>(F20*I20)</f>
        <v>26</v>
      </c>
      <c r="O20" s="244" t="s">
        <v>1078</v>
      </c>
      <c r="T20" s="354" t="s">
        <v>2048</v>
      </c>
      <c r="U20" s="244" t="s">
        <v>2049</v>
      </c>
      <c r="V20" s="244" t="s">
        <v>884</v>
      </c>
      <c r="W20" s="251" t="str">
        <f>W18</f>
        <v>Nerkundram</v>
      </c>
      <c r="X20" s="251" t="e">
        <f>X19</f>
        <v>#REF!</v>
      </c>
      <c r="Y20" s="8">
        <v>280</v>
      </c>
      <c r="Z20" s="251" t="e">
        <f>+Z19</f>
        <v>#REF!</v>
      </c>
      <c r="AA20" s="354">
        <v>0</v>
      </c>
      <c r="AB20" s="246">
        <v>0</v>
      </c>
      <c r="AC20" s="244" t="e">
        <f t="shared" si="1"/>
        <v>#REF!</v>
      </c>
      <c r="AD20" s="244" t="s">
        <v>2050</v>
      </c>
      <c r="AE20" s="8">
        <v>135</v>
      </c>
      <c r="AF20" s="251"/>
      <c r="AG20" s="251"/>
      <c r="AI20">
        <v>116.5</v>
      </c>
      <c r="AJ20" s="245">
        <v>1.1000000000000001</v>
      </c>
      <c r="AK20" s="245">
        <f t="shared" si="0"/>
        <v>128.15</v>
      </c>
    </row>
    <row r="21" spans="1:37" hidden="1">
      <c r="A21" s="358">
        <f t="shared" si="3"/>
        <v>12</v>
      </c>
      <c r="B21" s="244" t="s">
        <v>2349</v>
      </c>
      <c r="C21" s="8">
        <v>35.200000000000003</v>
      </c>
      <c r="D21" s="1" t="s">
        <v>884</v>
      </c>
      <c r="E21"/>
      <c r="G21" s="250" t="s">
        <v>448</v>
      </c>
      <c r="H21" s="244" t="s">
        <v>449</v>
      </c>
      <c r="I21" s="1" t="s">
        <v>995</v>
      </c>
      <c r="J21" s="2" t="s">
        <v>448</v>
      </c>
      <c r="K21" s="6">
        <v>0</v>
      </c>
      <c r="O21" s="248" t="s">
        <v>1667</v>
      </c>
      <c r="T21" s="354" t="s">
        <v>2350</v>
      </c>
      <c r="U21" s="244" t="s">
        <v>2351</v>
      </c>
      <c r="V21" s="244" t="s">
        <v>1508</v>
      </c>
      <c r="W21" s="244" t="s">
        <v>2352</v>
      </c>
      <c r="X21" s="251" t="e">
        <f>#REF!</f>
        <v>#REF!</v>
      </c>
      <c r="Y21" s="8">
        <v>4500</v>
      </c>
      <c r="Z21" s="251">
        <v>0</v>
      </c>
      <c r="AA21" s="354">
        <v>0</v>
      </c>
      <c r="AB21" s="246">
        <v>0</v>
      </c>
      <c r="AC21" s="244">
        <f t="shared" si="1"/>
        <v>4500</v>
      </c>
      <c r="AD21" s="244" t="s">
        <v>2353</v>
      </c>
      <c r="AE21" s="8">
        <v>120</v>
      </c>
      <c r="AF21" s="251"/>
      <c r="AG21" s="251"/>
      <c r="AI21">
        <v>106.5</v>
      </c>
      <c r="AJ21" s="245">
        <v>1.1000000000000001</v>
      </c>
      <c r="AK21" s="245">
        <f t="shared" si="0"/>
        <v>117.15</v>
      </c>
    </row>
    <row r="22" spans="1:37" hidden="1">
      <c r="A22" s="358">
        <f t="shared" si="3"/>
        <v>13</v>
      </c>
      <c r="B22" s="244" t="s">
        <v>1768</v>
      </c>
      <c r="C22" s="8">
        <v>26.45</v>
      </c>
      <c r="D22" s="1" t="s">
        <v>884</v>
      </c>
      <c r="E22"/>
      <c r="I22"/>
      <c r="J22" s="4"/>
      <c r="K22" s="6" t="s">
        <v>1667</v>
      </c>
      <c r="M22" s="251">
        <v>1</v>
      </c>
      <c r="N22" s="244" t="s">
        <v>884</v>
      </c>
      <c r="O22" s="244" t="s">
        <v>2075</v>
      </c>
      <c r="P22" s="251" t="e">
        <f>C78</f>
        <v>#REF!</v>
      </c>
      <c r="Q22" s="244" t="s">
        <v>884</v>
      </c>
      <c r="R22" s="251" t="e">
        <f>(M22*P22)</f>
        <v>#REF!</v>
      </c>
      <c r="T22" s="354" t="s">
        <v>2076</v>
      </c>
      <c r="U22" s="244" t="s">
        <v>2077</v>
      </c>
      <c r="V22" s="244" t="s">
        <v>881</v>
      </c>
      <c r="W22" s="359" t="s">
        <v>2636</v>
      </c>
      <c r="X22" s="251">
        <v>0</v>
      </c>
      <c r="Y22" s="8">
        <v>773</v>
      </c>
      <c r="Z22" s="251">
        <v>0</v>
      </c>
      <c r="AA22" s="354">
        <v>0</v>
      </c>
      <c r="AB22" s="246">
        <v>0</v>
      </c>
      <c r="AC22" s="244">
        <f t="shared" si="1"/>
        <v>773</v>
      </c>
      <c r="AD22" s="244" t="s">
        <v>2078</v>
      </c>
      <c r="AE22" s="8">
        <v>110</v>
      </c>
      <c r="AF22" s="251"/>
      <c r="AG22" s="251"/>
      <c r="AI22">
        <v>106.5</v>
      </c>
      <c r="AJ22" s="245">
        <v>1.1000000000000001</v>
      </c>
      <c r="AK22" s="245">
        <f t="shared" si="0"/>
        <v>117.15</v>
      </c>
    </row>
    <row r="23" spans="1:37" hidden="1">
      <c r="A23" s="358">
        <f t="shared" si="3"/>
        <v>14</v>
      </c>
      <c r="B23" s="244" t="s">
        <v>288</v>
      </c>
      <c r="C23" s="8">
        <v>52.85</v>
      </c>
      <c r="D23" s="1" t="s">
        <v>884</v>
      </c>
      <c r="E23"/>
      <c r="H23" s="244" t="s">
        <v>1578</v>
      </c>
      <c r="I23"/>
      <c r="J23" s="4"/>
      <c r="K23" s="6" t="e">
        <f>SUM(K18:K21)</f>
        <v>#REF!</v>
      </c>
      <c r="M23" s="251">
        <v>1</v>
      </c>
      <c r="N23" s="244" t="s">
        <v>884</v>
      </c>
      <c r="O23" s="244" t="s">
        <v>289</v>
      </c>
      <c r="P23" s="251" t="e">
        <f>C85</f>
        <v>#REF!</v>
      </c>
      <c r="Q23" s="244" t="s">
        <v>884</v>
      </c>
      <c r="R23" s="251" t="e">
        <f>(M23*P23)</f>
        <v>#REF!</v>
      </c>
      <c r="T23" s="354" t="s">
        <v>842</v>
      </c>
      <c r="U23" s="244" t="s">
        <v>843</v>
      </c>
      <c r="V23" s="244" t="s">
        <v>881</v>
      </c>
      <c r="W23" s="359" t="s">
        <v>2636</v>
      </c>
      <c r="X23" s="251" t="e">
        <f>#REF!</f>
        <v>#REF!</v>
      </c>
      <c r="Y23" s="8">
        <v>565</v>
      </c>
      <c r="Z23" s="251" t="e">
        <f>#REF!</f>
        <v>#REF!</v>
      </c>
      <c r="AA23" s="354">
        <v>0</v>
      </c>
      <c r="AB23" s="246">
        <v>0</v>
      </c>
      <c r="AC23" s="244" t="e">
        <f t="shared" si="1"/>
        <v>#REF!</v>
      </c>
      <c r="AD23" s="244" t="s">
        <v>844</v>
      </c>
      <c r="AE23" s="8">
        <v>120</v>
      </c>
      <c r="AF23" s="251"/>
      <c r="AG23" s="251"/>
      <c r="AI23">
        <v>26</v>
      </c>
      <c r="AJ23" s="245">
        <v>1.1000000000000001</v>
      </c>
      <c r="AK23" s="245">
        <f t="shared" si="0"/>
        <v>28.6</v>
      </c>
    </row>
    <row r="24" spans="1:37" hidden="1">
      <c r="A24" s="358">
        <f t="shared" si="3"/>
        <v>15</v>
      </c>
      <c r="B24" s="244" t="s">
        <v>845</v>
      </c>
      <c r="C24" s="8">
        <v>52.85</v>
      </c>
      <c r="D24" s="1" t="s">
        <v>884</v>
      </c>
      <c r="E24"/>
      <c r="I24"/>
      <c r="J24" s="4"/>
      <c r="K24" s="6" t="s">
        <v>1667</v>
      </c>
      <c r="M24" s="251">
        <v>1.5</v>
      </c>
      <c r="N24" s="244" t="s">
        <v>884</v>
      </c>
      <c r="O24" s="244" t="s">
        <v>1872</v>
      </c>
      <c r="P24" s="251">
        <f>C18</f>
        <v>26</v>
      </c>
      <c r="Q24" s="244" t="s">
        <v>884</v>
      </c>
      <c r="R24" s="251">
        <f>(M24*P24)</f>
        <v>39</v>
      </c>
      <c r="T24" s="354" t="s">
        <v>1873</v>
      </c>
      <c r="U24" s="244" t="s">
        <v>2</v>
      </c>
      <c r="V24" s="244" t="s">
        <v>881</v>
      </c>
      <c r="W24" s="244" t="s">
        <v>1874</v>
      </c>
      <c r="X24" s="245">
        <v>0</v>
      </c>
      <c r="Y24" s="8">
        <v>20605</v>
      </c>
      <c r="Z24" s="245">
        <v>0</v>
      </c>
      <c r="AA24" s="197">
        <v>0</v>
      </c>
      <c r="AB24" s="246">
        <v>0</v>
      </c>
      <c r="AC24" s="244">
        <f t="shared" si="1"/>
        <v>20605</v>
      </c>
      <c r="AD24" s="244" t="s">
        <v>1875</v>
      </c>
      <c r="AE24" s="8">
        <v>26</v>
      </c>
      <c r="AF24" s="251"/>
      <c r="AG24" s="251"/>
      <c r="AI24">
        <v>20.7</v>
      </c>
      <c r="AJ24" s="245">
        <v>1.1000000000000001</v>
      </c>
      <c r="AK24" s="245">
        <f t="shared" si="0"/>
        <v>22.77</v>
      </c>
    </row>
    <row r="25" spans="1:37" hidden="1">
      <c r="A25" s="358">
        <f t="shared" si="3"/>
        <v>16</v>
      </c>
      <c r="B25" s="244" t="s">
        <v>1876</v>
      </c>
      <c r="C25" s="8">
        <f>AE25</f>
        <v>20.7</v>
      </c>
      <c r="D25" s="1" t="s">
        <v>884</v>
      </c>
      <c r="E25"/>
      <c r="G25" s="250" t="s">
        <v>2338</v>
      </c>
      <c r="H25" s="244" t="s">
        <v>1414</v>
      </c>
      <c r="I25"/>
      <c r="J25" s="4"/>
      <c r="K25" s="34"/>
      <c r="M25" s="251">
        <v>1.5</v>
      </c>
      <c r="N25" s="244" t="s">
        <v>884</v>
      </c>
      <c r="O25" s="244" t="s">
        <v>1415</v>
      </c>
      <c r="P25" s="251">
        <f>C27</f>
        <v>7.8</v>
      </c>
      <c r="Q25" s="244" t="s">
        <v>884</v>
      </c>
      <c r="R25" s="251">
        <f>(M25*P25)</f>
        <v>11.7</v>
      </c>
      <c r="T25" s="354" t="s">
        <v>1416</v>
      </c>
      <c r="U25" s="244" t="s">
        <v>1417</v>
      </c>
      <c r="V25" s="244" t="s">
        <v>881</v>
      </c>
      <c r="W25" s="359" t="s">
        <v>1874</v>
      </c>
      <c r="X25" s="245">
        <v>0</v>
      </c>
      <c r="Y25" s="8">
        <v>23685</v>
      </c>
      <c r="Z25" s="245">
        <v>0</v>
      </c>
      <c r="AA25" s="197">
        <v>0</v>
      </c>
      <c r="AB25" s="246">
        <v>0</v>
      </c>
      <c r="AC25" s="244">
        <f t="shared" si="1"/>
        <v>23685</v>
      </c>
      <c r="AD25" s="244" t="s">
        <v>296</v>
      </c>
      <c r="AE25" s="8">
        <v>20.7</v>
      </c>
      <c r="AF25" s="251"/>
      <c r="AG25" s="251"/>
      <c r="AI25">
        <v>15.6</v>
      </c>
      <c r="AJ25" s="245">
        <v>1.1000000000000001</v>
      </c>
      <c r="AK25" s="245">
        <f t="shared" si="0"/>
        <v>17.16</v>
      </c>
    </row>
    <row r="26" spans="1:37" hidden="1">
      <c r="A26" s="358">
        <f t="shared" si="3"/>
        <v>17</v>
      </c>
      <c r="B26" s="244" t="s">
        <v>1109</v>
      </c>
      <c r="C26" s="8">
        <f>+AE28</f>
        <v>8.8000000000000007</v>
      </c>
      <c r="D26" s="1" t="s">
        <v>2120</v>
      </c>
      <c r="E26"/>
      <c r="H26" s="248" t="s">
        <v>1667</v>
      </c>
      <c r="I26"/>
      <c r="J26" s="4"/>
      <c r="K26" s="34"/>
      <c r="N26" s="244" t="s">
        <v>448</v>
      </c>
      <c r="O26" s="244" t="s">
        <v>449</v>
      </c>
      <c r="P26" s="244" t="s">
        <v>995</v>
      </c>
      <c r="Q26" s="244" t="s">
        <v>448</v>
      </c>
      <c r="R26" s="251">
        <v>0</v>
      </c>
      <c r="T26" s="354" t="s">
        <v>2121</v>
      </c>
      <c r="U26" s="244" t="s">
        <v>2637</v>
      </c>
      <c r="V26" s="244" t="s">
        <v>881</v>
      </c>
      <c r="W26" s="359" t="s">
        <v>1874</v>
      </c>
      <c r="X26" s="245">
        <v>0</v>
      </c>
      <c r="Y26" s="8">
        <v>65420</v>
      </c>
      <c r="Z26" s="245">
        <v>0</v>
      </c>
      <c r="AA26" s="197">
        <v>0</v>
      </c>
      <c r="AB26" s="246">
        <v>0</v>
      </c>
      <c r="AC26" s="244">
        <f t="shared" si="1"/>
        <v>65420</v>
      </c>
      <c r="AD26" s="244" t="s">
        <v>1551</v>
      </c>
      <c r="AE26" s="8">
        <v>15.6</v>
      </c>
      <c r="AF26" s="251"/>
      <c r="AG26" s="251"/>
      <c r="AI26">
        <v>7.8</v>
      </c>
      <c r="AJ26" s="245">
        <v>1.1000000000000001</v>
      </c>
      <c r="AK26" s="245">
        <f t="shared" si="0"/>
        <v>8.58</v>
      </c>
    </row>
    <row r="27" spans="1:37" hidden="1">
      <c r="A27" s="358">
        <f t="shared" si="3"/>
        <v>18</v>
      </c>
      <c r="B27" s="244" t="s">
        <v>1552</v>
      </c>
      <c r="C27" s="8">
        <f>+AE27</f>
        <v>7.8</v>
      </c>
      <c r="D27" s="1" t="s">
        <v>2120</v>
      </c>
      <c r="E27"/>
      <c r="F27" s="251">
        <v>0.48</v>
      </c>
      <c r="G27" s="250" t="s">
        <v>876</v>
      </c>
      <c r="H27" s="244" t="s">
        <v>877</v>
      </c>
      <c r="I27" s="8">
        <f>(C67)</f>
        <v>3800</v>
      </c>
      <c r="J27" s="2" t="s">
        <v>876</v>
      </c>
      <c r="K27" s="6">
        <f>(F27*I27)</f>
        <v>1824</v>
      </c>
      <c r="R27" s="248" t="s">
        <v>1667</v>
      </c>
      <c r="T27" s="354" t="s">
        <v>1553</v>
      </c>
      <c r="U27" s="244" t="s">
        <v>2638</v>
      </c>
      <c r="V27" s="244" t="s">
        <v>881</v>
      </c>
      <c r="W27" s="359" t="s">
        <v>1874</v>
      </c>
      <c r="X27" s="245">
        <v>0</v>
      </c>
      <c r="Y27" s="8">
        <v>57165</v>
      </c>
      <c r="Z27" s="245">
        <v>0</v>
      </c>
      <c r="AA27" s="197">
        <v>0</v>
      </c>
      <c r="AB27" s="246">
        <v>0</v>
      </c>
      <c r="AC27" s="244">
        <f t="shared" si="1"/>
        <v>57165</v>
      </c>
      <c r="AD27" s="244" t="s">
        <v>1554</v>
      </c>
      <c r="AE27" s="8">
        <v>7.8</v>
      </c>
      <c r="AF27" s="251"/>
      <c r="AG27" s="251"/>
      <c r="AI27">
        <v>8.8000000000000007</v>
      </c>
      <c r="AJ27" s="245">
        <v>1.1000000000000001</v>
      </c>
      <c r="AK27" s="245">
        <f t="shared" si="0"/>
        <v>9.68</v>
      </c>
    </row>
    <row r="28" spans="1:37" hidden="1">
      <c r="A28" s="358">
        <f t="shared" si="3"/>
        <v>19</v>
      </c>
      <c r="B28" s="244" t="s">
        <v>2639</v>
      </c>
      <c r="C28" s="8">
        <v>58.33</v>
      </c>
      <c r="D28" s="1" t="s">
        <v>448</v>
      </c>
      <c r="E28"/>
      <c r="F28" s="251">
        <v>1</v>
      </c>
      <c r="G28" s="250" t="s">
        <v>884</v>
      </c>
      <c r="H28" s="244" t="s">
        <v>885</v>
      </c>
      <c r="I28" s="8" t="e">
        <f>(C78)</f>
        <v>#REF!</v>
      </c>
      <c r="J28" s="2" t="s">
        <v>884</v>
      </c>
      <c r="K28" s="6" t="e">
        <f>(F28*I28)</f>
        <v>#REF!</v>
      </c>
      <c r="O28" s="244" t="s">
        <v>172</v>
      </c>
      <c r="R28" s="251" t="e">
        <f>SUM(R22:R26)</f>
        <v>#REF!</v>
      </c>
      <c r="T28" s="354" t="s">
        <v>901</v>
      </c>
      <c r="U28" s="244" t="s">
        <v>2640</v>
      </c>
      <c r="V28" s="244" t="s">
        <v>881</v>
      </c>
      <c r="W28" s="359" t="s">
        <v>1874</v>
      </c>
      <c r="X28" s="245">
        <v>0</v>
      </c>
      <c r="Y28" s="8">
        <v>63870</v>
      </c>
      <c r="Z28" s="245">
        <v>0</v>
      </c>
      <c r="AA28" s="197">
        <v>0</v>
      </c>
      <c r="AB28" s="246">
        <v>0</v>
      </c>
      <c r="AC28" s="244">
        <f t="shared" si="1"/>
        <v>63870</v>
      </c>
      <c r="AD28" s="244" t="s">
        <v>2358</v>
      </c>
      <c r="AE28" s="8">
        <v>8.8000000000000007</v>
      </c>
      <c r="AF28" s="251"/>
      <c r="AG28" s="251"/>
      <c r="AI28">
        <v>25</v>
      </c>
      <c r="AJ28" s="245">
        <v>1.1000000000000001</v>
      </c>
      <c r="AK28" s="245">
        <f t="shared" si="0"/>
        <v>27.5</v>
      </c>
    </row>
    <row r="29" spans="1:37" hidden="1">
      <c r="A29" s="358">
        <f t="shared" si="3"/>
        <v>20</v>
      </c>
      <c r="B29" s="244" t="s">
        <v>780</v>
      </c>
      <c r="C29" s="8">
        <f>AE23</f>
        <v>120</v>
      </c>
      <c r="D29" s="1" t="s">
        <v>781</v>
      </c>
      <c r="E29"/>
      <c r="F29" s="251">
        <v>1</v>
      </c>
      <c r="G29" s="250" t="s">
        <v>884</v>
      </c>
      <c r="H29" s="244" t="s">
        <v>889</v>
      </c>
      <c r="I29" s="8">
        <f>(C18)</f>
        <v>26</v>
      </c>
      <c r="J29" s="2" t="s">
        <v>884</v>
      </c>
      <c r="K29" s="6">
        <f>(F29*I29)</f>
        <v>26</v>
      </c>
      <c r="R29" s="248" t="s">
        <v>1667</v>
      </c>
      <c r="T29" s="354" t="s">
        <v>782</v>
      </c>
      <c r="U29" s="244" t="s">
        <v>783</v>
      </c>
      <c r="V29" s="244" t="s">
        <v>1508</v>
      </c>
      <c r="W29" s="251" t="str">
        <f>W18</f>
        <v>Nerkundram</v>
      </c>
      <c r="X29" s="251" t="e">
        <f>X18</f>
        <v>#REF!</v>
      </c>
      <c r="Y29" s="8">
        <v>1470</v>
      </c>
      <c r="Z29" s="251" t="e">
        <f>Z18</f>
        <v>#REF!</v>
      </c>
      <c r="AA29" s="197">
        <v>0</v>
      </c>
      <c r="AB29" s="246">
        <v>0</v>
      </c>
      <c r="AC29" s="244" t="e">
        <f t="shared" si="1"/>
        <v>#REF!</v>
      </c>
      <c r="AD29" s="244" t="s">
        <v>2641</v>
      </c>
      <c r="AE29" s="8">
        <v>25</v>
      </c>
      <c r="AF29" s="251"/>
      <c r="AG29" s="251"/>
      <c r="AI29">
        <v>342</v>
      </c>
      <c r="AJ29" s="245">
        <v>1.1000000000000001</v>
      </c>
      <c r="AK29" s="245">
        <f t="shared" si="0"/>
        <v>376.2</v>
      </c>
    </row>
    <row r="30" spans="1:37" hidden="1">
      <c r="A30" s="358">
        <f t="shared" si="3"/>
        <v>21</v>
      </c>
      <c r="B30" s="244" t="s">
        <v>784</v>
      </c>
      <c r="C30" s="8">
        <f>AE33</f>
        <v>3035</v>
      </c>
      <c r="D30" s="8">
        <f>AE31</f>
        <v>287</v>
      </c>
      <c r="E30"/>
      <c r="G30" s="250" t="s">
        <v>448</v>
      </c>
      <c r="H30" s="244" t="s">
        <v>449</v>
      </c>
      <c r="I30" s="1" t="s">
        <v>995</v>
      </c>
      <c r="J30" s="2" t="s">
        <v>448</v>
      </c>
      <c r="K30" s="6">
        <v>0</v>
      </c>
      <c r="O30" s="244" t="s">
        <v>785</v>
      </c>
      <c r="R30" s="251" t="e">
        <f>(R28/1.5)</f>
        <v>#REF!</v>
      </c>
      <c r="T30" s="354" t="s">
        <v>2243</v>
      </c>
      <c r="U30" s="244" t="s">
        <v>17</v>
      </c>
      <c r="V30" s="244" t="s">
        <v>1508</v>
      </c>
      <c r="W30" s="359" t="s">
        <v>1874</v>
      </c>
      <c r="X30" s="251">
        <v>0</v>
      </c>
      <c r="Y30" s="8">
        <v>8240</v>
      </c>
      <c r="Z30" s="251">
        <v>0</v>
      </c>
      <c r="AA30" s="354">
        <v>0</v>
      </c>
      <c r="AB30" s="246">
        <v>0</v>
      </c>
      <c r="AC30" s="244">
        <f t="shared" si="1"/>
        <v>8240</v>
      </c>
      <c r="AD30" s="244" t="s">
        <v>2642</v>
      </c>
      <c r="AE30" s="8">
        <v>342</v>
      </c>
      <c r="AF30" s="251"/>
      <c r="AG30" s="251"/>
      <c r="AI30">
        <v>287</v>
      </c>
      <c r="AJ30" s="245">
        <v>1.1000000000000001</v>
      </c>
      <c r="AK30" s="245">
        <f t="shared" si="0"/>
        <v>315.7</v>
      </c>
    </row>
    <row r="31" spans="1:37" hidden="1">
      <c r="A31" s="358">
        <f t="shared" si="3"/>
        <v>22</v>
      </c>
      <c r="B31" s="244" t="s">
        <v>18</v>
      </c>
      <c r="C31" s="8">
        <f>AE30</f>
        <v>342</v>
      </c>
      <c r="D31" s="8">
        <f>AE32</f>
        <v>320</v>
      </c>
      <c r="E31"/>
      <c r="I31"/>
      <c r="J31" s="4"/>
      <c r="K31" s="6" t="s">
        <v>1667</v>
      </c>
      <c r="O31" s="244" t="s">
        <v>246</v>
      </c>
      <c r="R31" s="248" t="s">
        <v>2130</v>
      </c>
      <c r="T31" s="354" t="s">
        <v>19</v>
      </c>
      <c r="U31" s="244" t="s">
        <v>20</v>
      </c>
      <c r="V31" s="244" t="s">
        <v>876</v>
      </c>
      <c r="W31" s="244" t="s">
        <v>1874</v>
      </c>
      <c r="X31" s="251">
        <v>0</v>
      </c>
      <c r="Y31" s="8">
        <v>3800</v>
      </c>
      <c r="Z31" s="251">
        <v>0</v>
      </c>
      <c r="AA31" s="354">
        <v>0</v>
      </c>
      <c r="AB31" s="246">
        <v>0</v>
      </c>
      <c r="AC31" s="244">
        <v>3800</v>
      </c>
      <c r="AD31" s="244" t="s">
        <v>2643</v>
      </c>
      <c r="AE31" s="8">
        <v>287</v>
      </c>
      <c r="AF31" s="251"/>
      <c r="AG31" s="251"/>
      <c r="AI31">
        <v>320</v>
      </c>
      <c r="AJ31" s="245">
        <v>1.1000000000000001</v>
      </c>
      <c r="AK31" s="245">
        <f t="shared" si="0"/>
        <v>352</v>
      </c>
    </row>
    <row r="32" spans="1:37" hidden="1">
      <c r="A32" s="358">
        <f t="shared" si="3"/>
        <v>23</v>
      </c>
      <c r="B32" s="244" t="s">
        <v>1877</v>
      </c>
      <c r="C32" s="8">
        <v>2.5</v>
      </c>
      <c r="D32" s="8">
        <f>AE34</f>
        <v>267</v>
      </c>
      <c r="E32"/>
      <c r="H32" s="244" t="s">
        <v>1578</v>
      </c>
      <c r="I32"/>
      <c r="J32" s="4"/>
      <c r="K32" s="6" t="e">
        <f>SUM(K27:K30)</f>
        <v>#REF!</v>
      </c>
      <c r="T32" s="354" t="s">
        <v>1878</v>
      </c>
      <c r="U32" s="244" t="s">
        <v>1879</v>
      </c>
      <c r="V32" s="244" t="s">
        <v>876</v>
      </c>
      <c r="W32" s="244" t="s">
        <v>2352</v>
      </c>
      <c r="X32" s="251">
        <v>0</v>
      </c>
      <c r="Y32" s="8">
        <v>28000</v>
      </c>
      <c r="Z32" s="251">
        <v>0</v>
      </c>
      <c r="AA32" s="354">
        <v>0</v>
      </c>
      <c r="AB32" s="246">
        <v>0</v>
      </c>
      <c r="AC32" s="244">
        <f t="shared" ref="AC32:AC38" si="4">SUM(Y32+Z32+AA32+AB32)</f>
        <v>28000</v>
      </c>
      <c r="AD32" s="244" t="s">
        <v>2644</v>
      </c>
      <c r="AE32" s="8">
        <v>320</v>
      </c>
      <c r="AF32" s="251"/>
      <c r="AG32" s="251"/>
      <c r="AI32">
        <v>3035</v>
      </c>
      <c r="AJ32" s="245">
        <v>1.1000000000000001</v>
      </c>
      <c r="AK32" s="245">
        <f t="shared" si="0"/>
        <v>3338.5</v>
      </c>
    </row>
    <row r="33" spans="1:37" hidden="1">
      <c r="A33" s="358">
        <f t="shared" si="3"/>
        <v>24</v>
      </c>
      <c r="B33" s="244" t="s">
        <v>443</v>
      </c>
      <c r="C33" s="8">
        <v>3.64</v>
      </c>
      <c r="D33" s="8">
        <f>AE35</f>
        <v>240</v>
      </c>
      <c r="E33"/>
      <c r="I33"/>
      <c r="J33" s="4"/>
      <c r="K33" s="6" t="s">
        <v>1667</v>
      </c>
      <c r="T33" s="360" t="s">
        <v>444</v>
      </c>
      <c r="U33" s="244" t="s">
        <v>1478</v>
      </c>
      <c r="V33" s="244" t="s">
        <v>876</v>
      </c>
      <c r="W33" s="244" t="s">
        <v>2352</v>
      </c>
      <c r="X33" s="251">
        <v>0</v>
      </c>
      <c r="Y33" s="8">
        <v>26500</v>
      </c>
      <c r="Z33" s="251">
        <v>0</v>
      </c>
      <c r="AA33" s="354">
        <v>0</v>
      </c>
      <c r="AB33" s="246">
        <v>0</v>
      </c>
      <c r="AC33" s="244">
        <f t="shared" si="4"/>
        <v>26500</v>
      </c>
      <c r="AD33" s="244" t="s">
        <v>2645</v>
      </c>
      <c r="AE33" s="8">
        <v>3035</v>
      </c>
      <c r="AF33" s="251"/>
      <c r="AG33" s="251"/>
      <c r="AI33">
        <v>267</v>
      </c>
      <c r="AJ33" s="245">
        <v>1.1000000000000001</v>
      </c>
      <c r="AK33" s="245">
        <f t="shared" si="0"/>
        <v>293.7</v>
      </c>
    </row>
    <row r="34" spans="1:37" hidden="1">
      <c r="A34" s="358">
        <f t="shared" si="3"/>
        <v>25</v>
      </c>
      <c r="B34" s="244" t="s">
        <v>1479</v>
      </c>
      <c r="C34" s="8">
        <v>30000</v>
      </c>
      <c r="D34" s="8">
        <v>30000</v>
      </c>
      <c r="E34"/>
      <c r="G34" s="250" t="s">
        <v>2338</v>
      </c>
      <c r="H34" s="244" t="s">
        <v>1364</v>
      </c>
      <c r="I34"/>
      <c r="J34" s="4"/>
      <c r="K34" s="34"/>
      <c r="T34" s="360" t="s">
        <v>1480</v>
      </c>
      <c r="U34" s="244" t="s">
        <v>1481</v>
      </c>
      <c r="V34" s="244" t="s">
        <v>1508</v>
      </c>
      <c r="W34" s="251" t="str">
        <f>W18</f>
        <v>Nerkundram</v>
      </c>
      <c r="X34" s="251" t="e">
        <f>X18</f>
        <v>#REF!</v>
      </c>
      <c r="Y34" s="8">
        <f>Y29</f>
        <v>1470</v>
      </c>
      <c r="Z34" s="251" t="e">
        <f>Z29</f>
        <v>#REF!</v>
      </c>
      <c r="AA34" s="354">
        <v>0</v>
      </c>
      <c r="AB34" s="246">
        <v>0</v>
      </c>
      <c r="AC34" s="244" t="e">
        <f t="shared" si="4"/>
        <v>#REF!</v>
      </c>
      <c r="AD34" s="244" t="s">
        <v>2646</v>
      </c>
      <c r="AE34" s="8">
        <v>267</v>
      </c>
      <c r="AF34" s="251"/>
      <c r="AG34" s="251"/>
      <c r="AI34">
        <v>240</v>
      </c>
      <c r="AJ34" s="245">
        <v>1.1000000000000001</v>
      </c>
      <c r="AK34" s="245">
        <f t="shared" si="0"/>
        <v>264</v>
      </c>
    </row>
    <row r="35" spans="1:37" hidden="1">
      <c r="A35" s="358">
        <f t="shared" si="3"/>
        <v>26</v>
      </c>
      <c r="B35" s="244" t="s">
        <v>2647</v>
      </c>
      <c r="C35" s="8">
        <f>AC38</f>
        <v>169</v>
      </c>
      <c r="D35"/>
      <c r="E35"/>
      <c r="F35" s="251">
        <v>0.36</v>
      </c>
      <c r="G35" s="250" t="s">
        <v>876</v>
      </c>
      <c r="H35" s="244" t="s">
        <v>877</v>
      </c>
      <c r="I35" s="8">
        <f>C67</f>
        <v>3800</v>
      </c>
      <c r="J35" s="2" t="s">
        <v>876</v>
      </c>
      <c r="K35" s="6">
        <f>(F35*I35)</f>
        <v>1368</v>
      </c>
      <c r="T35" s="354" t="s">
        <v>1482</v>
      </c>
      <c r="U35" s="244" t="s">
        <v>398</v>
      </c>
      <c r="V35" s="244" t="s">
        <v>881</v>
      </c>
      <c r="W35" s="244" t="str">
        <f>W11</f>
        <v>Pallavaram</v>
      </c>
      <c r="X35" s="251">
        <v>18</v>
      </c>
      <c r="Y35" s="361">
        <v>278</v>
      </c>
      <c r="Z35" s="251" t="e">
        <f>Z11</f>
        <v>#REF!</v>
      </c>
      <c r="AA35" s="354">
        <v>0</v>
      </c>
      <c r="AB35" s="246">
        <v>0</v>
      </c>
      <c r="AC35" s="244" t="e">
        <f t="shared" si="4"/>
        <v>#REF!</v>
      </c>
      <c r="AD35" s="244" t="s">
        <v>2648</v>
      </c>
      <c r="AE35" s="8">
        <v>240</v>
      </c>
      <c r="AF35" s="251"/>
      <c r="AG35" s="251"/>
      <c r="AI35">
        <v>37.299999999999997</v>
      </c>
      <c r="AJ35" s="245">
        <v>1.1000000000000001</v>
      </c>
      <c r="AK35" s="245">
        <f t="shared" si="0"/>
        <v>41.03</v>
      </c>
    </row>
    <row r="36" spans="1:37" hidden="1">
      <c r="B36" s="244" t="s">
        <v>760</v>
      </c>
      <c r="C36" s="8">
        <v>2.6</v>
      </c>
      <c r="D36"/>
      <c r="E36"/>
      <c r="F36" s="251">
        <v>1</v>
      </c>
      <c r="G36" s="250" t="s">
        <v>884</v>
      </c>
      <c r="H36" s="244" t="s">
        <v>885</v>
      </c>
      <c r="I36" s="8" t="e">
        <f>C78</f>
        <v>#REF!</v>
      </c>
      <c r="J36" s="2" t="s">
        <v>884</v>
      </c>
      <c r="K36" s="6" t="e">
        <f>(F36*I36)</f>
        <v>#REF!</v>
      </c>
      <c r="T36" s="354" t="s">
        <v>230</v>
      </c>
      <c r="U36" s="244" t="s">
        <v>397</v>
      </c>
      <c r="V36" s="244" t="s">
        <v>881</v>
      </c>
      <c r="W36" s="244" t="str">
        <f>W12</f>
        <v>Pallavaram</v>
      </c>
      <c r="X36" s="251">
        <v>18</v>
      </c>
      <c r="Y36" s="361">
        <v>334.5</v>
      </c>
      <c r="Z36" s="251" t="e">
        <f>Z12</f>
        <v>#REF!</v>
      </c>
      <c r="AA36" s="354">
        <v>0</v>
      </c>
      <c r="AB36" s="246">
        <v>0</v>
      </c>
      <c r="AC36" s="244" t="e">
        <f t="shared" si="4"/>
        <v>#REF!</v>
      </c>
      <c r="AD36" s="244" t="s">
        <v>2649</v>
      </c>
      <c r="AE36" s="6">
        <v>37.299999999999997</v>
      </c>
      <c r="AF36" s="252"/>
      <c r="AG36" s="252"/>
      <c r="AI36">
        <v>95.5</v>
      </c>
      <c r="AJ36" s="245">
        <v>1.1000000000000001</v>
      </c>
      <c r="AK36" s="245">
        <f t="shared" si="0"/>
        <v>105.05</v>
      </c>
    </row>
    <row r="37" spans="1:37" hidden="1">
      <c r="C37"/>
      <c r="D37"/>
      <c r="E37"/>
      <c r="F37" s="251">
        <v>1</v>
      </c>
      <c r="G37" s="250" t="s">
        <v>884</v>
      </c>
      <c r="H37" s="244" t="s">
        <v>889</v>
      </c>
      <c r="I37" s="8">
        <f>C18</f>
        <v>26</v>
      </c>
      <c r="J37" s="2" t="s">
        <v>884</v>
      </c>
      <c r="K37" s="6">
        <f>(F37*I37)</f>
        <v>26</v>
      </c>
      <c r="T37" s="354" t="s">
        <v>1759</v>
      </c>
      <c r="U37" s="244" t="s">
        <v>415</v>
      </c>
      <c r="V37" s="244" t="s">
        <v>881</v>
      </c>
      <c r="W37" s="244" t="str">
        <f>W13</f>
        <v>Pallavaram</v>
      </c>
      <c r="X37" s="251">
        <v>18</v>
      </c>
      <c r="Y37" s="361">
        <v>278.5</v>
      </c>
      <c r="Z37" s="251" t="e">
        <f>Z13</f>
        <v>#REF!</v>
      </c>
      <c r="AA37" s="354">
        <v>0</v>
      </c>
      <c r="AB37" s="246">
        <v>0</v>
      </c>
      <c r="AC37" s="244" t="e">
        <f t="shared" si="4"/>
        <v>#REF!</v>
      </c>
      <c r="AD37" s="244" t="s">
        <v>2650</v>
      </c>
      <c r="AE37" s="8">
        <v>120</v>
      </c>
      <c r="AF37" s="251"/>
      <c r="AG37" s="251"/>
    </row>
    <row r="38" spans="1:37" hidden="1">
      <c r="A38" s="358">
        <f>(A35+1)</f>
        <v>27</v>
      </c>
      <c r="B38" s="244" t="s">
        <v>1760</v>
      </c>
      <c r="C38" s="8">
        <v>40</v>
      </c>
      <c r="D38" s="1" t="s">
        <v>883</v>
      </c>
      <c r="E38"/>
      <c r="G38" s="250" t="s">
        <v>448</v>
      </c>
      <c r="H38" s="244" t="s">
        <v>449</v>
      </c>
      <c r="I38" s="1" t="s">
        <v>995</v>
      </c>
      <c r="J38" s="2" t="s">
        <v>448</v>
      </c>
      <c r="K38" s="6">
        <v>0</v>
      </c>
      <c r="T38" s="354" t="s">
        <v>210</v>
      </c>
      <c r="U38" s="244" t="s">
        <v>211</v>
      </c>
      <c r="V38" s="244" t="s">
        <v>881</v>
      </c>
      <c r="W38" s="244" t="s">
        <v>2651</v>
      </c>
      <c r="X38" s="251">
        <v>20</v>
      </c>
      <c r="Y38" s="6">
        <v>83</v>
      </c>
      <c r="Z38" s="251">
        <v>86</v>
      </c>
      <c r="AA38" s="354">
        <v>0</v>
      </c>
      <c r="AB38" s="246">
        <v>0</v>
      </c>
      <c r="AC38" s="244">
        <f t="shared" si="4"/>
        <v>169</v>
      </c>
      <c r="AD38" s="244" t="s">
        <v>995</v>
      </c>
      <c r="AE38" s="6"/>
      <c r="AG38" s="244" t="s">
        <v>2346</v>
      </c>
    </row>
    <row r="39" spans="1:37" hidden="1">
      <c r="A39" s="358">
        <f t="shared" ref="A39:A58" si="5">(A38+1)</f>
        <v>28</v>
      </c>
      <c r="B39" s="244" t="s">
        <v>212</v>
      </c>
      <c r="C39" s="8">
        <v>41</v>
      </c>
      <c r="D39" s="8">
        <v>500</v>
      </c>
      <c r="E39"/>
      <c r="I39"/>
      <c r="J39" s="4"/>
      <c r="K39" s="6" t="s">
        <v>1667</v>
      </c>
      <c r="T39" s="197"/>
      <c r="AA39" s="197"/>
      <c r="AG39" s="244" t="s">
        <v>2346</v>
      </c>
    </row>
    <row r="40" spans="1:37" hidden="1">
      <c r="A40" s="358">
        <f t="shared" si="5"/>
        <v>29</v>
      </c>
      <c r="B40" s="244" t="s">
        <v>1035</v>
      </c>
      <c r="C40" s="8">
        <v>28</v>
      </c>
      <c r="D40" s="8">
        <f>95+95*0.11</f>
        <v>105.45</v>
      </c>
      <c r="E40"/>
      <c r="H40" s="244" t="s">
        <v>1578</v>
      </c>
      <c r="I40"/>
      <c r="J40" s="4"/>
      <c r="K40" s="6" t="e">
        <f>SUM(K35:K38)</f>
        <v>#REF!</v>
      </c>
      <c r="T40" s="248" t="s">
        <v>1667</v>
      </c>
      <c r="U40" s="248" t="s">
        <v>1667</v>
      </c>
      <c r="V40" s="248" t="s">
        <v>1667</v>
      </c>
      <c r="W40" s="248" t="s">
        <v>1667</v>
      </c>
      <c r="X40" s="248" t="s">
        <v>1667</v>
      </c>
      <c r="Y40" s="248" t="s">
        <v>1667</v>
      </c>
      <c r="Z40" s="248" t="s">
        <v>1667</v>
      </c>
      <c r="AA40" s="248" t="s">
        <v>1667</v>
      </c>
      <c r="AB40" s="248" t="s">
        <v>1667</v>
      </c>
      <c r="AC40" s="248" t="s">
        <v>1667</v>
      </c>
      <c r="AD40" s="248" t="s">
        <v>1667</v>
      </c>
      <c r="AE40" s="248" t="s">
        <v>1667</v>
      </c>
      <c r="AF40" s="248"/>
      <c r="AG40" s="244" t="s">
        <v>2346</v>
      </c>
    </row>
    <row r="41" spans="1:37" ht="47.25" hidden="1" customHeight="1">
      <c r="A41" s="358">
        <f t="shared" si="5"/>
        <v>30</v>
      </c>
      <c r="B41" s="244" t="s">
        <v>1852</v>
      </c>
      <c r="C41" s="8">
        <f>AE22</f>
        <v>110</v>
      </c>
      <c r="D41" s="1" t="s">
        <v>781</v>
      </c>
      <c r="E41"/>
      <c r="I41"/>
      <c r="J41" s="4"/>
      <c r="K41" s="6" t="s">
        <v>1667</v>
      </c>
      <c r="U41" s="362"/>
      <c r="Y41" s="244" t="s">
        <v>995</v>
      </c>
      <c r="AG41" s="244" t="s">
        <v>2346</v>
      </c>
    </row>
    <row r="42" spans="1:37" hidden="1">
      <c r="A42" s="358">
        <f t="shared" si="5"/>
        <v>31</v>
      </c>
      <c r="B42" s="244" t="s">
        <v>1853</v>
      </c>
      <c r="C42" s="8">
        <v>1.75</v>
      </c>
      <c r="D42" s="1" t="s">
        <v>1854</v>
      </c>
      <c r="E42"/>
      <c r="G42" s="250" t="s">
        <v>2338</v>
      </c>
      <c r="H42" s="244" t="s">
        <v>1710</v>
      </c>
      <c r="I42"/>
      <c r="J42" s="4"/>
      <c r="K42" s="34"/>
      <c r="U42" s="245" t="s">
        <v>1570</v>
      </c>
      <c r="AG42" s="244" t="s">
        <v>2346</v>
      </c>
    </row>
    <row r="43" spans="1:37" hidden="1">
      <c r="A43" s="358">
        <f t="shared" si="5"/>
        <v>32</v>
      </c>
      <c r="B43" s="244" t="s">
        <v>1711</v>
      </c>
      <c r="C43" s="8">
        <v>2.2000000000000002</v>
      </c>
      <c r="D43" s="1" t="s">
        <v>781</v>
      </c>
      <c r="E43"/>
      <c r="H43" s="248" t="s">
        <v>1667</v>
      </c>
      <c r="I43"/>
      <c r="J43" s="4"/>
      <c r="K43" s="34"/>
      <c r="AG43" s="244" t="s">
        <v>2346</v>
      </c>
    </row>
    <row r="44" spans="1:37" hidden="1">
      <c r="A44" s="358">
        <f t="shared" si="5"/>
        <v>33</v>
      </c>
      <c r="B44" s="244" t="s">
        <v>259</v>
      </c>
      <c r="C44" s="8">
        <v>2.2000000000000002</v>
      </c>
      <c r="D44" s="1" t="s">
        <v>781</v>
      </c>
      <c r="E44"/>
      <c r="F44" s="363">
        <v>0.28799999999999998</v>
      </c>
      <c r="G44" s="250" t="s">
        <v>876</v>
      </c>
      <c r="H44" s="244" t="s">
        <v>877</v>
      </c>
      <c r="I44" s="8">
        <f>(C67)</f>
        <v>3800</v>
      </c>
      <c r="J44" s="2" t="s">
        <v>876</v>
      </c>
      <c r="K44" s="6">
        <f>(F44*I44)</f>
        <v>1094.4000000000001</v>
      </c>
      <c r="AG44" s="244" t="s">
        <v>2346</v>
      </c>
    </row>
    <row r="45" spans="1:37" hidden="1">
      <c r="A45" s="358">
        <f t="shared" si="5"/>
        <v>34</v>
      </c>
      <c r="B45" s="244" t="s">
        <v>1986</v>
      </c>
      <c r="C45" s="8">
        <v>2.7</v>
      </c>
      <c r="D45" s="1" t="s">
        <v>781</v>
      </c>
      <c r="E45"/>
      <c r="F45" s="251">
        <v>1</v>
      </c>
      <c r="G45" s="250" t="s">
        <v>884</v>
      </c>
      <c r="H45" s="244" t="s">
        <v>885</v>
      </c>
      <c r="I45" s="8" t="e">
        <f>(C78)</f>
        <v>#REF!</v>
      </c>
      <c r="J45" s="2" t="s">
        <v>884</v>
      </c>
      <c r="K45" s="6" t="e">
        <f>(F45*I45)</f>
        <v>#REF!</v>
      </c>
      <c r="AG45" s="244" t="s">
        <v>2346</v>
      </c>
    </row>
    <row r="46" spans="1:37" hidden="1">
      <c r="A46" s="358">
        <f t="shared" si="5"/>
        <v>35</v>
      </c>
      <c r="B46" s="244" t="s">
        <v>80</v>
      </c>
      <c r="C46" s="8">
        <v>3.2</v>
      </c>
      <c r="D46" s="1" t="s">
        <v>781</v>
      </c>
      <c r="E46"/>
      <c r="F46" s="251">
        <v>1</v>
      </c>
      <c r="G46" s="250" t="s">
        <v>884</v>
      </c>
      <c r="H46" s="244" t="s">
        <v>889</v>
      </c>
      <c r="I46" s="8">
        <f>(C18)</f>
        <v>26</v>
      </c>
      <c r="J46" s="2" t="s">
        <v>884</v>
      </c>
      <c r="K46" s="6">
        <f>(F46*I46)</f>
        <v>26</v>
      </c>
      <c r="W46" s="244" t="s">
        <v>1748</v>
      </c>
      <c r="AA46" s="244" t="s">
        <v>81</v>
      </c>
      <c r="AE46" s="245" t="s">
        <v>2410</v>
      </c>
      <c r="AG46" s="244" t="s">
        <v>2346</v>
      </c>
    </row>
    <row r="47" spans="1:37" hidden="1">
      <c r="A47" s="358">
        <f t="shared" si="5"/>
        <v>36</v>
      </c>
      <c r="B47" s="244" t="s">
        <v>82</v>
      </c>
      <c r="C47" s="8">
        <v>4.2</v>
      </c>
      <c r="D47" s="1" t="s">
        <v>781</v>
      </c>
      <c r="E47"/>
      <c r="G47" s="250" t="s">
        <v>448</v>
      </c>
      <c r="H47" s="244" t="s">
        <v>449</v>
      </c>
      <c r="I47" s="1" t="s">
        <v>995</v>
      </c>
      <c r="J47" s="2" t="s">
        <v>448</v>
      </c>
      <c r="K47" s="6">
        <v>0</v>
      </c>
      <c r="N47" s="244" t="s">
        <v>2338</v>
      </c>
      <c r="O47" s="244" t="s">
        <v>1314</v>
      </c>
      <c r="AG47" s="244" t="s">
        <v>2346</v>
      </c>
    </row>
    <row r="48" spans="1:37" hidden="1">
      <c r="A48" s="358">
        <f t="shared" si="5"/>
        <v>37</v>
      </c>
      <c r="B48" s="244" t="s">
        <v>1315</v>
      </c>
      <c r="C48" s="8">
        <v>5.35</v>
      </c>
      <c r="D48" s="8">
        <v>10.65</v>
      </c>
      <c r="E48"/>
      <c r="I48"/>
      <c r="J48" s="4"/>
      <c r="K48" s="6" t="s">
        <v>1667</v>
      </c>
      <c r="O48" s="244" t="s">
        <v>651</v>
      </c>
      <c r="AG48" s="244" t="s">
        <v>2346</v>
      </c>
    </row>
    <row r="49" spans="1:33" hidden="1">
      <c r="A49" s="358">
        <f t="shared" si="5"/>
        <v>38</v>
      </c>
      <c r="B49" s="244" t="s">
        <v>1785</v>
      </c>
      <c r="C49" s="8">
        <v>5.85</v>
      </c>
      <c r="D49" s="8">
        <v>7.45</v>
      </c>
      <c r="E49"/>
      <c r="H49" s="244" t="s">
        <v>1578</v>
      </c>
      <c r="I49"/>
      <c r="J49" s="4"/>
      <c r="K49" s="6" t="e">
        <f>SUM(K44:K47)</f>
        <v>#REF!</v>
      </c>
      <c r="O49" s="248" t="s">
        <v>1667</v>
      </c>
      <c r="AG49" s="244" t="s">
        <v>2346</v>
      </c>
    </row>
    <row r="50" spans="1:33" hidden="1">
      <c r="A50" s="358">
        <f t="shared" si="5"/>
        <v>39</v>
      </c>
      <c r="B50" s="244" t="s">
        <v>1714</v>
      </c>
      <c r="C50" s="8">
        <v>3.2</v>
      </c>
      <c r="D50" s="1" t="s">
        <v>781</v>
      </c>
      <c r="E50"/>
      <c r="I50"/>
      <c r="J50" s="4"/>
      <c r="K50" s="6" t="s">
        <v>1667</v>
      </c>
      <c r="M50" s="251">
        <v>9</v>
      </c>
      <c r="N50" s="244" t="s">
        <v>884</v>
      </c>
      <c r="O50" s="244" t="s">
        <v>651</v>
      </c>
      <c r="P50" s="251" t="e">
        <f>(C81)</f>
        <v>#REF!</v>
      </c>
      <c r="Q50" s="244" t="s">
        <v>884</v>
      </c>
      <c r="R50" s="251" t="e">
        <f>(M50*P50)</f>
        <v>#REF!</v>
      </c>
      <c r="AG50" s="244" t="s">
        <v>2346</v>
      </c>
    </row>
    <row r="51" spans="1:33" hidden="1">
      <c r="A51" s="358">
        <f t="shared" si="5"/>
        <v>40</v>
      </c>
      <c r="B51" s="244" t="s">
        <v>1715</v>
      </c>
      <c r="C51" s="8">
        <v>3.2</v>
      </c>
      <c r="D51" s="1" t="s">
        <v>781</v>
      </c>
      <c r="E51"/>
      <c r="G51" s="250" t="s">
        <v>2338</v>
      </c>
      <c r="H51" s="244" t="s">
        <v>1716</v>
      </c>
      <c r="I51"/>
      <c r="J51" s="4"/>
      <c r="K51" s="34"/>
      <c r="M51" s="251">
        <v>4.5</v>
      </c>
      <c r="N51" s="244" t="s">
        <v>884</v>
      </c>
      <c r="O51" s="244" t="s">
        <v>1717</v>
      </c>
      <c r="P51" s="251" t="e">
        <f>(K77)</f>
        <v>#REF!</v>
      </c>
      <c r="Q51" s="244" t="s">
        <v>884</v>
      </c>
      <c r="R51" s="251" t="e">
        <f>(M51*P51)</f>
        <v>#REF!</v>
      </c>
      <c r="AG51" s="244" t="s">
        <v>2346</v>
      </c>
    </row>
    <row r="52" spans="1:33" hidden="1">
      <c r="A52" s="358">
        <f t="shared" si="5"/>
        <v>41</v>
      </c>
      <c r="B52" s="244" t="s">
        <v>1790</v>
      </c>
      <c r="C52" s="8">
        <v>6.4</v>
      </c>
      <c r="D52" s="1" t="s">
        <v>781</v>
      </c>
      <c r="E52"/>
      <c r="H52" s="248" t="s">
        <v>1667</v>
      </c>
      <c r="I52"/>
      <c r="J52" s="4"/>
      <c r="K52" s="34"/>
      <c r="M52" s="251">
        <v>1.8</v>
      </c>
      <c r="N52" s="244" t="s">
        <v>883</v>
      </c>
      <c r="O52" s="244" t="s">
        <v>1791</v>
      </c>
      <c r="P52" s="251">
        <f>(C11)</f>
        <v>135</v>
      </c>
      <c r="Q52" s="244" t="s">
        <v>883</v>
      </c>
      <c r="R52" s="251">
        <f>(M52*P52)</f>
        <v>243</v>
      </c>
      <c r="AG52" s="244" t="s">
        <v>2346</v>
      </c>
    </row>
    <row r="53" spans="1:33" hidden="1">
      <c r="A53" s="358">
        <f t="shared" si="5"/>
        <v>42</v>
      </c>
      <c r="B53" s="244" t="s">
        <v>1978</v>
      </c>
      <c r="C53" s="8">
        <v>8.5500000000000007</v>
      </c>
      <c r="D53" s="8">
        <v>21.3</v>
      </c>
      <c r="E53"/>
      <c r="F53" s="251">
        <v>0.24</v>
      </c>
      <c r="G53" s="250" t="s">
        <v>876</v>
      </c>
      <c r="H53" s="244" t="s">
        <v>877</v>
      </c>
      <c r="I53" s="8">
        <f>(C67)</f>
        <v>3800</v>
      </c>
      <c r="J53" s="2" t="s">
        <v>876</v>
      </c>
      <c r="K53" s="6">
        <f>(F53*I53)</f>
        <v>912</v>
      </c>
      <c r="M53" s="251">
        <v>17.7</v>
      </c>
      <c r="N53" s="244" t="s">
        <v>883</v>
      </c>
      <c r="O53" s="244" t="s">
        <v>1979</v>
      </c>
      <c r="P53" s="251">
        <f>(C12)</f>
        <v>95</v>
      </c>
      <c r="Q53" s="244" t="s">
        <v>883</v>
      </c>
      <c r="R53" s="251">
        <f>(M53*P53)</f>
        <v>1681.5</v>
      </c>
      <c r="AG53" s="244" t="s">
        <v>2346</v>
      </c>
    </row>
    <row r="54" spans="1:33" hidden="1">
      <c r="A54" s="358">
        <f t="shared" si="5"/>
        <v>43</v>
      </c>
      <c r="B54" s="244" t="s">
        <v>323</v>
      </c>
      <c r="C54" s="8">
        <v>9.5500000000000007</v>
      </c>
      <c r="D54" s="8">
        <v>16</v>
      </c>
      <c r="E54"/>
      <c r="F54" s="251">
        <v>1</v>
      </c>
      <c r="G54" s="250" t="s">
        <v>884</v>
      </c>
      <c r="H54" s="244" t="s">
        <v>885</v>
      </c>
      <c r="I54" s="8" t="e">
        <f>(C78)</f>
        <v>#REF!</v>
      </c>
      <c r="J54" s="2" t="s">
        <v>884</v>
      </c>
      <c r="K54" s="6" t="e">
        <f>(F54*I54)</f>
        <v>#REF!</v>
      </c>
      <c r="M54" s="251">
        <v>14.1</v>
      </c>
      <c r="N54" s="244" t="s">
        <v>883</v>
      </c>
      <c r="O54" s="244" t="s">
        <v>324</v>
      </c>
      <c r="P54" s="251">
        <f>(C13)</f>
        <v>85</v>
      </c>
      <c r="Q54" s="244" t="s">
        <v>883</v>
      </c>
      <c r="R54" s="251">
        <f>(M54*P54)</f>
        <v>1198.5</v>
      </c>
      <c r="AG54" s="244" t="s">
        <v>325</v>
      </c>
    </row>
    <row r="55" spans="1:33" hidden="1">
      <c r="A55" s="358">
        <f t="shared" si="5"/>
        <v>44</v>
      </c>
      <c r="B55" s="244" t="s">
        <v>326</v>
      </c>
      <c r="C55" s="8">
        <v>10.65</v>
      </c>
      <c r="D55" s="8">
        <v>12.75</v>
      </c>
      <c r="E55"/>
      <c r="F55" s="251">
        <v>1</v>
      </c>
      <c r="G55" s="250" t="s">
        <v>884</v>
      </c>
      <c r="H55" s="244" t="s">
        <v>889</v>
      </c>
      <c r="I55" s="8">
        <f>(C18)</f>
        <v>26</v>
      </c>
      <c r="J55" s="2" t="s">
        <v>884</v>
      </c>
      <c r="K55" s="6">
        <f>(F55*I55)</f>
        <v>26</v>
      </c>
      <c r="N55" s="244" t="s">
        <v>448</v>
      </c>
      <c r="O55" s="244" t="s">
        <v>449</v>
      </c>
      <c r="Q55" s="244" t="s">
        <v>448</v>
      </c>
      <c r="R55" s="251">
        <v>0</v>
      </c>
    </row>
    <row r="56" spans="1:33" hidden="1">
      <c r="A56" s="358">
        <f t="shared" si="5"/>
        <v>45</v>
      </c>
      <c r="B56" s="244" t="s">
        <v>327</v>
      </c>
      <c r="C56" s="8">
        <v>12.1</v>
      </c>
      <c r="D56" s="1" t="s">
        <v>448</v>
      </c>
      <c r="E56"/>
      <c r="G56" s="250" t="s">
        <v>448</v>
      </c>
      <c r="H56" s="244" t="s">
        <v>449</v>
      </c>
      <c r="I56" s="1" t="s">
        <v>995</v>
      </c>
      <c r="J56" s="2" t="s">
        <v>448</v>
      </c>
      <c r="K56" s="6">
        <v>0</v>
      </c>
      <c r="R56" s="248" t="s">
        <v>1667</v>
      </c>
    </row>
    <row r="57" spans="1:33" hidden="1">
      <c r="A57" s="358">
        <f t="shared" si="5"/>
        <v>46</v>
      </c>
      <c r="B57" s="244" t="s">
        <v>617</v>
      </c>
      <c r="C57" s="8">
        <v>35</v>
      </c>
      <c r="D57" s="1" t="s">
        <v>448</v>
      </c>
      <c r="E57"/>
      <c r="I57"/>
      <c r="J57" s="4"/>
      <c r="K57" s="6" t="s">
        <v>1667</v>
      </c>
      <c r="O57" s="244" t="s">
        <v>618</v>
      </c>
      <c r="R57" s="251" t="e">
        <f>SUM(R50:R55)</f>
        <v>#REF!</v>
      </c>
      <c r="AG57" s="244" t="s">
        <v>2346</v>
      </c>
    </row>
    <row r="58" spans="1:33" hidden="1">
      <c r="A58" s="358">
        <f t="shared" si="5"/>
        <v>47</v>
      </c>
      <c r="B58" s="244" t="s">
        <v>619</v>
      </c>
      <c r="C58" s="8">
        <v>15</v>
      </c>
      <c r="D58" s="1" t="s">
        <v>448</v>
      </c>
      <c r="E58"/>
      <c r="H58" s="244" t="s">
        <v>1578</v>
      </c>
      <c r="I58"/>
      <c r="J58" s="4"/>
      <c r="K58" s="6" t="e">
        <f>SUM(K53:K56)</f>
        <v>#REF!</v>
      </c>
      <c r="R58" s="248" t="s">
        <v>1667</v>
      </c>
      <c r="AG58" s="244" t="s">
        <v>2346</v>
      </c>
    </row>
    <row r="59" spans="1:33" hidden="1">
      <c r="C59"/>
      <c r="D59"/>
      <c r="E59"/>
      <c r="F59" s="244" t="s">
        <v>995</v>
      </c>
      <c r="I59"/>
      <c r="J59" s="4"/>
      <c r="K59" s="34"/>
    </row>
    <row r="60" spans="1:33" hidden="1">
      <c r="A60" s="358">
        <f>(A58+1)</f>
        <v>48</v>
      </c>
      <c r="B60" s="244" t="s">
        <v>620</v>
      </c>
      <c r="C60" s="8">
        <v>6.55</v>
      </c>
      <c r="D60" s="1" t="s">
        <v>2150</v>
      </c>
      <c r="E60"/>
      <c r="I60"/>
      <c r="J60" s="4"/>
      <c r="K60" s="6" t="s">
        <v>1667</v>
      </c>
      <c r="O60" s="244" t="s">
        <v>785</v>
      </c>
      <c r="R60" s="251" t="e">
        <f>(R57/10)</f>
        <v>#REF!</v>
      </c>
      <c r="AG60" s="244" t="s">
        <v>2346</v>
      </c>
    </row>
    <row r="61" spans="1:33" hidden="1">
      <c r="A61" s="358">
        <f t="shared" ref="A61:A91" si="6">(A60+1)</f>
        <v>49</v>
      </c>
      <c r="B61" s="244" t="s">
        <v>2151</v>
      </c>
      <c r="C61" s="8">
        <f>AE29</f>
        <v>25</v>
      </c>
      <c r="D61" s="8">
        <f>AE36</f>
        <v>37.299999999999997</v>
      </c>
      <c r="E61"/>
      <c r="G61" s="250" t="s">
        <v>2338</v>
      </c>
      <c r="H61" s="244" t="s">
        <v>2152</v>
      </c>
      <c r="I61"/>
      <c r="J61" s="4"/>
      <c r="K61" s="34"/>
      <c r="R61" s="248" t="s">
        <v>2130</v>
      </c>
      <c r="AG61" s="244" t="s">
        <v>2346</v>
      </c>
    </row>
    <row r="62" spans="1:33" hidden="1">
      <c r="A62" s="358">
        <f t="shared" si="6"/>
        <v>50</v>
      </c>
      <c r="B62" s="244" t="s">
        <v>2153</v>
      </c>
      <c r="C62" s="8">
        <v>85.5</v>
      </c>
      <c r="D62" s="1" t="s">
        <v>883</v>
      </c>
      <c r="E62"/>
      <c r="H62" s="248" t="s">
        <v>1667</v>
      </c>
      <c r="I62"/>
      <c r="J62" s="4"/>
      <c r="K62" s="34"/>
      <c r="N62" s="244" t="s">
        <v>2338</v>
      </c>
      <c r="O62" s="244" t="s">
        <v>1418</v>
      </c>
      <c r="AG62" s="244" t="s">
        <v>2346</v>
      </c>
    </row>
    <row r="63" spans="1:33" hidden="1">
      <c r="A63" s="358">
        <f t="shared" si="6"/>
        <v>51</v>
      </c>
      <c r="B63" s="244" t="s">
        <v>2122</v>
      </c>
      <c r="C63" s="8">
        <v>42</v>
      </c>
      <c r="D63" s="1" t="s">
        <v>448</v>
      </c>
      <c r="E63"/>
      <c r="F63" s="363">
        <v>0.20599999999999999</v>
      </c>
      <c r="G63" s="250" t="s">
        <v>876</v>
      </c>
      <c r="H63" s="244" t="s">
        <v>877</v>
      </c>
      <c r="I63" s="8">
        <f>(C67)</f>
        <v>3800</v>
      </c>
      <c r="J63" s="2" t="s">
        <v>876</v>
      </c>
      <c r="K63" s="6">
        <f>(F63*I63)</f>
        <v>782.8</v>
      </c>
      <c r="O63" s="244" t="s">
        <v>1550</v>
      </c>
      <c r="AG63" s="244" t="s">
        <v>2346</v>
      </c>
    </row>
    <row r="64" spans="1:33" hidden="1">
      <c r="A64" s="358">
        <f t="shared" si="6"/>
        <v>52</v>
      </c>
      <c r="B64" s="244" t="s">
        <v>1624</v>
      </c>
      <c r="C64" s="8">
        <v>62.5</v>
      </c>
      <c r="D64" s="1" t="s">
        <v>884</v>
      </c>
      <c r="E64"/>
      <c r="F64" s="251">
        <v>1</v>
      </c>
      <c r="G64" s="250" t="s">
        <v>884</v>
      </c>
      <c r="H64" s="244" t="s">
        <v>885</v>
      </c>
      <c r="I64" s="8" t="e">
        <f>(C78)</f>
        <v>#REF!</v>
      </c>
      <c r="J64" s="2" t="s">
        <v>884</v>
      </c>
      <c r="K64" s="6" t="e">
        <f>(F64*I64)</f>
        <v>#REF!</v>
      </c>
      <c r="O64" s="248" t="s">
        <v>1667</v>
      </c>
      <c r="AG64" s="244" t="s">
        <v>2346</v>
      </c>
    </row>
    <row r="65" spans="1:33" hidden="1">
      <c r="A65" s="358">
        <f t="shared" si="6"/>
        <v>53</v>
      </c>
      <c r="B65" s="244" t="s">
        <v>1419</v>
      </c>
      <c r="C65" s="8">
        <v>303</v>
      </c>
      <c r="D65" s="1" t="s">
        <v>1420</v>
      </c>
      <c r="E65"/>
      <c r="F65" s="251">
        <v>1</v>
      </c>
      <c r="G65" s="250" t="s">
        <v>884</v>
      </c>
      <c r="H65" s="244" t="s">
        <v>889</v>
      </c>
      <c r="I65" s="8">
        <f>(C18)</f>
        <v>26</v>
      </c>
      <c r="J65" s="2" t="s">
        <v>884</v>
      </c>
      <c r="K65" s="6">
        <f>(F65*I65)</f>
        <v>26</v>
      </c>
      <c r="M65" s="251">
        <v>9</v>
      </c>
      <c r="N65" s="244" t="s">
        <v>884</v>
      </c>
      <c r="O65" s="244" t="s">
        <v>1550</v>
      </c>
      <c r="P65" s="251" t="e">
        <f>(C73)</f>
        <v>#REF!</v>
      </c>
      <c r="Q65" s="244" t="s">
        <v>884</v>
      </c>
      <c r="R65" s="251" t="e">
        <f>(M65*P65)</f>
        <v>#REF!</v>
      </c>
      <c r="AG65" s="244" t="s">
        <v>2346</v>
      </c>
    </row>
    <row r="66" spans="1:33" hidden="1">
      <c r="A66" s="358">
        <f t="shared" si="6"/>
        <v>54</v>
      </c>
      <c r="B66" s="244" t="s">
        <v>1557</v>
      </c>
      <c r="C66" s="8">
        <f>AE18</f>
        <v>120</v>
      </c>
      <c r="D66" s="1" t="s">
        <v>883</v>
      </c>
      <c r="E66"/>
      <c r="G66" s="250" t="s">
        <v>448</v>
      </c>
      <c r="H66" s="244" t="s">
        <v>449</v>
      </c>
      <c r="I66" s="1" t="s">
        <v>995</v>
      </c>
      <c r="J66" s="2" t="s">
        <v>448</v>
      </c>
      <c r="K66" s="6">
        <v>0</v>
      </c>
      <c r="M66" s="251">
        <v>4.5</v>
      </c>
      <c r="N66" s="244" t="s">
        <v>884</v>
      </c>
      <c r="O66" s="244" t="s">
        <v>123</v>
      </c>
      <c r="P66" s="251" t="e">
        <f>(K23)</f>
        <v>#REF!</v>
      </c>
      <c r="Q66" s="244" t="s">
        <v>884</v>
      </c>
      <c r="R66" s="251" t="e">
        <f>(M66*P66)</f>
        <v>#REF!</v>
      </c>
      <c r="AG66" s="244" t="s">
        <v>2346</v>
      </c>
    </row>
    <row r="67" spans="1:33" hidden="1">
      <c r="A67" s="358">
        <f t="shared" si="6"/>
        <v>55</v>
      </c>
      <c r="B67" s="244" t="s">
        <v>877</v>
      </c>
      <c r="C67" s="8">
        <f>AC31</f>
        <v>3800</v>
      </c>
      <c r="D67" s="1" t="s">
        <v>876</v>
      </c>
      <c r="E67"/>
      <c r="I67"/>
      <c r="J67" s="4"/>
      <c r="K67" s="6" t="s">
        <v>1667</v>
      </c>
      <c r="M67" s="251">
        <v>1.8</v>
      </c>
      <c r="N67" s="244" t="s">
        <v>883</v>
      </c>
      <c r="O67" s="244" t="s">
        <v>1791</v>
      </c>
      <c r="P67" s="251">
        <f>(C11)</f>
        <v>135</v>
      </c>
      <c r="Q67" s="244" t="s">
        <v>883</v>
      </c>
      <c r="R67" s="251">
        <f>(M67*P67)</f>
        <v>243</v>
      </c>
      <c r="AG67" s="244" t="s">
        <v>2346</v>
      </c>
    </row>
    <row r="68" spans="1:33" hidden="1">
      <c r="A68" s="358">
        <f t="shared" si="6"/>
        <v>56</v>
      </c>
      <c r="B68" s="244" t="s">
        <v>1558</v>
      </c>
      <c r="C68" s="8" t="e">
        <f t="shared" ref="C68:C74" si="7">AC9</f>
        <v>#REF!</v>
      </c>
      <c r="D68" s="1" t="s">
        <v>884</v>
      </c>
      <c r="E68"/>
      <c r="H68" s="244" t="s">
        <v>1578</v>
      </c>
      <c r="I68"/>
      <c r="J68" s="4"/>
      <c r="K68" s="6" t="e">
        <f>SUM(K63:K66)</f>
        <v>#REF!</v>
      </c>
      <c r="M68" s="251">
        <v>17.7</v>
      </c>
      <c r="N68" s="244" t="s">
        <v>883</v>
      </c>
      <c r="O68" s="244" t="s">
        <v>1979</v>
      </c>
      <c r="P68" s="251">
        <f>(C12)</f>
        <v>95</v>
      </c>
      <c r="Q68" s="244" t="s">
        <v>883</v>
      </c>
      <c r="R68" s="251">
        <f>(M68*P68)</f>
        <v>1681.5</v>
      </c>
      <c r="AG68" s="244" t="s">
        <v>2346</v>
      </c>
    </row>
    <row r="69" spans="1:33" hidden="1">
      <c r="A69" s="358">
        <f t="shared" si="6"/>
        <v>57</v>
      </c>
      <c r="B69" s="244" t="s">
        <v>887</v>
      </c>
      <c r="C69" s="8" t="e">
        <f t="shared" si="7"/>
        <v>#REF!</v>
      </c>
      <c r="D69" s="1" t="s">
        <v>884</v>
      </c>
      <c r="E69"/>
      <c r="I69"/>
      <c r="J69" s="4"/>
      <c r="K69" s="6" t="s">
        <v>1667</v>
      </c>
      <c r="M69" s="251">
        <v>14.1</v>
      </c>
      <c r="N69" s="244" t="s">
        <v>883</v>
      </c>
      <c r="O69" s="244" t="s">
        <v>324</v>
      </c>
      <c r="P69" s="251">
        <f>(C13)</f>
        <v>85</v>
      </c>
      <c r="Q69" s="244" t="s">
        <v>883</v>
      </c>
      <c r="R69" s="251">
        <f>(M69*P69)</f>
        <v>1198.5</v>
      </c>
      <c r="AG69" s="244" t="s">
        <v>2346</v>
      </c>
    </row>
    <row r="70" spans="1:33" hidden="1">
      <c r="A70" s="358">
        <f t="shared" si="6"/>
        <v>58</v>
      </c>
      <c r="B70" s="244" t="s">
        <v>1559</v>
      </c>
      <c r="C70" s="8" t="e">
        <f t="shared" si="7"/>
        <v>#REF!</v>
      </c>
      <c r="D70" s="1" t="s">
        <v>884</v>
      </c>
      <c r="E70"/>
      <c r="G70" s="250" t="s">
        <v>2338</v>
      </c>
      <c r="H70" s="244" t="s">
        <v>1717</v>
      </c>
      <c r="I70"/>
      <c r="J70" s="4"/>
      <c r="K70" s="34"/>
      <c r="N70" s="244" t="s">
        <v>448</v>
      </c>
      <c r="O70" s="244" t="s">
        <v>449</v>
      </c>
      <c r="Q70" s="244" t="s">
        <v>448</v>
      </c>
      <c r="R70" s="251">
        <v>0</v>
      </c>
      <c r="AG70" s="244" t="s">
        <v>2346</v>
      </c>
    </row>
    <row r="71" spans="1:33" hidden="1">
      <c r="A71" s="358">
        <f t="shared" si="6"/>
        <v>59</v>
      </c>
      <c r="B71" s="244" t="s">
        <v>1560</v>
      </c>
      <c r="C71" s="8" t="e">
        <f t="shared" si="7"/>
        <v>#REF!</v>
      </c>
      <c r="D71" s="1" t="s">
        <v>884</v>
      </c>
      <c r="E71"/>
      <c r="H71" s="248" t="s">
        <v>1667</v>
      </c>
      <c r="I71"/>
      <c r="J71" s="4"/>
      <c r="K71" s="34"/>
      <c r="R71" s="248" t="s">
        <v>1667</v>
      </c>
      <c r="AG71" s="244" t="s">
        <v>2346</v>
      </c>
    </row>
    <row r="72" spans="1:33" hidden="1">
      <c r="A72" s="358">
        <f t="shared" si="6"/>
        <v>60</v>
      </c>
      <c r="B72" s="244" t="s">
        <v>1561</v>
      </c>
      <c r="C72" s="8" t="e">
        <f t="shared" si="7"/>
        <v>#REF!</v>
      </c>
      <c r="D72" s="1" t="s">
        <v>884</v>
      </c>
      <c r="E72"/>
      <c r="F72" s="251">
        <v>0.18</v>
      </c>
      <c r="G72" s="250" t="s">
        <v>876</v>
      </c>
      <c r="H72" s="244" t="s">
        <v>877</v>
      </c>
      <c r="I72" s="8">
        <f>(C67)</f>
        <v>3800</v>
      </c>
      <c r="J72" s="2" t="s">
        <v>876</v>
      </c>
      <c r="K72" s="6">
        <f>(F72*I72)</f>
        <v>684</v>
      </c>
      <c r="O72" s="244" t="s">
        <v>618</v>
      </c>
      <c r="R72" s="251" t="e">
        <f>SUM(R65:R70)</f>
        <v>#REF!</v>
      </c>
      <c r="AG72" s="244" t="s">
        <v>2346</v>
      </c>
    </row>
    <row r="73" spans="1:33" hidden="1">
      <c r="A73" s="358">
        <f t="shared" si="6"/>
        <v>61</v>
      </c>
      <c r="B73" s="244" t="s">
        <v>663</v>
      </c>
      <c r="C73" s="8" t="e">
        <f t="shared" si="7"/>
        <v>#REF!</v>
      </c>
      <c r="D73" s="1" t="s">
        <v>884</v>
      </c>
      <c r="E73"/>
      <c r="F73" s="251">
        <v>1</v>
      </c>
      <c r="G73" s="250" t="s">
        <v>884</v>
      </c>
      <c r="H73" s="244" t="s">
        <v>885</v>
      </c>
      <c r="I73" s="8" t="e">
        <f>(C78)</f>
        <v>#REF!</v>
      </c>
      <c r="J73" s="2" t="s">
        <v>884</v>
      </c>
      <c r="K73" s="6" t="e">
        <f>(F73*I73)</f>
        <v>#REF!</v>
      </c>
      <c r="R73" s="248" t="s">
        <v>1667</v>
      </c>
      <c r="AG73" s="244" t="s">
        <v>2346</v>
      </c>
    </row>
    <row r="74" spans="1:33" hidden="1">
      <c r="A74" s="358">
        <f t="shared" si="6"/>
        <v>62</v>
      </c>
      <c r="B74" s="244" t="s">
        <v>973</v>
      </c>
      <c r="C74" s="8" t="e">
        <f t="shared" si="7"/>
        <v>#REF!</v>
      </c>
      <c r="D74" s="1" t="s">
        <v>884</v>
      </c>
      <c r="E74"/>
      <c r="F74" s="251">
        <v>1</v>
      </c>
      <c r="G74" s="250" t="s">
        <v>884</v>
      </c>
      <c r="H74" s="244" t="s">
        <v>889</v>
      </c>
      <c r="I74" s="8">
        <f>(C18)</f>
        <v>26</v>
      </c>
      <c r="J74" s="2" t="s">
        <v>884</v>
      </c>
      <c r="K74" s="6">
        <f>(F74*I74)</f>
        <v>26</v>
      </c>
      <c r="O74" s="244" t="s">
        <v>785</v>
      </c>
      <c r="R74" s="251" t="e">
        <f>(R72/10)</f>
        <v>#REF!</v>
      </c>
      <c r="AG74" s="244" t="s">
        <v>2346</v>
      </c>
    </row>
    <row r="75" spans="1:33" hidden="1">
      <c r="A75" s="358">
        <f t="shared" si="6"/>
        <v>63</v>
      </c>
      <c r="B75" s="244" t="s">
        <v>974</v>
      </c>
      <c r="C75" s="8">
        <v>20</v>
      </c>
      <c r="D75" s="1" t="s">
        <v>2338</v>
      </c>
      <c r="E75"/>
      <c r="G75" s="250" t="s">
        <v>448</v>
      </c>
      <c r="H75" s="244" t="s">
        <v>449</v>
      </c>
      <c r="I75" s="1" t="s">
        <v>995</v>
      </c>
      <c r="J75" s="2" t="s">
        <v>448</v>
      </c>
      <c r="K75" s="6">
        <v>0</v>
      </c>
      <c r="R75" s="248" t="s">
        <v>2130</v>
      </c>
      <c r="AG75" s="244" t="s">
        <v>2346</v>
      </c>
    </row>
    <row r="76" spans="1:33" hidden="1">
      <c r="A76" s="358">
        <f t="shared" si="6"/>
        <v>64</v>
      </c>
      <c r="B76" s="244" t="s">
        <v>975</v>
      </c>
      <c r="C76" s="8">
        <v>514.62</v>
      </c>
      <c r="D76" s="8">
        <v>240</v>
      </c>
      <c r="E76"/>
      <c r="I76"/>
      <c r="J76" s="4"/>
      <c r="K76" s="6" t="s">
        <v>1667</v>
      </c>
      <c r="N76" s="244" t="s">
        <v>2338</v>
      </c>
      <c r="O76" s="244" t="s">
        <v>976</v>
      </c>
      <c r="AG76" s="244" t="s">
        <v>2346</v>
      </c>
    </row>
    <row r="77" spans="1:33" hidden="1">
      <c r="A77" s="358">
        <f t="shared" si="6"/>
        <v>65</v>
      </c>
      <c r="B77" s="244" t="s">
        <v>2411</v>
      </c>
      <c r="C77" s="8" t="e">
        <f>AC34</f>
        <v>#REF!</v>
      </c>
      <c r="D77" s="1" t="s">
        <v>884</v>
      </c>
      <c r="E77"/>
      <c r="H77" s="244" t="s">
        <v>1578</v>
      </c>
      <c r="I77"/>
      <c r="J77" s="4"/>
      <c r="K77" s="6" t="e">
        <f>SUM(K72:K75)</f>
        <v>#REF!</v>
      </c>
      <c r="O77" s="244" t="s">
        <v>1156</v>
      </c>
      <c r="AG77" s="244" t="s">
        <v>2346</v>
      </c>
    </row>
    <row r="78" spans="1:33" hidden="1">
      <c r="A78" s="358">
        <f t="shared" si="6"/>
        <v>66</v>
      </c>
      <c r="B78" s="244" t="s">
        <v>1483</v>
      </c>
      <c r="C78" s="8" t="e">
        <f t="shared" ref="C78:C91" si="8">AC16</f>
        <v>#REF!</v>
      </c>
      <c r="D78" s="1" t="s">
        <v>884</v>
      </c>
      <c r="E78"/>
      <c r="I78"/>
      <c r="J78" s="4"/>
      <c r="K78" s="6" t="s">
        <v>1667</v>
      </c>
      <c r="O78" s="248" t="s">
        <v>1667</v>
      </c>
      <c r="AG78" s="244" t="s">
        <v>2346</v>
      </c>
    </row>
    <row r="79" spans="1:33" hidden="1">
      <c r="A79" s="358">
        <f t="shared" si="6"/>
        <v>67</v>
      </c>
      <c r="B79" s="244" t="s">
        <v>1064</v>
      </c>
      <c r="C79" s="8" t="e">
        <f t="shared" si="8"/>
        <v>#REF!</v>
      </c>
      <c r="D79" s="1" t="s">
        <v>884</v>
      </c>
      <c r="E79"/>
      <c r="F79" s="364">
        <v>1.1000000000000001</v>
      </c>
      <c r="G79" s="250" t="s">
        <v>995</v>
      </c>
      <c r="H79" s="244" t="s">
        <v>1484</v>
      </c>
      <c r="I79"/>
      <c r="J79" s="4"/>
      <c r="K79" s="34"/>
      <c r="M79" s="251">
        <v>4600</v>
      </c>
      <c r="N79" s="244" t="s">
        <v>1485</v>
      </c>
      <c r="O79" s="244" t="s">
        <v>1156</v>
      </c>
      <c r="P79" s="251" t="e">
        <f>(C91)</f>
        <v>#REF!</v>
      </c>
      <c r="Q79" s="244" t="s">
        <v>1675</v>
      </c>
      <c r="R79" s="251" t="e">
        <f>(M79*P79)/1000</f>
        <v>#REF!</v>
      </c>
      <c r="AG79" s="244" t="s">
        <v>2346</v>
      </c>
    </row>
    <row r="80" spans="1:33" hidden="1">
      <c r="A80" s="358">
        <f t="shared" si="6"/>
        <v>68</v>
      </c>
      <c r="B80" s="244" t="s">
        <v>1543</v>
      </c>
      <c r="C80" s="8" t="e">
        <f t="shared" si="8"/>
        <v>#REF!</v>
      </c>
      <c r="D80" s="1" t="s">
        <v>1544</v>
      </c>
      <c r="E80"/>
      <c r="F80" s="365" t="s">
        <v>995</v>
      </c>
      <c r="H80" s="244" t="s">
        <v>1545</v>
      </c>
      <c r="I80"/>
      <c r="J80" s="4"/>
      <c r="K80" s="34"/>
      <c r="M80" s="251">
        <v>2.5</v>
      </c>
      <c r="N80" s="244" t="s">
        <v>884</v>
      </c>
      <c r="O80" s="244" t="s">
        <v>1710</v>
      </c>
      <c r="P80" s="251" t="e">
        <f>(K49)</f>
        <v>#REF!</v>
      </c>
      <c r="Q80" s="244" t="s">
        <v>884</v>
      </c>
      <c r="R80" s="251" t="e">
        <f>(M80*P80)</f>
        <v>#REF!</v>
      </c>
      <c r="AG80" s="244" t="s">
        <v>2346</v>
      </c>
    </row>
    <row r="81" spans="1:33" hidden="1">
      <c r="A81" s="358">
        <f t="shared" si="6"/>
        <v>69</v>
      </c>
      <c r="B81" s="244" t="s">
        <v>70</v>
      </c>
      <c r="C81" s="8" t="e">
        <f t="shared" si="8"/>
        <v>#REF!</v>
      </c>
      <c r="D81" s="1" t="s">
        <v>884</v>
      </c>
      <c r="E81"/>
      <c r="F81" s="251">
        <v>10</v>
      </c>
      <c r="G81" s="250" t="s">
        <v>884</v>
      </c>
      <c r="H81" s="244" t="s">
        <v>1227</v>
      </c>
      <c r="I81" s="8">
        <f>(C61)</f>
        <v>25</v>
      </c>
      <c r="J81" s="2" t="s">
        <v>884</v>
      </c>
      <c r="K81" s="6">
        <f>(F81*I81)</f>
        <v>250</v>
      </c>
      <c r="M81" s="251">
        <v>3.5</v>
      </c>
      <c r="N81" s="244" t="s">
        <v>883</v>
      </c>
      <c r="O81" s="244" t="s">
        <v>2082</v>
      </c>
      <c r="P81" s="251">
        <f>(C10)</f>
        <v>150</v>
      </c>
      <c r="Q81" s="244" t="s">
        <v>883</v>
      </c>
      <c r="R81" s="251">
        <f>(M81*P81)</f>
        <v>525</v>
      </c>
      <c r="AG81" s="244" t="s">
        <v>2346</v>
      </c>
    </row>
    <row r="82" spans="1:33" hidden="1">
      <c r="A82" s="358">
        <f t="shared" si="6"/>
        <v>70</v>
      </c>
      <c r="B82" s="244" t="s">
        <v>2083</v>
      </c>
      <c r="C82" s="8" t="e">
        <f t="shared" si="8"/>
        <v>#REF!</v>
      </c>
      <c r="D82" s="1" t="s">
        <v>884</v>
      </c>
      <c r="E82"/>
      <c r="F82" s="251">
        <v>10</v>
      </c>
      <c r="G82" s="250" t="s">
        <v>884</v>
      </c>
      <c r="H82" s="244" t="s">
        <v>2084</v>
      </c>
      <c r="I82" s="8">
        <f>(C61)</f>
        <v>25</v>
      </c>
      <c r="J82" s="2" t="s">
        <v>884</v>
      </c>
      <c r="K82" s="6">
        <f>(F82*I82)</f>
        <v>250</v>
      </c>
      <c r="M82" s="251">
        <v>10.6</v>
      </c>
      <c r="N82" s="244" t="s">
        <v>883</v>
      </c>
      <c r="O82" s="244" t="s">
        <v>1791</v>
      </c>
      <c r="P82" s="251">
        <f>(C11)</f>
        <v>135</v>
      </c>
      <c r="Q82" s="244" t="s">
        <v>883</v>
      </c>
      <c r="R82" s="251">
        <f>(M82*P82)</f>
        <v>1431</v>
      </c>
      <c r="AG82" s="244" t="s">
        <v>2346</v>
      </c>
    </row>
    <row r="83" spans="1:33" hidden="1">
      <c r="A83" s="358">
        <f t="shared" si="6"/>
        <v>71</v>
      </c>
      <c r="B83" s="244" t="s">
        <v>2085</v>
      </c>
      <c r="C83" s="8">
        <f t="shared" si="8"/>
        <v>4500</v>
      </c>
      <c r="D83" s="1" t="s">
        <v>1544</v>
      </c>
      <c r="E83">
        <v>3550</v>
      </c>
      <c r="F83" s="251">
        <v>10</v>
      </c>
      <c r="G83" s="250" t="s">
        <v>884</v>
      </c>
      <c r="H83" s="244" t="s">
        <v>2086</v>
      </c>
      <c r="I83" s="8">
        <f>(C26)/3</f>
        <v>2.93</v>
      </c>
      <c r="J83" s="2" t="s">
        <v>884</v>
      </c>
      <c r="K83" s="6">
        <f>(F83*I83)</f>
        <v>29.3</v>
      </c>
      <c r="M83" s="251">
        <v>7.1</v>
      </c>
      <c r="N83" s="244" t="s">
        <v>883</v>
      </c>
      <c r="O83" s="244" t="s">
        <v>1979</v>
      </c>
      <c r="P83" s="251">
        <f>(C12)</f>
        <v>95</v>
      </c>
      <c r="Q83" s="244" t="s">
        <v>883</v>
      </c>
      <c r="R83" s="251">
        <f>(M83*P83)</f>
        <v>674.5</v>
      </c>
      <c r="AG83" s="244" t="s">
        <v>2346</v>
      </c>
    </row>
    <row r="84" spans="1:33" hidden="1">
      <c r="A84" s="358">
        <f t="shared" si="6"/>
        <v>72</v>
      </c>
      <c r="B84" s="244" t="s">
        <v>2087</v>
      </c>
      <c r="C84" s="8">
        <f t="shared" si="8"/>
        <v>773</v>
      </c>
      <c r="D84" s="1" t="s">
        <v>884</v>
      </c>
      <c r="E84"/>
      <c r="G84" s="250" t="s">
        <v>448</v>
      </c>
      <c r="H84" s="244" t="s">
        <v>449</v>
      </c>
      <c r="I84"/>
      <c r="J84" s="2" t="s">
        <v>448</v>
      </c>
      <c r="K84" s="6">
        <v>0</v>
      </c>
      <c r="M84" s="251">
        <v>21.2</v>
      </c>
      <c r="N84" s="244" t="s">
        <v>883</v>
      </c>
      <c r="O84" s="244" t="s">
        <v>324</v>
      </c>
      <c r="P84" s="251">
        <f>(C13)</f>
        <v>85</v>
      </c>
      <c r="Q84" s="244" t="s">
        <v>883</v>
      </c>
      <c r="R84" s="251">
        <f>(M84*P84)</f>
        <v>1802</v>
      </c>
      <c r="AG84" s="244" t="s">
        <v>2346</v>
      </c>
    </row>
    <row r="85" spans="1:33" hidden="1">
      <c r="A85" s="358">
        <f t="shared" si="6"/>
        <v>73</v>
      </c>
      <c r="B85" s="244" t="s">
        <v>2077</v>
      </c>
      <c r="C85" s="8" t="e">
        <f t="shared" si="8"/>
        <v>#REF!</v>
      </c>
      <c r="D85" s="1" t="s">
        <v>884</v>
      </c>
      <c r="E85"/>
      <c r="I85"/>
      <c r="J85" s="4"/>
      <c r="K85" s="6" t="s">
        <v>1667</v>
      </c>
      <c r="N85" s="244" t="s">
        <v>448</v>
      </c>
      <c r="O85" s="244" t="s">
        <v>449</v>
      </c>
      <c r="Q85" s="244" t="s">
        <v>448</v>
      </c>
      <c r="R85" s="251">
        <v>0</v>
      </c>
      <c r="AG85" s="244" t="s">
        <v>2346</v>
      </c>
    </row>
    <row r="86" spans="1:33" hidden="1">
      <c r="A86" s="358">
        <f t="shared" si="6"/>
        <v>74</v>
      </c>
      <c r="B86" s="244" t="s">
        <v>2088</v>
      </c>
      <c r="C86" s="8">
        <f t="shared" si="8"/>
        <v>20605</v>
      </c>
      <c r="D86" s="1" t="s">
        <v>884</v>
      </c>
      <c r="E86"/>
      <c r="H86" s="244" t="s">
        <v>618</v>
      </c>
      <c r="I86"/>
      <c r="J86" s="4"/>
      <c r="K86" s="6">
        <f>SUM(K81:K84)</f>
        <v>529.29999999999995</v>
      </c>
      <c r="R86" s="248" t="s">
        <v>1667</v>
      </c>
      <c r="AG86" s="244" t="s">
        <v>2346</v>
      </c>
    </row>
    <row r="87" spans="1:33" hidden="1">
      <c r="A87" s="358">
        <f t="shared" si="6"/>
        <v>75</v>
      </c>
      <c r="B87" s="244" t="s">
        <v>2089</v>
      </c>
      <c r="C87" s="8">
        <f t="shared" si="8"/>
        <v>23685</v>
      </c>
      <c r="D87" s="1" t="s">
        <v>884</v>
      </c>
      <c r="E87"/>
      <c r="I87"/>
      <c r="J87" s="4"/>
      <c r="K87" s="6" t="s">
        <v>1667</v>
      </c>
      <c r="O87" s="244" t="s">
        <v>618</v>
      </c>
      <c r="R87" s="251" t="e">
        <f>SUM(R79:R85)</f>
        <v>#REF!</v>
      </c>
      <c r="AG87" s="244" t="s">
        <v>2346</v>
      </c>
    </row>
    <row r="88" spans="1:33" hidden="1">
      <c r="A88" s="358">
        <f t="shared" si="6"/>
        <v>76</v>
      </c>
      <c r="B88" s="244" t="s">
        <v>2090</v>
      </c>
      <c r="C88" s="8">
        <f t="shared" si="8"/>
        <v>65420</v>
      </c>
      <c r="D88" s="1" t="s">
        <v>884</v>
      </c>
      <c r="E88"/>
      <c r="H88" s="366" t="s">
        <v>2126</v>
      </c>
      <c r="I88" s="38" t="s">
        <v>1459</v>
      </c>
      <c r="J88" s="41"/>
      <c r="K88" s="43">
        <f>(K86/10)</f>
        <v>52.93</v>
      </c>
      <c r="R88" s="248" t="s">
        <v>1667</v>
      </c>
      <c r="AG88" s="244" t="s">
        <v>2346</v>
      </c>
    </row>
    <row r="89" spans="1:33" hidden="1">
      <c r="A89" s="358">
        <f t="shared" si="6"/>
        <v>77</v>
      </c>
      <c r="B89" s="244" t="s">
        <v>299</v>
      </c>
      <c r="C89" s="8">
        <f t="shared" si="8"/>
        <v>57165</v>
      </c>
      <c r="D89" s="1" t="s">
        <v>884</v>
      </c>
      <c r="E89"/>
      <c r="I89" s="38" t="s">
        <v>1425</v>
      </c>
      <c r="J89" s="41"/>
      <c r="K89" s="43">
        <f>ROUND(K88+C36,2)</f>
        <v>55.53</v>
      </c>
      <c r="O89" s="244" t="s">
        <v>785</v>
      </c>
      <c r="R89" s="251" t="e">
        <f>(R87/10)</f>
        <v>#REF!</v>
      </c>
      <c r="AG89" s="244" t="s">
        <v>2346</v>
      </c>
    </row>
    <row r="90" spans="1:33" ht="31.5" hidden="1">
      <c r="A90" s="358">
        <f t="shared" si="6"/>
        <v>78</v>
      </c>
      <c r="B90" s="244" t="s">
        <v>2412</v>
      </c>
      <c r="C90" s="8">
        <f t="shared" si="8"/>
        <v>63870</v>
      </c>
      <c r="D90" s="1" t="s">
        <v>884</v>
      </c>
      <c r="E90"/>
      <c r="F90" s="360" t="s">
        <v>1589</v>
      </c>
      <c r="H90" s="367" t="s">
        <v>2017</v>
      </c>
      <c r="I90" s="38" t="s">
        <v>1459</v>
      </c>
      <c r="J90" s="41"/>
      <c r="K90" s="43">
        <f>K88-K83/10</f>
        <v>50</v>
      </c>
      <c r="R90" s="248" t="s">
        <v>2130</v>
      </c>
      <c r="AG90" s="244" t="s">
        <v>2346</v>
      </c>
    </row>
    <row r="91" spans="1:33" hidden="1">
      <c r="A91" s="358">
        <f t="shared" si="6"/>
        <v>79</v>
      </c>
      <c r="B91" s="244" t="s">
        <v>2413</v>
      </c>
      <c r="C91" s="8" t="e">
        <f t="shared" si="8"/>
        <v>#REF!</v>
      </c>
      <c r="D91" s="1" t="s">
        <v>1544</v>
      </c>
      <c r="E91"/>
      <c r="I91" s="38" t="s">
        <v>1425</v>
      </c>
      <c r="J91" s="41"/>
      <c r="K91" s="43">
        <f>ROUND(K90+C36,2)</f>
        <v>52.6</v>
      </c>
      <c r="AG91" s="244" t="s">
        <v>2346</v>
      </c>
    </row>
    <row r="92" spans="1:33" hidden="1">
      <c r="C92"/>
      <c r="D92"/>
      <c r="E92"/>
      <c r="F92" s="360" t="s">
        <v>2168</v>
      </c>
      <c r="G92" s="250" t="s">
        <v>995</v>
      </c>
      <c r="H92" s="244" t="s">
        <v>508</v>
      </c>
      <c r="I92"/>
      <c r="J92" s="4"/>
      <c r="K92" s="34"/>
    </row>
    <row r="93" spans="1:33" hidden="1">
      <c r="C93"/>
      <c r="D93"/>
      <c r="E93"/>
      <c r="F93" s="365" t="s">
        <v>995</v>
      </c>
      <c r="H93" s="248" t="s">
        <v>1667</v>
      </c>
      <c r="I93"/>
      <c r="J93" s="4"/>
      <c r="K93" s="34"/>
    </row>
    <row r="94" spans="1:33" hidden="1">
      <c r="C94"/>
      <c r="D94"/>
      <c r="E94"/>
      <c r="F94" s="251">
        <v>10</v>
      </c>
      <c r="G94" s="250" t="s">
        <v>884</v>
      </c>
      <c r="H94" s="244" t="s">
        <v>383</v>
      </c>
      <c r="I94" s="8">
        <f>D61</f>
        <v>37.299999999999997</v>
      </c>
      <c r="J94" s="2" t="s">
        <v>884</v>
      </c>
      <c r="K94" s="6">
        <f>(F94*I94)</f>
        <v>373</v>
      </c>
    </row>
    <row r="95" spans="1:33" hidden="1">
      <c r="C95"/>
      <c r="D95"/>
      <c r="E95"/>
      <c r="F95" s="251">
        <v>10</v>
      </c>
      <c r="G95" s="250" t="s">
        <v>884</v>
      </c>
      <c r="H95" s="244" t="s">
        <v>2084</v>
      </c>
      <c r="I95" s="8">
        <f>D61</f>
        <v>37.299999999999997</v>
      </c>
      <c r="J95" s="2" t="s">
        <v>884</v>
      </c>
      <c r="K95" s="6">
        <f>(F95*I95)</f>
        <v>373</v>
      </c>
    </row>
    <row r="96" spans="1:33" hidden="1">
      <c r="C96"/>
      <c r="D96"/>
      <c r="E96"/>
      <c r="F96" s="251">
        <v>10</v>
      </c>
      <c r="G96" s="250" t="s">
        <v>884</v>
      </c>
      <c r="H96" s="244" t="s">
        <v>2086</v>
      </c>
      <c r="I96" s="8">
        <f>I83</f>
        <v>2.93</v>
      </c>
      <c r="J96" s="2" t="s">
        <v>884</v>
      </c>
      <c r="K96" s="6">
        <f>(F96*I96)</f>
        <v>29.3</v>
      </c>
    </row>
    <row r="97" spans="3:11" hidden="1">
      <c r="C97"/>
      <c r="D97"/>
      <c r="E97"/>
      <c r="G97" s="250" t="s">
        <v>448</v>
      </c>
      <c r="H97" s="244" t="s">
        <v>449</v>
      </c>
      <c r="I97"/>
      <c r="J97" s="2" t="s">
        <v>448</v>
      </c>
      <c r="K97" s="6">
        <v>0</v>
      </c>
    </row>
    <row r="98" spans="3:11" hidden="1">
      <c r="C98"/>
      <c r="D98"/>
      <c r="E98"/>
      <c r="I98"/>
      <c r="J98" s="4"/>
      <c r="K98" s="6" t="s">
        <v>1667</v>
      </c>
    </row>
    <row r="99" spans="3:11" hidden="1">
      <c r="C99"/>
      <c r="D99"/>
      <c r="E99"/>
      <c r="H99" s="244" t="s">
        <v>618</v>
      </c>
      <c r="I99"/>
      <c r="J99" s="4"/>
      <c r="K99" s="6">
        <f>SUM(K94:K97)</f>
        <v>775.3</v>
      </c>
    </row>
    <row r="100" spans="3:11" hidden="1">
      <c r="C100"/>
      <c r="D100"/>
      <c r="E100"/>
      <c r="I100"/>
      <c r="J100" s="4"/>
      <c r="K100" s="6" t="s">
        <v>1667</v>
      </c>
    </row>
    <row r="101" spans="3:11" hidden="1">
      <c r="C101"/>
      <c r="D101"/>
      <c r="E101"/>
      <c r="H101" s="366" t="s">
        <v>2126</v>
      </c>
      <c r="I101" s="38" t="s">
        <v>1459</v>
      </c>
      <c r="J101" s="41"/>
      <c r="K101" s="43">
        <f>(K99/10)</f>
        <v>77.53</v>
      </c>
    </row>
    <row r="102" spans="3:11" hidden="1">
      <c r="C102"/>
      <c r="D102"/>
      <c r="E102"/>
      <c r="I102" s="38" t="s">
        <v>1425</v>
      </c>
      <c r="J102" s="41"/>
      <c r="K102" s="43">
        <f>ROUND(K101+C36,2)</f>
        <v>80.13</v>
      </c>
    </row>
    <row r="103" spans="3:11" hidden="1">
      <c r="C103"/>
      <c r="D103"/>
      <c r="E103"/>
      <c r="I103" s="38"/>
      <c r="J103" s="41"/>
      <c r="K103" s="43"/>
    </row>
    <row r="104" spans="3:11" ht="31.5" hidden="1">
      <c r="C104"/>
      <c r="D104"/>
      <c r="E104"/>
      <c r="F104" s="364">
        <v>1.7</v>
      </c>
      <c r="H104" s="367" t="s">
        <v>666</v>
      </c>
      <c r="I104" s="38" t="s">
        <v>1459</v>
      </c>
      <c r="J104" s="41"/>
      <c r="K104" s="43">
        <f>ROUND(K101-K96/10,2)</f>
        <v>74.599999999999994</v>
      </c>
    </row>
    <row r="105" spans="3:11" hidden="1">
      <c r="C105"/>
      <c r="D105"/>
      <c r="E105"/>
      <c r="I105" s="38" t="s">
        <v>1425</v>
      </c>
      <c r="J105" s="41"/>
      <c r="K105" s="43">
        <f>ROUND(K104+C36,2)</f>
        <v>77.2</v>
      </c>
    </row>
    <row r="106" spans="3:11" hidden="1">
      <c r="C106"/>
      <c r="D106"/>
      <c r="E106"/>
      <c r="I106"/>
      <c r="J106" s="4"/>
      <c r="K106" s="6"/>
    </row>
    <row r="107" spans="3:11" hidden="1">
      <c r="C107"/>
      <c r="D107"/>
      <c r="E107"/>
      <c r="I107"/>
      <c r="J107" s="4"/>
      <c r="K107" s="6"/>
    </row>
    <row r="108" spans="3:11" ht="31.5" hidden="1">
      <c r="C108"/>
      <c r="D108"/>
      <c r="E108"/>
      <c r="F108" s="364">
        <v>1.5</v>
      </c>
      <c r="G108" s="250" t="s">
        <v>995</v>
      </c>
      <c r="H108" s="368" t="s">
        <v>436</v>
      </c>
      <c r="I108"/>
      <c r="J108" s="4"/>
      <c r="K108" s="34"/>
    </row>
    <row r="109" spans="3:11" hidden="1">
      <c r="C109"/>
      <c r="D109"/>
      <c r="E109"/>
      <c r="I109"/>
      <c r="J109" s="4"/>
      <c r="K109" s="34"/>
    </row>
    <row r="110" spans="3:11" hidden="1">
      <c r="C110"/>
      <c r="D110"/>
      <c r="E110"/>
      <c r="F110" s="251">
        <v>10</v>
      </c>
      <c r="G110" s="250" t="s">
        <v>884</v>
      </c>
      <c r="H110" s="244" t="s">
        <v>1227</v>
      </c>
      <c r="I110" s="8">
        <f>C61</f>
        <v>25</v>
      </c>
      <c r="J110" s="2" t="s">
        <v>884</v>
      </c>
      <c r="K110" s="6">
        <f>(F110*I110)</f>
        <v>250</v>
      </c>
    </row>
    <row r="111" spans="3:11" hidden="1">
      <c r="C111"/>
      <c r="D111"/>
      <c r="E111"/>
      <c r="F111" s="251">
        <v>10</v>
      </c>
      <c r="G111" s="250" t="s">
        <v>884</v>
      </c>
      <c r="H111" s="244" t="s">
        <v>2086</v>
      </c>
      <c r="I111" s="8">
        <f>I83</f>
        <v>2.93</v>
      </c>
      <c r="J111" s="2" t="s">
        <v>884</v>
      </c>
      <c r="K111" s="6">
        <f>(F111*I111)</f>
        <v>29.3</v>
      </c>
    </row>
    <row r="112" spans="3:11" hidden="1">
      <c r="C112"/>
      <c r="D112"/>
      <c r="E112"/>
      <c r="G112" s="250" t="s">
        <v>448</v>
      </c>
      <c r="H112" s="244" t="s">
        <v>449</v>
      </c>
      <c r="I112"/>
      <c r="J112" s="2" t="s">
        <v>448</v>
      </c>
      <c r="K112" s="6">
        <v>0</v>
      </c>
    </row>
    <row r="113" spans="3:11" hidden="1">
      <c r="C113"/>
      <c r="D113"/>
      <c r="E113"/>
      <c r="I113"/>
      <c r="J113" s="4"/>
      <c r="K113" s="6" t="s">
        <v>1667</v>
      </c>
    </row>
    <row r="114" spans="3:11" hidden="1">
      <c r="C114"/>
      <c r="D114"/>
      <c r="E114"/>
      <c r="H114" s="244" t="s">
        <v>618</v>
      </c>
      <c r="I114"/>
      <c r="J114" s="4"/>
      <c r="K114" s="6">
        <f>SUM(K110:K112)</f>
        <v>279.3</v>
      </c>
    </row>
    <row r="115" spans="3:11" hidden="1">
      <c r="C115"/>
      <c r="D115"/>
      <c r="E115"/>
      <c r="I115"/>
      <c r="J115" s="4"/>
      <c r="K115" s="6" t="s">
        <v>1667</v>
      </c>
    </row>
    <row r="116" spans="3:11" hidden="1">
      <c r="C116"/>
      <c r="D116"/>
      <c r="E116"/>
      <c r="H116" s="244"/>
      <c r="I116"/>
      <c r="J116" s="4"/>
      <c r="K116" s="6">
        <f>(K114/10)</f>
        <v>27.93</v>
      </c>
    </row>
    <row r="117" spans="3:11" hidden="1">
      <c r="C117"/>
      <c r="D117"/>
      <c r="E117"/>
      <c r="I117"/>
      <c r="J117" s="4"/>
      <c r="K117" s="6" t="s">
        <v>2130</v>
      </c>
    </row>
    <row r="118" spans="3:11" hidden="1">
      <c r="C118"/>
      <c r="D118"/>
      <c r="E118"/>
      <c r="F118" s="360"/>
      <c r="H118" s="244" t="s">
        <v>2111</v>
      </c>
      <c r="I118" s="38" t="s">
        <v>1459</v>
      </c>
      <c r="J118" s="4"/>
      <c r="K118" s="43">
        <f>K116-K111/10</f>
        <v>25</v>
      </c>
    </row>
    <row r="119" spans="3:11" hidden="1">
      <c r="C119"/>
      <c r="D119"/>
      <c r="E119"/>
      <c r="I119" s="38" t="s">
        <v>1425</v>
      </c>
      <c r="J119" s="4"/>
      <c r="K119" s="43">
        <f>ROUND(K118+C36,2)</f>
        <v>27.6</v>
      </c>
    </row>
    <row r="120" spans="3:11" hidden="1">
      <c r="C120"/>
      <c r="D120"/>
      <c r="E120"/>
      <c r="I120"/>
      <c r="J120" s="4"/>
      <c r="K120" s="6"/>
    </row>
    <row r="121" spans="3:11" ht="31.5" hidden="1">
      <c r="C121"/>
      <c r="D121"/>
      <c r="E121"/>
      <c r="F121" s="369">
        <v>1.8</v>
      </c>
      <c r="H121" s="368" t="s">
        <v>2141</v>
      </c>
      <c r="I121"/>
      <c r="J121" s="4"/>
      <c r="K121" s="6"/>
    </row>
    <row r="122" spans="3:11" hidden="1">
      <c r="C122"/>
      <c r="D122"/>
      <c r="E122"/>
      <c r="I122"/>
      <c r="J122" s="4"/>
      <c r="K122" s="6"/>
    </row>
    <row r="123" spans="3:11" hidden="1">
      <c r="C123"/>
      <c r="D123"/>
      <c r="E123"/>
      <c r="F123" s="251">
        <v>10</v>
      </c>
      <c r="G123" s="250" t="s">
        <v>884</v>
      </c>
      <c r="H123" s="244" t="s">
        <v>383</v>
      </c>
      <c r="I123">
        <f>D61</f>
        <v>37.299999999999997</v>
      </c>
      <c r="J123" s="2" t="s">
        <v>884</v>
      </c>
      <c r="K123" s="6">
        <f>(F123*I123)</f>
        <v>373</v>
      </c>
    </row>
    <row r="124" spans="3:11" hidden="1">
      <c r="C124"/>
      <c r="D124"/>
      <c r="E124"/>
      <c r="G124" s="243" t="s">
        <v>667</v>
      </c>
      <c r="I124"/>
      <c r="J124" s="4" t="s">
        <v>667</v>
      </c>
      <c r="K124" s="6">
        <v>0</v>
      </c>
    </row>
    <row r="125" spans="3:11" hidden="1">
      <c r="C125"/>
      <c r="D125"/>
      <c r="E125"/>
      <c r="I125"/>
      <c r="J125" s="4"/>
      <c r="K125" s="6" t="s">
        <v>1667</v>
      </c>
    </row>
    <row r="126" spans="3:11" hidden="1">
      <c r="C126"/>
      <c r="D126"/>
      <c r="E126"/>
      <c r="H126" s="244" t="s">
        <v>618</v>
      </c>
      <c r="I126"/>
      <c r="J126" s="4"/>
      <c r="K126" s="6">
        <f>SUM(K123:K124)</f>
        <v>373</v>
      </c>
    </row>
    <row r="127" spans="3:11" hidden="1">
      <c r="C127"/>
      <c r="D127"/>
      <c r="E127"/>
      <c r="I127"/>
      <c r="J127" s="4"/>
      <c r="K127" s="6" t="s">
        <v>1667</v>
      </c>
    </row>
    <row r="128" spans="3:11" ht="31.5" hidden="1">
      <c r="C128"/>
      <c r="D128"/>
      <c r="E128"/>
      <c r="F128" s="370"/>
      <c r="H128" s="371" t="s">
        <v>2222</v>
      </c>
      <c r="I128" s="38" t="s">
        <v>1459</v>
      </c>
      <c r="J128" s="4"/>
      <c r="K128" s="43">
        <f>ROUND(K126/10,2)</f>
        <v>37.299999999999997</v>
      </c>
    </row>
    <row r="129" spans="1:33" hidden="1">
      <c r="C129"/>
      <c r="D129"/>
      <c r="E129"/>
      <c r="I129" s="38" t="s">
        <v>1425</v>
      </c>
      <c r="J129" s="4"/>
      <c r="K129" s="43">
        <f>ROUND(K128+C36,2)</f>
        <v>39.9</v>
      </c>
    </row>
    <row r="130" spans="1:33" hidden="1">
      <c r="C130"/>
      <c r="D130"/>
      <c r="E130"/>
      <c r="I130" s="38"/>
      <c r="J130" s="4"/>
      <c r="K130" s="6"/>
    </row>
    <row r="131" spans="1:33" hidden="1">
      <c r="C131"/>
      <c r="D131"/>
      <c r="E131"/>
      <c r="F131" s="364">
        <v>1.6</v>
      </c>
      <c r="H131" s="244" t="s">
        <v>812</v>
      </c>
      <c r="I131" s="38"/>
      <c r="J131" s="4"/>
      <c r="K131" s="34"/>
    </row>
    <row r="132" spans="1:33" hidden="1">
      <c r="C132"/>
      <c r="D132"/>
      <c r="E132"/>
      <c r="H132" s="244" t="s">
        <v>384</v>
      </c>
      <c r="I132" s="38" t="s">
        <v>1459</v>
      </c>
      <c r="J132" s="4"/>
      <c r="K132" s="43">
        <f>C61*1.5</f>
        <v>37.5</v>
      </c>
    </row>
    <row r="133" spans="1:33" hidden="1">
      <c r="C133"/>
      <c r="D133"/>
      <c r="E133"/>
      <c r="F133" s="244" t="s">
        <v>995</v>
      </c>
      <c r="H133" s="244" t="s">
        <v>385</v>
      </c>
      <c r="I133" s="38" t="s">
        <v>1425</v>
      </c>
      <c r="J133" s="4"/>
      <c r="K133" s="43">
        <f>ROUND(K132+C36,2)</f>
        <v>40.1</v>
      </c>
    </row>
    <row r="134" spans="1:33" hidden="1">
      <c r="C134"/>
      <c r="D134"/>
      <c r="E134"/>
      <c r="I134"/>
      <c r="J134" s="4"/>
      <c r="K134" s="6" t="s">
        <v>2130</v>
      </c>
    </row>
    <row r="135" spans="1:33" hidden="1">
      <c r="C135"/>
      <c r="D135"/>
      <c r="E135"/>
      <c r="I135"/>
      <c r="J135" s="4"/>
      <c r="K135" s="34"/>
    </row>
    <row r="136" spans="1:33" hidden="1">
      <c r="A136" s="358">
        <f>(A91+1)</f>
        <v>80</v>
      </c>
      <c r="B136" s="244" t="s">
        <v>1625</v>
      </c>
      <c r="C136" s="8">
        <f>AC30</f>
        <v>8240</v>
      </c>
      <c r="D136" s="8">
        <v>13.87</v>
      </c>
      <c r="E136" s="1" t="s">
        <v>995</v>
      </c>
      <c r="F136" s="354" t="s">
        <v>386</v>
      </c>
      <c r="G136" s="250" t="s">
        <v>2338</v>
      </c>
      <c r="H136" s="244" t="s">
        <v>387</v>
      </c>
      <c r="I136"/>
      <c r="J136" s="4"/>
      <c r="K136" s="34"/>
      <c r="N136" s="244" t="s">
        <v>2414</v>
      </c>
      <c r="O136" s="244" t="s">
        <v>388</v>
      </c>
      <c r="R136" s="251" t="e">
        <f>(R89+C19)</f>
        <v>#REF!</v>
      </c>
      <c r="AG136" s="244" t="s">
        <v>2346</v>
      </c>
    </row>
    <row r="137" spans="1:33" hidden="1">
      <c r="A137" s="358">
        <f t="shared" ref="A137:A142" si="9">(A136+1)</f>
        <v>81</v>
      </c>
      <c r="B137" s="244" t="s">
        <v>389</v>
      </c>
      <c r="C137" s="8">
        <f>AC33</f>
        <v>26500</v>
      </c>
      <c r="D137" s="1" t="s">
        <v>876</v>
      </c>
      <c r="E137"/>
      <c r="H137" s="244" t="s">
        <v>1054</v>
      </c>
      <c r="I137"/>
      <c r="J137" s="4"/>
      <c r="K137" s="34"/>
      <c r="N137" s="244" t="s">
        <v>2415</v>
      </c>
      <c r="O137" s="244" t="s">
        <v>390</v>
      </c>
      <c r="R137" s="251" t="e">
        <f>(R136+C20)</f>
        <v>#REF!</v>
      </c>
      <c r="AG137" s="244" t="s">
        <v>2346</v>
      </c>
    </row>
    <row r="138" spans="1:33" hidden="1">
      <c r="A138" s="358">
        <f t="shared" si="9"/>
        <v>82</v>
      </c>
      <c r="B138" s="244" t="s">
        <v>1882</v>
      </c>
      <c r="C138" s="8">
        <f>AC32</f>
        <v>28000</v>
      </c>
      <c r="D138" s="1" t="s">
        <v>876</v>
      </c>
      <c r="E138"/>
      <c r="H138" s="248" t="s">
        <v>1667</v>
      </c>
      <c r="I138"/>
      <c r="J138" s="4"/>
      <c r="K138" s="34"/>
      <c r="N138" s="244" t="s">
        <v>2416</v>
      </c>
      <c r="O138" s="244" t="s">
        <v>2319</v>
      </c>
      <c r="R138" s="251" t="e">
        <f>(R137+C21)</f>
        <v>#REF!</v>
      </c>
      <c r="AG138" s="244" t="s">
        <v>2346</v>
      </c>
    </row>
    <row r="139" spans="1:33" hidden="1">
      <c r="A139" s="358">
        <f t="shared" si="9"/>
        <v>83</v>
      </c>
      <c r="B139" s="244" t="s">
        <v>380</v>
      </c>
      <c r="C139" s="8">
        <f>AC33</f>
        <v>26500</v>
      </c>
      <c r="D139" s="1" t="s">
        <v>876</v>
      </c>
      <c r="E139"/>
      <c r="F139" s="251">
        <v>1</v>
      </c>
      <c r="G139" s="250" t="s">
        <v>884</v>
      </c>
      <c r="H139" s="244" t="s">
        <v>381</v>
      </c>
      <c r="I139" s="8" t="e">
        <f>C79</f>
        <v>#REF!</v>
      </c>
      <c r="J139" s="2" t="s">
        <v>884</v>
      </c>
      <c r="K139" s="6" t="e">
        <f>(F139*I139)</f>
        <v>#REF!</v>
      </c>
      <c r="N139" s="244" t="s">
        <v>2417</v>
      </c>
      <c r="O139" s="244" t="s">
        <v>382</v>
      </c>
      <c r="R139" s="251" t="e">
        <f>(R138+C21)</f>
        <v>#REF!</v>
      </c>
      <c r="AG139" s="244" t="s">
        <v>2346</v>
      </c>
    </row>
    <row r="140" spans="1:33" hidden="1">
      <c r="A140" s="358">
        <f t="shared" si="9"/>
        <v>84</v>
      </c>
      <c r="B140" s="244" t="s">
        <v>1623</v>
      </c>
      <c r="C140" s="8">
        <f>AC38</f>
        <v>169</v>
      </c>
      <c r="D140" s="1" t="s">
        <v>884</v>
      </c>
      <c r="E140"/>
      <c r="F140" s="251">
        <v>1</v>
      </c>
      <c r="G140" s="250" t="s">
        <v>884</v>
      </c>
      <c r="H140" s="244" t="s">
        <v>1415</v>
      </c>
      <c r="I140" s="8">
        <f>C27</f>
        <v>7.8</v>
      </c>
      <c r="J140" s="2" t="s">
        <v>884</v>
      </c>
      <c r="K140" s="6">
        <f>(F140*I140)</f>
        <v>7.8</v>
      </c>
      <c r="O140" s="244" t="s">
        <v>2418</v>
      </c>
      <c r="R140" s="251" t="e">
        <f>(R139+C21)</f>
        <v>#REF!</v>
      </c>
      <c r="AG140" s="244" t="s">
        <v>2346</v>
      </c>
    </row>
    <row r="141" spans="1:33" hidden="1">
      <c r="A141" s="358">
        <f t="shared" si="9"/>
        <v>85</v>
      </c>
      <c r="B141" s="244" t="s">
        <v>192</v>
      </c>
      <c r="C141" s="8">
        <f>I255</f>
        <v>12224.58</v>
      </c>
      <c r="D141" s="1" t="s">
        <v>876</v>
      </c>
      <c r="E141"/>
      <c r="G141" s="250" t="s">
        <v>448</v>
      </c>
      <c r="H141" s="244" t="s">
        <v>449</v>
      </c>
      <c r="I141" s="1" t="s">
        <v>995</v>
      </c>
      <c r="J141" s="2" t="s">
        <v>448</v>
      </c>
      <c r="K141" s="6">
        <v>0</v>
      </c>
      <c r="N141" s="244" t="s">
        <v>2338</v>
      </c>
      <c r="O141" s="244" t="s">
        <v>2419</v>
      </c>
      <c r="AG141" s="244" t="s">
        <v>2346</v>
      </c>
    </row>
    <row r="142" spans="1:33" hidden="1">
      <c r="A142" s="358">
        <f t="shared" si="9"/>
        <v>86</v>
      </c>
      <c r="B142" s="244" t="s">
        <v>193</v>
      </c>
      <c r="C142" s="8">
        <v>30000</v>
      </c>
      <c r="D142" s="1" t="s">
        <v>876</v>
      </c>
      <c r="E142"/>
      <c r="I142"/>
      <c r="J142" s="4"/>
      <c r="K142" s="6" t="s">
        <v>1667</v>
      </c>
      <c r="O142" s="244" t="s">
        <v>1156</v>
      </c>
      <c r="AG142" s="244" t="s">
        <v>2346</v>
      </c>
    </row>
    <row r="143" spans="1:33" hidden="1">
      <c r="B143" s="244" t="s">
        <v>995</v>
      </c>
      <c r="C143"/>
      <c r="D143"/>
      <c r="E143"/>
      <c r="H143" s="244" t="s">
        <v>194</v>
      </c>
      <c r="I143"/>
      <c r="J143" s="4"/>
      <c r="K143" s="6" t="e">
        <f>SUM(K137:K141)</f>
        <v>#REF!</v>
      </c>
      <c r="O143" s="248" t="s">
        <v>1667</v>
      </c>
      <c r="AG143" s="244" t="s">
        <v>2346</v>
      </c>
    </row>
    <row r="144" spans="1:33" hidden="1">
      <c r="A144" s="358">
        <f>(A142+1)</f>
        <v>87</v>
      </c>
      <c r="B144" s="244" t="s">
        <v>195</v>
      </c>
      <c r="C144" s="8">
        <v>7.5</v>
      </c>
      <c r="D144" s="1" t="s">
        <v>448</v>
      </c>
      <c r="E144"/>
      <c r="I144"/>
      <c r="J144" s="4"/>
      <c r="K144" s="6" t="s">
        <v>1667</v>
      </c>
      <c r="M144" s="251">
        <v>4600</v>
      </c>
      <c r="N144" s="244" t="s">
        <v>1485</v>
      </c>
      <c r="O144" s="244" t="s">
        <v>1156</v>
      </c>
      <c r="P144" s="251" t="e">
        <f>(C91)</f>
        <v>#REF!</v>
      </c>
      <c r="Q144" s="244" t="s">
        <v>1675</v>
      </c>
      <c r="R144" s="251" t="e">
        <f>(M144*P144)/1000</f>
        <v>#REF!</v>
      </c>
      <c r="AG144" s="244" t="s">
        <v>2346</v>
      </c>
    </row>
    <row r="145" spans="3:11" hidden="1">
      <c r="C145"/>
      <c r="D145"/>
      <c r="E145"/>
      <c r="F145" s="354" t="s">
        <v>196</v>
      </c>
      <c r="G145" s="250" t="s">
        <v>2338</v>
      </c>
      <c r="H145" s="244" t="s">
        <v>1055</v>
      </c>
      <c r="I145"/>
      <c r="J145" s="4"/>
      <c r="K145" s="34"/>
    </row>
    <row r="146" spans="3:11" hidden="1">
      <c r="C146"/>
      <c r="D146"/>
      <c r="E146"/>
      <c r="H146" s="244" t="s">
        <v>1056</v>
      </c>
      <c r="I146"/>
      <c r="J146" s="4"/>
      <c r="K146" s="34"/>
    </row>
    <row r="147" spans="3:11" hidden="1">
      <c r="C147"/>
      <c r="D147"/>
      <c r="E147"/>
      <c r="H147" s="244" t="s">
        <v>484</v>
      </c>
      <c r="I147"/>
      <c r="J147" s="4"/>
      <c r="K147" s="34"/>
    </row>
    <row r="148" spans="3:11" hidden="1">
      <c r="C148"/>
      <c r="D148"/>
      <c r="E148"/>
      <c r="H148" s="244" t="s">
        <v>523</v>
      </c>
      <c r="I148"/>
      <c r="J148" s="4"/>
      <c r="K148" s="34"/>
    </row>
    <row r="149" spans="3:11" hidden="1">
      <c r="C149"/>
      <c r="D149"/>
      <c r="E149"/>
      <c r="H149" s="244" t="s">
        <v>524</v>
      </c>
      <c r="I149"/>
      <c r="J149" s="4"/>
      <c r="K149" s="34"/>
    </row>
    <row r="150" spans="3:11" hidden="1">
      <c r="C150"/>
      <c r="D150"/>
      <c r="E150"/>
      <c r="H150" s="248" t="s">
        <v>1667</v>
      </c>
      <c r="I150"/>
      <c r="J150" s="4"/>
      <c r="K150" s="34"/>
    </row>
    <row r="151" spans="3:11" hidden="1">
      <c r="C151"/>
      <c r="D151"/>
      <c r="E151"/>
      <c r="F151" s="251">
        <v>0.7</v>
      </c>
      <c r="G151" s="250" t="s">
        <v>884</v>
      </c>
      <c r="H151" s="244" t="s">
        <v>2075</v>
      </c>
      <c r="I151" s="8" t="e">
        <f>C79</f>
        <v>#REF!</v>
      </c>
      <c r="J151" s="2" t="s">
        <v>884</v>
      </c>
      <c r="K151" s="6" t="e">
        <f t="shared" ref="K151:K156" si="10">(F151*I151)</f>
        <v>#REF!</v>
      </c>
    </row>
    <row r="152" spans="3:11" hidden="1">
      <c r="C152"/>
      <c r="D152"/>
      <c r="E152"/>
      <c r="F152" s="251">
        <v>0.7</v>
      </c>
      <c r="G152" s="250" t="s">
        <v>884</v>
      </c>
      <c r="H152" s="244" t="s">
        <v>525</v>
      </c>
      <c r="I152" s="8">
        <f>C783</f>
        <v>3.05</v>
      </c>
      <c r="J152" s="2" t="s">
        <v>884</v>
      </c>
      <c r="K152" s="6">
        <f t="shared" si="10"/>
        <v>2.14</v>
      </c>
    </row>
    <row r="153" spans="3:11" hidden="1">
      <c r="C153"/>
      <c r="D153"/>
      <c r="E153"/>
      <c r="F153" s="251">
        <v>0.72</v>
      </c>
      <c r="G153" s="250" t="s">
        <v>884</v>
      </c>
      <c r="H153" s="244" t="s">
        <v>1726</v>
      </c>
      <c r="I153" s="8">
        <f>C35</f>
        <v>169</v>
      </c>
      <c r="J153" s="2" t="s">
        <v>884</v>
      </c>
      <c r="K153" s="6">
        <f t="shared" si="10"/>
        <v>121.68</v>
      </c>
    </row>
    <row r="154" spans="3:11" hidden="1">
      <c r="C154"/>
      <c r="D154"/>
      <c r="E154"/>
      <c r="F154" s="251">
        <v>0.72</v>
      </c>
      <c r="G154" s="250" t="s">
        <v>884</v>
      </c>
      <c r="H154" s="244" t="s">
        <v>525</v>
      </c>
      <c r="I154" s="8">
        <f>C783</f>
        <v>3.05</v>
      </c>
      <c r="J154" s="2" t="s">
        <v>884</v>
      </c>
      <c r="K154" s="6">
        <f t="shared" si="10"/>
        <v>2.2000000000000002</v>
      </c>
    </row>
    <row r="155" spans="3:11" hidden="1">
      <c r="C155"/>
      <c r="D155"/>
      <c r="E155"/>
      <c r="F155" s="251">
        <v>1</v>
      </c>
      <c r="G155" s="250" t="s">
        <v>884</v>
      </c>
      <c r="H155" s="244" t="s">
        <v>1872</v>
      </c>
      <c r="I155" s="8">
        <f>C18</f>
        <v>26</v>
      </c>
      <c r="J155" s="2" t="s">
        <v>884</v>
      </c>
      <c r="K155" s="6">
        <f t="shared" si="10"/>
        <v>26</v>
      </c>
    </row>
    <row r="156" spans="3:11" hidden="1">
      <c r="C156"/>
      <c r="D156"/>
      <c r="E156"/>
      <c r="F156" s="251">
        <v>1</v>
      </c>
      <c r="G156" s="250" t="s">
        <v>884</v>
      </c>
      <c r="H156" s="244" t="s">
        <v>1727</v>
      </c>
      <c r="I156" s="8">
        <v>6.05</v>
      </c>
      <c r="J156" s="2" t="s">
        <v>884</v>
      </c>
      <c r="K156" s="6">
        <f t="shared" si="10"/>
        <v>6.05</v>
      </c>
    </row>
    <row r="157" spans="3:11" hidden="1">
      <c r="C157"/>
      <c r="D157"/>
      <c r="E157"/>
      <c r="H157" s="244" t="s">
        <v>1728</v>
      </c>
      <c r="I157"/>
      <c r="J157" s="4"/>
      <c r="K157" s="34"/>
    </row>
    <row r="158" spans="3:11" hidden="1">
      <c r="C158"/>
      <c r="D158"/>
      <c r="E158"/>
      <c r="G158" s="250" t="s">
        <v>448</v>
      </c>
      <c r="H158" s="244" t="s">
        <v>449</v>
      </c>
      <c r="I158" s="1" t="s">
        <v>995</v>
      </c>
      <c r="J158" s="2" t="s">
        <v>448</v>
      </c>
      <c r="K158" s="6">
        <v>0</v>
      </c>
    </row>
    <row r="159" spans="3:11" hidden="1">
      <c r="C159"/>
      <c r="D159"/>
      <c r="E159"/>
      <c r="I159"/>
      <c r="J159" s="4"/>
      <c r="K159" s="6" t="s">
        <v>1667</v>
      </c>
    </row>
    <row r="160" spans="3:11" hidden="1">
      <c r="C160"/>
      <c r="D160"/>
      <c r="E160"/>
      <c r="H160" s="244" t="s">
        <v>194</v>
      </c>
      <c r="I160"/>
      <c r="J160" s="4"/>
      <c r="K160" s="6" t="e">
        <f>SUM(K151:K158)</f>
        <v>#REF!</v>
      </c>
    </row>
    <row r="161" spans="1:11" hidden="1">
      <c r="C161"/>
      <c r="D161"/>
      <c r="E161"/>
      <c r="I161"/>
      <c r="J161" s="4"/>
      <c r="K161" s="6" t="s">
        <v>1667</v>
      </c>
    </row>
    <row r="162" spans="1:11" hidden="1">
      <c r="C162"/>
      <c r="D162"/>
      <c r="E162"/>
      <c r="H162" s="244" t="s">
        <v>995</v>
      </c>
      <c r="I162"/>
      <c r="J162" s="4"/>
      <c r="K162" s="6" t="s">
        <v>995</v>
      </c>
    </row>
    <row r="163" spans="1:11" hidden="1">
      <c r="C163"/>
      <c r="D163"/>
      <c r="E163"/>
      <c r="I163"/>
      <c r="J163" s="4"/>
      <c r="K163" s="6" t="s">
        <v>995</v>
      </c>
    </row>
    <row r="164" spans="1:11" hidden="1">
      <c r="A164" s="372">
        <v>2.2999999999999998</v>
      </c>
      <c r="B164" s="244" t="s">
        <v>243</v>
      </c>
      <c r="C164" t="e">
        <f>AC19+I167</f>
        <v>#REF!</v>
      </c>
      <c r="D164"/>
      <c r="E164"/>
      <c r="F164" s="364">
        <v>2.6</v>
      </c>
      <c r="G164" s="250" t="s">
        <v>2338</v>
      </c>
      <c r="H164" s="244" t="s">
        <v>1221</v>
      </c>
      <c r="I164"/>
      <c r="J164" s="4"/>
      <c r="K164" s="34"/>
    </row>
    <row r="165" spans="1:11" hidden="1">
      <c r="A165" s="372">
        <v>2.4</v>
      </c>
      <c r="B165" s="244" t="s">
        <v>796</v>
      </c>
      <c r="C165" t="e">
        <f>AC20+I167</f>
        <v>#REF!</v>
      </c>
      <c r="D165"/>
      <c r="E165"/>
      <c r="H165" s="248" t="s">
        <v>1667</v>
      </c>
      <c r="I165"/>
      <c r="J165" s="4"/>
      <c r="K165" s="34"/>
    </row>
    <row r="166" spans="1:11" hidden="1">
      <c r="C166"/>
      <c r="D166"/>
      <c r="E166"/>
      <c r="F166" s="251">
        <v>1</v>
      </c>
      <c r="G166" s="250" t="s">
        <v>884</v>
      </c>
      <c r="H166" s="244" t="s">
        <v>1127</v>
      </c>
      <c r="I166" s="8" t="e">
        <f>AC15</f>
        <v>#REF!</v>
      </c>
      <c r="J166" s="2" t="s">
        <v>884</v>
      </c>
      <c r="K166" s="6" t="e">
        <f>(F166*I166)</f>
        <v>#REF!</v>
      </c>
    </row>
    <row r="167" spans="1:11" hidden="1">
      <c r="C167"/>
      <c r="D167"/>
      <c r="E167"/>
      <c r="F167" s="251">
        <v>1</v>
      </c>
      <c r="G167" s="250" t="s">
        <v>884</v>
      </c>
      <c r="H167" s="244" t="s">
        <v>1415</v>
      </c>
      <c r="I167" s="8">
        <f>C26</f>
        <v>8.8000000000000007</v>
      </c>
      <c r="J167" s="2" t="s">
        <v>884</v>
      </c>
      <c r="K167" s="6">
        <f>(F167*I167)</f>
        <v>8.8000000000000007</v>
      </c>
    </row>
    <row r="168" spans="1:11" hidden="1">
      <c r="C168"/>
      <c r="D168"/>
      <c r="E168"/>
      <c r="G168" s="250" t="s">
        <v>448</v>
      </c>
      <c r="H168" s="244" t="s">
        <v>449</v>
      </c>
      <c r="I168" s="1" t="s">
        <v>995</v>
      </c>
      <c r="J168" s="2" t="s">
        <v>448</v>
      </c>
      <c r="K168" s="6">
        <v>0</v>
      </c>
    </row>
    <row r="169" spans="1:11" hidden="1">
      <c r="C169"/>
      <c r="D169"/>
      <c r="E169"/>
      <c r="I169"/>
      <c r="J169" s="4"/>
      <c r="K169" s="6" t="s">
        <v>1667</v>
      </c>
    </row>
    <row r="170" spans="1:11" hidden="1">
      <c r="C170"/>
      <c r="D170"/>
      <c r="E170"/>
      <c r="H170" s="244" t="s">
        <v>194</v>
      </c>
      <c r="I170"/>
      <c r="J170" s="4"/>
      <c r="K170" s="6" t="e">
        <f>SUM(K165:K168)</f>
        <v>#REF!</v>
      </c>
    </row>
    <row r="171" spans="1:11" hidden="1">
      <c r="C171"/>
      <c r="D171"/>
      <c r="E171"/>
      <c r="I171"/>
      <c r="J171" s="4"/>
      <c r="K171" s="6" t="s">
        <v>1667</v>
      </c>
    </row>
    <row r="172" spans="1:11" hidden="1">
      <c r="C172"/>
      <c r="D172"/>
      <c r="E172"/>
      <c r="F172" s="364">
        <v>2.7</v>
      </c>
      <c r="G172" s="250" t="s">
        <v>2338</v>
      </c>
      <c r="H172" s="244" t="s">
        <v>2065</v>
      </c>
      <c r="I172"/>
      <c r="J172" s="4"/>
      <c r="K172" s="34"/>
    </row>
    <row r="173" spans="1:11" hidden="1">
      <c r="C173"/>
      <c r="D173"/>
      <c r="E173"/>
      <c r="H173" s="248" t="s">
        <v>1667</v>
      </c>
      <c r="I173"/>
      <c r="J173" s="4"/>
      <c r="K173" s="34"/>
    </row>
    <row r="174" spans="1:11" hidden="1">
      <c r="C174"/>
      <c r="D174"/>
      <c r="E174"/>
      <c r="F174" s="251">
        <v>1</v>
      </c>
      <c r="G174" s="250" t="s">
        <v>884</v>
      </c>
      <c r="H174" s="244" t="s">
        <v>846</v>
      </c>
      <c r="I174" s="8" t="e">
        <f>AC14</f>
        <v>#REF!</v>
      </c>
      <c r="J174" s="2" t="s">
        <v>884</v>
      </c>
      <c r="K174" s="6" t="e">
        <f>(F174*I174)</f>
        <v>#REF!</v>
      </c>
    </row>
    <row r="175" spans="1:11" hidden="1">
      <c r="C175"/>
      <c r="D175"/>
      <c r="E175"/>
      <c r="F175" s="251">
        <v>1</v>
      </c>
      <c r="G175" s="250" t="s">
        <v>884</v>
      </c>
      <c r="H175" s="244" t="s">
        <v>1415</v>
      </c>
      <c r="I175" s="8">
        <f>C26</f>
        <v>8.8000000000000007</v>
      </c>
      <c r="J175" s="2" t="s">
        <v>884</v>
      </c>
      <c r="K175" s="6">
        <f>(F175*I175)</f>
        <v>8.8000000000000007</v>
      </c>
    </row>
    <row r="176" spans="1:11" hidden="1">
      <c r="C176"/>
      <c r="D176"/>
      <c r="E176"/>
      <c r="G176" s="250" t="s">
        <v>448</v>
      </c>
      <c r="H176" s="244" t="s">
        <v>449</v>
      </c>
      <c r="I176" s="1" t="s">
        <v>995</v>
      </c>
      <c r="J176" s="2" t="s">
        <v>448</v>
      </c>
      <c r="K176" s="6">
        <v>0</v>
      </c>
    </row>
    <row r="177" spans="1:33" hidden="1">
      <c r="C177"/>
      <c r="D177"/>
      <c r="E177"/>
      <c r="I177"/>
      <c r="J177" s="4"/>
      <c r="K177" s="6" t="s">
        <v>1667</v>
      </c>
    </row>
    <row r="178" spans="1:33" hidden="1">
      <c r="C178"/>
      <c r="D178"/>
      <c r="E178"/>
      <c r="H178" s="244" t="s">
        <v>194</v>
      </c>
      <c r="I178"/>
      <c r="J178" s="4"/>
      <c r="K178" s="6" t="e">
        <f>SUM(K173:K176)</f>
        <v>#REF!</v>
      </c>
    </row>
    <row r="179" spans="1:33" hidden="1">
      <c r="A179" s="358">
        <f>(A144+1)</f>
        <v>88</v>
      </c>
      <c r="B179" s="244" t="s">
        <v>1729</v>
      </c>
      <c r="C179" s="8">
        <v>15.25</v>
      </c>
      <c r="D179" s="1" t="s">
        <v>1730</v>
      </c>
      <c r="E179"/>
      <c r="I179"/>
      <c r="J179" s="4"/>
      <c r="K179" s="6" t="s">
        <v>1667</v>
      </c>
      <c r="M179" s="251">
        <v>2.5</v>
      </c>
      <c r="N179" s="244" t="s">
        <v>884</v>
      </c>
      <c r="O179" s="244" t="s">
        <v>1716</v>
      </c>
      <c r="P179" s="251" t="e">
        <f>(K58)</f>
        <v>#REF!</v>
      </c>
      <c r="Q179" s="244" t="s">
        <v>884</v>
      </c>
      <c r="R179" s="251" t="e">
        <f>(M179*P179)</f>
        <v>#REF!</v>
      </c>
      <c r="AG179" s="244" t="s">
        <v>2346</v>
      </c>
    </row>
    <row r="180" spans="1:33" hidden="1">
      <c r="A180" s="358">
        <f>(A179+1)</f>
        <v>89</v>
      </c>
      <c r="B180" s="244" t="s">
        <v>1731</v>
      </c>
      <c r="C180" s="8">
        <v>110</v>
      </c>
      <c r="D180" s="1" t="s">
        <v>1730</v>
      </c>
      <c r="E180"/>
      <c r="H180" s="244" t="s">
        <v>995</v>
      </c>
      <c r="I180"/>
      <c r="J180" s="4"/>
      <c r="K180" s="34"/>
      <c r="M180" s="251">
        <v>3.5</v>
      </c>
      <c r="N180" s="244" t="s">
        <v>883</v>
      </c>
      <c r="O180" s="244" t="s">
        <v>2082</v>
      </c>
      <c r="P180" s="251">
        <f>(C10)</f>
        <v>150</v>
      </c>
      <c r="Q180" s="244" t="s">
        <v>883</v>
      </c>
      <c r="R180" s="251">
        <f>(M180*P180)</f>
        <v>525</v>
      </c>
      <c r="AG180" s="244" t="s">
        <v>2346</v>
      </c>
    </row>
    <row r="181" spans="1:33" hidden="1">
      <c r="C181"/>
      <c r="D181"/>
      <c r="E181"/>
      <c r="F181" s="354" t="s">
        <v>1732</v>
      </c>
      <c r="H181" s="244" t="s">
        <v>964</v>
      </c>
      <c r="I181"/>
      <c r="J181" s="4"/>
      <c r="K181" s="34"/>
    </row>
    <row r="182" spans="1:33" hidden="1">
      <c r="C182"/>
      <c r="D182"/>
      <c r="E182"/>
      <c r="I182"/>
      <c r="J182" s="4"/>
      <c r="K182" s="34"/>
    </row>
    <row r="183" spans="1:33" hidden="1">
      <c r="C183"/>
      <c r="D183"/>
      <c r="E183"/>
      <c r="F183" s="251">
        <v>1</v>
      </c>
      <c r="G183" s="250" t="s">
        <v>884</v>
      </c>
      <c r="H183" s="244" t="s">
        <v>69</v>
      </c>
      <c r="I183" s="8">
        <f>C35</f>
        <v>169</v>
      </c>
      <c r="J183" s="2" t="s">
        <v>884</v>
      </c>
      <c r="K183" s="6">
        <f>(F183*I183)</f>
        <v>169</v>
      </c>
    </row>
    <row r="184" spans="1:33" hidden="1">
      <c r="C184"/>
      <c r="D184"/>
      <c r="E184"/>
      <c r="F184" s="251">
        <v>1</v>
      </c>
      <c r="G184" s="250" t="s">
        <v>884</v>
      </c>
      <c r="H184" s="244" t="s">
        <v>525</v>
      </c>
      <c r="I184" s="8">
        <f>C783</f>
        <v>3.05</v>
      </c>
      <c r="J184" s="2" t="s">
        <v>884</v>
      </c>
      <c r="K184" s="6">
        <f>(F184*I184)</f>
        <v>3.05</v>
      </c>
    </row>
    <row r="185" spans="1:33" hidden="1">
      <c r="C185"/>
      <c r="D185"/>
      <c r="E185"/>
      <c r="F185" s="251">
        <v>1</v>
      </c>
      <c r="G185" s="250" t="s">
        <v>884</v>
      </c>
      <c r="H185" s="244" t="s">
        <v>1727</v>
      </c>
      <c r="I185" s="8">
        <v>6.05</v>
      </c>
      <c r="J185" s="2" t="s">
        <v>884</v>
      </c>
      <c r="K185" s="6">
        <f>(F185*I185)</f>
        <v>6.05</v>
      </c>
    </row>
    <row r="186" spans="1:33" hidden="1">
      <c r="C186"/>
      <c r="D186"/>
      <c r="E186"/>
      <c r="H186" s="244" t="s">
        <v>1728</v>
      </c>
      <c r="I186"/>
      <c r="J186" s="4"/>
      <c r="K186" s="34"/>
    </row>
    <row r="187" spans="1:33" hidden="1">
      <c r="C187"/>
      <c r="D187"/>
      <c r="E187"/>
      <c r="I187"/>
      <c r="J187" s="4"/>
      <c r="K187" s="6" t="s">
        <v>1667</v>
      </c>
    </row>
    <row r="188" spans="1:33" hidden="1">
      <c r="C188"/>
      <c r="D188"/>
      <c r="E188"/>
      <c r="H188" s="244" t="s">
        <v>194</v>
      </c>
      <c r="I188"/>
      <c r="J188" s="4"/>
      <c r="K188" s="6">
        <f>SUM(K181:K186)</f>
        <v>178.1</v>
      </c>
    </row>
    <row r="189" spans="1:33" hidden="1">
      <c r="C189"/>
      <c r="D189"/>
      <c r="E189"/>
      <c r="F189" s="244" t="s">
        <v>995</v>
      </c>
      <c r="I189"/>
      <c r="J189" s="4"/>
      <c r="K189" s="6" t="s">
        <v>1667</v>
      </c>
    </row>
    <row r="190" spans="1:33" hidden="1">
      <c r="C190"/>
      <c r="D190"/>
      <c r="E190"/>
      <c r="I190"/>
      <c r="J190" s="4"/>
      <c r="K190" s="6" t="s">
        <v>995</v>
      </c>
    </row>
    <row r="191" spans="1:33" hidden="1">
      <c r="A191" s="358">
        <f>(A180+1)</f>
        <v>90</v>
      </c>
      <c r="B191" s="244" t="s">
        <v>674</v>
      </c>
      <c r="C191" s="8">
        <v>65</v>
      </c>
      <c r="D191" s="1" t="s">
        <v>675</v>
      </c>
      <c r="E191"/>
      <c r="F191" s="354" t="s">
        <v>676</v>
      </c>
      <c r="G191" s="250" t="s">
        <v>2338</v>
      </c>
      <c r="H191" s="244" t="s">
        <v>677</v>
      </c>
      <c r="I191"/>
      <c r="J191" s="4"/>
      <c r="K191" s="34"/>
      <c r="M191" s="251">
        <v>10.6</v>
      </c>
      <c r="N191" s="244" t="s">
        <v>883</v>
      </c>
      <c r="O191" s="244" t="s">
        <v>1791</v>
      </c>
      <c r="P191" s="251">
        <f>(C11)</f>
        <v>135</v>
      </c>
      <c r="Q191" s="244" t="s">
        <v>883</v>
      </c>
      <c r="R191" s="251">
        <f>(M191*P191)</f>
        <v>1431</v>
      </c>
      <c r="AG191" s="244" t="s">
        <v>2346</v>
      </c>
    </row>
    <row r="192" spans="1:33" hidden="1">
      <c r="A192" s="358">
        <f t="shared" ref="A192:A207" si="11">(A191+1)</f>
        <v>91</v>
      </c>
      <c r="B192" s="244" t="s">
        <v>678</v>
      </c>
      <c r="C192" s="8">
        <v>25</v>
      </c>
      <c r="D192" s="1" t="s">
        <v>675</v>
      </c>
      <c r="E192"/>
      <c r="H192" s="244" t="s">
        <v>679</v>
      </c>
      <c r="I192"/>
      <c r="J192" s="4"/>
      <c r="K192" s="34"/>
      <c r="M192" s="251">
        <v>7.1</v>
      </c>
      <c r="N192" s="244" t="s">
        <v>883</v>
      </c>
      <c r="O192" s="244" t="s">
        <v>1979</v>
      </c>
      <c r="P192" s="251">
        <f>(C12)</f>
        <v>95</v>
      </c>
      <c r="Q192" s="244" t="s">
        <v>883</v>
      </c>
      <c r="R192" s="251">
        <f>(M192*P192)</f>
        <v>674.5</v>
      </c>
      <c r="AG192" s="244" t="s">
        <v>2346</v>
      </c>
    </row>
    <row r="193" spans="1:33" hidden="1">
      <c r="A193" s="358">
        <f t="shared" si="11"/>
        <v>92</v>
      </c>
      <c r="B193" s="244" t="s">
        <v>2420</v>
      </c>
      <c r="C193" s="8">
        <v>210</v>
      </c>
      <c r="D193" s="1" t="s">
        <v>675</v>
      </c>
      <c r="E193"/>
      <c r="H193" s="248" t="s">
        <v>1667</v>
      </c>
      <c r="I193"/>
      <c r="J193" s="4"/>
      <c r="K193" s="34"/>
      <c r="M193" s="251">
        <v>21.2</v>
      </c>
      <c r="N193" s="244" t="s">
        <v>883</v>
      </c>
      <c r="O193" s="244" t="s">
        <v>324</v>
      </c>
      <c r="P193" s="251">
        <f>(C13)</f>
        <v>85</v>
      </c>
      <c r="Q193" s="244" t="s">
        <v>883</v>
      </c>
      <c r="R193" s="251">
        <f>(M193*P193)</f>
        <v>1802</v>
      </c>
      <c r="AG193" s="244" t="s">
        <v>2346</v>
      </c>
    </row>
    <row r="194" spans="1:33" hidden="1">
      <c r="A194" s="358">
        <f t="shared" si="11"/>
        <v>93</v>
      </c>
      <c r="B194" s="244" t="s">
        <v>1722</v>
      </c>
      <c r="C194" s="8">
        <v>160</v>
      </c>
      <c r="D194" s="8">
        <v>96.11</v>
      </c>
      <c r="E194"/>
      <c r="F194" s="251">
        <v>9</v>
      </c>
      <c r="G194" s="250" t="s">
        <v>884</v>
      </c>
      <c r="H194" s="244" t="s">
        <v>1723</v>
      </c>
      <c r="I194" s="8" t="e">
        <f>(C74)</f>
        <v>#REF!</v>
      </c>
      <c r="J194" s="2" t="s">
        <v>884</v>
      </c>
      <c r="K194" s="6" t="e">
        <f>(F194*I194)</f>
        <v>#REF!</v>
      </c>
      <c r="N194" s="244" t="s">
        <v>448</v>
      </c>
      <c r="O194" s="244" t="s">
        <v>449</v>
      </c>
      <c r="Q194" s="244" t="s">
        <v>448</v>
      </c>
      <c r="R194" s="251">
        <v>0</v>
      </c>
      <c r="AG194" s="244" t="s">
        <v>2346</v>
      </c>
    </row>
    <row r="195" spans="1:33" hidden="1">
      <c r="A195" s="358">
        <f t="shared" si="11"/>
        <v>94</v>
      </c>
      <c r="B195" s="244" t="s">
        <v>850</v>
      </c>
      <c r="C195" s="8">
        <v>100</v>
      </c>
      <c r="D195" s="1" t="s">
        <v>675</v>
      </c>
      <c r="E195"/>
      <c r="F195" s="251">
        <v>4.5</v>
      </c>
      <c r="G195" s="250" t="s">
        <v>884</v>
      </c>
      <c r="H195" s="244" t="s">
        <v>1710</v>
      </c>
      <c r="I195" s="8" t="e">
        <f>(K49)</f>
        <v>#REF!</v>
      </c>
      <c r="J195" s="2" t="s">
        <v>884</v>
      </c>
      <c r="K195" s="6" t="e">
        <f>(F195*I195)</f>
        <v>#REF!</v>
      </c>
      <c r="R195" s="248" t="s">
        <v>1667</v>
      </c>
      <c r="AG195" s="244" t="s">
        <v>2346</v>
      </c>
    </row>
    <row r="196" spans="1:33" hidden="1">
      <c r="A196" s="358">
        <f t="shared" si="11"/>
        <v>95</v>
      </c>
      <c r="B196" s="244" t="s">
        <v>851</v>
      </c>
      <c r="C196" s="8">
        <v>0.25</v>
      </c>
      <c r="D196" s="1" t="s">
        <v>883</v>
      </c>
      <c r="E196"/>
      <c r="F196" s="251">
        <v>1.8</v>
      </c>
      <c r="G196" s="250" t="s">
        <v>883</v>
      </c>
      <c r="H196" s="244" t="s">
        <v>1791</v>
      </c>
      <c r="I196" s="8">
        <f>(C11)</f>
        <v>135</v>
      </c>
      <c r="J196" s="2" t="s">
        <v>883</v>
      </c>
      <c r="K196" s="6">
        <f>(F196*I196)</f>
        <v>243</v>
      </c>
      <c r="O196" s="244" t="s">
        <v>618</v>
      </c>
      <c r="R196" s="251" t="e">
        <f>SUM(R144:R194)</f>
        <v>#REF!</v>
      </c>
      <c r="AG196" s="244" t="s">
        <v>2346</v>
      </c>
    </row>
    <row r="197" spans="1:33" hidden="1">
      <c r="A197" s="358">
        <f t="shared" si="11"/>
        <v>96</v>
      </c>
      <c r="B197" s="244" t="s">
        <v>610</v>
      </c>
      <c r="C197" s="8">
        <v>22.6</v>
      </c>
      <c r="D197" s="1" t="s">
        <v>611</v>
      </c>
      <c r="E197"/>
      <c r="F197" s="251">
        <v>17.7</v>
      </c>
      <c r="G197" s="250" t="s">
        <v>883</v>
      </c>
      <c r="H197" s="244" t="s">
        <v>1979</v>
      </c>
      <c r="I197" s="8">
        <f>(C12)</f>
        <v>95</v>
      </c>
      <c r="J197" s="2" t="s">
        <v>883</v>
      </c>
      <c r="K197" s="6">
        <f>(F197*I197)</f>
        <v>1681.5</v>
      </c>
      <c r="R197" s="248" t="s">
        <v>1667</v>
      </c>
      <c r="AG197" s="244" t="s">
        <v>2346</v>
      </c>
    </row>
    <row r="198" spans="1:33" hidden="1">
      <c r="A198" s="358">
        <f t="shared" si="11"/>
        <v>97</v>
      </c>
      <c r="B198" s="244" t="s">
        <v>2628</v>
      </c>
      <c r="C198" s="8">
        <v>212</v>
      </c>
      <c r="D198" s="1" t="s">
        <v>611</v>
      </c>
      <c r="E198"/>
      <c r="F198" s="251">
        <v>14.1</v>
      </c>
      <c r="G198" s="250" t="s">
        <v>883</v>
      </c>
      <c r="H198" s="244" t="s">
        <v>324</v>
      </c>
      <c r="I198" s="8">
        <f>(C13)</f>
        <v>85</v>
      </c>
      <c r="J198" s="2" t="s">
        <v>883</v>
      </c>
      <c r="K198" s="6">
        <f>(F198*I198)</f>
        <v>1198.5</v>
      </c>
      <c r="O198" s="244" t="s">
        <v>785</v>
      </c>
      <c r="R198" s="251" t="e">
        <f>(R196/10)</f>
        <v>#REF!</v>
      </c>
      <c r="AG198" s="244" t="s">
        <v>2346</v>
      </c>
    </row>
    <row r="199" spans="1:33" hidden="1">
      <c r="A199" s="358">
        <f t="shared" si="11"/>
        <v>98</v>
      </c>
      <c r="B199" s="244" t="s">
        <v>2170</v>
      </c>
      <c r="C199" s="8">
        <v>85</v>
      </c>
      <c r="D199" s="1" t="s">
        <v>781</v>
      </c>
      <c r="E199"/>
      <c r="G199" s="250" t="s">
        <v>448</v>
      </c>
      <c r="H199" s="244" t="s">
        <v>449</v>
      </c>
      <c r="I199"/>
      <c r="J199" s="2" t="s">
        <v>448</v>
      </c>
      <c r="K199" s="6">
        <v>0</v>
      </c>
      <c r="R199" s="248" t="s">
        <v>2130</v>
      </c>
      <c r="AG199" s="244" t="s">
        <v>2346</v>
      </c>
    </row>
    <row r="200" spans="1:33" hidden="1">
      <c r="A200" s="358">
        <f t="shared" si="11"/>
        <v>99</v>
      </c>
      <c r="B200" s="244" t="s">
        <v>1195</v>
      </c>
      <c r="C200" s="8">
        <v>750</v>
      </c>
      <c r="D200" s="1" t="s">
        <v>781</v>
      </c>
      <c r="E200"/>
      <c r="I200"/>
      <c r="J200" s="4"/>
      <c r="K200" s="6" t="s">
        <v>1667</v>
      </c>
      <c r="AG200" s="244" t="s">
        <v>2346</v>
      </c>
    </row>
    <row r="201" spans="1:33" hidden="1">
      <c r="A201" s="358">
        <f t="shared" si="11"/>
        <v>100</v>
      </c>
      <c r="B201" s="244" t="s">
        <v>1196</v>
      </c>
      <c r="C201" s="8">
        <v>47.2</v>
      </c>
      <c r="D201" s="1" t="s">
        <v>781</v>
      </c>
      <c r="E201"/>
      <c r="I201"/>
      <c r="J201" s="4"/>
      <c r="K201" s="6" t="e">
        <f>SUM(K194:K199)</f>
        <v>#REF!</v>
      </c>
      <c r="N201" s="244" t="s">
        <v>3334</v>
      </c>
      <c r="O201" s="244" t="s">
        <v>388</v>
      </c>
      <c r="R201" s="251" t="e">
        <f>(R198+C19)</f>
        <v>#REF!</v>
      </c>
      <c r="AG201" s="244" t="s">
        <v>2346</v>
      </c>
    </row>
    <row r="202" spans="1:33" hidden="1">
      <c r="A202" s="358">
        <f t="shared" si="11"/>
        <v>101</v>
      </c>
      <c r="B202" s="244" t="s">
        <v>2436</v>
      </c>
      <c r="C202" s="8">
        <v>75</v>
      </c>
      <c r="D202" s="1" t="s">
        <v>781</v>
      </c>
      <c r="E202"/>
      <c r="H202" s="244" t="s">
        <v>618</v>
      </c>
      <c r="I202"/>
      <c r="J202" s="4"/>
      <c r="K202" s="6" t="s">
        <v>1667</v>
      </c>
      <c r="N202" s="244" t="s">
        <v>2437</v>
      </c>
      <c r="O202" s="244" t="s">
        <v>390</v>
      </c>
      <c r="R202" s="251" t="e">
        <f>(R201+C20)</f>
        <v>#REF!</v>
      </c>
      <c r="AG202" s="244" t="s">
        <v>325</v>
      </c>
    </row>
    <row r="203" spans="1:33" hidden="1">
      <c r="A203" s="358">
        <f t="shared" si="11"/>
        <v>102</v>
      </c>
      <c r="B203" s="244" t="s">
        <v>694</v>
      </c>
      <c r="C203" s="8">
        <v>40</v>
      </c>
      <c r="D203" s="1" t="s">
        <v>781</v>
      </c>
      <c r="E203"/>
      <c r="I203"/>
      <c r="J203" s="4"/>
      <c r="K203" s="6" t="e">
        <f>(K201/10)</f>
        <v>#REF!</v>
      </c>
      <c r="N203" s="244" t="s">
        <v>2438</v>
      </c>
      <c r="O203" s="244" t="s">
        <v>2319</v>
      </c>
      <c r="R203" s="251" t="e">
        <f>(R202+C21)</f>
        <v>#REF!</v>
      </c>
    </row>
    <row r="204" spans="1:33" hidden="1">
      <c r="A204" s="358">
        <f t="shared" si="11"/>
        <v>103</v>
      </c>
      <c r="B204" s="244" t="s">
        <v>626</v>
      </c>
      <c r="C204" s="8">
        <v>65</v>
      </c>
      <c r="D204" s="1" t="s">
        <v>781</v>
      </c>
      <c r="E204"/>
      <c r="H204" s="244" t="s">
        <v>785</v>
      </c>
      <c r="I204"/>
      <c r="J204" s="4"/>
      <c r="K204" s="6" t="s">
        <v>2130</v>
      </c>
      <c r="N204" s="244" t="s">
        <v>2439</v>
      </c>
      <c r="O204" s="244" t="s">
        <v>382</v>
      </c>
      <c r="R204" s="251" t="e">
        <f>(R203+C21)</f>
        <v>#REF!</v>
      </c>
    </row>
    <row r="205" spans="1:33" hidden="1">
      <c r="A205" s="358">
        <f t="shared" si="11"/>
        <v>104</v>
      </c>
      <c r="B205" s="244" t="s">
        <v>2440</v>
      </c>
      <c r="C205" s="8">
        <v>65</v>
      </c>
      <c r="D205" s="1" t="s">
        <v>781</v>
      </c>
      <c r="E205"/>
      <c r="I205"/>
      <c r="J205" s="4"/>
      <c r="K205" s="34"/>
      <c r="AG205" s="244" t="s">
        <v>2346</v>
      </c>
    </row>
    <row r="206" spans="1:33" hidden="1">
      <c r="A206" s="358">
        <f t="shared" si="11"/>
        <v>105</v>
      </c>
      <c r="B206" s="244" t="s">
        <v>695</v>
      </c>
      <c r="C206" s="8">
        <v>150</v>
      </c>
      <c r="D206" s="1" t="s">
        <v>696</v>
      </c>
      <c r="E206"/>
      <c r="F206" s="354" t="s">
        <v>697</v>
      </c>
      <c r="G206" s="250" t="s">
        <v>2338</v>
      </c>
      <c r="H206" s="244" t="s">
        <v>1008</v>
      </c>
      <c r="I206"/>
      <c r="J206" s="4"/>
      <c r="K206" s="34"/>
    </row>
    <row r="207" spans="1:33" hidden="1">
      <c r="A207" s="358">
        <f t="shared" si="11"/>
        <v>106</v>
      </c>
      <c r="B207" s="244" t="s">
        <v>698</v>
      </c>
      <c r="C207" s="8">
        <v>100</v>
      </c>
      <c r="D207" s="1" t="s">
        <v>781</v>
      </c>
      <c r="E207"/>
      <c r="H207" s="244" t="s">
        <v>1550</v>
      </c>
      <c r="I207"/>
      <c r="J207" s="4"/>
      <c r="K207" s="34"/>
      <c r="N207" s="244" t="s">
        <v>699</v>
      </c>
      <c r="O207" s="244" t="s">
        <v>700</v>
      </c>
    </row>
    <row r="208" spans="1:33" hidden="1">
      <c r="C208"/>
      <c r="D208"/>
      <c r="E208"/>
      <c r="H208" s="248" t="s">
        <v>1667</v>
      </c>
      <c r="I208"/>
      <c r="J208" s="4"/>
      <c r="K208" s="34"/>
      <c r="O208" s="248" t="s">
        <v>1667</v>
      </c>
    </row>
    <row r="209" spans="3:18" hidden="1">
      <c r="C209"/>
      <c r="D209"/>
      <c r="E209"/>
      <c r="F209" s="251">
        <v>9</v>
      </c>
      <c r="G209" s="250" t="s">
        <v>884</v>
      </c>
      <c r="H209" s="244" t="s">
        <v>701</v>
      </c>
      <c r="I209" s="8" t="e">
        <f>C73</f>
        <v>#REF!</v>
      </c>
      <c r="J209" s="2" t="s">
        <v>884</v>
      </c>
      <c r="K209" s="6" t="e">
        <f>(F209*I209)</f>
        <v>#REF!</v>
      </c>
      <c r="M209" s="373">
        <v>1.153E-2</v>
      </c>
      <c r="N209" s="244" t="s">
        <v>884</v>
      </c>
      <c r="O209" s="244" t="s">
        <v>702</v>
      </c>
      <c r="P209" s="251">
        <f>C88</f>
        <v>65420</v>
      </c>
      <c r="Q209" s="244" t="s">
        <v>884</v>
      </c>
      <c r="R209" s="251">
        <f t="shared" ref="R209:R218" si="12">(M209*P209)</f>
        <v>754.29</v>
      </c>
    </row>
    <row r="210" spans="3:18" hidden="1">
      <c r="C210"/>
      <c r="D210"/>
      <c r="E210"/>
      <c r="F210" s="251">
        <v>4.5</v>
      </c>
      <c r="G210" s="250" t="s">
        <v>884</v>
      </c>
      <c r="H210" s="244" t="s">
        <v>123</v>
      </c>
      <c r="I210" s="8" t="e">
        <f>K23</f>
        <v>#REF!</v>
      </c>
      <c r="J210" s="2" t="s">
        <v>884</v>
      </c>
      <c r="K210" s="6" t="e">
        <f>(F210*I210)</f>
        <v>#REF!</v>
      </c>
      <c r="M210" s="373">
        <v>1.013E-2</v>
      </c>
      <c r="N210" s="244" t="s">
        <v>884</v>
      </c>
      <c r="O210" s="244" t="s">
        <v>703</v>
      </c>
      <c r="P210" s="251">
        <f>C89</f>
        <v>57165</v>
      </c>
      <c r="Q210" s="244" t="s">
        <v>884</v>
      </c>
      <c r="R210" s="251">
        <f t="shared" si="12"/>
        <v>579.08000000000004</v>
      </c>
    </row>
    <row r="211" spans="3:18" hidden="1">
      <c r="C211"/>
      <c r="D211"/>
      <c r="E211"/>
      <c r="F211" s="251">
        <v>1.8</v>
      </c>
      <c r="G211" s="250" t="s">
        <v>883</v>
      </c>
      <c r="H211" s="244" t="s">
        <v>1791</v>
      </c>
      <c r="I211" s="8">
        <f>C11</f>
        <v>135</v>
      </c>
      <c r="J211" s="2" t="s">
        <v>883</v>
      </c>
      <c r="K211" s="6">
        <f>(F211*I211)</f>
        <v>243</v>
      </c>
      <c r="M211" s="373">
        <v>0.77780000000000005</v>
      </c>
      <c r="N211" s="244" t="s">
        <v>611</v>
      </c>
      <c r="O211" s="244" t="s">
        <v>2163</v>
      </c>
      <c r="P211" s="251">
        <f>C753</f>
        <v>381.37</v>
      </c>
      <c r="Q211" s="244" t="s">
        <v>611</v>
      </c>
      <c r="R211" s="251">
        <f t="shared" si="12"/>
        <v>296.63</v>
      </c>
    </row>
    <row r="212" spans="3:18" hidden="1">
      <c r="C212"/>
      <c r="D212"/>
      <c r="E212"/>
      <c r="F212" s="251">
        <v>17.7</v>
      </c>
      <c r="G212" s="250" t="s">
        <v>883</v>
      </c>
      <c r="H212" s="244" t="s">
        <v>1979</v>
      </c>
      <c r="I212" s="8">
        <f>C12</f>
        <v>95</v>
      </c>
      <c r="J212" s="2" t="s">
        <v>883</v>
      </c>
      <c r="K212" s="6">
        <f>(F212*I212)</f>
        <v>1681.5</v>
      </c>
      <c r="M212" s="373">
        <v>1.23</v>
      </c>
      <c r="N212" s="244" t="s">
        <v>611</v>
      </c>
      <c r="O212" s="244" t="s">
        <v>2164</v>
      </c>
      <c r="P212" s="251">
        <f>D30</f>
        <v>287</v>
      </c>
      <c r="Q212" s="244" t="s">
        <v>611</v>
      </c>
      <c r="R212" s="251">
        <f t="shared" si="12"/>
        <v>353.01</v>
      </c>
    </row>
    <row r="213" spans="3:18" hidden="1">
      <c r="C213"/>
      <c r="D213"/>
      <c r="E213"/>
      <c r="F213" s="251">
        <v>14.1</v>
      </c>
      <c r="G213" s="250" t="s">
        <v>883</v>
      </c>
      <c r="H213" s="244" t="s">
        <v>324</v>
      </c>
      <c r="I213" s="8">
        <f>C13</f>
        <v>85</v>
      </c>
      <c r="J213" s="2" t="s">
        <v>883</v>
      </c>
      <c r="K213" s="6">
        <f>(F213*I213)</f>
        <v>1198.5</v>
      </c>
      <c r="M213" s="251">
        <v>2</v>
      </c>
      <c r="N213" s="244" t="s">
        <v>883</v>
      </c>
      <c r="O213" s="244" t="s">
        <v>2165</v>
      </c>
      <c r="P213" s="251">
        <f>C283</f>
        <v>30</v>
      </c>
      <c r="Q213" s="244" t="s">
        <v>883</v>
      </c>
      <c r="R213" s="251">
        <f t="shared" si="12"/>
        <v>60</v>
      </c>
    </row>
    <row r="214" spans="3:18" hidden="1">
      <c r="C214"/>
      <c r="D214"/>
      <c r="E214"/>
      <c r="G214" s="250" t="s">
        <v>448</v>
      </c>
      <c r="H214" s="244" t="s">
        <v>449</v>
      </c>
      <c r="I214"/>
      <c r="J214" s="2" t="s">
        <v>448</v>
      </c>
      <c r="K214" s="6">
        <v>0</v>
      </c>
      <c r="M214" s="251">
        <v>3</v>
      </c>
      <c r="N214" s="244" t="s">
        <v>883</v>
      </c>
      <c r="O214" s="244" t="s">
        <v>2166</v>
      </c>
      <c r="P214" s="251">
        <f>C278</f>
        <v>45</v>
      </c>
      <c r="Q214" s="244" t="s">
        <v>883</v>
      </c>
      <c r="R214" s="251">
        <f t="shared" si="12"/>
        <v>135</v>
      </c>
    </row>
    <row r="215" spans="3:18" hidden="1">
      <c r="C215"/>
      <c r="D215"/>
      <c r="E215"/>
      <c r="I215"/>
      <c r="J215" s="4"/>
      <c r="K215" s="6" t="s">
        <v>1667</v>
      </c>
      <c r="M215" s="251">
        <v>1</v>
      </c>
      <c r="N215" s="244" t="s">
        <v>883</v>
      </c>
      <c r="O215" s="244" t="s">
        <v>2055</v>
      </c>
      <c r="P215" s="251">
        <f>C285</f>
        <v>95</v>
      </c>
      <c r="Q215" s="244" t="s">
        <v>883</v>
      </c>
      <c r="R215" s="251">
        <f t="shared" si="12"/>
        <v>95</v>
      </c>
    </row>
    <row r="216" spans="3:18" hidden="1">
      <c r="C216"/>
      <c r="D216"/>
      <c r="E216"/>
      <c r="I216"/>
      <c r="J216" s="4"/>
      <c r="K216" s="6" t="e">
        <f>SUM(K209:K214)</f>
        <v>#REF!</v>
      </c>
      <c r="M216" s="251">
        <v>1</v>
      </c>
      <c r="N216" s="244" t="s">
        <v>883</v>
      </c>
      <c r="O216" s="244" t="s">
        <v>2056</v>
      </c>
      <c r="P216" s="251">
        <f>C287</f>
        <v>8</v>
      </c>
      <c r="Q216" s="244" t="s">
        <v>883</v>
      </c>
      <c r="R216" s="251">
        <f t="shared" si="12"/>
        <v>8</v>
      </c>
    </row>
    <row r="217" spans="3:18" hidden="1">
      <c r="C217"/>
      <c r="D217"/>
      <c r="E217"/>
      <c r="H217" s="244" t="s">
        <v>618</v>
      </c>
      <c r="I217"/>
      <c r="J217" s="4"/>
      <c r="K217" s="6" t="s">
        <v>1667</v>
      </c>
      <c r="M217" s="251">
        <v>1</v>
      </c>
      <c r="N217" s="244" t="s">
        <v>883</v>
      </c>
      <c r="O217" s="244" t="s">
        <v>2057</v>
      </c>
      <c r="P217" s="251">
        <f>C576</f>
        <v>30</v>
      </c>
      <c r="Q217" s="244" t="s">
        <v>883</v>
      </c>
      <c r="R217" s="251">
        <f t="shared" si="12"/>
        <v>30</v>
      </c>
    </row>
    <row r="218" spans="3:18" hidden="1">
      <c r="C218"/>
      <c r="D218"/>
      <c r="E218"/>
      <c r="I218"/>
      <c r="J218" s="4"/>
      <c r="K218" s="6" t="e">
        <f>(K216/10)</f>
        <v>#REF!</v>
      </c>
      <c r="M218" s="251">
        <v>1</v>
      </c>
      <c r="N218" s="244" t="s">
        <v>883</v>
      </c>
      <c r="O218" s="244" t="s">
        <v>2058</v>
      </c>
      <c r="P218" s="251">
        <f>D576</f>
        <v>25</v>
      </c>
      <c r="Q218" s="244" t="s">
        <v>883</v>
      </c>
      <c r="R218" s="251">
        <f t="shared" si="12"/>
        <v>25</v>
      </c>
    </row>
    <row r="219" spans="3:18" hidden="1">
      <c r="C219"/>
      <c r="D219"/>
      <c r="E219"/>
      <c r="H219" s="244" t="s">
        <v>785</v>
      </c>
      <c r="I219"/>
      <c r="J219" s="4"/>
      <c r="K219" s="6" t="s">
        <v>2130</v>
      </c>
      <c r="R219" s="248" t="s">
        <v>1667</v>
      </c>
    </row>
    <row r="220" spans="3:18" hidden="1">
      <c r="C220"/>
      <c r="D220"/>
      <c r="E220"/>
      <c r="I220"/>
      <c r="J220" s="4"/>
      <c r="K220" s="34"/>
      <c r="O220" s="354" t="s">
        <v>2059</v>
      </c>
      <c r="R220" s="251">
        <f>SUM(R209:R218)</f>
        <v>2336.0100000000002</v>
      </c>
    </row>
    <row r="221" spans="3:18" hidden="1">
      <c r="C221"/>
      <c r="D221"/>
      <c r="E221"/>
      <c r="F221" s="354" t="s">
        <v>2144</v>
      </c>
      <c r="G221" s="250" t="s">
        <v>2338</v>
      </c>
      <c r="H221" s="244" t="s">
        <v>1009</v>
      </c>
      <c r="I221"/>
      <c r="J221" s="4"/>
      <c r="K221" s="34"/>
      <c r="N221" s="244" t="s">
        <v>995</v>
      </c>
      <c r="R221" s="248" t="s">
        <v>1667</v>
      </c>
    </row>
    <row r="222" spans="3:18" hidden="1">
      <c r="C222"/>
      <c r="D222"/>
      <c r="E222"/>
      <c r="H222" s="244" t="s">
        <v>2145</v>
      </c>
      <c r="I222"/>
      <c r="J222" s="4"/>
      <c r="K222" s="34"/>
      <c r="M222" s="244" t="s">
        <v>995</v>
      </c>
    </row>
    <row r="223" spans="3:18" hidden="1">
      <c r="C223"/>
      <c r="D223"/>
      <c r="E223"/>
      <c r="H223" s="248" t="s">
        <v>1667</v>
      </c>
      <c r="I223"/>
      <c r="J223" s="4"/>
      <c r="K223" s="34"/>
      <c r="O223" s="354" t="s">
        <v>555</v>
      </c>
      <c r="R223" s="251">
        <f>R220/M212</f>
        <v>1899.2</v>
      </c>
    </row>
    <row r="224" spans="3:18" hidden="1">
      <c r="C224"/>
      <c r="D224"/>
      <c r="E224"/>
      <c r="F224" s="251">
        <v>9</v>
      </c>
      <c r="G224" s="250" t="s">
        <v>884</v>
      </c>
      <c r="H224" s="244" t="s">
        <v>1888</v>
      </c>
      <c r="I224" s="8" t="e">
        <f>AC20</f>
        <v>#REF!</v>
      </c>
      <c r="J224" s="2" t="s">
        <v>884</v>
      </c>
      <c r="K224" s="6" t="e">
        <f>(F224*I224)</f>
        <v>#REF!</v>
      </c>
      <c r="M224" s="244" t="s">
        <v>325</v>
      </c>
    </row>
    <row r="225" spans="3:11" hidden="1">
      <c r="C225"/>
      <c r="D225"/>
      <c r="E225"/>
      <c r="F225" s="251">
        <v>4.5</v>
      </c>
      <c r="G225" s="250" t="s">
        <v>884</v>
      </c>
      <c r="H225" s="244" t="s">
        <v>1717</v>
      </c>
      <c r="I225" s="8" t="e">
        <f>K77</f>
        <v>#REF!</v>
      </c>
      <c r="J225" s="2" t="s">
        <v>884</v>
      </c>
      <c r="K225" s="6" t="e">
        <f>(F225*I225)</f>
        <v>#REF!</v>
      </c>
    </row>
    <row r="226" spans="3:11" hidden="1">
      <c r="C226"/>
      <c r="D226"/>
      <c r="E226"/>
      <c r="F226" s="251">
        <v>1.8</v>
      </c>
      <c r="G226" s="250" t="s">
        <v>883</v>
      </c>
      <c r="H226" s="244" t="s">
        <v>1791</v>
      </c>
      <c r="I226" s="8">
        <f>C11</f>
        <v>135</v>
      </c>
      <c r="J226" s="2" t="s">
        <v>883</v>
      </c>
      <c r="K226" s="6">
        <f>(F226*I226)</f>
        <v>243</v>
      </c>
    </row>
    <row r="227" spans="3:11" hidden="1">
      <c r="C227"/>
      <c r="D227"/>
      <c r="E227"/>
      <c r="F227" s="251">
        <v>17.7</v>
      </c>
      <c r="G227" s="250" t="s">
        <v>883</v>
      </c>
      <c r="H227" s="244" t="s">
        <v>1979</v>
      </c>
      <c r="I227" s="8">
        <f>C12</f>
        <v>95</v>
      </c>
      <c r="J227" s="2" t="s">
        <v>883</v>
      </c>
      <c r="K227" s="6">
        <f>(F227*I227)</f>
        <v>1681.5</v>
      </c>
    </row>
    <row r="228" spans="3:11" hidden="1">
      <c r="C228"/>
      <c r="D228"/>
      <c r="E228"/>
      <c r="F228" s="251">
        <v>14.1</v>
      </c>
      <c r="G228" s="250" t="s">
        <v>883</v>
      </c>
      <c r="H228" s="244" t="s">
        <v>324</v>
      </c>
      <c r="I228" s="8">
        <f>C13</f>
        <v>85</v>
      </c>
      <c r="J228" s="2" t="s">
        <v>883</v>
      </c>
      <c r="K228" s="6">
        <f>(F228*I228)</f>
        <v>1198.5</v>
      </c>
    </row>
    <row r="229" spans="3:11" hidden="1">
      <c r="C229"/>
      <c r="D229"/>
      <c r="E229"/>
      <c r="G229" s="250" t="s">
        <v>448</v>
      </c>
      <c r="H229" s="244" t="s">
        <v>449</v>
      </c>
      <c r="I229"/>
      <c r="J229" s="2" t="s">
        <v>448</v>
      </c>
      <c r="K229" s="6">
        <v>0</v>
      </c>
    </row>
    <row r="230" spans="3:11" hidden="1">
      <c r="C230"/>
      <c r="D230"/>
      <c r="E230"/>
      <c r="I230"/>
      <c r="J230" s="4"/>
      <c r="K230" s="6" t="s">
        <v>1667</v>
      </c>
    </row>
    <row r="231" spans="3:11" hidden="1">
      <c r="C231"/>
      <c r="D231"/>
      <c r="E231"/>
      <c r="I231"/>
      <c r="J231" s="4"/>
      <c r="K231" s="6" t="e">
        <f>SUM(K224:K229)</f>
        <v>#REF!</v>
      </c>
    </row>
    <row r="232" spans="3:11" hidden="1">
      <c r="C232"/>
      <c r="D232"/>
      <c r="E232"/>
      <c r="H232" s="244" t="s">
        <v>618</v>
      </c>
      <c r="I232"/>
      <c r="J232" s="4"/>
      <c r="K232" s="6" t="s">
        <v>1667</v>
      </c>
    </row>
    <row r="233" spans="3:11" hidden="1">
      <c r="C233"/>
      <c r="D233"/>
      <c r="E233"/>
      <c r="I233"/>
      <c r="J233" s="4"/>
      <c r="K233" s="6" t="e">
        <f>(K231/10)</f>
        <v>#REF!</v>
      </c>
    </row>
    <row r="234" spans="3:11" hidden="1">
      <c r="C234"/>
      <c r="D234"/>
      <c r="E234"/>
      <c r="H234" s="244" t="s">
        <v>785</v>
      </c>
      <c r="I234"/>
      <c r="J234" s="4"/>
      <c r="K234" s="6" t="s">
        <v>2130</v>
      </c>
    </row>
    <row r="235" spans="3:11" hidden="1">
      <c r="C235"/>
      <c r="D235"/>
      <c r="E235"/>
      <c r="I235"/>
      <c r="J235" s="4"/>
      <c r="K235" s="34"/>
    </row>
    <row r="236" spans="3:11" hidden="1">
      <c r="C236"/>
      <c r="D236"/>
      <c r="E236"/>
      <c r="I236"/>
      <c r="J236" s="4"/>
      <c r="K236" s="34"/>
    </row>
    <row r="237" spans="3:11" hidden="1">
      <c r="C237"/>
      <c r="D237"/>
      <c r="E237"/>
      <c r="F237" s="364">
        <v>3.6</v>
      </c>
      <c r="H237" s="244" t="s">
        <v>3</v>
      </c>
      <c r="I237"/>
      <c r="J237" s="4"/>
      <c r="K237" s="34"/>
    </row>
    <row r="238" spans="3:11" hidden="1">
      <c r="C238"/>
      <c r="D238"/>
      <c r="E238"/>
      <c r="H238" s="244" t="s">
        <v>649</v>
      </c>
      <c r="I238"/>
      <c r="J238" s="4"/>
      <c r="K238" s="34"/>
    </row>
    <row r="239" spans="3:11" hidden="1">
      <c r="C239"/>
      <c r="D239"/>
      <c r="E239"/>
      <c r="H239" s="248" t="s">
        <v>2130</v>
      </c>
      <c r="I239"/>
      <c r="J239" s="4"/>
      <c r="K239" s="34"/>
    </row>
    <row r="240" spans="3:11" hidden="1">
      <c r="C240"/>
      <c r="D240"/>
      <c r="E240"/>
      <c r="F240" s="251">
        <v>1.25</v>
      </c>
      <c r="G240" s="250" t="s">
        <v>1402</v>
      </c>
      <c r="H240" s="244" t="s">
        <v>1567</v>
      </c>
      <c r="I240" s="8">
        <f>C783</f>
        <v>3.05</v>
      </c>
      <c r="J240" s="2" t="s">
        <v>1402</v>
      </c>
      <c r="K240" s="6">
        <f>(F240*I240)</f>
        <v>3.81</v>
      </c>
    </row>
    <row r="241" spans="3:11" hidden="1">
      <c r="C241"/>
      <c r="D241"/>
      <c r="E241"/>
      <c r="F241" s="251">
        <v>0.75</v>
      </c>
      <c r="G241" s="250" t="s">
        <v>1402</v>
      </c>
      <c r="H241" s="244" t="s">
        <v>2441</v>
      </c>
      <c r="I241" s="8" t="e">
        <f>AC37</f>
        <v>#REF!</v>
      </c>
      <c r="J241" s="2" t="s">
        <v>1402</v>
      </c>
      <c r="K241" s="6" t="e">
        <f>(F241*I241)</f>
        <v>#REF!</v>
      </c>
    </row>
    <row r="242" spans="3:11" hidden="1">
      <c r="C242"/>
      <c r="D242"/>
      <c r="E242"/>
      <c r="F242" s="251">
        <v>0.5</v>
      </c>
      <c r="G242" s="250" t="s">
        <v>1402</v>
      </c>
      <c r="H242" s="244" t="s">
        <v>2171</v>
      </c>
      <c r="I242" s="8" t="e">
        <f>AC36</f>
        <v>#REF!</v>
      </c>
      <c r="J242" s="2" t="s">
        <v>1402</v>
      </c>
      <c r="K242" s="6" t="e">
        <f>(F242*I242)</f>
        <v>#REF!</v>
      </c>
    </row>
    <row r="243" spans="3:11" hidden="1">
      <c r="C243"/>
      <c r="D243"/>
      <c r="E243"/>
      <c r="F243" s="251">
        <v>0.45</v>
      </c>
      <c r="G243" s="250" t="s">
        <v>1402</v>
      </c>
      <c r="H243" s="244" t="s">
        <v>940</v>
      </c>
      <c r="I243" s="8">
        <f>AC38</f>
        <v>169</v>
      </c>
      <c r="J243" s="2" t="s">
        <v>1402</v>
      </c>
      <c r="K243" s="6">
        <f>(F243*I243)</f>
        <v>76.05</v>
      </c>
    </row>
    <row r="244" spans="3:11" hidden="1">
      <c r="C244"/>
      <c r="D244"/>
      <c r="E244"/>
      <c r="F244" s="251">
        <v>10</v>
      </c>
      <c r="G244" s="250" t="s">
        <v>234</v>
      </c>
      <c r="H244" s="244" t="s">
        <v>1989</v>
      </c>
      <c r="I244" s="8">
        <v>17.82</v>
      </c>
      <c r="J244" s="2" t="s">
        <v>234</v>
      </c>
      <c r="K244" s="6">
        <f>(F244*I244)</f>
        <v>178.2</v>
      </c>
    </row>
    <row r="245" spans="3:11" hidden="1">
      <c r="C245"/>
      <c r="D245"/>
      <c r="E245"/>
      <c r="H245" s="244" t="s">
        <v>1990</v>
      </c>
      <c r="I245"/>
      <c r="J245" s="4"/>
      <c r="K245" s="6" t="s">
        <v>1667</v>
      </c>
    </row>
    <row r="246" spans="3:11" hidden="1">
      <c r="C246"/>
      <c r="D246"/>
      <c r="E246"/>
      <c r="H246" s="244" t="s">
        <v>1991</v>
      </c>
      <c r="I246"/>
      <c r="J246" s="4"/>
      <c r="K246" s="6" t="e">
        <f>SUM(K240:K244)</f>
        <v>#REF!</v>
      </c>
    </row>
    <row r="247" spans="3:11" hidden="1">
      <c r="C247"/>
      <c r="D247"/>
      <c r="E247"/>
      <c r="I247"/>
      <c r="J247" s="4"/>
      <c r="K247" s="6" t="s">
        <v>1667</v>
      </c>
    </row>
    <row r="248" spans="3:11" hidden="1">
      <c r="C248"/>
      <c r="D248"/>
      <c r="E248"/>
      <c r="H248" s="244" t="s">
        <v>1992</v>
      </c>
      <c r="I248"/>
      <c r="J248" s="4"/>
      <c r="K248" s="6" t="e">
        <f>K246/10</f>
        <v>#REF!</v>
      </c>
    </row>
    <row r="249" spans="3:11" hidden="1">
      <c r="C249"/>
      <c r="D249"/>
      <c r="E249"/>
      <c r="I249"/>
      <c r="J249" s="4"/>
      <c r="K249" s="6" t="s">
        <v>2130</v>
      </c>
    </row>
    <row r="250" spans="3:11" hidden="1">
      <c r="C250"/>
      <c r="D250"/>
      <c r="E250"/>
      <c r="I250"/>
      <c r="J250" s="4"/>
      <c r="K250" s="34"/>
    </row>
    <row r="251" spans="3:11" hidden="1">
      <c r="C251"/>
      <c r="D251"/>
      <c r="E251"/>
      <c r="F251" s="364">
        <v>3.7</v>
      </c>
      <c r="H251" s="244" t="s">
        <v>4</v>
      </c>
      <c r="I251"/>
      <c r="J251" s="4"/>
      <c r="K251" s="34"/>
    </row>
    <row r="252" spans="3:11" hidden="1">
      <c r="C252"/>
      <c r="D252"/>
      <c r="E252"/>
      <c r="H252" s="248" t="s">
        <v>1667</v>
      </c>
      <c r="I252"/>
      <c r="J252" s="4"/>
      <c r="K252" s="34"/>
    </row>
    <row r="253" spans="3:11" hidden="1">
      <c r="C253"/>
      <c r="D253"/>
      <c r="E253"/>
      <c r="F253" s="251">
        <v>2.7</v>
      </c>
      <c r="G253" s="250" t="s">
        <v>1402</v>
      </c>
      <c r="H253" s="244" t="s">
        <v>158</v>
      </c>
      <c r="I253" s="8" t="e">
        <f>AC35</f>
        <v>#REF!</v>
      </c>
      <c r="J253" s="2" t="s">
        <v>1402</v>
      </c>
      <c r="K253" s="6" t="e">
        <f>(F253*I253)</f>
        <v>#REF!</v>
      </c>
    </row>
    <row r="254" spans="3:11" hidden="1">
      <c r="C254"/>
      <c r="D254"/>
      <c r="E254"/>
      <c r="F254" s="374">
        <v>0.14499999999999999</v>
      </c>
      <c r="G254" s="250" t="s">
        <v>1402</v>
      </c>
      <c r="H254" s="244" t="s">
        <v>928</v>
      </c>
      <c r="I254" s="8" t="e">
        <f>AC17</f>
        <v>#REF!</v>
      </c>
      <c r="J254" s="2" t="s">
        <v>1402</v>
      </c>
      <c r="K254" s="6" t="e">
        <f>(F254*I254)</f>
        <v>#REF!</v>
      </c>
    </row>
    <row r="255" spans="3:11" hidden="1">
      <c r="C255"/>
      <c r="D255"/>
      <c r="E255"/>
      <c r="F255" s="251">
        <v>218.8</v>
      </c>
      <c r="G255" s="250" t="s">
        <v>929</v>
      </c>
      <c r="H255" s="244" t="s">
        <v>930</v>
      </c>
      <c r="I255" s="8">
        <v>12224.58</v>
      </c>
      <c r="J255" s="2" t="s">
        <v>929</v>
      </c>
      <c r="K255" s="6">
        <f>(F255*I255)/1000</f>
        <v>2674.74</v>
      </c>
    </row>
    <row r="256" spans="3:11" hidden="1">
      <c r="C256"/>
      <c r="D256"/>
      <c r="E256"/>
      <c r="F256" s="251">
        <v>100</v>
      </c>
      <c r="G256" s="250" t="s">
        <v>234</v>
      </c>
      <c r="H256" s="244" t="s">
        <v>931</v>
      </c>
      <c r="I256" s="8">
        <v>14.3</v>
      </c>
      <c r="J256" s="2" t="s">
        <v>234</v>
      </c>
      <c r="K256" s="6">
        <f>(F256*I256)</f>
        <v>1430</v>
      </c>
    </row>
    <row r="257" spans="1:33" hidden="1">
      <c r="C257"/>
      <c r="D257"/>
      <c r="E257"/>
      <c r="I257"/>
      <c r="J257" s="4"/>
      <c r="K257" s="6" t="s">
        <v>1667</v>
      </c>
    </row>
    <row r="258" spans="1:33" hidden="1">
      <c r="C258"/>
      <c r="D258"/>
      <c r="E258"/>
      <c r="H258" s="244" t="s">
        <v>932</v>
      </c>
      <c r="I258"/>
      <c r="J258" s="4"/>
      <c r="K258" s="6" t="e">
        <f>SUM(K253:K256)</f>
        <v>#REF!</v>
      </c>
    </row>
    <row r="259" spans="1:33" hidden="1">
      <c r="C259"/>
      <c r="D259"/>
      <c r="E259"/>
      <c r="I259"/>
      <c r="J259" s="4"/>
      <c r="K259" s="6" t="s">
        <v>1667</v>
      </c>
    </row>
    <row r="260" spans="1:33" hidden="1">
      <c r="C260"/>
      <c r="D260"/>
      <c r="E260"/>
      <c r="H260" s="244" t="s">
        <v>1992</v>
      </c>
      <c r="I260"/>
      <c r="J260" s="4"/>
      <c r="K260" s="6" t="e">
        <f>K258/100</f>
        <v>#REF!</v>
      </c>
    </row>
    <row r="261" spans="1:33" hidden="1">
      <c r="C261"/>
      <c r="D261"/>
      <c r="E261"/>
      <c r="F261" s="244" t="s">
        <v>995</v>
      </c>
      <c r="G261" s="250" t="s">
        <v>995</v>
      </c>
      <c r="I261"/>
      <c r="J261" s="4"/>
      <c r="K261" s="6" t="s">
        <v>2130</v>
      </c>
    </row>
    <row r="262" spans="1:33" hidden="1">
      <c r="C262"/>
      <c r="D262"/>
      <c r="E262"/>
      <c r="I262"/>
      <c r="J262" s="4"/>
      <c r="K262" s="34"/>
    </row>
    <row r="263" spans="1:33" hidden="1">
      <c r="C263"/>
      <c r="D263"/>
      <c r="E263"/>
      <c r="I263"/>
      <c r="J263" s="4"/>
      <c r="K263" s="34"/>
    </row>
    <row r="264" spans="1:33" hidden="1">
      <c r="A264" s="358">
        <f>(A205+1)</f>
        <v>105</v>
      </c>
      <c r="B264" s="244" t="s">
        <v>1889</v>
      </c>
      <c r="C264" s="8">
        <v>50.5</v>
      </c>
      <c r="D264" s="1" t="s">
        <v>781</v>
      </c>
      <c r="E264"/>
      <c r="F264" s="354" t="s">
        <v>684</v>
      </c>
      <c r="H264" s="244" t="s">
        <v>1687</v>
      </c>
      <c r="I264"/>
      <c r="J264" s="4"/>
      <c r="K264" s="34"/>
      <c r="N264" s="244" t="s">
        <v>685</v>
      </c>
      <c r="O264" s="244" t="s">
        <v>848</v>
      </c>
      <c r="AG264" s="244" t="s">
        <v>2346</v>
      </c>
    </row>
    <row r="265" spans="1:33" hidden="1">
      <c r="A265" s="358">
        <f t="shared" ref="A265:A279" si="13">(A264+1)</f>
        <v>106</v>
      </c>
      <c r="B265" s="244" t="s">
        <v>849</v>
      </c>
      <c r="C265" s="8">
        <v>115</v>
      </c>
      <c r="D265" s="1" t="s">
        <v>781</v>
      </c>
      <c r="E265"/>
      <c r="H265" s="248" t="s">
        <v>2130</v>
      </c>
      <c r="I265"/>
      <c r="J265" s="4"/>
      <c r="K265" s="34"/>
      <c r="O265" s="248" t="s">
        <v>1667</v>
      </c>
      <c r="AG265" s="244" t="s">
        <v>2346</v>
      </c>
    </row>
    <row r="266" spans="1:33" hidden="1">
      <c r="A266" s="358">
        <f t="shared" si="13"/>
        <v>107</v>
      </c>
      <c r="B266" s="244" t="s">
        <v>2442</v>
      </c>
      <c r="C266" s="8">
        <v>63</v>
      </c>
      <c r="D266" s="8">
        <v>90</v>
      </c>
      <c r="E266"/>
      <c r="G266" s="250" t="s">
        <v>2338</v>
      </c>
      <c r="H266" s="244" t="s">
        <v>400</v>
      </c>
      <c r="I266"/>
      <c r="J266" s="4"/>
      <c r="K266" s="34"/>
      <c r="M266" s="251">
        <v>1.1399999999999999</v>
      </c>
      <c r="N266" s="244" t="s">
        <v>884</v>
      </c>
      <c r="O266" s="244" t="s">
        <v>2367</v>
      </c>
      <c r="P266" s="251" t="e">
        <f>(K419)</f>
        <v>#REF!</v>
      </c>
      <c r="Q266" s="244" t="s">
        <v>883</v>
      </c>
      <c r="R266" s="251" t="e">
        <f>(M266*P266)</f>
        <v>#REF!</v>
      </c>
      <c r="AG266" s="244" t="s">
        <v>2346</v>
      </c>
    </row>
    <row r="267" spans="1:33" hidden="1">
      <c r="A267" s="358">
        <f t="shared" si="13"/>
        <v>108</v>
      </c>
      <c r="B267" s="244" t="s">
        <v>2443</v>
      </c>
      <c r="C267" s="8">
        <v>10705</v>
      </c>
      <c r="D267" s="1" t="s">
        <v>884</v>
      </c>
      <c r="E267"/>
      <c r="H267" s="244" t="s">
        <v>2356</v>
      </c>
      <c r="I267"/>
      <c r="J267" s="4"/>
      <c r="K267" s="34"/>
      <c r="M267" s="251">
        <v>1</v>
      </c>
      <c r="N267" s="244" t="s">
        <v>781</v>
      </c>
      <c r="O267" s="244" t="s">
        <v>2082</v>
      </c>
      <c r="P267" s="251">
        <f>(C10)</f>
        <v>150</v>
      </c>
      <c r="Q267" s="244" t="s">
        <v>883</v>
      </c>
      <c r="R267" s="251">
        <f>(M267*P267)</f>
        <v>150</v>
      </c>
      <c r="AG267" s="244" t="s">
        <v>2346</v>
      </c>
    </row>
    <row r="268" spans="1:33" hidden="1">
      <c r="A268" s="358">
        <f t="shared" si="13"/>
        <v>109</v>
      </c>
      <c r="B268" s="244" t="s">
        <v>3335</v>
      </c>
      <c r="C268" s="8">
        <v>9395</v>
      </c>
      <c r="D268" s="1" t="s">
        <v>884</v>
      </c>
      <c r="E268"/>
      <c r="H268" s="248" t="s">
        <v>1667</v>
      </c>
      <c r="I268"/>
      <c r="J268" s="4"/>
      <c r="K268" s="34"/>
      <c r="N268" s="244" t="s">
        <v>448</v>
      </c>
      <c r="O268" s="244" t="s">
        <v>449</v>
      </c>
      <c r="P268" s="244" t="s">
        <v>995</v>
      </c>
      <c r="Q268" s="244" t="s">
        <v>448</v>
      </c>
      <c r="R268" s="251">
        <v>0.05</v>
      </c>
      <c r="AG268" s="244" t="s">
        <v>2346</v>
      </c>
    </row>
    <row r="269" spans="1:33" hidden="1">
      <c r="A269" s="358">
        <f t="shared" si="13"/>
        <v>110</v>
      </c>
      <c r="B269" s="244" t="s">
        <v>3336</v>
      </c>
      <c r="C269" s="8">
        <v>15</v>
      </c>
      <c r="D269" s="1" t="s">
        <v>781</v>
      </c>
      <c r="E269"/>
      <c r="F269" s="251">
        <v>9</v>
      </c>
      <c r="G269" s="250" t="s">
        <v>884</v>
      </c>
      <c r="H269" s="244" t="s">
        <v>438</v>
      </c>
      <c r="I269" s="8" t="e">
        <f>(C73)</f>
        <v>#REF!</v>
      </c>
      <c r="J269" s="2" t="s">
        <v>884</v>
      </c>
      <c r="K269" s="6" t="e">
        <f t="shared" ref="K269:K274" si="14">(F269*I269)</f>
        <v>#REF!</v>
      </c>
      <c r="R269" s="248" t="s">
        <v>1667</v>
      </c>
      <c r="AG269" s="244" t="s">
        <v>2346</v>
      </c>
    </row>
    <row r="270" spans="1:33" hidden="1">
      <c r="A270" s="358">
        <f t="shared" si="13"/>
        <v>111</v>
      </c>
      <c r="B270" s="244" t="s">
        <v>439</v>
      </c>
      <c r="C270" s="8">
        <v>35</v>
      </c>
      <c r="D270" s="1" t="s">
        <v>1730</v>
      </c>
      <c r="E270" s="130">
        <v>120</v>
      </c>
      <c r="F270" s="363">
        <v>3.2309999999999999</v>
      </c>
      <c r="G270" s="250" t="s">
        <v>876</v>
      </c>
      <c r="H270" s="244" t="s">
        <v>877</v>
      </c>
      <c r="I270" s="8">
        <f>(C67)</f>
        <v>3800</v>
      </c>
      <c r="J270" s="2" t="s">
        <v>876</v>
      </c>
      <c r="K270" s="6">
        <f t="shared" si="14"/>
        <v>12277.8</v>
      </c>
      <c r="O270" s="244" t="s">
        <v>440</v>
      </c>
      <c r="R270" s="251" t="e">
        <f>SUM(R266:R268)</f>
        <v>#REF!</v>
      </c>
      <c r="AG270" s="244" t="s">
        <v>2346</v>
      </c>
    </row>
    <row r="271" spans="1:33" hidden="1">
      <c r="A271" s="358">
        <f t="shared" si="13"/>
        <v>112</v>
      </c>
      <c r="B271" s="244" t="s">
        <v>3141</v>
      </c>
      <c r="C271" s="8">
        <v>160</v>
      </c>
      <c r="D271" s="8">
        <v>452.09</v>
      </c>
      <c r="E271"/>
      <c r="F271" s="251">
        <v>4.5</v>
      </c>
      <c r="G271" s="250" t="s">
        <v>884</v>
      </c>
      <c r="H271" s="244" t="s">
        <v>885</v>
      </c>
      <c r="I271" s="8" t="e">
        <f>(C78)</f>
        <v>#REF!</v>
      </c>
      <c r="J271" s="2" t="s">
        <v>884</v>
      </c>
      <c r="K271" s="6" t="e">
        <f t="shared" si="14"/>
        <v>#REF!</v>
      </c>
      <c r="R271" s="248" t="s">
        <v>1667</v>
      </c>
      <c r="AG271" s="244" t="s">
        <v>2346</v>
      </c>
    </row>
    <row r="272" spans="1:33" hidden="1">
      <c r="A272" s="358">
        <f t="shared" si="13"/>
        <v>113</v>
      </c>
      <c r="B272" s="244" t="s">
        <v>1437</v>
      </c>
      <c r="C272" s="8">
        <v>13.5</v>
      </c>
      <c r="D272" s="1" t="s">
        <v>1854</v>
      </c>
      <c r="E272"/>
      <c r="F272" s="251">
        <v>3.5</v>
      </c>
      <c r="G272" s="250" t="s">
        <v>883</v>
      </c>
      <c r="H272" s="244" t="s">
        <v>1791</v>
      </c>
      <c r="I272" s="8">
        <f>(C11)</f>
        <v>135</v>
      </c>
      <c r="J272" s="2" t="s">
        <v>883</v>
      </c>
      <c r="K272" s="6">
        <f t="shared" si="14"/>
        <v>472.5</v>
      </c>
      <c r="O272" s="244" t="s">
        <v>555</v>
      </c>
      <c r="R272" s="251" t="e">
        <f>(R270/10)</f>
        <v>#REF!</v>
      </c>
      <c r="AG272" s="244" t="s">
        <v>2346</v>
      </c>
    </row>
    <row r="273" spans="1:33" hidden="1">
      <c r="A273" s="358">
        <f t="shared" si="13"/>
        <v>114</v>
      </c>
      <c r="B273" s="244" t="s">
        <v>1438</v>
      </c>
      <c r="C273" s="8">
        <v>18.809999999999999</v>
      </c>
      <c r="D273" s="1" t="s">
        <v>781</v>
      </c>
      <c r="E273"/>
      <c r="F273" s="251">
        <v>21.2</v>
      </c>
      <c r="G273" s="250" t="s">
        <v>883</v>
      </c>
      <c r="H273" s="244" t="s">
        <v>1979</v>
      </c>
      <c r="I273" s="8">
        <f>(C12)</f>
        <v>95</v>
      </c>
      <c r="J273" s="2" t="s">
        <v>883</v>
      </c>
      <c r="K273" s="6">
        <f t="shared" si="14"/>
        <v>2014</v>
      </c>
      <c r="R273" s="248" t="s">
        <v>2130</v>
      </c>
      <c r="AG273" s="244" t="s">
        <v>2346</v>
      </c>
    </row>
    <row r="274" spans="1:33" hidden="1">
      <c r="A274" s="358">
        <f t="shared" si="13"/>
        <v>115</v>
      </c>
      <c r="B274" s="244" t="s">
        <v>1439</v>
      </c>
      <c r="C274" s="8">
        <v>14.15</v>
      </c>
      <c r="D274" s="1" t="s">
        <v>781</v>
      </c>
      <c r="E274"/>
      <c r="F274" s="251">
        <v>35.299999999999997</v>
      </c>
      <c r="G274" s="250" t="s">
        <v>883</v>
      </c>
      <c r="H274" s="244" t="s">
        <v>324</v>
      </c>
      <c r="I274" s="8">
        <f>(C13)</f>
        <v>85</v>
      </c>
      <c r="J274" s="2" t="s">
        <v>883</v>
      </c>
      <c r="K274" s="6">
        <f t="shared" si="14"/>
        <v>3000.5</v>
      </c>
      <c r="N274" s="244" t="s">
        <v>1178</v>
      </c>
      <c r="O274" s="244" t="s">
        <v>388</v>
      </c>
      <c r="R274" s="251" t="e">
        <f>(R272+C19/10*M266)</f>
        <v>#REF!</v>
      </c>
      <c r="AG274" s="244" t="s">
        <v>2346</v>
      </c>
    </row>
    <row r="275" spans="1:33" hidden="1">
      <c r="A275" s="358">
        <f t="shared" si="13"/>
        <v>116</v>
      </c>
      <c r="B275" s="244" t="s">
        <v>669</v>
      </c>
      <c r="C275" s="8">
        <v>16.440000000000001</v>
      </c>
      <c r="D275" s="1" t="s">
        <v>781</v>
      </c>
      <c r="E275"/>
      <c r="G275" s="250" t="s">
        <v>448</v>
      </c>
      <c r="H275" s="244" t="s">
        <v>449</v>
      </c>
      <c r="I275" s="1" t="s">
        <v>995</v>
      </c>
      <c r="J275" s="2" t="s">
        <v>448</v>
      </c>
      <c r="K275" s="6">
        <v>0</v>
      </c>
      <c r="N275" s="244" t="s">
        <v>670</v>
      </c>
      <c r="O275" s="244" t="s">
        <v>390</v>
      </c>
      <c r="R275" s="251" t="e">
        <f>(R274+C20/10*M266)</f>
        <v>#REF!</v>
      </c>
      <c r="AG275" s="244" t="s">
        <v>2346</v>
      </c>
    </row>
    <row r="276" spans="1:33" hidden="1">
      <c r="A276" s="358">
        <f t="shared" si="13"/>
        <v>117</v>
      </c>
      <c r="B276" s="244" t="s">
        <v>671</v>
      </c>
      <c r="C276" s="8">
        <v>8</v>
      </c>
      <c r="D276" s="8">
        <v>6.25</v>
      </c>
      <c r="E276"/>
      <c r="I276"/>
      <c r="J276" s="4"/>
      <c r="K276" s="6" t="s">
        <v>1667</v>
      </c>
      <c r="N276" s="244" t="s">
        <v>682</v>
      </c>
      <c r="O276" s="244" t="s">
        <v>2319</v>
      </c>
      <c r="R276" s="251" t="e">
        <f>(R275+C21/10*M266)</f>
        <v>#REF!</v>
      </c>
      <c r="AG276" s="244" t="s">
        <v>2346</v>
      </c>
    </row>
    <row r="277" spans="1:33" hidden="1">
      <c r="A277" s="358">
        <f t="shared" si="13"/>
        <v>118</v>
      </c>
      <c r="B277" s="244" t="s">
        <v>683</v>
      </c>
      <c r="C277" s="8">
        <v>170.39</v>
      </c>
      <c r="D277" s="1" t="s">
        <v>611</v>
      </c>
      <c r="E277"/>
      <c r="H277" s="244" t="s">
        <v>2246</v>
      </c>
      <c r="I277"/>
      <c r="J277" s="4"/>
      <c r="K277" s="6" t="e">
        <f>SUM(K269:K275)</f>
        <v>#REF!</v>
      </c>
      <c r="N277" s="244" t="s">
        <v>2247</v>
      </c>
      <c r="O277" s="244" t="s">
        <v>382</v>
      </c>
      <c r="R277" s="251" t="e">
        <f>(R276+C21/10*M266)</f>
        <v>#REF!</v>
      </c>
      <c r="AG277" s="244" t="s">
        <v>2346</v>
      </c>
    </row>
    <row r="278" spans="1:33" hidden="1">
      <c r="A278" s="358">
        <f t="shared" si="13"/>
        <v>119</v>
      </c>
      <c r="B278" s="244" t="s">
        <v>3142</v>
      </c>
      <c r="C278" s="8">
        <v>45</v>
      </c>
      <c r="D278" s="1" t="s">
        <v>781</v>
      </c>
      <c r="E278"/>
      <c r="I278"/>
      <c r="J278" s="4"/>
      <c r="K278" s="6" t="s">
        <v>1667</v>
      </c>
      <c r="AG278" s="244" t="s">
        <v>2346</v>
      </c>
    </row>
    <row r="279" spans="1:33" hidden="1">
      <c r="A279" s="358">
        <f t="shared" si="13"/>
        <v>120</v>
      </c>
      <c r="B279" s="244" t="s">
        <v>3143</v>
      </c>
      <c r="C279" s="8">
        <v>31.24</v>
      </c>
      <c r="D279" s="1" t="s">
        <v>781</v>
      </c>
      <c r="E279"/>
      <c r="H279" s="244" t="s">
        <v>785</v>
      </c>
      <c r="I279"/>
      <c r="J279" s="4"/>
      <c r="K279" s="6" t="e">
        <f>(K277/10)</f>
        <v>#REF!</v>
      </c>
      <c r="N279" s="244" t="s">
        <v>685</v>
      </c>
      <c r="O279" s="244" t="s">
        <v>2248</v>
      </c>
      <c r="R279" s="244" t="s">
        <v>995</v>
      </c>
      <c r="AG279" s="244" t="s">
        <v>2346</v>
      </c>
    </row>
    <row r="280" spans="1:33" hidden="1">
      <c r="C280"/>
      <c r="D280"/>
      <c r="E280"/>
      <c r="F280" s="244" t="s">
        <v>995</v>
      </c>
      <c r="I280"/>
      <c r="J280" s="4"/>
      <c r="K280" s="34"/>
    </row>
    <row r="281" spans="1:33" hidden="1">
      <c r="A281" s="358">
        <f>(A279+1)</f>
        <v>121</v>
      </c>
      <c r="B281" s="244" t="s">
        <v>3144</v>
      </c>
      <c r="C281" s="8">
        <v>25</v>
      </c>
      <c r="D281" s="1" t="s">
        <v>781</v>
      </c>
      <c r="E281"/>
      <c r="I281"/>
      <c r="J281" s="4"/>
      <c r="K281" s="34"/>
      <c r="O281" s="244" t="s">
        <v>1665</v>
      </c>
      <c r="AG281" s="244" t="s">
        <v>2346</v>
      </c>
    </row>
    <row r="282" spans="1:33" hidden="1">
      <c r="A282" s="358">
        <f t="shared" ref="A282:A326" si="15">(A281+1)</f>
        <v>122</v>
      </c>
      <c r="B282" s="244" t="s">
        <v>3145</v>
      </c>
      <c r="C282" s="8">
        <v>13</v>
      </c>
      <c r="D282" s="1" t="s">
        <v>781</v>
      </c>
      <c r="E282"/>
      <c r="F282" s="251">
        <v>1</v>
      </c>
      <c r="G282" s="250" t="s">
        <v>884</v>
      </c>
      <c r="H282" s="244" t="s">
        <v>50</v>
      </c>
      <c r="I282"/>
      <c r="J282" s="4"/>
      <c r="K282" s="6">
        <f>(C25)</f>
        <v>20.7</v>
      </c>
      <c r="O282" s="248" t="s">
        <v>1667</v>
      </c>
      <c r="AG282" s="244" t="s">
        <v>2346</v>
      </c>
    </row>
    <row r="283" spans="1:33" hidden="1">
      <c r="A283" s="358">
        <f t="shared" si="15"/>
        <v>123</v>
      </c>
      <c r="B283" s="244" t="s">
        <v>3321</v>
      </c>
      <c r="C283" s="8">
        <v>30</v>
      </c>
      <c r="D283" s="1" t="s">
        <v>781</v>
      </c>
      <c r="E283"/>
      <c r="I283"/>
      <c r="J283" s="4"/>
      <c r="K283" s="6" t="s">
        <v>1667</v>
      </c>
      <c r="M283" s="251">
        <v>10</v>
      </c>
      <c r="N283" s="244" t="s">
        <v>611</v>
      </c>
      <c r="O283" s="244" t="s">
        <v>51</v>
      </c>
      <c r="P283" s="251" t="e">
        <f>(K1191)</f>
        <v>#REF!</v>
      </c>
      <c r="Q283" s="244" t="s">
        <v>611</v>
      </c>
      <c r="R283" s="251" t="e">
        <f>(M283*P283)</f>
        <v>#REF!</v>
      </c>
      <c r="AG283" s="244" t="s">
        <v>2346</v>
      </c>
    </row>
    <row r="284" spans="1:33" hidden="1">
      <c r="A284" s="358">
        <f t="shared" si="15"/>
        <v>124</v>
      </c>
      <c r="B284" s="244" t="s">
        <v>3322</v>
      </c>
      <c r="C284" s="8">
        <v>20</v>
      </c>
      <c r="D284" s="1" t="s">
        <v>781</v>
      </c>
      <c r="E284" s="130">
        <v>25</v>
      </c>
      <c r="H284" s="244" t="s">
        <v>604</v>
      </c>
      <c r="I284"/>
      <c r="J284" s="4"/>
      <c r="K284" s="6" t="e">
        <f>SUM(K279:K282)</f>
        <v>#REF!</v>
      </c>
      <c r="M284" s="251">
        <v>1.1000000000000001</v>
      </c>
      <c r="N284" s="244" t="s">
        <v>883</v>
      </c>
      <c r="O284" s="244" t="s">
        <v>1791</v>
      </c>
      <c r="P284" s="251">
        <f>(C11)</f>
        <v>135</v>
      </c>
      <c r="Q284" s="244" t="s">
        <v>883</v>
      </c>
      <c r="R284" s="251">
        <f>(M284*P284)</f>
        <v>148.5</v>
      </c>
      <c r="AG284" s="244" t="s">
        <v>2346</v>
      </c>
    </row>
    <row r="285" spans="1:33" hidden="1">
      <c r="A285" s="358">
        <f t="shared" si="15"/>
        <v>125</v>
      </c>
      <c r="B285" s="244" t="s">
        <v>605</v>
      </c>
      <c r="C285" s="8">
        <v>95</v>
      </c>
      <c r="D285" s="1" t="s">
        <v>781</v>
      </c>
      <c r="E285"/>
      <c r="I285"/>
      <c r="J285" s="4"/>
      <c r="K285" s="6" t="s">
        <v>1667</v>
      </c>
      <c r="M285" s="251">
        <v>1.1000000000000001</v>
      </c>
      <c r="N285" s="244" t="s">
        <v>883</v>
      </c>
      <c r="O285" s="244" t="s">
        <v>1979</v>
      </c>
      <c r="P285" s="251">
        <f>(C12)</f>
        <v>95</v>
      </c>
      <c r="Q285" s="244" t="s">
        <v>883</v>
      </c>
      <c r="R285" s="251">
        <f>(M285*P285)</f>
        <v>104.5</v>
      </c>
      <c r="AG285" s="244" t="s">
        <v>2346</v>
      </c>
    </row>
    <row r="286" spans="1:33" hidden="1">
      <c r="A286" s="358">
        <f t="shared" si="15"/>
        <v>126</v>
      </c>
      <c r="B286" s="244" t="s">
        <v>442</v>
      </c>
      <c r="C286" s="8">
        <v>80</v>
      </c>
      <c r="D286" s="1" t="s">
        <v>781</v>
      </c>
      <c r="E286"/>
      <c r="H286" s="244" t="s">
        <v>388</v>
      </c>
      <c r="I286"/>
      <c r="J286" s="4"/>
      <c r="K286" s="6" t="e">
        <f>(K284+C22)</f>
        <v>#REF!</v>
      </c>
      <c r="M286" s="251">
        <v>1.1000000000000001</v>
      </c>
      <c r="N286" s="244" t="s">
        <v>883</v>
      </c>
      <c r="O286" s="244" t="s">
        <v>324</v>
      </c>
      <c r="P286" s="251">
        <f>(C13)</f>
        <v>85</v>
      </c>
      <c r="Q286" s="244" t="s">
        <v>883</v>
      </c>
      <c r="R286" s="251">
        <f>(M286*P286)</f>
        <v>93.5</v>
      </c>
      <c r="AG286" s="244" t="s">
        <v>2346</v>
      </c>
    </row>
    <row r="287" spans="1:33" hidden="1">
      <c r="A287" s="358">
        <f t="shared" si="15"/>
        <v>127</v>
      </c>
      <c r="B287" s="244" t="s">
        <v>1884</v>
      </c>
      <c r="C287" s="8">
        <v>8</v>
      </c>
      <c r="D287" s="1" t="s">
        <v>781</v>
      </c>
      <c r="E287"/>
      <c r="H287" s="244" t="s">
        <v>390</v>
      </c>
      <c r="I287"/>
      <c r="J287" s="4"/>
      <c r="K287" s="6" t="e">
        <f>(K286+C23)</f>
        <v>#REF!</v>
      </c>
      <c r="R287" s="248" t="s">
        <v>1667</v>
      </c>
      <c r="AG287" s="244" t="s">
        <v>2346</v>
      </c>
    </row>
    <row r="288" spans="1:33" hidden="1">
      <c r="A288" s="358">
        <f t="shared" si="15"/>
        <v>128</v>
      </c>
      <c r="B288" s="244" t="s">
        <v>1197</v>
      </c>
      <c r="C288" s="8">
        <v>8</v>
      </c>
      <c r="D288" s="1" t="s">
        <v>781</v>
      </c>
      <c r="E288"/>
      <c r="H288" s="244" t="s">
        <v>2319</v>
      </c>
      <c r="I288"/>
      <c r="J288" s="4"/>
      <c r="K288" s="6" t="e">
        <f>(K287+C24)</f>
        <v>#REF!</v>
      </c>
      <c r="O288" s="244" t="s">
        <v>440</v>
      </c>
      <c r="R288" s="251" t="e">
        <f>SUM(R283:R286)</f>
        <v>#REF!</v>
      </c>
      <c r="AG288" s="244" t="s">
        <v>2346</v>
      </c>
    </row>
    <row r="289" spans="1:33" hidden="1">
      <c r="A289" s="358">
        <f t="shared" si="15"/>
        <v>129</v>
      </c>
      <c r="B289" s="244" t="s">
        <v>1198</v>
      </c>
      <c r="C289" s="8">
        <v>2.9</v>
      </c>
      <c r="D289" s="1" t="s">
        <v>1199</v>
      </c>
      <c r="E289"/>
      <c r="H289" s="244" t="s">
        <v>382</v>
      </c>
      <c r="I289"/>
      <c r="J289" s="4"/>
      <c r="K289" s="6" t="e">
        <f>(K288+C24)</f>
        <v>#REF!</v>
      </c>
      <c r="R289" s="248" t="s">
        <v>1667</v>
      </c>
      <c r="AG289" s="244" t="s">
        <v>2346</v>
      </c>
    </row>
    <row r="290" spans="1:33" hidden="1">
      <c r="A290" s="358">
        <f t="shared" si="15"/>
        <v>130</v>
      </c>
      <c r="B290" s="244" t="s">
        <v>1200</v>
      </c>
      <c r="C290" s="8">
        <v>20.6</v>
      </c>
      <c r="D290" s="1" t="s">
        <v>1199</v>
      </c>
      <c r="E290"/>
      <c r="H290" s="244" t="s">
        <v>485</v>
      </c>
      <c r="I290"/>
      <c r="J290" s="4"/>
      <c r="K290" s="6" t="e">
        <f>(K289+C24)</f>
        <v>#REF!</v>
      </c>
      <c r="O290" s="244" t="s">
        <v>555</v>
      </c>
      <c r="R290" s="251" t="e">
        <f>(R288/10)</f>
        <v>#REF!</v>
      </c>
      <c r="AG290" s="244" t="s">
        <v>2346</v>
      </c>
    </row>
    <row r="291" spans="1:33" hidden="1">
      <c r="A291" s="358">
        <f t="shared" si="15"/>
        <v>131</v>
      </c>
      <c r="B291" s="244" t="s">
        <v>486</v>
      </c>
      <c r="C291" s="8">
        <v>15.6</v>
      </c>
      <c r="D291" s="1" t="s">
        <v>781</v>
      </c>
      <c r="E291"/>
      <c r="I291"/>
      <c r="J291" s="4"/>
      <c r="K291" s="34"/>
      <c r="R291" s="248" t="s">
        <v>2130</v>
      </c>
      <c r="AG291" s="244" t="s">
        <v>2346</v>
      </c>
    </row>
    <row r="292" spans="1:33" hidden="1">
      <c r="A292" s="358">
        <f t="shared" si="15"/>
        <v>132</v>
      </c>
      <c r="B292" s="244" t="s">
        <v>487</v>
      </c>
      <c r="C292" s="8">
        <v>12.6</v>
      </c>
      <c r="D292" s="1" t="s">
        <v>781</v>
      </c>
      <c r="E292"/>
      <c r="F292" s="354" t="s">
        <v>1574</v>
      </c>
      <c r="G292" s="250" t="s">
        <v>2338</v>
      </c>
      <c r="H292" s="244" t="s">
        <v>488</v>
      </c>
      <c r="I292"/>
      <c r="J292" s="4"/>
      <c r="K292" s="34"/>
      <c r="AG292" s="244" t="s">
        <v>2346</v>
      </c>
    </row>
    <row r="293" spans="1:33" hidden="1">
      <c r="A293" s="358">
        <f t="shared" si="15"/>
        <v>133</v>
      </c>
      <c r="B293" s="244" t="s">
        <v>489</v>
      </c>
      <c r="C293" s="8">
        <v>5.75</v>
      </c>
      <c r="D293" s="1" t="s">
        <v>781</v>
      </c>
      <c r="E293"/>
      <c r="H293" s="248" t="s">
        <v>2130</v>
      </c>
      <c r="I293"/>
      <c r="J293" s="4"/>
      <c r="K293" s="34"/>
      <c r="N293" s="244" t="s">
        <v>2338</v>
      </c>
      <c r="O293" s="244" t="s">
        <v>1169</v>
      </c>
      <c r="AG293" s="244" t="s">
        <v>2346</v>
      </c>
    </row>
    <row r="294" spans="1:33" hidden="1">
      <c r="A294" s="358">
        <f t="shared" si="15"/>
        <v>134</v>
      </c>
      <c r="B294" s="244" t="s">
        <v>1170</v>
      </c>
      <c r="C294" s="8">
        <v>8.5</v>
      </c>
      <c r="D294" s="1" t="s">
        <v>781</v>
      </c>
      <c r="E294"/>
      <c r="F294" s="251">
        <v>10</v>
      </c>
      <c r="G294" s="250" t="s">
        <v>884</v>
      </c>
      <c r="H294" s="244" t="s">
        <v>880</v>
      </c>
      <c r="I294" s="8" t="e">
        <f>(C68)</f>
        <v>#REF!</v>
      </c>
      <c r="J294" s="2" t="s">
        <v>884</v>
      </c>
      <c r="K294" s="6" t="e">
        <f t="shared" ref="K294:K300" si="16">(F294*I294)</f>
        <v>#REF!</v>
      </c>
      <c r="O294" s="248" t="s">
        <v>1667</v>
      </c>
      <c r="AG294" s="244" t="s">
        <v>2346</v>
      </c>
    </row>
    <row r="295" spans="1:33" hidden="1">
      <c r="A295" s="358">
        <f t="shared" si="15"/>
        <v>135</v>
      </c>
      <c r="B295" s="244" t="s">
        <v>1319</v>
      </c>
      <c r="C295" s="8">
        <v>10</v>
      </c>
      <c r="D295" s="1" t="s">
        <v>781</v>
      </c>
      <c r="E295"/>
      <c r="F295" s="251">
        <v>1</v>
      </c>
      <c r="G295" s="250" t="s">
        <v>884</v>
      </c>
      <c r="H295" s="244" t="s">
        <v>887</v>
      </c>
      <c r="I295" s="8" t="e">
        <f>(C69)</f>
        <v>#REF!</v>
      </c>
      <c r="J295" s="2" t="s">
        <v>884</v>
      </c>
      <c r="K295" s="6" t="e">
        <f t="shared" si="16"/>
        <v>#REF!</v>
      </c>
      <c r="M295" s="251">
        <v>0.14000000000000001</v>
      </c>
      <c r="N295" s="244" t="s">
        <v>884</v>
      </c>
      <c r="O295" s="244" t="s">
        <v>1414</v>
      </c>
      <c r="P295" s="251" t="e">
        <f>(K32)</f>
        <v>#REF!</v>
      </c>
      <c r="Q295" s="244" t="s">
        <v>884</v>
      </c>
      <c r="R295" s="251" t="e">
        <f>(M295*P295)</f>
        <v>#REF!</v>
      </c>
      <c r="AG295" s="244" t="s">
        <v>2346</v>
      </c>
    </row>
    <row r="296" spans="1:33" hidden="1">
      <c r="A296" s="358">
        <f t="shared" si="15"/>
        <v>136</v>
      </c>
      <c r="B296" s="244" t="s">
        <v>1320</v>
      </c>
      <c r="C296" s="8">
        <v>3.25</v>
      </c>
      <c r="D296" s="1" t="s">
        <v>781</v>
      </c>
      <c r="E296"/>
      <c r="F296" s="251">
        <v>3.4</v>
      </c>
      <c r="G296" s="250" t="s">
        <v>884</v>
      </c>
      <c r="H296" s="244" t="s">
        <v>1710</v>
      </c>
      <c r="I296" s="8" t="e">
        <f>(K49)</f>
        <v>#REF!</v>
      </c>
      <c r="J296" s="2" t="s">
        <v>884</v>
      </c>
      <c r="K296" s="6" t="e">
        <f t="shared" si="16"/>
        <v>#REF!</v>
      </c>
      <c r="M296" s="251">
        <v>1.1000000000000001</v>
      </c>
      <c r="N296" s="244" t="s">
        <v>883</v>
      </c>
      <c r="O296" s="244" t="s">
        <v>2082</v>
      </c>
      <c r="P296" s="251">
        <f>(C10)</f>
        <v>150</v>
      </c>
      <c r="Q296" s="244" t="s">
        <v>883</v>
      </c>
      <c r="R296" s="251">
        <f>(M296*P296)</f>
        <v>165</v>
      </c>
      <c r="AG296" s="244" t="s">
        <v>2346</v>
      </c>
    </row>
    <row r="297" spans="1:33" hidden="1">
      <c r="A297" s="358">
        <f t="shared" si="15"/>
        <v>137</v>
      </c>
      <c r="B297" s="244" t="s">
        <v>1321</v>
      </c>
      <c r="C297" s="8">
        <v>2.2000000000000002</v>
      </c>
      <c r="D297" s="1" t="s">
        <v>781</v>
      </c>
      <c r="E297"/>
      <c r="F297" s="251">
        <v>7.1</v>
      </c>
      <c r="G297" s="250" t="s">
        <v>883</v>
      </c>
      <c r="H297" s="244" t="s">
        <v>2082</v>
      </c>
      <c r="I297" s="8">
        <f>(C10)</f>
        <v>150</v>
      </c>
      <c r="J297" s="2" t="s">
        <v>883</v>
      </c>
      <c r="K297" s="6">
        <f t="shared" si="16"/>
        <v>1065</v>
      </c>
      <c r="M297" s="251">
        <v>0.5</v>
      </c>
      <c r="N297" s="244" t="s">
        <v>883</v>
      </c>
      <c r="O297" s="244" t="s">
        <v>1979</v>
      </c>
      <c r="P297" s="251">
        <f>(C12)</f>
        <v>95</v>
      </c>
      <c r="Q297" s="244" t="s">
        <v>883</v>
      </c>
      <c r="R297" s="251">
        <f>(M297*P297)</f>
        <v>47.5</v>
      </c>
      <c r="AG297" s="244" t="s">
        <v>2346</v>
      </c>
    </row>
    <row r="298" spans="1:33" hidden="1">
      <c r="A298" s="358">
        <f t="shared" si="15"/>
        <v>138</v>
      </c>
      <c r="B298" s="244" t="s">
        <v>1512</v>
      </c>
      <c r="C298" s="8">
        <v>10.5</v>
      </c>
      <c r="D298" s="1" t="s">
        <v>781</v>
      </c>
      <c r="E298"/>
      <c r="F298" s="251">
        <v>10.6</v>
      </c>
      <c r="G298" s="250" t="s">
        <v>883</v>
      </c>
      <c r="H298" s="244" t="s">
        <v>1791</v>
      </c>
      <c r="I298" s="8">
        <f>(C11)</f>
        <v>135</v>
      </c>
      <c r="J298" s="2" t="s">
        <v>883</v>
      </c>
      <c r="K298" s="6">
        <f t="shared" si="16"/>
        <v>1431</v>
      </c>
      <c r="M298" s="251">
        <v>1.1000000000000001</v>
      </c>
      <c r="N298" s="244" t="s">
        <v>883</v>
      </c>
      <c r="O298" s="244" t="s">
        <v>324</v>
      </c>
      <c r="P298" s="251">
        <f>(C13)</f>
        <v>85</v>
      </c>
      <c r="Q298" s="244" t="s">
        <v>883</v>
      </c>
      <c r="R298" s="251">
        <f>(M298*P298)</f>
        <v>93.5</v>
      </c>
      <c r="AG298" s="244" t="s">
        <v>2346</v>
      </c>
    </row>
    <row r="299" spans="1:33" hidden="1">
      <c r="A299" s="358">
        <f t="shared" si="15"/>
        <v>139</v>
      </c>
      <c r="B299" s="244" t="s">
        <v>1513</v>
      </c>
      <c r="C299" s="8">
        <v>5.5</v>
      </c>
      <c r="D299" s="1" t="s">
        <v>781</v>
      </c>
      <c r="E299"/>
      <c r="F299" s="251">
        <v>14.1</v>
      </c>
      <c r="G299" s="250" t="s">
        <v>883</v>
      </c>
      <c r="H299" s="244" t="s">
        <v>1979</v>
      </c>
      <c r="I299" s="8">
        <f>(C12)</f>
        <v>95</v>
      </c>
      <c r="J299" s="2" t="s">
        <v>883</v>
      </c>
      <c r="K299" s="6">
        <f t="shared" si="16"/>
        <v>1339.5</v>
      </c>
      <c r="N299" s="244" t="s">
        <v>448</v>
      </c>
      <c r="O299" s="244" t="s">
        <v>449</v>
      </c>
      <c r="P299" s="244" t="s">
        <v>995</v>
      </c>
      <c r="Q299" s="244" t="s">
        <v>448</v>
      </c>
      <c r="R299" s="251">
        <v>0</v>
      </c>
      <c r="AG299" s="244" t="s">
        <v>2346</v>
      </c>
    </row>
    <row r="300" spans="1:33" hidden="1">
      <c r="A300" s="358">
        <f t="shared" si="15"/>
        <v>140</v>
      </c>
      <c r="B300" s="244" t="s">
        <v>492</v>
      </c>
      <c r="C300" s="8">
        <v>21</v>
      </c>
      <c r="D300" s="1" t="s">
        <v>781</v>
      </c>
      <c r="E300"/>
      <c r="F300" s="251">
        <v>14.1</v>
      </c>
      <c r="G300" s="250" t="s">
        <v>883</v>
      </c>
      <c r="H300" s="244" t="s">
        <v>324</v>
      </c>
      <c r="I300" s="8">
        <f>(C13)</f>
        <v>85</v>
      </c>
      <c r="J300" s="2" t="s">
        <v>883</v>
      </c>
      <c r="K300" s="6">
        <f t="shared" si="16"/>
        <v>1198.5</v>
      </c>
      <c r="R300" s="248" t="s">
        <v>1667</v>
      </c>
      <c r="AG300" s="244" t="s">
        <v>2346</v>
      </c>
    </row>
    <row r="301" spans="1:33" hidden="1">
      <c r="A301" s="358">
        <f t="shared" si="15"/>
        <v>141</v>
      </c>
      <c r="B301" s="244" t="s">
        <v>493</v>
      </c>
      <c r="C301" s="8">
        <v>10</v>
      </c>
      <c r="D301" s="1" t="s">
        <v>781</v>
      </c>
      <c r="E301"/>
      <c r="G301" s="250" t="s">
        <v>448</v>
      </c>
      <c r="H301" s="244" t="s">
        <v>449</v>
      </c>
      <c r="I301"/>
      <c r="J301" s="2" t="s">
        <v>448</v>
      </c>
      <c r="K301" s="6">
        <v>0</v>
      </c>
      <c r="O301" s="244" t="s">
        <v>440</v>
      </c>
      <c r="R301" s="251" t="e">
        <f>SUM(R295:R299)</f>
        <v>#REF!</v>
      </c>
      <c r="AG301" s="244" t="s">
        <v>2346</v>
      </c>
    </row>
    <row r="302" spans="1:33" hidden="1">
      <c r="A302" s="358">
        <f t="shared" si="15"/>
        <v>142</v>
      </c>
      <c r="B302" s="244" t="s">
        <v>1884</v>
      </c>
      <c r="C302" s="8">
        <v>4</v>
      </c>
      <c r="D302" s="1" t="s">
        <v>781</v>
      </c>
      <c r="E302"/>
      <c r="I302"/>
      <c r="J302" s="4"/>
      <c r="K302" s="6" t="s">
        <v>1667</v>
      </c>
      <c r="R302" s="248" t="s">
        <v>1667</v>
      </c>
      <c r="AG302" s="244" t="s">
        <v>2346</v>
      </c>
    </row>
    <row r="303" spans="1:33" hidden="1">
      <c r="A303" s="358">
        <f t="shared" si="15"/>
        <v>143</v>
      </c>
      <c r="B303" s="244" t="s">
        <v>1197</v>
      </c>
      <c r="C303" s="8">
        <v>8</v>
      </c>
      <c r="D303" s="1" t="s">
        <v>883</v>
      </c>
      <c r="E303"/>
      <c r="H303" s="244" t="s">
        <v>618</v>
      </c>
      <c r="I303"/>
      <c r="J303" s="4"/>
      <c r="K303" s="6" t="e">
        <f>SUM(K294:K301)</f>
        <v>#REF!</v>
      </c>
      <c r="O303" s="244" t="s">
        <v>555</v>
      </c>
      <c r="R303" s="251" t="e">
        <f>(R301/10)</f>
        <v>#REF!</v>
      </c>
      <c r="AG303" s="244" t="s">
        <v>2346</v>
      </c>
    </row>
    <row r="304" spans="1:33" hidden="1">
      <c r="A304" s="358">
        <f t="shared" si="15"/>
        <v>144</v>
      </c>
      <c r="B304" s="244" t="s">
        <v>1198</v>
      </c>
      <c r="C304" s="8">
        <v>8.5</v>
      </c>
      <c r="D304" s="1" t="s">
        <v>781</v>
      </c>
      <c r="E304"/>
      <c r="I304"/>
      <c r="J304" s="4"/>
      <c r="K304" s="6" t="s">
        <v>1667</v>
      </c>
      <c r="N304" s="244" t="s">
        <v>2338</v>
      </c>
      <c r="O304" s="244" t="s">
        <v>494</v>
      </c>
      <c r="R304" s="248" t="s">
        <v>2130</v>
      </c>
      <c r="AG304" s="244" t="s">
        <v>2346</v>
      </c>
    </row>
    <row r="305" spans="1:33" hidden="1">
      <c r="A305" s="358">
        <f t="shared" si="15"/>
        <v>145</v>
      </c>
      <c r="B305" s="244" t="s">
        <v>606</v>
      </c>
      <c r="C305" s="8">
        <v>20.6</v>
      </c>
      <c r="D305" s="1" t="s">
        <v>781</v>
      </c>
      <c r="E305"/>
      <c r="H305" s="244" t="s">
        <v>785</v>
      </c>
      <c r="I305"/>
      <c r="J305" s="4"/>
      <c r="K305" s="6" t="e">
        <f>(K303/10)</f>
        <v>#REF!</v>
      </c>
      <c r="O305" s="248" t="s">
        <v>1667</v>
      </c>
      <c r="AG305" s="244" t="s">
        <v>2346</v>
      </c>
    </row>
    <row r="306" spans="1:33" hidden="1">
      <c r="A306" s="358">
        <f t="shared" si="15"/>
        <v>146</v>
      </c>
      <c r="B306" s="244" t="s">
        <v>2060</v>
      </c>
      <c r="C306" s="8">
        <v>15.6</v>
      </c>
      <c r="D306" s="1" t="s">
        <v>781</v>
      </c>
      <c r="E306"/>
      <c r="I306"/>
      <c r="J306" s="4"/>
      <c r="K306" s="6" t="s">
        <v>2130</v>
      </c>
      <c r="M306" s="251">
        <v>0.14000000000000001</v>
      </c>
      <c r="N306" s="244" t="s">
        <v>884</v>
      </c>
      <c r="O306" s="244" t="s">
        <v>123</v>
      </c>
      <c r="P306" s="251" t="e">
        <f>(K23)</f>
        <v>#REF!</v>
      </c>
      <c r="Q306" s="244" t="s">
        <v>884</v>
      </c>
      <c r="R306" s="251" t="e">
        <f>(M306*P306)</f>
        <v>#REF!</v>
      </c>
      <c r="AG306" s="244" t="s">
        <v>2346</v>
      </c>
    </row>
    <row r="307" spans="1:33" hidden="1">
      <c r="A307" s="358">
        <f t="shared" si="15"/>
        <v>147</v>
      </c>
      <c r="B307" s="244" t="s">
        <v>2061</v>
      </c>
      <c r="C307" s="8">
        <v>0.9</v>
      </c>
      <c r="D307" s="1" t="s">
        <v>781</v>
      </c>
      <c r="E307"/>
      <c r="F307" s="360">
        <v>6</v>
      </c>
      <c r="G307" s="250" t="s">
        <v>2338</v>
      </c>
      <c r="H307" s="244" t="s">
        <v>3323</v>
      </c>
      <c r="I307"/>
      <c r="J307" s="4"/>
      <c r="K307" s="34"/>
      <c r="M307" s="251">
        <v>1.1000000000000001</v>
      </c>
      <c r="N307" s="244" t="s">
        <v>883</v>
      </c>
      <c r="O307" s="244" t="s">
        <v>2082</v>
      </c>
      <c r="P307" s="251">
        <f>(C10)</f>
        <v>150</v>
      </c>
      <c r="Q307" s="244" t="s">
        <v>883</v>
      </c>
      <c r="R307" s="251">
        <f>(M307*P307)</f>
        <v>165</v>
      </c>
      <c r="AG307" s="244" t="s">
        <v>2346</v>
      </c>
    </row>
    <row r="308" spans="1:33" hidden="1">
      <c r="A308" s="358">
        <f t="shared" si="15"/>
        <v>148</v>
      </c>
      <c r="B308" s="244" t="s">
        <v>2062</v>
      </c>
      <c r="C308" s="1" t="s">
        <v>995</v>
      </c>
      <c r="D308"/>
      <c r="E308"/>
      <c r="H308" s="244" t="s">
        <v>3079</v>
      </c>
      <c r="I308"/>
      <c r="J308" s="4"/>
      <c r="K308" s="34"/>
      <c r="M308" s="251">
        <v>0.5</v>
      </c>
      <c r="N308" s="244" t="s">
        <v>883</v>
      </c>
      <c r="O308" s="244" t="s">
        <v>1979</v>
      </c>
      <c r="P308" s="251">
        <f>(C12)</f>
        <v>95</v>
      </c>
      <c r="Q308" s="244" t="s">
        <v>883</v>
      </c>
      <c r="R308" s="251">
        <f>(M308*P308)</f>
        <v>47.5</v>
      </c>
      <c r="AG308" s="244" t="s">
        <v>2346</v>
      </c>
    </row>
    <row r="309" spans="1:33" hidden="1">
      <c r="A309" s="358">
        <f t="shared" si="15"/>
        <v>149</v>
      </c>
      <c r="B309" s="244" t="s">
        <v>237</v>
      </c>
      <c r="C309" s="8">
        <v>66.44</v>
      </c>
      <c r="D309" s="1" t="s">
        <v>1854</v>
      </c>
      <c r="E309"/>
      <c r="H309" s="248" t="s">
        <v>1667</v>
      </c>
      <c r="I309"/>
      <c r="J309" s="4"/>
      <c r="K309" s="34"/>
      <c r="M309" s="251">
        <v>1.1000000000000001</v>
      </c>
      <c r="N309" s="244" t="s">
        <v>883</v>
      </c>
      <c r="O309" s="244" t="s">
        <v>324</v>
      </c>
      <c r="P309" s="251">
        <f>(C13)</f>
        <v>85</v>
      </c>
      <c r="Q309" s="244" t="s">
        <v>883</v>
      </c>
      <c r="R309" s="251">
        <f>(M309*P309)</f>
        <v>93.5</v>
      </c>
      <c r="AG309" s="244" t="s">
        <v>2346</v>
      </c>
    </row>
    <row r="310" spans="1:33" hidden="1">
      <c r="A310" s="358">
        <f t="shared" si="15"/>
        <v>150</v>
      </c>
      <c r="B310" s="244" t="s">
        <v>238</v>
      </c>
      <c r="C310" s="8">
        <v>83.5</v>
      </c>
      <c r="D310" s="1" t="s">
        <v>1854</v>
      </c>
      <c r="E310"/>
      <c r="F310" s="251">
        <v>4800</v>
      </c>
      <c r="G310" s="250" t="s">
        <v>1485</v>
      </c>
      <c r="H310" s="251" t="str">
        <f>H308</f>
        <v>Bricks of size 22x11x7 cm</v>
      </c>
      <c r="I310" s="8" t="e">
        <f>C80</f>
        <v>#REF!</v>
      </c>
      <c r="J310" s="2" t="s">
        <v>1675</v>
      </c>
      <c r="K310" s="6" t="e">
        <f>(F310*I310)/1000</f>
        <v>#REF!</v>
      </c>
      <c r="N310" s="244" t="s">
        <v>448</v>
      </c>
      <c r="O310" s="244" t="s">
        <v>449</v>
      </c>
      <c r="P310" s="244" t="s">
        <v>995</v>
      </c>
      <c r="Q310" s="244" t="s">
        <v>448</v>
      </c>
      <c r="R310" s="251">
        <v>0</v>
      </c>
      <c r="AG310" s="244" t="s">
        <v>2346</v>
      </c>
    </row>
    <row r="311" spans="1:33" hidden="1">
      <c r="A311" s="358">
        <f t="shared" si="15"/>
        <v>151</v>
      </c>
      <c r="B311" s="244" t="s">
        <v>239</v>
      </c>
      <c r="C311" s="8">
        <v>102.12</v>
      </c>
      <c r="D311" s="1" t="s">
        <v>1854</v>
      </c>
      <c r="E311"/>
      <c r="F311" s="251">
        <v>2.5</v>
      </c>
      <c r="G311" s="250" t="s">
        <v>884</v>
      </c>
      <c r="H311" s="244" t="s">
        <v>1710</v>
      </c>
      <c r="I311" s="8" t="e">
        <f>K49</f>
        <v>#REF!</v>
      </c>
      <c r="J311" s="2" t="s">
        <v>884</v>
      </c>
      <c r="K311" s="6" t="e">
        <f>(F311*I311)</f>
        <v>#REF!</v>
      </c>
      <c r="R311" s="248" t="s">
        <v>1667</v>
      </c>
      <c r="AG311" s="244" t="s">
        <v>2346</v>
      </c>
    </row>
    <row r="312" spans="1:33" hidden="1">
      <c r="A312" s="358">
        <f t="shared" si="15"/>
        <v>152</v>
      </c>
      <c r="B312" s="244" t="s">
        <v>2301</v>
      </c>
      <c r="C312" s="8">
        <v>182.52</v>
      </c>
      <c r="D312" s="1" t="s">
        <v>1854</v>
      </c>
      <c r="E312"/>
      <c r="F312" s="251">
        <v>3.5</v>
      </c>
      <c r="G312" s="250" t="s">
        <v>883</v>
      </c>
      <c r="H312" s="244" t="s">
        <v>2082</v>
      </c>
      <c r="I312" s="8">
        <f>C10</f>
        <v>150</v>
      </c>
      <c r="J312" s="2" t="s">
        <v>883</v>
      </c>
      <c r="K312" s="6">
        <f>(F312*I312)</f>
        <v>525</v>
      </c>
      <c r="O312" s="244" t="s">
        <v>440</v>
      </c>
      <c r="R312" s="251" t="e">
        <f>SUM(R306:R310)</f>
        <v>#REF!</v>
      </c>
      <c r="AG312" s="244" t="s">
        <v>2346</v>
      </c>
    </row>
    <row r="313" spans="1:33" hidden="1">
      <c r="A313" s="358">
        <f t="shared" si="15"/>
        <v>153</v>
      </c>
      <c r="B313" s="244" t="s">
        <v>2302</v>
      </c>
      <c r="C313"/>
      <c r="D313"/>
      <c r="E313"/>
      <c r="F313" s="251">
        <v>10.6</v>
      </c>
      <c r="G313" s="250" t="s">
        <v>883</v>
      </c>
      <c r="H313" s="244" t="s">
        <v>1791</v>
      </c>
      <c r="I313" s="8">
        <f>C11</f>
        <v>135</v>
      </c>
      <c r="J313" s="2" t="s">
        <v>883</v>
      </c>
      <c r="K313" s="6">
        <f>(F313*I313)</f>
        <v>1431</v>
      </c>
      <c r="R313" s="248" t="s">
        <v>1667</v>
      </c>
      <c r="AG313" s="244" t="s">
        <v>2346</v>
      </c>
    </row>
    <row r="314" spans="1:33" hidden="1">
      <c r="A314" s="358">
        <f t="shared" si="15"/>
        <v>154</v>
      </c>
      <c r="B314" s="244" t="s">
        <v>237</v>
      </c>
      <c r="C314" s="8">
        <v>26.62</v>
      </c>
      <c r="D314" s="1" t="s">
        <v>781</v>
      </c>
      <c r="E314"/>
      <c r="F314" s="251">
        <v>7.1</v>
      </c>
      <c r="G314" s="250" t="s">
        <v>883</v>
      </c>
      <c r="H314" s="244" t="s">
        <v>1979</v>
      </c>
      <c r="I314" s="8">
        <f>C12</f>
        <v>95</v>
      </c>
      <c r="J314" s="2" t="s">
        <v>883</v>
      </c>
      <c r="K314" s="6">
        <f>(F314*I314)</f>
        <v>674.5</v>
      </c>
      <c r="O314" s="244" t="s">
        <v>555</v>
      </c>
      <c r="R314" s="251" t="e">
        <f>(R312/10)</f>
        <v>#REF!</v>
      </c>
      <c r="AG314" s="244" t="s">
        <v>2346</v>
      </c>
    </row>
    <row r="315" spans="1:33" hidden="1">
      <c r="A315" s="358">
        <f t="shared" si="15"/>
        <v>155</v>
      </c>
      <c r="B315" s="244" t="s">
        <v>238</v>
      </c>
      <c r="C315" s="8">
        <v>34.869999999999997</v>
      </c>
      <c r="D315" s="1" t="s">
        <v>781</v>
      </c>
      <c r="E315"/>
      <c r="F315" s="251">
        <v>21.2</v>
      </c>
      <c r="G315" s="250" t="s">
        <v>883</v>
      </c>
      <c r="H315" s="244" t="s">
        <v>324</v>
      </c>
      <c r="I315" s="8">
        <f>C13</f>
        <v>85</v>
      </c>
      <c r="J315" s="2" t="s">
        <v>883</v>
      </c>
      <c r="K315" s="6">
        <f>(F315*I315)</f>
        <v>1802</v>
      </c>
      <c r="R315" s="248" t="s">
        <v>2130</v>
      </c>
      <c r="AG315" s="244" t="s">
        <v>2346</v>
      </c>
    </row>
    <row r="316" spans="1:33" hidden="1">
      <c r="A316" s="358">
        <f t="shared" si="15"/>
        <v>156</v>
      </c>
      <c r="B316" s="244" t="s">
        <v>239</v>
      </c>
      <c r="C316" s="8">
        <v>45</v>
      </c>
      <c r="D316" s="1" t="s">
        <v>781</v>
      </c>
      <c r="E316"/>
      <c r="G316" s="250" t="s">
        <v>448</v>
      </c>
      <c r="H316" s="244" t="s">
        <v>449</v>
      </c>
      <c r="I316"/>
      <c r="J316" s="2" t="s">
        <v>448</v>
      </c>
      <c r="K316" s="6">
        <v>0</v>
      </c>
      <c r="N316" s="244" t="s">
        <v>2338</v>
      </c>
      <c r="O316" s="244" t="s">
        <v>2303</v>
      </c>
      <c r="AG316" s="244" t="s">
        <v>2346</v>
      </c>
    </row>
    <row r="317" spans="1:33" hidden="1">
      <c r="A317" s="358">
        <f t="shared" si="15"/>
        <v>157</v>
      </c>
      <c r="B317" s="244" t="s">
        <v>2301</v>
      </c>
      <c r="C317" s="8">
        <v>99.75</v>
      </c>
      <c r="D317" s="1" t="s">
        <v>781</v>
      </c>
      <c r="E317"/>
      <c r="I317"/>
      <c r="J317" s="4"/>
      <c r="K317" s="6" t="s">
        <v>1667</v>
      </c>
      <c r="O317" s="248" t="s">
        <v>1667</v>
      </c>
      <c r="AG317" s="244" t="s">
        <v>2346</v>
      </c>
    </row>
    <row r="318" spans="1:33" hidden="1">
      <c r="A318" s="358">
        <f t="shared" si="15"/>
        <v>158</v>
      </c>
      <c r="B318" s="244" t="s">
        <v>2262</v>
      </c>
      <c r="C318"/>
      <c r="D318"/>
      <c r="E318"/>
      <c r="H318" s="244" t="s">
        <v>618</v>
      </c>
      <c r="I318"/>
      <c r="J318" s="4"/>
      <c r="K318" s="6" t="e">
        <f>SUM(K310:K316)</f>
        <v>#REF!</v>
      </c>
      <c r="M318" s="251">
        <v>0.1</v>
      </c>
      <c r="N318" s="244" t="s">
        <v>884</v>
      </c>
      <c r="O318" s="244" t="s">
        <v>123</v>
      </c>
      <c r="P318" s="251" t="e">
        <f>(K23)</f>
        <v>#REF!</v>
      </c>
      <c r="Q318" s="244" t="s">
        <v>884</v>
      </c>
      <c r="R318" s="251" t="e">
        <f>(M318*P318)</f>
        <v>#REF!</v>
      </c>
      <c r="AG318" s="244" t="s">
        <v>2346</v>
      </c>
    </row>
    <row r="319" spans="1:33" hidden="1">
      <c r="A319" s="358">
        <f t="shared" si="15"/>
        <v>159</v>
      </c>
      <c r="B319" s="244" t="s">
        <v>237</v>
      </c>
      <c r="C319" s="8">
        <v>43.47</v>
      </c>
      <c r="D319" s="1" t="s">
        <v>781</v>
      </c>
      <c r="E319"/>
      <c r="I319"/>
      <c r="J319" s="4"/>
      <c r="K319" s="6" t="s">
        <v>1667</v>
      </c>
      <c r="M319" s="251">
        <v>1.1000000000000001</v>
      </c>
      <c r="N319" s="244" t="s">
        <v>883</v>
      </c>
      <c r="O319" s="244" t="s">
        <v>2082</v>
      </c>
      <c r="P319" s="251">
        <f>(C10)</f>
        <v>150</v>
      </c>
      <c r="Q319" s="244" t="s">
        <v>883</v>
      </c>
      <c r="R319" s="251">
        <f>(M319*P319)</f>
        <v>165</v>
      </c>
      <c r="AG319" s="244" t="s">
        <v>2346</v>
      </c>
    </row>
    <row r="320" spans="1:33" hidden="1">
      <c r="A320" s="358">
        <f t="shared" si="15"/>
        <v>160</v>
      </c>
      <c r="B320" s="244" t="s">
        <v>238</v>
      </c>
      <c r="C320" s="8">
        <v>50.34</v>
      </c>
      <c r="D320" s="1" t="s">
        <v>781</v>
      </c>
      <c r="E320"/>
      <c r="H320" s="244" t="s">
        <v>785</v>
      </c>
      <c r="I320"/>
      <c r="J320" s="4"/>
      <c r="K320" s="6" t="e">
        <f>(K318/10)</f>
        <v>#REF!</v>
      </c>
      <c r="M320" s="251">
        <v>1.1000000000000001</v>
      </c>
      <c r="N320" s="244" t="s">
        <v>883</v>
      </c>
      <c r="O320" s="244" t="s">
        <v>1979</v>
      </c>
      <c r="P320" s="251">
        <f>(C12)</f>
        <v>95</v>
      </c>
      <c r="Q320" s="244" t="s">
        <v>883</v>
      </c>
      <c r="R320" s="251">
        <f>(M320*P320)</f>
        <v>104.5</v>
      </c>
      <c r="AG320" s="244" t="s">
        <v>325</v>
      </c>
    </row>
    <row r="321" spans="1:33" hidden="1">
      <c r="A321" s="358">
        <f t="shared" si="15"/>
        <v>161</v>
      </c>
      <c r="B321" s="244" t="s">
        <v>239</v>
      </c>
      <c r="C321" s="8">
        <v>65.209999999999994</v>
      </c>
      <c r="D321" s="1" t="s">
        <v>781</v>
      </c>
      <c r="E321"/>
      <c r="I321"/>
      <c r="J321" s="4"/>
      <c r="K321" s="6" t="s">
        <v>2130</v>
      </c>
      <c r="M321" s="251">
        <v>1.1000000000000001</v>
      </c>
      <c r="N321" s="244" t="s">
        <v>883</v>
      </c>
      <c r="O321" s="244" t="s">
        <v>324</v>
      </c>
      <c r="P321" s="251">
        <f>(C13)</f>
        <v>85</v>
      </c>
      <c r="Q321" s="244" t="s">
        <v>883</v>
      </c>
      <c r="R321" s="251">
        <f>(M321*P321)</f>
        <v>93.5</v>
      </c>
    </row>
    <row r="322" spans="1:33" hidden="1">
      <c r="A322" s="358">
        <f t="shared" si="15"/>
        <v>162</v>
      </c>
      <c r="B322" s="244" t="s">
        <v>2301</v>
      </c>
      <c r="C322" s="8">
        <v>145.29</v>
      </c>
      <c r="D322" s="1" t="s">
        <v>781</v>
      </c>
      <c r="E322"/>
      <c r="H322" s="244" t="s">
        <v>388</v>
      </c>
      <c r="I322"/>
      <c r="J322" s="4"/>
      <c r="K322" s="6" t="e">
        <f>(K320+C19)</f>
        <v>#REF!</v>
      </c>
      <c r="N322" s="244" t="s">
        <v>448</v>
      </c>
      <c r="O322" s="244" t="s">
        <v>449</v>
      </c>
      <c r="P322" s="244" t="s">
        <v>995</v>
      </c>
      <c r="Q322" s="244" t="s">
        <v>448</v>
      </c>
      <c r="R322" s="251">
        <v>0</v>
      </c>
    </row>
    <row r="323" spans="1:33" hidden="1">
      <c r="A323" s="358">
        <f t="shared" si="15"/>
        <v>163</v>
      </c>
      <c r="B323" s="244" t="s">
        <v>2263</v>
      </c>
      <c r="C323"/>
      <c r="D323"/>
      <c r="E323"/>
      <c r="H323" s="244" t="s">
        <v>390</v>
      </c>
      <c r="I323"/>
      <c r="J323" s="4"/>
      <c r="K323" s="6" t="e">
        <f>(K322+C20)</f>
        <v>#REF!</v>
      </c>
      <c r="R323" s="248" t="s">
        <v>1667</v>
      </c>
      <c r="AG323" s="244" t="s">
        <v>2346</v>
      </c>
    </row>
    <row r="324" spans="1:33" hidden="1">
      <c r="A324" s="358">
        <f t="shared" si="15"/>
        <v>164</v>
      </c>
      <c r="B324" s="244" t="s">
        <v>237</v>
      </c>
      <c r="C324" s="8">
        <v>14.91</v>
      </c>
      <c r="D324" s="1" t="s">
        <v>1854</v>
      </c>
      <c r="E324"/>
      <c r="H324" s="244" t="s">
        <v>2319</v>
      </c>
      <c r="I324"/>
      <c r="J324" s="4"/>
      <c r="K324" s="6" t="e">
        <f>(K323+C21)</f>
        <v>#REF!</v>
      </c>
      <c r="O324" s="244" t="s">
        <v>440</v>
      </c>
      <c r="R324" s="251" t="e">
        <f>SUM(R318:R322)</f>
        <v>#REF!</v>
      </c>
      <c r="AG324" s="244" t="s">
        <v>2346</v>
      </c>
    </row>
    <row r="325" spans="1:33" hidden="1">
      <c r="A325" s="358">
        <f t="shared" si="15"/>
        <v>165</v>
      </c>
      <c r="B325" s="244" t="s">
        <v>238</v>
      </c>
      <c r="C325" s="8">
        <v>19.41</v>
      </c>
      <c r="D325" s="1" t="s">
        <v>1854</v>
      </c>
      <c r="E325"/>
      <c r="H325" s="244" t="s">
        <v>382</v>
      </c>
      <c r="I325"/>
      <c r="J325" s="4"/>
      <c r="K325" s="6" t="e">
        <f>(K324+C21)</f>
        <v>#REF!</v>
      </c>
      <c r="R325" s="248" t="s">
        <v>1667</v>
      </c>
      <c r="AG325" s="244" t="s">
        <v>2346</v>
      </c>
    </row>
    <row r="326" spans="1:33" hidden="1">
      <c r="A326" s="358">
        <f t="shared" si="15"/>
        <v>166</v>
      </c>
      <c r="B326" s="244" t="s">
        <v>239</v>
      </c>
      <c r="C326" s="8">
        <v>22.22</v>
      </c>
      <c r="D326" s="1" t="s">
        <v>1854</v>
      </c>
      <c r="E326"/>
      <c r="H326" s="244" t="s">
        <v>485</v>
      </c>
      <c r="I326"/>
      <c r="J326" s="4"/>
      <c r="K326" s="6" t="e">
        <f>(K325+C21)</f>
        <v>#REF!</v>
      </c>
      <c r="O326" s="244" t="s">
        <v>555</v>
      </c>
      <c r="R326" s="251" t="e">
        <f>(R324/10)</f>
        <v>#REF!</v>
      </c>
      <c r="AG326" s="244" t="s">
        <v>2346</v>
      </c>
    </row>
    <row r="327" spans="1:33" hidden="1">
      <c r="A327" s="358"/>
      <c r="B327" s="244"/>
      <c r="C327" s="8"/>
      <c r="D327" s="1"/>
      <c r="E327"/>
      <c r="H327" s="244"/>
      <c r="I327"/>
      <c r="J327" s="4"/>
      <c r="K327" s="6"/>
      <c r="O327" s="244"/>
      <c r="R327" s="251"/>
      <c r="AG327" s="244"/>
    </row>
    <row r="328" spans="1:33" hidden="1">
      <c r="A328" s="358"/>
      <c r="B328" s="244"/>
      <c r="C328" s="8"/>
      <c r="D328" s="1"/>
      <c r="E328"/>
      <c r="F328" s="354" t="s">
        <v>647</v>
      </c>
      <c r="H328" s="244" t="s">
        <v>1688</v>
      </c>
      <c r="I328"/>
      <c r="J328" s="4"/>
      <c r="K328" s="6" t="s">
        <v>3080</v>
      </c>
      <c r="O328" s="244"/>
      <c r="R328" s="251"/>
      <c r="AG328" s="244"/>
    </row>
    <row r="329" spans="1:33" hidden="1">
      <c r="A329" s="358"/>
      <c r="B329" s="244"/>
      <c r="C329" s="8"/>
      <c r="D329" s="1"/>
      <c r="E329"/>
      <c r="H329" s="244" t="s">
        <v>648</v>
      </c>
      <c r="I329"/>
      <c r="J329" s="4"/>
      <c r="K329" s="6" t="s">
        <v>2130</v>
      </c>
      <c r="O329" s="244"/>
      <c r="R329" s="251"/>
      <c r="AG329" s="244"/>
    </row>
    <row r="330" spans="1:33" hidden="1">
      <c r="A330" s="358"/>
      <c r="B330" s="244"/>
      <c r="C330" s="8"/>
      <c r="D330" s="1"/>
      <c r="E330"/>
      <c r="H330" s="244"/>
      <c r="I330"/>
      <c r="J330" s="4"/>
      <c r="K330" s="6"/>
      <c r="O330" s="244"/>
      <c r="R330" s="251"/>
      <c r="AG330" s="244"/>
    </row>
    <row r="331" spans="1:33" hidden="1">
      <c r="A331" s="358">
        <f>(A326+1)</f>
        <v>167</v>
      </c>
      <c r="B331" s="244" t="s">
        <v>2301</v>
      </c>
      <c r="C331" s="8">
        <v>46.42</v>
      </c>
      <c r="D331" s="1" t="s">
        <v>1854</v>
      </c>
      <c r="E331"/>
      <c r="F331" s="360">
        <v>9</v>
      </c>
      <c r="G331" s="250" t="s">
        <v>2338</v>
      </c>
      <c r="H331" s="244" t="s">
        <v>3281</v>
      </c>
      <c r="I331"/>
      <c r="J331" s="4"/>
      <c r="K331" s="34"/>
      <c r="R331" s="248" t="s">
        <v>2130</v>
      </c>
      <c r="AG331" s="244" t="s">
        <v>2346</v>
      </c>
    </row>
    <row r="332" spans="1:33" hidden="1">
      <c r="A332" s="358">
        <f t="shared" ref="A332:A363" si="17">(A331+1)</f>
        <v>168</v>
      </c>
      <c r="B332" s="244" t="s">
        <v>2264</v>
      </c>
      <c r="C332"/>
      <c r="D332"/>
      <c r="E332"/>
      <c r="H332" s="251" t="str">
        <f>H308</f>
        <v>Bricks of size 22x11x7 cm</v>
      </c>
      <c r="I332"/>
      <c r="J332" s="4"/>
      <c r="K332" s="34"/>
      <c r="AG332" s="244" t="s">
        <v>2346</v>
      </c>
    </row>
    <row r="333" spans="1:33" hidden="1">
      <c r="A333" s="358">
        <f t="shared" si="17"/>
        <v>169</v>
      </c>
      <c r="B333" s="244" t="s">
        <v>237</v>
      </c>
      <c r="C333" s="8">
        <v>8.58</v>
      </c>
      <c r="D333" s="1" t="s">
        <v>781</v>
      </c>
      <c r="E333"/>
      <c r="H333" s="248" t="s">
        <v>1667</v>
      </c>
      <c r="I333"/>
      <c r="J333" s="4"/>
      <c r="K333" s="34"/>
      <c r="N333" s="244" t="s">
        <v>2338</v>
      </c>
      <c r="O333" s="244" t="s">
        <v>2265</v>
      </c>
      <c r="AG333" s="244" t="s">
        <v>2346</v>
      </c>
    </row>
    <row r="334" spans="1:33" hidden="1">
      <c r="A334" s="358">
        <f t="shared" si="17"/>
        <v>170</v>
      </c>
      <c r="B334" s="244" t="s">
        <v>238</v>
      </c>
      <c r="C334" s="8">
        <v>12.26</v>
      </c>
      <c r="D334" s="1" t="s">
        <v>781</v>
      </c>
      <c r="E334"/>
      <c r="F334" s="251">
        <f>F310</f>
        <v>4800</v>
      </c>
      <c r="G334" s="250" t="s">
        <v>1485</v>
      </c>
      <c r="H334" s="251" t="str">
        <f>H308</f>
        <v>Bricks of size 22x11x7 cm</v>
      </c>
      <c r="I334" s="8" t="e">
        <f>C80</f>
        <v>#REF!</v>
      </c>
      <c r="J334" s="2" t="s">
        <v>1675</v>
      </c>
      <c r="K334" s="6" t="e">
        <f>(F334*I334)/1000</f>
        <v>#REF!</v>
      </c>
      <c r="O334" s="248" t="s">
        <v>1667</v>
      </c>
      <c r="AG334" s="244" t="s">
        <v>2346</v>
      </c>
    </row>
    <row r="335" spans="1:33" hidden="1">
      <c r="A335" s="358">
        <f t="shared" si="17"/>
        <v>171</v>
      </c>
      <c r="B335" s="244" t="s">
        <v>239</v>
      </c>
      <c r="C335" s="8">
        <v>13.89</v>
      </c>
      <c r="D335" s="1" t="s">
        <v>781</v>
      </c>
      <c r="E335"/>
      <c r="F335" s="251">
        <f>F311</f>
        <v>2.5</v>
      </c>
      <c r="G335" s="250" t="s">
        <v>884</v>
      </c>
      <c r="H335" s="244" t="s">
        <v>1716</v>
      </c>
      <c r="I335" s="8" t="e">
        <f>K58</f>
        <v>#REF!</v>
      </c>
      <c r="J335" s="2" t="s">
        <v>884</v>
      </c>
      <c r="K335" s="6" t="e">
        <f>(F335*I335)</f>
        <v>#REF!</v>
      </c>
      <c r="M335" s="251">
        <v>0.22</v>
      </c>
      <c r="N335" s="244" t="s">
        <v>884</v>
      </c>
      <c r="O335" s="244" t="s">
        <v>1710</v>
      </c>
      <c r="P335" s="251" t="e">
        <f>(K49)</f>
        <v>#REF!</v>
      </c>
      <c r="Q335" s="244" t="s">
        <v>884</v>
      </c>
      <c r="R335" s="251" t="e">
        <f>(M335*P335)</f>
        <v>#REF!</v>
      </c>
      <c r="AG335" s="244" t="s">
        <v>2346</v>
      </c>
    </row>
    <row r="336" spans="1:33" hidden="1">
      <c r="A336" s="358">
        <f t="shared" si="17"/>
        <v>172</v>
      </c>
      <c r="B336" s="244" t="s">
        <v>2301</v>
      </c>
      <c r="C336" s="8">
        <v>36.25</v>
      </c>
      <c r="D336" s="1" t="s">
        <v>781</v>
      </c>
      <c r="E336"/>
      <c r="F336" s="251">
        <v>3.5</v>
      </c>
      <c r="G336" s="250" t="s">
        <v>883</v>
      </c>
      <c r="H336" s="244" t="s">
        <v>2082</v>
      </c>
      <c r="I336" s="8">
        <f>C10</f>
        <v>150</v>
      </c>
      <c r="J336" s="2" t="s">
        <v>883</v>
      </c>
      <c r="K336" s="6">
        <f>(F336*I336)</f>
        <v>525</v>
      </c>
      <c r="M336" s="251">
        <v>2.2000000000000002</v>
      </c>
      <c r="N336" s="244" t="s">
        <v>883</v>
      </c>
      <c r="O336" s="244" t="s">
        <v>2082</v>
      </c>
      <c r="P336" s="251">
        <f>(C10)</f>
        <v>150</v>
      </c>
      <c r="Q336" s="244" t="s">
        <v>883</v>
      </c>
      <c r="R336" s="251">
        <f>(M336*P336)</f>
        <v>330</v>
      </c>
      <c r="AG336" s="244" t="s">
        <v>2346</v>
      </c>
    </row>
    <row r="337" spans="1:33" hidden="1">
      <c r="A337" s="358">
        <f t="shared" si="17"/>
        <v>173</v>
      </c>
      <c r="B337" s="244" t="s">
        <v>2266</v>
      </c>
      <c r="C337"/>
      <c r="D337"/>
      <c r="E337"/>
      <c r="F337" s="251">
        <v>10.6</v>
      </c>
      <c r="G337" s="250" t="s">
        <v>883</v>
      </c>
      <c r="H337" s="244" t="s">
        <v>1791</v>
      </c>
      <c r="I337" s="8">
        <f>C11</f>
        <v>135</v>
      </c>
      <c r="J337" s="2" t="s">
        <v>883</v>
      </c>
      <c r="K337" s="6">
        <f>(F337*I337)</f>
        <v>1431</v>
      </c>
      <c r="M337" s="251">
        <v>0.5</v>
      </c>
      <c r="N337" s="244" t="s">
        <v>883</v>
      </c>
      <c r="O337" s="244" t="s">
        <v>1979</v>
      </c>
      <c r="P337" s="251">
        <f>(C12)</f>
        <v>95</v>
      </c>
      <c r="Q337" s="244" t="s">
        <v>883</v>
      </c>
      <c r="R337" s="251">
        <f>(M337*P337)</f>
        <v>47.5</v>
      </c>
      <c r="AG337" s="244" t="s">
        <v>2346</v>
      </c>
    </row>
    <row r="338" spans="1:33" hidden="1">
      <c r="A338" s="358">
        <f t="shared" si="17"/>
        <v>174</v>
      </c>
      <c r="B338" s="244" t="s">
        <v>237</v>
      </c>
      <c r="C338" s="8">
        <v>15.7</v>
      </c>
      <c r="D338" s="1" t="s">
        <v>781</v>
      </c>
      <c r="E338"/>
      <c r="F338" s="251">
        <v>7.1</v>
      </c>
      <c r="G338" s="250" t="s">
        <v>883</v>
      </c>
      <c r="H338" s="244" t="s">
        <v>1979</v>
      </c>
      <c r="I338" s="8">
        <f>C12</f>
        <v>95</v>
      </c>
      <c r="J338" s="2" t="s">
        <v>883</v>
      </c>
      <c r="K338" s="6">
        <f>(F338*I338)</f>
        <v>674.5</v>
      </c>
      <c r="M338" s="251">
        <v>3.2</v>
      </c>
      <c r="N338" s="244" t="s">
        <v>883</v>
      </c>
      <c r="O338" s="244" t="s">
        <v>324</v>
      </c>
      <c r="P338" s="251">
        <f>(C13)</f>
        <v>85</v>
      </c>
      <c r="Q338" s="244" t="s">
        <v>883</v>
      </c>
      <c r="R338" s="251">
        <f>(M338*P338)</f>
        <v>272</v>
      </c>
      <c r="AG338" s="244" t="s">
        <v>2346</v>
      </c>
    </row>
    <row r="339" spans="1:33" hidden="1">
      <c r="A339" s="358">
        <f t="shared" si="17"/>
        <v>175</v>
      </c>
      <c r="B339" s="244" t="s">
        <v>238</v>
      </c>
      <c r="C339" s="8">
        <v>22.31</v>
      </c>
      <c r="D339" s="1" t="s">
        <v>781</v>
      </c>
      <c r="E339"/>
      <c r="F339" s="251">
        <v>21.2</v>
      </c>
      <c r="G339" s="250" t="s">
        <v>883</v>
      </c>
      <c r="H339" s="244" t="s">
        <v>324</v>
      </c>
      <c r="I339" s="8">
        <f>C13</f>
        <v>85</v>
      </c>
      <c r="J339" s="2" t="s">
        <v>883</v>
      </c>
      <c r="K339" s="6">
        <f>(F339*I339)</f>
        <v>1802</v>
      </c>
      <c r="N339" s="244" t="s">
        <v>448</v>
      </c>
      <c r="O339" s="244" t="s">
        <v>449</v>
      </c>
      <c r="P339" s="244" t="s">
        <v>995</v>
      </c>
      <c r="Q339" s="244" t="s">
        <v>448</v>
      </c>
      <c r="R339" s="251">
        <v>0</v>
      </c>
      <c r="AG339" s="244" t="s">
        <v>2346</v>
      </c>
    </row>
    <row r="340" spans="1:33" hidden="1">
      <c r="A340" s="358">
        <f t="shared" si="17"/>
        <v>176</v>
      </c>
      <c r="B340" s="244" t="s">
        <v>239</v>
      </c>
      <c r="C340" s="8">
        <v>25.24</v>
      </c>
      <c r="D340" s="1" t="s">
        <v>781</v>
      </c>
      <c r="E340"/>
      <c r="G340" s="250" t="s">
        <v>448</v>
      </c>
      <c r="H340" s="244" t="s">
        <v>449</v>
      </c>
      <c r="I340"/>
      <c r="J340" s="2" t="s">
        <v>448</v>
      </c>
      <c r="K340" s="6">
        <v>0</v>
      </c>
      <c r="R340" s="248" t="s">
        <v>1667</v>
      </c>
      <c r="AG340" s="244" t="s">
        <v>2346</v>
      </c>
    </row>
    <row r="341" spans="1:33" hidden="1">
      <c r="A341" s="358">
        <f t="shared" si="17"/>
        <v>177</v>
      </c>
      <c r="B341" s="244" t="s">
        <v>2301</v>
      </c>
      <c r="C341" s="8">
        <v>52.34</v>
      </c>
      <c r="D341" s="1" t="s">
        <v>781</v>
      </c>
      <c r="E341"/>
      <c r="I341"/>
      <c r="J341" s="4"/>
      <c r="K341" s="6" t="s">
        <v>1667</v>
      </c>
      <c r="O341" s="244" t="s">
        <v>440</v>
      </c>
      <c r="R341" s="251" t="e">
        <f>SUM(R335:R339)</f>
        <v>#REF!</v>
      </c>
      <c r="AG341" s="244" t="s">
        <v>2346</v>
      </c>
    </row>
    <row r="342" spans="1:33" hidden="1">
      <c r="A342" s="358">
        <f t="shared" si="17"/>
        <v>178</v>
      </c>
      <c r="B342" s="244" t="s">
        <v>1073</v>
      </c>
      <c r="C342"/>
      <c r="D342"/>
      <c r="E342"/>
      <c r="H342" s="244" t="s">
        <v>618</v>
      </c>
      <c r="I342"/>
      <c r="J342" s="4"/>
      <c r="K342" s="6" t="e">
        <f>SUM(K334:K340)</f>
        <v>#REF!</v>
      </c>
      <c r="R342" s="248" t="s">
        <v>1667</v>
      </c>
      <c r="AG342" s="244" t="s">
        <v>2346</v>
      </c>
    </row>
    <row r="343" spans="1:33" hidden="1">
      <c r="A343" s="358">
        <f t="shared" si="17"/>
        <v>179</v>
      </c>
      <c r="B343" s="244" t="s">
        <v>237</v>
      </c>
      <c r="C343" s="8">
        <v>13.73</v>
      </c>
      <c r="D343" s="1" t="s">
        <v>781</v>
      </c>
      <c r="E343"/>
      <c r="I343"/>
      <c r="J343" s="4"/>
      <c r="K343" s="6" t="s">
        <v>1667</v>
      </c>
      <c r="O343" s="244" t="s">
        <v>555</v>
      </c>
      <c r="R343" s="251" t="e">
        <f>(R341/10)</f>
        <v>#REF!</v>
      </c>
      <c r="AG343" s="244" t="s">
        <v>2346</v>
      </c>
    </row>
    <row r="344" spans="1:33" hidden="1">
      <c r="A344" s="358">
        <f t="shared" si="17"/>
        <v>180</v>
      </c>
      <c r="B344" s="244" t="s">
        <v>238</v>
      </c>
      <c r="C344" s="8">
        <v>20.16</v>
      </c>
      <c r="D344" s="1" t="s">
        <v>781</v>
      </c>
      <c r="E344"/>
      <c r="H344" s="244" t="s">
        <v>785</v>
      </c>
      <c r="I344"/>
      <c r="J344" s="4"/>
      <c r="K344" s="6" t="e">
        <f>(K342/10)</f>
        <v>#REF!</v>
      </c>
      <c r="R344" s="248" t="s">
        <v>2130</v>
      </c>
      <c r="AG344" s="244" t="s">
        <v>2346</v>
      </c>
    </row>
    <row r="345" spans="1:33" hidden="1">
      <c r="A345" s="358">
        <f t="shared" si="17"/>
        <v>181</v>
      </c>
      <c r="B345" s="244" t="s">
        <v>239</v>
      </c>
      <c r="C345" s="8">
        <v>22.73</v>
      </c>
      <c r="D345" s="1" t="s">
        <v>781</v>
      </c>
      <c r="E345"/>
      <c r="I345"/>
      <c r="J345" s="4"/>
      <c r="K345" s="6" t="s">
        <v>2130</v>
      </c>
      <c r="N345" s="244" t="s">
        <v>2338</v>
      </c>
      <c r="O345" s="244" t="s">
        <v>1074</v>
      </c>
      <c r="AG345" s="244" t="s">
        <v>2346</v>
      </c>
    </row>
    <row r="346" spans="1:33" hidden="1">
      <c r="A346" s="358">
        <f t="shared" si="17"/>
        <v>182</v>
      </c>
      <c r="B346" s="244" t="s">
        <v>2301</v>
      </c>
      <c r="C346" s="8">
        <v>46.98</v>
      </c>
      <c r="D346" s="1" t="s">
        <v>995</v>
      </c>
      <c r="E346"/>
      <c r="H346" s="244" t="s">
        <v>388</v>
      </c>
      <c r="I346"/>
      <c r="J346" s="4"/>
      <c r="K346" s="6" t="e">
        <f>(K344+C19)</f>
        <v>#REF!</v>
      </c>
      <c r="O346" s="248" t="s">
        <v>1667</v>
      </c>
      <c r="AG346" s="244" t="s">
        <v>2346</v>
      </c>
    </row>
    <row r="347" spans="1:33" hidden="1">
      <c r="A347" s="358">
        <f t="shared" si="17"/>
        <v>183</v>
      </c>
      <c r="B347" s="244" t="s">
        <v>1075</v>
      </c>
      <c r="C347"/>
      <c r="D347"/>
      <c r="E347"/>
      <c r="H347" s="244" t="s">
        <v>390</v>
      </c>
      <c r="I347"/>
      <c r="J347" s="4"/>
      <c r="K347" s="6" t="e">
        <f>(K346+C20)</f>
        <v>#REF!</v>
      </c>
      <c r="M347" s="251">
        <v>0.22</v>
      </c>
      <c r="N347" s="244" t="s">
        <v>884</v>
      </c>
      <c r="O347" s="244" t="s">
        <v>1414</v>
      </c>
      <c r="P347" s="251" t="e">
        <f>(K32)</f>
        <v>#REF!</v>
      </c>
      <c r="Q347" s="244" t="s">
        <v>884</v>
      </c>
      <c r="R347" s="251" t="e">
        <f>(M347*P347)</f>
        <v>#REF!</v>
      </c>
      <c r="AG347" s="244" t="s">
        <v>2346</v>
      </c>
    </row>
    <row r="348" spans="1:33" hidden="1">
      <c r="A348" s="358">
        <f t="shared" si="17"/>
        <v>184</v>
      </c>
      <c r="B348" s="244" t="s">
        <v>237</v>
      </c>
      <c r="C348" s="8">
        <v>19.3</v>
      </c>
      <c r="D348" s="1" t="s">
        <v>781</v>
      </c>
      <c r="E348"/>
      <c r="H348" s="244" t="s">
        <v>2319</v>
      </c>
      <c r="I348"/>
      <c r="J348" s="4"/>
      <c r="K348" s="6" t="e">
        <f>(K347+C21)</f>
        <v>#REF!</v>
      </c>
      <c r="M348" s="251">
        <v>2.2000000000000002</v>
      </c>
      <c r="N348" s="244" t="s">
        <v>883</v>
      </c>
      <c r="O348" s="244" t="s">
        <v>2082</v>
      </c>
      <c r="P348" s="251">
        <f>(C10)</f>
        <v>150</v>
      </c>
      <c r="Q348" s="244" t="s">
        <v>883</v>
      </c>
      <c r="R348" s="251">
        <f>(M348*P348)</f>
        <v>330</v>
      </c>
      <c r="AG348" s="244" t="s">
        <v>2346</v>
      </c>
    </row>
    <row r="349" spans="1:33" hidden="1">
      <c r="A349" s="358">
        <f t="shared" si="17"/>
        <v>185</v>
      </c>
      <c r="B349" s="244" t="s">
        <v>239</v>
      </c>
      <c r="C349" s="8">
        <v>33.46</v>
      </c>
      <c r="D349" s="1" t="s">
        <v>781</v>
      </c>
      <c r="E349"/>
      <c r="H349" s="244" t="s">
        <v>382</v>
      </c>
      <c r="I349"/>
      <c r="J349" s="4"/>
      <c r="K349" s="6" t="e">
        <f>(K348+C21)</f>
        <v>#REF!</v>
      </c>
      <c r="M349" s="251">
        <v>0.5</v>
      </c>
      <c r="N349" s="244" t="s">
        <v>883</v>
      </c>
      <c r="O349" s="244" t="s">
        <v>1979</v>
      </c>
      <c r="P349" s="251">
        <f>(C12)</f>
        <v>95</v>
      </c>
      <c r="Q349" s="244" t="s">
        <v>883</v>
      </c>
      <c r="R349" s="251">
        <f>(M349*P349)</f>
        <v>47.5</v>
      </c>
      <c r="AG349" s="244" t="s">
        <v>2346</v>
      </c>
    </row>
    <row r="350" spans="1:33" hidden="1">
      <c r="A350" s="358">
        <f t="shared" si="17"/>
        <v>186</v>
      </c>
      <c r="B350" s="244" t="s">
        <v>2301</v>
      </c>
      <c r="C350" s="8">
        <v>53.62</v>
      </c>
      <c r="D350" s="1" t="s">
        <v>781</v>
      </c>
      <c r="E350"/>
      <c r="F350" s="244" t="s">
        <v>995</v>
      </c>
      <c r="H350" s="244" t="s">
        <v>485</v>
      </c>
      <c r="I350"/>
      <c r="J350" s="4"/>
      <c r="K350" s="6" t="e">
        <f>(K349+C21)</f>
        <v>#REF!</v>
      </c>
      <c r="M350" s="251">
        <v>3.2</v>
      </c>
      <c r="N350" s="244" t="s">
        <v>883</v>
      </c>
      <c r="O350" s="244" t="s">
        <v>324</v>
      </c>
      <c r="P350" s="251">
        <f>(C13)</f>
        <v>85</v>
      </c>
      <c r="Q350" s="244" t="s">
        <v>883</v>
      </c>
      <c r="R350" s="251">
        <f>(M350*P350)</f>
        <v>272</v>
      </c>
      <c r="AG350" s="244" t="s">
        <v>2346</v>
      </c>
    </row>
    <row r="351" spans="1:33" hidden="1">
      <c r="A351" s="358">
        <f t="shared" si="17"/>
        <v>187</v>
      </c>
      <c r="B351" s="244" t="s">
        <v>131</v>
      </c>
      <c r="C351"/>
      <c r="D351"/>
      <c r="E351"/>
      <c r="F351" s="360">
        <v>27</v>
      </c>
      <c r="G351" s="250" t="s">
        <v>2338</v>
      </c>
      <c r="H351" s="244" t="s">
        <v>3282</v>
      </c>
      <c r="I351"/>
      <c r="J351" s="4"/>
      <c r="K351" s="34"/>
      <c r="N351" s="244" t="s">
        <v>448</v>
      </c>
      <c r="O351" s="244" t="s">
        <v>449</v>
      </c>
      <c r="P351" s="244" t="s">
        <v>995</v>
      </c>
      <c r="Q351" s="244" t="s">
        <v>448</v>
      </c>
      <c r="R351" s="251">
        <v>0</v>
      </c>
      <c r="AG351" s="244" t="s">
        <v>2346</v>
      </c>
    </row>
    <row r="352" spans="1:33" hidden="1">
      <c r="A352" s="358">
        <f t="shared" si="17"/>
        <v>188</v>
      </c>
      <c r="B352" s="244" t="s">
        <v>237</v>
      </c>
      <c r="C352" s="8">
        <v>13.73</v>
      </c>
      <c r="D352" s="1" t="s">
        <v>781</v>
      </c>
      <c r="E352"/>
      <c r="H352" s="251" t="str">
        <f>H308</f>
        <v>Bricks of size 22x11x7 cm</v>
      </c>
      <c r="I352"/>
      <c r="J352" s="4"/>
      <c r="K352" s="34"/>
      <c r="R352" s="248" t="s">
        <v>1667</v>
      </c>
      <c r="AG352" s="244" t="s">
        <v>2346</v>
      </c>
    </row>
    <row r="353" spans="1:33" hidden="1">
      <c r="A353" s="358">
        <f t="shared" si="17"/>
        <v>189</v>
      </c>
      <c r="B353" s="244" t="s">
        <v>238</v>
      </c>
      <c r="C353" s="8">
        <v>20.16</v>
      </c>
      <c r="D353" s="1" t="s">
        <v>781</v>
      </c>
      <c r="E353"/>
      <c r="H353" s="248" t="s">
        <v>1667</v>
      </c>
      <c r="I353"/>
      <c r="J353" s="4"/>
      <c r="K353" s="34"/>
      <c r="O353" s="244" t="s">
        <v>440</v>
      </c>
      <c r="R353" s="251" t="e">
        <f>SUM(R347:R351)</f>
        <v>#REF!</v>
      </c>
      <c r="AG353" s="244" t="s">
        <v>2346</v>
      </c>
    </row>
    <row r="354" spans="1:33" hidden="1">
      <c r="A354" s="358">
        <f t="shared" si="17"/>
        <v>190</v>
      </c>
      <c r="B354" s="244" t="s">
        <v>239</v>
      </c>
      <c r="C354" s="8">
        <v>22.73</v>
      </c>
      <c r="D354" s="1" t="s">
        <v>781</v>
      </c>
      <c r="E354"/>
      <c r="F354" s="251">
        <f>F310</f>
        <v>4800</v>
      </c>
      <c r="G354" s="250" t="s">
        <v>1485</v>
      </c>
      <c r="H354" s="251" t="str">
        <f>H308</f>
        <v>Bricks of size 22x11x7 cm</v>
      </c>
      <c r="I354" s="8" t="e">
        <f>C80</f>
        <v>#REF!</v>
      </c>
      <c r="J354" s="2" t="s">
        <v>1675</v>
      </c>
      <c r="K354" s="6" t="e">
        <f>(F354*I354)/1000</f>
        <v>#REF!</v>
      </c>
      <c r="R354" s="248" t="s">
        <v>1667</v>
      </c>
      <c r="AG354" s="244" t="s">
        <v>2346</v>
      </c>
    </row>
    <row r="355" spans="1:33" hidden="1">
      <c r="A355" s="358">
        <f t="shared" si="17"/>
        <v>191</v>
      </c>
      <c r="B355" s="244" t="s">
        <v>2301</v>
      </c>
      <c r="C355" s="8">
        <v>46.98</v>
      </c>
      <c r="D355" s="1" t="s">
        <v>781</v>
      </c>
      <c r="E355"/>
      <c r="F355" s="251">
        <f>F311</f>
        <v>2.5</v>
      </c>
      <c r="G355" s="250" t="s">
        <v>884</v>
      </c>
      <c r="H355" s="244" t="s">
        <v>1364</v>
      </c>
      <c r="I355" s="8" t="e">
        <f>K40</f>
        <v>#REF!</v>
      </c>
      <c r="J355" s="2" t="s">
        <v>884</v>
      </c>
      <c r="K355" s="6" t="e">
        <f>(F355*I355)</f>
        <v>#REF!</v>
      </c>
      <c r="O355" s="244" t="s">
        <v>555</v>
      </c>
      <c r="R355" s="251" t="e">
        <f>(R353/10)</f>
        <v>#REF!</v>
      </c>
      <c r="AG355" s="244" t="s">
        <v>2346</v>
      </c>
    </row>
    <row r="356" spans="1:33" hidden="1">
      <c r="A356" s="358">
        <f t="shared" si="17"/>
        <v>192</v>
      </c>
      <c r="B356" s="244" t="s">
        <v>826</v>
      </c>
      <c r="C356"/>
      <c r="D356"/>
      <c r="E356"/>
      <c r="F356" s="251">
        <v>3.5</v>
      </c>
      <c r="G356" s="250" t="s">
        <v>883</v>
      </c>
      <c r="H356" s="244" t="s">
        <v>2082</v>
      </c>
      <c r="I356" s="8">
        <f>(C10)</f>
        <v>150</v>
      </c>
      <c r="J356" s="2" t="s">
        <v>883</v>
      </c>
      <c r="K356" s="6">
        <f>(F356*I356)</f>
        <v>525</v>
      </c>
      <c r="R356" s="248" t="s">
        <v>2130</v>
      </c>
      <c r="AG356" s="244" t="s">
        <v>2346</v>
      </c>
    </row>
    <row r="357" spans="1:33" hidden="1">
      <c r="A357" s="358">
        <f t="shared" si="17"/>
        <v>193</v>
      </c>
      <c r="B357" s="244" t="s">
        <v>237</v>
      </c>
      <c r="C357" s="8">
        <v>19.3</v>
      </c>
      <c r="D357" s="1" t="s">
        <v>781</v>
      </c>
      <c r="E357"/>
      <c r="F357" s="251">
        <v>10.6</v>
      </c>
      <c r="G357" s="250" t="s">
        <v>883</v>
      </c>
      <c r="H357" s="244" t="s">
        <v>1791</v>
      </c>
      <c r="I357" s="8">
        <f>(C11)</f>
        <v>135</v>
      </c>
      <c r="J357" s="2" t="s">
        <v>883</v>
      </c>
      <c r="K357" s="6">
        <f>(F357*I357)</f>
        <v>1431</v>
      </c>
      <c r="N357" s="244" t="s">
        <v>2338</v>
      </c>
      <c r="O357" s="244" t="s">
        <v>827</v>
      </c>
      <c r="AG357" s="244" t="s">
        <v>2346</v>
      </c>
    </row>
    <row r="358" spans="1:33" hidden="1">
      <c r="A358" s="358">
        <f t="shared" si="17"/>
        <v>194</v>
      </c>
      <c r="B358" s="244" t="s">
        <v>238</v>
      </c>
      <c r="C358" s="8">
        <v>25.74</v>
      </c>
      <c r="D358" s="1" t="s">
        <v>781</v>
      </c>
      <c r="E358"/>
      <c r="F358" s="251">
        <v>7.1</v>
      </c>
      <c r="G358" s="250" t="s">
        <v>883</v>
      </c>
      <c r="H358" s="244" t="s">
        <v>1979</v>
      </c>
      <c r="I358" s="8">
        <f>(C12)</f>
        <v>95</v>
      </c>
      <c r="J358" s="2" t="s">
        <v>883</v>
      </c>
      <c r="K358" s="6">
        <f>(F358*I358)</f>
        <v>674.5</v>
      </c>
      <c r="O358" s="244" t="s">
        <v>828</v>
      </c>
      <c r="AG358" s="244" t="s">
        <v>2346</v>
      </c>
    </row>
    <row r="359" spans="1:33" hidden="1">
      <c r="A359" s="358">
        <f t="shared" si="17"/>
        <v>195</v>
      </c>
      <c r="B359" s="244" t="s">
        <v>239</v>
      </c>
      <c r="C359" s="8">
        <v>33.46</v>
      </c>
      <c r="D359" s="1" t="s">
        <v>781</v>
      </c>
      <c r="E359"/>
      <c r="F359" s="251">
        <v>21.2</v>
      </c>
      <c r="G359" s="250" t="s">
        <v>883</v>
      </c>
      <c r="H359" s="244" t="s">
        <v>324</v>
      </c>
      <c r="I359" s="8">
        <f>(C13)</f>
        <v>85</v>
      </c>
      <c r="J359" s="2" t="s">
        <v>883</v>
      </c>
      <c r="K359" s="6">
        <f>(F359*I359)</f>
        <v>1802</v>
      </c>
      <c r="O359" s="244" t="s">
        <v>829</v>
      </c>
      <c r="AG359" s="244" t="s">
        <v>2346</v>
      </c>
    </row>
    <row r="360" spans="1:33" hidden="1">
      <c r="A360" s="358">
        <f t="shared" si="17"/>
        <v>196</v>
      </c>
      <c r="B360" s="244" t="s">
        <v>2301</v>
      </c>
      <c r="C360" s="8">
        <v>53.62</v>
      </c>
      <c r="D360" s="1" t="s">
        <v>995</v>
      </c>
      <c r="E360"/>
      <c r="G360" s="250" t="s">
        <v>448</v>
      </c>
      <c r="H360" s="244" t="s">
        <v>449</v>
      </c>
      <c r="I360"/>
      <c r="J360" s="2" t="s">
        <v>448</v>
      </c>
      <c r="K360" s="6">
        <v>0</v>
      </c>
      <c r="O360" s="248" t="s">
        <v>1667</v>
      </c>
      <c r="AG360" s="244" t="s">
        <v>2346</v>
      </c>
    </row>
    <row r="361" spans="1:33" hidden="1">
      <c r="A361" s="358">
        <f t="shared" si="17"/>
        <v>197</v>
      </c>
      <c r="B361" s="244" t="s">
        <v>989</v>
      </c>
      <c r="C361"/>
      <c r="D361"/>
      <c r="E361"/>
      <c r="I361"/>
      <c r="J361" s="4"/>
      <c r="K361" s="6" t="s">
        <v>1667</v>
      </c>
      <c r="M361" s="251">
        <v>0.22</v>
      </c>
      <c r="N361" s="244" t="s">
        <v>884</v>
      </c>
      <c r="O361" s="244" t="s">
        <v>1364</v>
      </c>
      <c r="P361" s="251" t="e">
        <f>(K40)</f>
        <v>#REF!</v>
      </c>
      <c r="Q361" s="244" t="s">
        <v>884</v>
      </c>
      <c r="R361" s="251" t="e">
        <f t="shared" ref="R361:R366" si="18">(M361*P361)</f>
        <v>#REF!</v>
      </c>
      <c r="AG361" s="244" t="s">
        <v>2346</v>
      </c>
    </row>
    <row r="362" spans="1:33" hidden="1">
      <c r="A362" s="358">
        <f t="shared" si="17"/>
        <v>198</v>
      </c>
      <c r="B362" s="244" t="s">
        <v>237</v>
      </c>
      <c r="C362" s="8">
        <v>26.16</v>
      </c>
      <c r="D362" s="1" t="s">
        <v>781</v>
      </c>
      <c r="E362"/>
      <c r="H362" s="244" t="s">
        <v>618</v>
      </c>
      <c r="I362"/>
      <c r="J362" s="4"/>
      <c r="K362" s="6" t="e">
        <f>SUM(K354:K360)</f>
        <v>#REF!</v>
      </c>
      <c r="M362" s="251">
        <v>2.2000000000000002</v>
      </c>
      <c r="N362" s="244" t="s">
        <v>883</v>
      </c>
      <c r="O362" s="244" t="s">
        <v>2082</v>
      </c>
      <c r="P362" s="251">
        <f>(C10)</f>
        <v>150</v>
      </c>
      <c r="Q362" s="244" t="s">
        <v>883</v>
      </c>
      <c r="R362" s="251">
        <f t="shared" si="18"/>
        <v>330</v>
      </c>
      <c r="AG362" s="244" t="s">
        <v>2346</v>
      </c>
    </row>
    <row r="363" spans="1:33" hidden="1">
      <c r="A363" s="358">
        <f t="shared" si="17"/>
        <v>199</v>
      </c>
      <c r="B363" s="244" t="s">
        <v>238</v>
      </c>
      <c r="C363" s="8">
        <v>34.32</v>
      </c>
      <c r="D363" s="1" t="s">
        <v>781</v>
      </c>
      <c r="E363"/>
      <c r="I363"/>
      <c r="J363" s="4"/>
      <c r="K363" s="6" t="s">
        <v>1667</v>
      </c>
      <c r="M363" s="251">
        <v>0.5</v>
      </c>
      <c r="N363" s="244" t="s">
        <v>883</v>
      </c>
      <c r="O363" s="244" t="s">
        <v>1979</v>
      </c>
      <c r="P363" s="251">
        <f>(C12)</f>
        <v>95</v>
      </c>
      <c r="Q363" s="244" t="s">
        <v>883</v>
      </c>
      <c r="R363" s="251">
        <f t="shared" si="18"/>
        <v>47.5</v>
      </c>
      <c r="AG363" s="244" t="s">
        <v>2346</v>
      </c>
    </row>
    <row r="364" spans="1:33" hidden="1">
      <c r="A364" s="358">
        <f t="shared" ref="A364:A395" si="19">(A363+1)</f>
        <v>200</v>
      </c>
      <c r="B364" s="244" t="s">
        <v>239</v>
      </c>
      <c r="C364" s="8">
        <v>40.33</v>
      </c>
      <c r="D364" s="1" t="s">
        <v>781</v>
      </c>
      <c r="E364"/>
      <c r="H364" s="244" t="s">
        <v>785</v>
      </c>
      <c r="I364"/>
      <c r="J364" s="4"/>
      <c r="K364" s="6" t="e">
        <f>(K362/10)</f>
        <v>#REF!</v>
      </c>
      <c r="M364" s="251">
        <v>1.1000000000000001</v>
      </c>
      <c r="N364" s="244" t="s">
        <v>990</v>
      </c>
      <c r="O364" s="244" t="s">
        <v>991</v>
      </c>
      <c r="P364" s="251">
        <f>(C10)</f>
        <v>150</v>
      </c>
      <c r="Q364" s="244" t="s">
        <v>883</v>
      </c>
      <c r="R364" s="251">
        <f t="shared" si="18"/>
        <v>165</v>
      </c>
      <c r="AG364" s="244" t="s">
        <v>2346</v>
      </c>
    </row>
    <row r="365" spans="1:33" hidden="1">
      <c r="A365" s="358">
        <f t="shared" si="19"/>
        <v>201</v>
      </c>
      <c r="B365" s="244" t="s">
        <v>992</v>
      </c>
      <c r="C365"/>
      <c r="D365" s="1" t="s">
        <v>995</v>
      </c>
      <c r="E365"/>
      <c r="I365"/>
      <c r="J365" s="4"/>
      <c r="K365" s="6" t="s">
        <v>2130</v>
      </c>
      <c r="M365" s="251">
        <v>3.2</v>
      </c>
      <c r="N365" s="244" t="s">
        <v>883</v>
      </c>
      <c r="O365" s="244" t="s">
        <v>324</v>
      </c>
      <c r="P365" s="251">
        <f>(C13)</f>
        <v>85</v>
      </c>
      <c r="Q365" s="244" t="s">
        <v>883</v>
      </c>
      <c r="R365" s="251">
        <f t="shared" si="18"/>
        <v>272</v>
      </c>
      <c r="AG365" s="244" t="s">
        <v>2346</v>
      </c>
    </row>
    <row r="366" spans="1:33" hidden="1">
      <c r="A366" s="358">
        <f t="shared" si="19"/>
        <v>202</v>
      </c>
      <c r="B366" s="244" t="s">
        <v>237</v>
      </c>
      <c r="C366" s="8">
        <v>20.329999999999998</v>
      </c>
      <c r="D366" s="1" t="s">
        <v>781</v>
      </c>
      <c r="E366"/>
      <c r="H366" s="244" t="s">
        <v>388</v>
      </c>
      <c r="I366"/>
      <c r="J366" s="4"/>
      <c r="K366" s="6" t="e">
        <f>(K364+C19)</f>
        <v>#REF!</v>
      </c>
      <c r="M366" s="251">
        <v>9.8000000000000007</v>
      </c>
      <c r="N366" s="244" t="s">
        <v>1730</v>
      </c>
      <c r="O366" s="244" t="s">
        <v>1731</v>
      </c>
      <c r="P366" s="251">
        <f>(C180)</f>
        <v>110</v>
      </c>
      <c r="Q366" s="244" t="s">
        <v>1730</v>
      </c>
      <c r="R366" s="251">
        <f t="shared" si="18"/>
        <v>1078</v>
      </c>
      <c r="AG366" s="244" t="s">
        <v>2346</v>
      </c>
    </row>
    <row r="367" spans="1:33" hidden="1">
      <c r="A367" s="358">
        <f t="shared" si="19"/>
        <v>203</v>
      </c>
      <c r="B367" s="244" t="s">
        <v>238</v>
      </c>
      <c r="C367" s="8">
        <v>26.6</v>
      </c>
      <c r="D367" s="1" t="s">
        <v>781</v>
      </c>
      <c r="E367"/>
      <c r="H367" s="244" t="s">
        <v>390</v>
      </c>
      <c r="I367"/>
      <c r="J367" s="4"/>
      <c r="K367" s="6" t="e">
        <f>(K366+C20)</f>
        <v>#REF!</v>
      </c>
      <c r="N367" s="244" t="s">
        <v>448</v>
      </c>
      <c r="O367" s="244" t="s">
        <v>449</v>
      </c>
      <c r="P367" s="244" t="s">
        <v>995</v>
      </c>
      <c r="Q367" s="244" t="s">
        <v>448</v>
      </c>
      <c r="R367" s="251">
        <v>0</v>
      </c>
      <c r="AG367" s="244" t="s">
        <v>2346</v>
      </c>
    </row>
    <row r="368" spans="1:33" hidden="1">
      <c r="A368" s="358">
        <f t="shared" si="19"/>
        <v>204</v>
      </c>
      <c r="B368" s="244" t="s">
        <v>239</v>
      </c>
      <c r="C368" s="8">
        <v>33.89</v>
      </c>
      <c r="D368" s="1" t="s">
        <v>781</v>
      </c>
      <c r="E368"/>
      <c r="H368" s="244" t="s">
        <v>2319</v>
      </c>
      <c r="I368"/>
      <c r="J368" s="4"/>
      <c r="K368" s="6" t="e">
        <f>(K367+C21)</f>
        <v>#REF!</v>
      </c>
      <c r="R368" s="248" t="s">
        <v>1667</v>
      </c>
      <c r="AG368" s="244" t="s">
        <v>2346</v>
      </c>
    </row>
    <row r="369" spans="1:33" hidden="1">
      <c r="A369" s="358">
        <f t="shared" si="19"/>
        <v>205</v>
      </c>
      <c r="B369" s="244" t="s">
        <v>993</v>
      </c>
      <c r="C369"/>
      <c r="D369"/>
      <c r="E369"/>
      <c r="H369" s="244" t="s">
        <v>382</v>
      </c>
      <c r="I369"/>
      <c r="J369" s="4"/>
      <c r="K369" s="6" t="e">
        <f>(K368+C21)</f>
        <v>#REF!</v>
      </c>
      <c r="O369" s="244" t="s">
        <v>440</v>
      </c>
      <c r="R369" s="251" t="e">
        <f>SUM(R361:R367)</f>
        <v>#REF!</v>
      </c>
      <c r="AG369" s="244" t="s">
        <v>2346</v>
      </c>
    </row>
    <row r="370" spans="1:33" hidden="1">
      <c r="A370" s="358">
        <f t="shared" si="19"/>
        <v>206</v>
      </c>
      <c r="B370" s="244" t="s">
        <v>237</v>
      </c>
      <c r="C370" s="8">
        <v>13.29</v>
      </c>
      <c r="D370" s="1" t="s">
        <v>781</v>
      </c>
      <c r="E370"/>
      <c r="H370" s="244" t="s">
        <v>485</v>
      </c>
      <c r="I370"/>
      <c r="J370" s="4"/>
      <c r="K370" s="6" t="e">
        <f>(K369+C21)</f>
        <v>#REF!</v>
      </c>
      <c r="R370" s="248" t="s">
        <v>1667</v>
      </c>
      <c r="AG370" s="244" t="s">
        <v>2346</v>
      </c>
    </row>
    <row r="371" spans="1:33" hidden="1">
      <c r="A371" s="358">
        <f t="shared" si="19"/>
        <v>207</v>
      </c>
      <c r="B371" s="244" t="s">
        <v>238</v>
      </c>
      <c r="C371" s="8">
        <v>18.02</v>
      </c>
      <c r="D371" s="1" t="s">
        <v>781</v>
      </c>
      <c r="E371"/>
      <c r="H371" s="244" t="s">
        <v>1908</v>
      </c>
      <c r="I371"/>
      <c r="J371" s="4"/>
      <c r="K371" s="6" t="e">
        <f>(K366+K367+K368)/3</f>
        <v>#REF!</v>
      </c>
      <c r="O371" s="244" t="s">
        <v>555</v>
      </c>
      <c r="R371" s="251" t="e">
        <f>(R369/10)</f>
        <v>#REF!</v>
      </c>
      <c r="AG371" s="244" t="s">
        <v>2346</v>
      </c>
    </row>
    <row r="372" spans="1:33" hidden="1">
      <c r="A372" s="358">
        <f t="shared" si="19"/>
        <v>208</v>
      </c>
      <c r="B372" s="244" t="s">
        <v>239</v>
      </c>
      <c r="C372" s="8">
        <v>23.17</v>
      </c>
      <c r="D372" s="1" t="s">
        <v>781</v>
      </c>
      <c r="E372"/>
      <c r="I372"/>
      <c r="J372" s="4"/>
      <c r="K372" s="34"/>
      <c r="R372" s="248" t="s">
        <v>2130</v>
      </c>
      <c r="AG372" s="244" t="s">
        <v>2346</v>
      </c>
    </row>
    <row r="373" spans="1:33" hidden="1">
      <c r="A373" s="358">
        <f t="shared" si="19"/>
        <v>209</v>
      </c>
      <c r="B373" s="244" t="s">
        <v>1909</v>
      </c>
      <c r="C373"/>
      <c r="D373" s="1" t="s">
        <v>995</v>
      </c>
      <c r="E373"/>
      <c r="H373" s="354" t="s">
        <v>1910</v>
      </c>
      <c r="I373"/>
      <c r="J373" s="4"/>
      <c r="K373" s="34"/>
      <c r="N373" s="244" t="s">
        <v>2338</v>
      </c>
      <c r="O373" s="244" t="s">
        <v>1911</v>
      </c>
      <c r="AG373" s="244" t="s">
        <v>2346</v>
      </c>
    </row>
    <row r="374" spans="1:33" hidden="1">
      <c r="A374" s="358">
        <f t="shared" si="19"/>
        <v>210</v>
      </c>
      <c r="B374" s="244" t="s">
        <v>237</v>
      </c>
      <c r="C374" s="8">
        <v>9</v>
      </c>
      <c r="D374" s="1" t="s">
        <v>781</v>
      </c>
      <c r="E374"/>
      <c r="H374" s="248" t="s">
        <v>1667</v>
      </c>
      <c r="I374"/>
      <c r="J374" s="4"/>
      <c r="K374" s="34"/>
      <c r="O374" s="248" t="s">
        <v>1667</v>
      </c>
      <c r="AG374" s="244" t="s">
        <v>2346</v>
      </c>
    </row>
    <row r="375" spans="1:33" hidden="1">
      <c r="A375" s="358">
        <f t="shared" si="19"/>
        <v>211</v>
      </c>
      <c r="B375" s="244" t="s">
        <v>238</v>
      </c>
      <c r="C375" s="8">
        <v>11.58</v>
      </c>
      <c r="D375" s="1" t="s">
        <v>781</v>
      </c>
      <c r="E375"/>
      <c r="F375" s="360">
        <v>10</v>
      </c>
      <c r="G375" s="250" t="s">
        <v>2338</v>
      </c>
      <c r="H375" s="244" t="s">
        <v>3282</v>
      </c>
      <c r="I375"/>
      <c r="J375" s="4"/>
      <c r="K375" s="34"/>
      <c r="M375" s="251">
        <v>0.05</v>
      </c>
      <c r="N375" s="244" t="s">
        <v>884</v>
      </c>
      <c r="O375" s="244" t="s">
        <v>2077</v>
      </c>
      <c r="P375" s="251">
        <f>(C84)</f>
        <v>773</v>
      </c>
      <c r="Q375" s="244" t="s">
        <v>884</v>
      </c>
      <c r="R375" s="251">
        <f>(M375*P375)</f>
        <v>38.65</v>
      </c>
      <c r="AG375" s="244" t="s">
        <v>2346</v>
      </c>
    </row>
    <row r="376" spans="1:33" hidden="1">
      <c r="A376" s="358">
        <f t="shared" si="19"/>
        <v>212</v>
      </c>
      <c r="B376" s="244" t="s">
        <v>239</v>
      </c>
      <c r="C376" s="8">
        <v>14.15</v>
      </c>
      <c r="D376" s="1" t="s">
        <v>781</v>
      </c>
      <c r="E376"/>
      <c r="H376" s="251" t="str">
        <f>H308</f>
        <v>Bricks of size 22x11x7 cm</v>
      </c>
      <c r="I376"/>
      <c r="J376" s="4"/>
      <c r="K376" s="34"/>
      <c r="M376" s="251">
        <v>1.1000000000000001</v>
      </c>
      <c r="N376" s="244" t="s">
        <v>883</v>
      </c>
      <c r="O376" s="244" t="s">
        <v>1791</v>
      </c>
      <c r="P376" s="251">
        <f>(C11)</f>
        <v>135</v>
      </c>
      <c r="Q376" s="244" t="s">
        <v>883</v>
      </c>
      <c r="R376" s="251">
        <f>(M376*P376)</f>
        <v>148.5</v>
      </c>
      <c r="AG376" s="244" t="s">
        <v>2346</v>
      </c>
    </row>
    <row r="377" spans="1:33" hidden="1">
      <c r="A377" s="358">
        <f t="shared" si="19"/>
        <v>213</v>
      </c>
      <c r="B377" s="244" t="s">
        <v>1912</v>
      </c>
      <c r="C377"/>
      <c r="D377"/>
      <c r="E377"/>
      <c r="H377" s="248" t="s">
        <v>1667</v>
      </c>
      <c r="I377"/>
      <c r="J377" s="4"/>
      <c r="K377" s="34"/>
      <c r="M377" s="251">
        <v>0.3</v>
      </c>
      <c r="N377" s="244" t="s">
        <v>883</v>
      </c>
      <c r="O377" s="244" t="s">
        <v>1979</v>
      </c>
      <c r="P377" s="251">
        <f>(C12)</f>
        <v>95</v>
      </c>
      <c r="Q377" s="244" t="s">
        <v>883</v>
      </c>
      <c r="R377" s="251">
        <f>(M377*P377)</f>
        <v>28.5</v>
      </c>
      <c r="AG377" s="244" t="s">
        <v>2346</v>
      </c>
    </row>
    <row r="378" spans="1:33" hidden="1">
      <c r="A378" s="358">
        <f t="shared" si="19"/>
        <v>214</v>
      </c>
      <c r="B378" s="244" t="s">
        <v>237</v>
      </c>
      <c r="C378" s="8">
        <v>4.29</v>
      </c>
      <c r="D378" s="1" t="s">
        <v>781</v>
      </c>
      <c r="E378"/>
      <c r="F378" s="251">
        <f>F310</f>
        <v>4800</v>
      </c>
      <c r="G378" s="250" t="s">
        <v>1485</v>
      </c>
      <c r="H378" s="251" t="str">
        <f>H308</f>
        <v>Bricks of size 22x11x7 cm</v>
      </c>
      <c r="I378" s="8" t="e">
        <f>(C80)</f>
        <v>#REF!</v>
      </c>
      <c r="J378" s="2" t="s">
        <v>1675</v>
      </c>
      <c r="K378" s="6" t="e">
        <f>(F378*I378)/1000</f>
        <v>#REF!</v>
      </c>
      <c r="M378" s="251">
        <v>1.9</v>
      </c>
      <c r="N378" s="244" t="s">
        <v>883</v>
      </c>
      <c r="O378" s="244" t="s">
        <v>324</v>
      </c>
      <c r="P378" s="251">
        <f>(C13)</f>
        <v>85</v>
      </c>
      <c r="Q378" s="244" t="s">
        <v>883</v>
      </c>
      <c r="R378" s="251">
        <f>(M378*P378)</f>
        <v>161.5</v>
      </c>
      <c r="AG378" s="244" t="s">
        <v>2346</v>
      </c>
    </row>
    <row r="379" spans="1:33" hidden="1">
      <c r="A379" s="358">
        <f t="shared" si="19"/>
        <v>215</v>
      </c>
      <c r="B379" s="244" t="s">
        <v>238</v>
      </c>
      <c r="C379" s="8">
        <v>6.01</v>
      </c>
      <c r="D379" s="1" t="s">
        <v>781</v>
      </c>
      <c r="E379"/>
      <c r="F379" s="251">
        <v>1.59</v>
      </c>
      <c r="G379" s="250" t="s">
        <v>884</v>
      </c>
      <c r="H379" s="244" t="s">
        <v>1364</v>
      </c>
      <c r="I379" s="8" t="e">
        <f>(K40)</f>
        <v>#REF!</v>
      </c>
      <c r="J379" s="2" t="s">
        <v>884</v>
      </c>
      <c r="K379" s="6" t="e">
        <f>(F379*I379)</f>
        <v>#REF!</v>
      </c>
      <c r="N379" s="244" t="s">
        <v>448</v>
      </c>
      <c r="O379" s="244" t="s">
        <v>1913</v>
      </c>
      <c r="P379" s="244" t="s">
        <v>995</v>
      </c>
      <c r="Q379" s="244" t="s">
        <v>448</v>
      </c>
      <c r="R379" s="251">
        <v>1.46</v>
      </c>
      <c r="AG379" s="244" t="s">
        <v>2346</v>
      </c>
    </row>
    <row r="380" spans="1:33" hidden="1">
      <c r="A380" s="358">
        <f t="shared" si="19"/>
        <v>216</v>
      </c>
      <c r="B380" s="244" t="s">
        <v>239</v>
      </c>
      <c r="C380" s="8">
        <v>6.86</v>
      </c>
      <c r="D380" s="1" t="s">
        <v>781</v>
      </c>
      <c r="E380"/>
      <c r="F380" s="251">
        <v>7</v>
      </c>
      <c r="G380" s="250" t="s">
        <v>883</v>
      </c>
      <c r="H380" s="244" t="s">
        <v>2082</v>
      </c>
      <c r="I380" s="8">
        <f>(C10)</f>
        <v>150</v>
      </c>
      <c r="J380" s="2" t="s">
        <v>883</v>
      </c>
      <c r="K380" s="6">
        <f>(F380*I380)</f>
        <v>1050</v>
      </c>
      <c r="R380" s="248" t="s">
        <v>1667</v>
      </c>
      <c r="AG380" s="244" t="s">
        <v>2346</v>
      </c>
    </row>
    <row r="381" spans="1:33" hidden="1">
      <c r="A381" s="358">
        <f t="shared" si="19"/>
        <v>217</v>
      </c>
      <c r="B381" s="244" t="s">
        <v>1914</v>
      </c>
      <c r="C381"/>
      <c r="D381" s="1" t="s">
        <v>995</v>
      </c>
      <c r="E381"/>
      <c r="F381" s="251">
        <v>7.1</v>
      </c>
      <c r="G381" s="250" t="s">
        <v>883</v>
      </c>
      <c r="H381" s="244" t="s">
        <v>1791</v>
      </c>
      <c r="I381" s="8">
        <f>(C11)</f>
        <v>135</v>
      </c>
      <c r="J381" s="2" t="s">
        <v>883</v>
      </c>
      <c r="K381" s="6">
        <f>(F381*I381)</f>
        <v>958.5</v>
      </c>
      <c r="O381" s="244" t="s">
        <v>1915</v>
      </c>
      <c r="R381" s="251">
        <f>SUM(R374:R379)</f>
        <v>378.61</v>
      </c>
      <c r="AG381" s="244" t="s">
        <v>2346</v>
      </c>
    </row>
    <row r="382" spans="1:33" hidden="1">
      <c r="A382" s="358">
        <f t="shared" si="19"/>
        <v>218</v>
      </c>
      <c r="B382" s="244" t="s">
        <v>237</v>
      </c>
      <c r="C382" s="8">
        <v>14.91</v>
      </c>
      <c r="D382" s="1" t="s">
        <v>781</v>
      </c>
      <c r="E382"/>
      <c r="F382" s="251">
        <v>7.1</v>
      </c>
      <c r="G382" s="250" t="s">
        <v>883</v>
      </c>
      <c r="H382" s="244" t="s">
        <v>1979</v>
      </c>
      <c r="I382" s="8">
        <f>(C12)</f>
        <v>95</v>
      </c>
      <c r="J382" s="2" t="s">
        <v>883</v>
      </c>
      <c r="K382" s="6">
        <f>(F382*I382)</f>
        <v>674.5</v>
      </c>
      <c r="R382" s="248" t="s">
        <v>1667</v>
      </c>
      <c r="AG382" s="244" t="s">
        <v>2346</v>
      </c>
    </row>
    <row r="383" spans="1:33" hidden="1">
      <c r="A383" s="358">
        <f t="shared" si="19"/>
        <v>219</v>
      </c>
      <c r="B383" s="244" t="s">
        <v>238</v>
      </c>
      <c r="C383" s="8">
        <v>17.579999999999998</v>
      </c>
      <c r="D383" s="1" t="s">
        <v>781</v>
      </c>
      <c r="E383"/>
      <c r="F383" s="251">
        <v>21.2</v>
      </c>
      <c r="G383" s="250" t="s">
        <v>883</v>
      </c>
      <c r="H383" s="244" t="s">
        <v>324</v>
      </c>
      <c r="I383" s="8">
        <f>(C13)</f>
        <v>85</v>
      </c>
      <c r="J383" s="2" t="s">
        <v>883</v>
      </c>
      <c r="K383" s="6">
        <f>(F383*I383)</f>
        <v>1802</v>
      </c>
      <c r="O383" s="244" t="s">
        <v>555</v>
      </c>
      <c r="R383" s="251">
        <f>(R381/100)</f>
        <v>3.79</v>
      </c>
      <c r="AG383" s="244" t="s">
        <v>2346</v>
      </c>
    </row>
    <row r="384" spans="1:33" hidden="1">
      <c r="A384" s="358">
        <f t="shared" si="19"/>
        <v>220</v>
      </c>
      <c r="B384" s="244" t="s">
        <v>239</v>
      </c>
      <c r="C384" s="8">
        <v>19.3</v>
      </c>
      <c r="D384" s="1" t="s">
        <v>781</v>
      </c>
      <c r="E384"/>
      <c r="G384" s="250" t="s">
        <v>448</v>
      </c>
      <c r="H384" s="244" t="s">
        <v>449</v>
      </c>
      <c r="I384" s="1" t="s">
        <v>995</v>
      </c>
      <c r="J384" s="2" t="s">
        <v>448</v>
      </c>
      <c r="K384" s="6">
        <v>0</v>
      </c>
      <c r="R384" s="248" t="s">
        <v>2130</v>
      </c>
      <c r="AG384" s="244" t="s">
        <v>2346</v>
      </c>
    </row>
    <row r="385" spans="1:33" hidden="1">
      <c r="A385" s="358">
        <f t="shared" si="19"/>
        <v>221</v>
      </c>
      <c r="B385" s="244" t="s">
        <v>1157</v>
      </c>
      <c r="C385"/>
      <c r="D385"/>
      <c r="E385"/>
      <c r="I385"/>
      <c r="J385" s="4"/>
      <c r="K385" s="6" t="s">
        <v>1667</v>
      </c>
      <c r="AG385" s="244" t="s">
        <v>325</v>
      </c>
    </row>
    <row r="386" spans="1:33" hidden="1">
      <c r="A386" s="358">
        <f t="shared" si="19"/>
        <v>222</v>
      </c>
      <c r="B386" s="244" t="s">
        <v>237</v>
      </c>
      <c r="C386" s="8">
        <v>15.87</v>
      </c>
      <c r="D386" s="1" t="s">
        <v>781</v>
      </c>
      <c r="E386"/>
      <c r="H386" s="244" t="s">
        <v>618</v>
      </c>
      <c r="I386"/>
      <c r="J386" s="4"/>
      <c r="K386" s="6" t="e">
        <f>SUM(K378:K384)</f>
        <v>#REF!</v>
      </c>
    </row>
    <row r="387" spans="1:33" hidden="1">
      <c r="A387" s="358">
        <f t="shared" si="19"/>
        <v>223</v>
      </c>
      <c r="B387" s="244" t="s">
        <v>238</v>
      </c>
      <c r="C387" s="8">
        <v>20.16</v>
      </c>
      <c r="D387" s="1" t="s">
        <v>781</v>
      </c>
      <c r="E387"/>
      <c r="I387"/>
      <c r="J387" s="4"/>
      <c r="K387" s="6" t="s">
        <v>1667</v>
      </c>
      <c r="N387" s="244" t="s">
        <v>685</v>
      </c>
      <c r="O387" s="244" t="s">
        <v>1158</v>
      </c>
    </row>
    <row r="388" spans="1:33" hidden="1">
      <c r="A388" s="358">
        <f t="shared" si="19"/>
        <v>224</v>
      </c>
      <c r="B388" s="244" t="s">
        <v>239</v>
      </c>
      <c r="C388" s="8">
        <v>22.31</v>
      </c>
      <c r="D388" s="1" t="s">
        <v>781</v>
      </c>
      <c r="E388"/>
      <c r="H388" s="244" t="s">
        <v>785</v>
      </c>
      <c r="I388"/>
      <c r="J388" s="4"/>
      <c r="K388" s="6" t="e">
        <f>(K386/10)</f>
        <v>#REF!</v>
      </c>
      <c r="O388" s="248" t="s">
        <v>1667</v>
      </c>
      <c r="AG388" s="244" t="s">
        <v>2346</v>
      </c>
    </row>
    <row r="389" spans="1:33" hidden="1">
      <c r="A389" s="358">
        <f t="shared" si="19"/>
        <v>225</v>
      </c>
      <c r="B389" s="244" t="s">
        <v>3283</v>
      </c>
      <c r="C389"/>
      <c r="D389" s="1" t="s">
        <v>995</v>
      </c>
      <c r="E389"/>
      <c r="I389"/>
      <c r="J389" s="4"/>
      <c r="K389" s="6" t="s">
        <v>2130</v>
      </c>
      <c r="M389" s="251">
        <v>7.0000000000000007E-2</v>
      </c>
      <c r="N389" s="244" t="s">
        <v>884</v>
      </c>
      <c r="O389" s="244" t="s">
        <v>2077</v>
      </c>
      <c r="P389" s="251">
        <f>(C84)</f>
        <v>773</v>
      </c>
      <c r="Q389" s="244" t="s">
        <v>884</v>
      </c>
      <c r="R389" s="251">
        <f>(M389*P389)</f>
        <v>54.11</v>
      </c>
      <c r="AG389" s="244" t="s">
        <v>2346</v>
      </c>
    </row>
    <row r="390" spans="1:33" hidden="1">
      <c r="A390" s="358">
        <f t="shared" si="19"/>
        <v>226</v>
      </c>
      <c r="B390" s="244" t="s">
        <v>1159</v>
      </c>
      <c r="C390" s="8">
        <v>26.4</v>
      </c>
      <c r="D390" s="1" t="s">
        <v>1854</v>
      </c>
      <c r="E390"/>
      <c r="I390"/>
      <c r="J390" s="4"/>
      <c r="K390" s="34"/>
      <c r="M390" s="251">
        <v>1.6</v>
      </c>
      <c r="N390" s="244" t="s">
        <v>883</v>
      </c>
      <c r="O390" s="244" t="s">
        <v>1791</v>
      </c>
      <c r="P390" s="251">
        <f>(C11)</f>
        <v>135</v>
      </c>
      <c r="Q390" s="244" t="s">
        <v>883</v>
      </c>
      <c r="R390" s="251">
        <f>(M390*P390)</f>
        <v>216</v>
      </c>
      <c r="AG390" s="244" t="s">
        <v>2346</v>
      </c>
    </row>
    <row r="391" spans="1:33" hidden="1">
      <c r="A391" s="358">
        <f t="shared" si="19"/>
        <v>227</v>
      </c>
      <c r="B391" s="244" t="s">
        <v>1160</v>
      </c>
      <c r="C391" s="8">
        <v>35.26</v>
      </c>
      <c r="D391" s="1" t="s">
        <v>1854</v>
      </c>
      <c r="E391"/>
      <c r="G391" s="250" t="s">
        <v>685</v>
      </c>
      <c r="H391" s="244" t="s">
        <v>3083</v>
      </c>
      <c r="I391"/>
      <c r="J391" s="4"/>
      <c r="K391" s="34"/>
      <c r="M391" s="251">
        <v>0.5</v>
      </c>
      <c r="N391" s="244" t="s">
        <v>883</v>
      </c>
      <c r="O391" s="244" t="s">
        <v>1979</v>
      </c>
      <c r="P391" s="251">
        <f>(C12)</f>
        <v>95</v>
      </c>
      <c r="Q391" s="244" t="s">
        <v>883</v>
      </c>
      <c r="R391" s="251">
        <f>(M391*P391)</f>
        <v>47.5</v>
      </c>
      <c r="AG391" s="244" t="s">
        <v>2346</v>
      </c>
    </row>
    <row r="392" spans="1:33" hidden="1">
      <c r="A392" s="358">
        <f t="shared" si="19"/>
        <v>228</v>
      </c>
      <c r="B392" s="244" t="s">
        <v>1161</v>
      </c>
      <c r="C392" s="8">
        <v>48.71</v>
      </c>
      <c r="D392" s="1" t="s">
        <v>1854</v>
      </c>
      <c r="E392"/>
      <c r="H392" s="248" t="s">
        <v>1667</v>
      </c>
      <c r="I392"/>
      <c r="J392" s="4"/>
      <c r="K392" s="34"/>
      <c r="M392" s="251">
        <v>2.7</v>
      </c>
      <c r="N392" s="244" t="s">
        <v>883</v>
      </c>
      <c r="O392" s="244" t="s">
        <v>324</v>
      </c>
      <c r="P392" s="251">
        <f>(C13)</f>
        <v>85</v>
      </c>
      <c r="Q392" s="244" t="s">
        <v>883</v>
      </c>
      <c r="R392" s="251">
        <f>(M392*P392)</f>
        <v>229.5</v>
      </c>
      <c r="AG392" s="244" t="s">
        <v>2346</v>
      </c>
    </row>
    <row r="393" spans="1:33" hidden="1">
      <c r="A393" s="358">
        <f t="shared" si="19"/>
        <v>229</v>
      </c>
      <c r="B393" s="244" t="s">
        <v>1162</v>
      </c>
      <c r="C393" s="8">
        <v>58.75</v>
      </c>
      <c r="D393" s="1" t="s">
        <v>1854</v>
      </c>
      <c r="E393"/>
      <c r="F393" s="251">
        <v>1.1000000000000001</v>
      </c>
      <c r="G393" s="250" t="s">
        <v>884</v>
      </c>
      <c r="H393" s="244" t="s">
        <v>1163</v>
      </c>
      <c r="I393" s="8" t="e">
        <f>(K388)</f>
        <v>#REF!</v>
      </c>
      <c r="J393" s="2" t="s">
        <v>883</v>
      </c>
      <c r="K393" s="6" t="e">
        <f>(F393*I393)</f>
        <v>#REF!</v>
      </c>
      <c r="N393" s="244" t="s">
        <v>448</v>
      </c>
      <c r="O393" s="244" t="s">
        <v>1913</v>
      </c>
      <c r="P393" s="244" t="s">
        <v>995</v>
      </c>
      <c r="Q393" s="244" t="s">
        <v>448</v>
      </c>
      <c r="R393" s="251">
        <v>2.09</v>
      </c>
      <c r="AG393" s="244" t="s">
        <v>2346</v>
      </c>
    </row>
    <row r="394" spans="1:33" hidden="1">
      <c r="A394" s="358">
        <f t="shared" si="19"/>
        <v>230</v>
      </c>
      <c r="B394" s="244" t="s">
        <v>1164</v>
      </c>
      <c r="C394" s="8">
        <v>70.2</v>
      </c>
      <c r="D394" s="1" t="s">
        <v>1854</v>
      </c>
      <c r="E394"/>
      <c r="F394" s="251">
        <v>1</v>
      </c>
      <c r="G394" s="250" t="s">
        <v>781</v>
      </c>
      <c r="H394" s="244" t="s">
        <v>2082</v>
      </c>
      <c r="I394" s="8">
        <f>(C10)</f>
        <v>150</v>
      </c>
      <c r="J394" s="2" t="s">
        <v>883</v>
      </c>
      <c r="K394" s="6">
        <f>(F394*I394)</f>
        <v>150</v>
      </c>
      <c r="R394" s="248" t="s">
        <v>1667</v>
      </c>
      <c r="AG394" s="244" t="s">
        <v>2346</v>
      </c>
    </row>
    <row r="395" spans="1:33" hidden="1">
      <c r="A395" s="358">
        <f t="shared" si="19"/>
        <v>231</v>
      </c>
      <c r="B395" s="244" t="s">
        <v>237</v>
      </c>
      <c r="C395" s="8">
        <v>91.85</v>
      </c>
      <c r="D395" s="1" t="s">
        <v>1854</v>
      </c>
      <c r="E395"/>
      <c r="G395" s="250" t="s">
        <v>448</v>
      </c>
      <c r="H395" s="244" t="s">
        <v>449</v>
      </c>
      <c r="I395" s="1" t="s">
        <v>995</v>
      </c>
      <c r="J395" s="2" t="s">
        <v>448</v>
      </c>
      <c r="K395" s="6">
        <v>0</v>
      </c>
      <c r="O395" s="244" t="s">
        <v>1915</v>
      </c>
      <c r="R395" s="251">
        <f>SUM(R388:R393)</f>
        <v>549.20000000000005</v>
      </c>
      <c r="AG395" s="244" t="s">
        <v>2346</v>
      </c>
    </row>
    <row r="396" spans="1:33" hidden="1">
      <c r="A396" s="358">
        <f t="shared" ref="A396:A420" si="20">(A395+1)</f>
        <v>232</v>
      </c>
      <c r="B396" s="244" t="s">
        <v>1165</v>
      </c>
      <c r="C396" s="8">
        <v>128</v>
      </c>
      <c r="D396" s="1" t="s">
        <v>1854</v>
      </c>
      <c r="E396"/>
      <c r="I396"/>
      <c r="J396" s="4"/>
      <c r="K396" s="6" t="s">
        <v>1667</v>
      </c>
      <c r="R396" s="248" t="s">
        <v>1667</v>
      </c>
      <c r="AG396" s="244" t="s">
        <v>2346</v>
      </c>
    </row>
    <row r="397" spans="1:33" hidden="1">
      <c r="A397" s="358">
        <f t="shared" si="20"/>
        <v>233</v>
      </c>
      <c r="B397" s="244" t="s">
        <v>2142</v>
      </c>
      <c r="C397"/>
      <c r="D397"/>
      <c r="E397"/>
      <c r="H397" s="244" t="s">
        <v>440</v>
      </c>
      <c r="I397"/>
      <c r="J397" s="4"/>
      <c r="K397" s="6" t="e">
        <f>SUM(K393:K395)</f>
        <v>#REF!</v>
      </c>
      <c r="O397" s="244" t="s">
        <v>555</v>
      </c>
      <c r="R397" s="251">
        <f>(R395/100)</f>
        <v>5.49</v>
      </c>
      <c r="AG397" s="244" t="s">
        <v>2346</v>
      </c>
    </row>
    <row r="398" spans="1:33" hidden="1">
      <c r="A398" s="358">
        <f t="shared" si="20"/>
        <v>234</v>
      </c>
      <c r="B398" s="244" t="s">
        <v>1159</v>
      </c>
      <c r="C398" s="8">
        <v>9</v>
      </c>
      <c r="D398" s="1" t="s">
        <v>883</v>
      </c>
      <c r="E398"/>
      <c r="I398"/>
      <c r="J398" s="4"/>
      <c r="K398" s="6" t="s">
        <v>1667</v>
      </c>
      <c r="R398" s="248" t="s">
        <v>2130</v>
      </c>
      <c r="AG398" s="244" t="s">
        <v>2346</v>
      </c>
    </row>
    <row r="399" spans="1:33" hidden="1">
      <c r="A399" s="358">
        <f t="shared" si="20"/>
        <v>235</v>
      </c>
      <c r="B399" s="244" t="s">
        <v>1160</v>
      </c>
      <c r="C399" s="8">
        <v>11</v>
      </c>
      <c r="D399" s="1" t="s">
        <v>883</v>
      </c>
      <c r="E399"/>
      <c r="H399" s="244" t="s">
        <v>555</v>
      </c>
      <c r="I399"/>
      <c r="J399" s="4"/>
      <c r="K399" s="6" t="e">
        <f>(K397/10)</f>
        <v>#REF!</v>
      </c>
      <c r="N399" s="244" t="s">
        <v>685</v>
      </c>
      <c r="O399" s="244" t="s">
        <v>354</v>
      </c>
      <c r="AG399" s="244" t="s">
        <v>2346</v>
      </c>
    </row>
    <row r="400" spans="1:33" hidden="1">
      <c r="A400" s="358">
        <f t="shared" si="20"/>
        <v>236</v>
      </c>
      <c r="B400" s="244" t="s">
        <v>1161</v>
      </c>
      <c r="C400" s="8">
        <v>18</v>
      </c>
      <c r="D400" s="1" t="s">
        <v>883</v>
      </c>
      <c r="E400"/>
      <c r="I400"/>
      <c r="J400" s="4"/>
      <c r="K400" s="6" t="s">
        <v>2130</v>
      </c>
      <c r="O400" s="248" t="s">
        <v>1667</v>
      </c>
      <c r="AG400" s="244" t="s">
        <v>2346</v>
      </c>
    </row>
    <row r="401" spans="1:33" hidden="1">
      <c r="A401" s="358">
        <f t="shared" si="20"/>
        <v>237</v>
      </c>
      <c r="B401" s="244" t="s">
        <v>1162</v>
      </c>
      <c r="C401" s="8">
        <v>24.6</v>
      </c>
      <c r="D401" s="1" t="s">
        <v>883</v>
      </c>
      <c r="E401"/>
      <c r="H401" s="244" t="s">
        <v>388</v>
      </c>
      <c r="I401"/>
      <c r="J401" s="4"/>
      <c r="K401" s="6" t="e">
        <f>(K399+C19/10*F393)</f>
        <v>#REF!</v>
      </c>
      <c r="M401" s="251">
        <v>10</v>
      </c>
      <c r="N401" s="244" t="s">
        <v>611</v>
      </c>
      <c r="O401" s="244" t="s">
        <v>1158</v>
      </c>
      <c r="P401" s="251">
        <f>(R397)</f>
        <v>5.49</v>
      </c>
      <c r="Q401" s="244" t="s">
        <v>611</v>
      </c>
      <c r="R401" s="251">
        <f>(M401*P401)</f>
        <v>54.9</v>
      </c>
      <c r="AG401" s="244" t="s">
        <v>2346</v>
      </c>
    </row>
    <row r="402" spans="1:33" hidden="1">
      <c r="A402" s="358">
        <f t="shared" si="20"/>
        <v>238</v>
      </c>
      <c r="B402" s="244" t="s">
        <v>1164</v>
      </c>
      <c r="C402" s="8">
        <v>31.46</v>
      </c>
      <c r="D402" s="1" t="s">
        <v>883</v>
      </c>
      <c r="E402"/>
      <c r="H402" s="244" t="s">
        <v>390</v>
      </c>
      <c r="I402"/>
      <c r="J402" s="4"/>
      <c r="K402" s="6" t="e">
        <f>(K401+C20/10*F393)</f>
        <v>#REF!</v>
      </c>
      <c r="M402" s="251">
        <v>10</v>
      </c>
      <c r="N402" s="244" t="s">
        <v>611</v>
      </c>
      <c r="O402" s="244" t="s">
        <v>1592</v>
      </c>
      <c r="P402" s="251">
        <f>(R397/2)</f>
        <v>2.75</v>
      </c>
      <c r="Q402" s="244" t="s">
        <v>611</v>
      </c>
      <c r="R402" s="251">
        <f>(M402*P402)</f>
        <v>27.5</v>
      </c>
      <c r="AG402" s="244" t="s">
        <v>2346</v>
      </c>
    </row>
    <row r="403" spans="1:33" hidden="1">
      <c r="A403" s="358">
        <f t="shared" si="20"/>
        <v>239</v>
      </c>
      <c r="B403" s="244" t="s">
        <v>237</v>
      </c>
      <c r="C403" s="8">
        <v>53.2</v>
      </c>
      <c r="D403" s="1" t="s">
        <v>883</v>
      </c>
      <c r="E403"/>
      <c r="H403" s="244" t="s">
        <v>2319</v>
      </c>
      <c r="I403"/>
      <c r="J403" s="4"/>
      <c r="K403" s="6" t="e">
        <f>(K402+C21/10*F393)</f>
        <v>#REF!</v>
      </c>
      <c r="O403" s="244" t="s">
        <v>1593</v>
      </c>
      <c r="R403" s="248" t="s">
        <v>1667</v>
      </c>
      <c r="AG403" s="244" t="s">
        <v>2346</v>
      </c>
    </row>
    <row r="404" spans="1:33" hidden="1">
      <c r="A404" s="358">
        <f t="shared" si="20"/>
        <v>240</v>
      </c>
      <c r="B404" s="244" t="s">
        <v>1165</v>
      </c>
      <c r="C404" s="8">
        <v>76.36</v>
      </c>
      <c r="D404" s="1" t="s">
        <v>883</v>
      </c>
      <c r="E404"/>
      <c r="H404" s="244" t="s">
        <v>382</v>
      </c>
      <c r="I404"/>
      <c r="J404" s="4"/>
      <c r="K404" s="6" t="e">
        <f>(K403+C21/10*F393)</f>
        <v>#REF!</v>
      </c>
      <c r="R404" s="251">
        <f>SUM(R401:R402)</f>
        <v>82.4</v>
      </c>
      <c r="AG404" s="244" t="s">
        <v>2346</v>
      </c>
    </row>
    <row r="405" spans="1:33" hidden="1">
      <c r="A405" s="358">
        <f t="shared" si="20"/>
        <v>241</v>
      </c>
      <c r="B405" s="244" t="s">
        <v>1594</v>
      </c>
      <c r="C405"/>
      <c r="D405" s="1" t="s">
        <v>995</v>
      </c>
      <c r="E405"/>
      <c r="H405" s="244" t="s">
        <v>1595</v>
      </c>
      <c r="I405"/>
      <c r="J405" s="4"/>
      <c r="K405" s="6" t="e">
        <f>(K404+C21/10*F393)</f>
        <v>#REF!</v>
      </c>
      <c r="O405" s="244" t="s">
        <v>440</v>
      </c>
      <c r="R405" s="248" t="s">
        <v>1667</v>
      </c>
      <c r="AG405" s="244" t="s">
        <v>2346</v>
      </c>
    </row>
    <row r="406" spans="1:33" hidden="1">
      <c r="A406" s="358">
        <f t="shared" si="20"/>
        <v>242</v>
      </c>
      <c r="B406" s="244" t="s">
        <v>1159</v>
      </c>
      <c r="C406" s="8">
        <v>5.5</v>
      </c>
      <c r="D406" s="1" t="s">
        <v>883</v>
      </c>
      <c r="E406"/>
      <c r="F406" s="360">
        <v>11</v>
      </c>
      <c r="G406" s="250" t="s">
        <v>2338</v>
      </c>
      <c r="H406" s="244" t="s">
        <v>3282</v>
      </c>
      <c r="I406"/>
      <c r="J406" s="4"/>
      <c r="K406" s="34"/>
      <c r="R406" s="251">
        <f>(R404/10)</f>
        <v>8.24</v>
      </c>
      <c r="AG406" s="244" t="s">
        <v>2346</v>
      </c>
    </row>
    <row r="407" spans="1:33" hidden="1">
      <c r="A407" s="358">
        <f t="shared" si="20"/>
        <v>243</v>
      </c>
      <c r="B407" s="244" t="s">
        <v>1160</v>
      </c>
      <c r="C407" s="8">
        <v>8</v>
      </c>
      <c r="D407" s="1" t="s">
        <v>883</v>
      </c>
      <c r="E407"/>
      <c r="H407" s="251" t="str">
        <f>H308</f>
        <v>Bricks of size 22x11x7 cm</v>
      </c>
      <c r="I407"/>
      <c r="J407" s="4"/>
      <c r="K407" s="34"/>
      <c r="O407" s="244" t="s">
        <v>555</v>
      </c>
      <c r="R407" s="248" t="s">
        <v>2130</v>
      </c>
      <c r="AG407" s="244" t="s">
        <v>2346</v>
      </c>
    </row>
    <row r="408" spans="1:33" hidden="1">
      <c r="A408" s="358">
        <f t="shared" si="20"/>
        <v>244</v>
      </c>
      <c r="B408" s="244" t="s">
        <v>1161</v>
      </c>
      <c r="C408" s="8">
        <v>10.4</v>
      </c>
      <c r="D408" s="1" t="s">
        <v>883</v>
      </c>
      <c r="E408"/>
      <c r="H408" s="248" t="s">
        <v>1667</v>
      </c>
      <c r="I408"/>
      <c r="J408" s="4"/>
      <c r="K408" s="34"/>
      <c r="AG408" s="244" t="s">
        <v>2346</v>
      </c>
    </row>
    <row r="409" spans="1:33" hidden="1">
      <c r="A409" s="358">
        <f t="shared" si="20"/>
        <v>245</v>
      </c>
      <c r="B409" s="244" t="s">
        <v>1162</v>
      </c>
      <c r="C409" s="8">
        <v>22.06</v>
      </c>
      <c r="D409" s="1" t="s">
        <v>883</v>
      </c>
      <c r="E409"/>
      <c r="F409" s="251">
        <f>F310</f>
        <v>4800</v>
      </c>
      <c r="G409" s="250" t="s">
        <v>1485</v>
      </c>
      <c r="H409" s="251" t="str">
        <f>H308</f>
        <v>Bricks of size 22x11x7 cm</v>
      </c>
      <c r="I409" s="8" t="e">
        <f>(C80)</f>
        <v>#REF!</v>
      </c>
      <c r="J409" s="2" t="s">
        <v>1596</v>
      </c>
      <c r="K409" s="6" t="e">
        <f>(F409*I409)/1000</f>
        <v>#REF!</v>
      </c>
      <c r="N409" s="244" t="s">
        <v>2338</v>
      </c>
      <c r="O409" s="244" t="s">
        <v>1597</v>
      </c>
      <c r="AG409" s="244" t="s">
        <v>2346</v>
      </c>
    </row>
    <row r="410" spans="1:33" hidden="1">
      <c r="A410" s="358">
        <f t="shared" si="20"/>
        <v>246</v>
      </c>
      <c r="B410" s="244" t="s">
        <v>1164</v>
      </c>
      <c r="C410" s="8">
        <v>27.91</v>
      </c>
      <c r="D410" s="1" t="s">
        <v>883</v>
      </c>
      <c r="E410"/>
      <c r="F410" s="251">
        <v>1.59</v>
      </c>
      <c r="G410" s="250" t="s">
        <v>884</v>
      </c>
      <c r="H410" s="244" t="s">
        <v>1364</v>
      </c>
      <c r="I410" s="8" t="e">
        <f>(K40)</f>
        <v>#REF!</v>
      </c>
      <c r="J410" s="2" t="s">
        <v>884</v>
      </c>
      <c r="K410" s="6" t="e">
        <f>(F410*I410)</f>
        <v>#REF!</v>
      </c>
      <c r="O410" s="244" t="s">
        <v>1598</v>
      </c>
      <c r="AG410" s="244" t="s">
        <v>2346</v>
      </c>
    </row>
    <row r="411" spans="1:33" hidden="1">
      <c r="A411" s="358">
        <f t="shared" si="20"/>
        <v>247</v>
      </c>
      <c r="B411" s="244" t="s">
        <v>237</v>
      </c>
      <c r="C411" s="8">
        <v>49.42</v>
      </c>
      <c r="D411" s="1" t="s">
        <v>883</v>
      </c>
      <c r="E411"/>
      <c r="F411" s="251">
        <v>7</v>
      </c>
      <c r="G411" s="250" t="s">
        <v>883</v>
      </c>
      <c r="H411" s="244" t="s">
        <v>2082</v>
      </c>
      <c r="I411" s="8">
        <f>(C10)</f>
        <v>150</v>
      </c>
      <c r="J411" s="2" t="s">
        <v>883</v>
      </c>
      <c r="K411" s="6">
        <f>(F411*I411)</f>
        <v>1050</v>
      </c>
      <c r="O411" s="248" t="s">
        <v>1667</v>
      </c>
      <c r="AG411" s="244" t="s">
        <v>2346</v>
      </c>
    </row>
    <row r="412" spans="1:33" hidden="1">
      <c r="A412" s="358">
        <f t="shared" si="20"/>
        <v>248</v>
      </c>
      <c r="B412" s="244" t="s">
        <v>1165</v>
      </c>
      <c r="C412" s="8">
        <v>86.94</v>
      </c>
      <c r="D412" s="1" t="s">
        <v>883</v>
      </c>
      <c r="E412"/>
      <c r="F412" s="251">
        <v>7.1</v>
      </c>
      <c r="G412" s="250" t="s">
        <v>883</v>
      </c>
      <c r="H412" s="244" t="s">
        <v>1791</v>
      </c>
      <c r="I412" s="8">
        <f>(C11)</f>
        <v>135</v>
      </c>
      <c r="J412" s="2" t="s">
        <v>883</v>
      </c>
      <c r="K412" s="6">
        <f>(F412*I412)</f>
        <v>958.5</v>
      </c>
      <c r="M412" s="251">
        <v>10</v>
      </c>
      <c r="N412" s="244" t="s">
        <v>611</v>
      </c>
      <c r="O412" s="244" t="s">
        <v>1911</v>
      </c>
      <c r="P412" s="251">
        <f>(R383)</f>
        <v>3.79</v>
      </c>
      <c r="Q412" s="244" t="s">
        <v>611</v>
      </c>
      <c r="R412" s="251">
        <f>(M412*P412)</f>
        <v>37.9</v>
      </c>
      <c r="AG412" s="244" t="s">
        <v>2346</v>
      </c>
    </row>
    <row r="413" spans="1:33" hidden="1">
      <c r="A413" s="358">
        <f t="shared" si="20"/>
        <v>249</v>
      </c>
      <c r="B413" s="244" t="s">
        <v>1599</v>
      </c>
      <c r="C413"/>
      <c r="D413" s="1" t="s">
        <v>995</v>
      </c>
      <c r="E413"/>
      <c r="F413" s="251">
        <v>7.1</v>
      </c>
      <c r="G413" s="250" t="s">
        <v>883</v>
      </c>
      <c r="H413" s="244" t="s">
        <v>1979</v>
      </c>
      <c r="I413" s="8">
        <f>(C12)</f>
        <v>95</v>
      </c>
      <c r="J413" s="2" t="s">
        <v>883</v>
      </c>
      <c r="K413" s="6">
        <f>(F413*I413)</f>
        <v>674.5</v>
      </c>
      <c r="M413" s="251">
        <v>10</v>
      </c>
      <c r="N413" s="244" t="s">
        <v>611</v>
      </c>
      <c r="O413" s="244" t="s">
        <v>354</v>
      </c>
      <c r="P413" s="251">
        <f>(R406)</f>
        <v>8.24</v>
      </c>
      <c r="Q413" s="244" t="s">
        <v>611</v>
      </c>
      <c r="R413" s="251">
        <f>(M413*P413)</f>
        <v>82.4</v>
      </c>
      <c r="AG413" s="244" t="s">
        <v>2346</v>
      </c>
    </row>
    <row r="414" spans="1:33" hidden="1">
      <c r="A414" s="358">
        <f t="shared" si="20"/>
        <v>250</v>
      </c>
      <c r="B414" s="244" t="s">
        <v>1159</v>
      </c>
      <c r="C414" s="8">
        <v>5.75</v>
      </c>
      <c r="D414" s="1" t="s">
        <v>883</v>
      </c>
      <c r="E414"/>
      <c r="F414" s="251">
        <v>21.2</v>
      </c>
      <c r="G414" s="250" t="s">
        <v>883</v>
      </c>
      <c r="H414" s="244" t="s">
        <v>324</v>
      </c>
      <c r="I414" s="8">
        <f>(C13)</f>
        <v>85</v>
      </c>
      <c r="J414" s="2" t="s">
        <v>883</v>
      </c>
      <c r="K414" s="6">
        <f>(F414*I414)</f>
        <v>1802</v>
      </c>
      <c r="O414" s="244" t="s">
        <v>995</v>
      </c>
      <c r="R414" s="248" t="s">
        <v>1667</v>
      </c>
      <c r="AG414" s="244" t="s">
        <v>2346</v>
      </c>
    </row>
    <row r="415" spans="1:33" hidden="1">
      <c r="A415" s="358">
        <f t="shared" si="20"/>
        <v>251</v>
      </c>
      <c r="B415" s="244" t="s">
        <v>1160</v>
      </c>
      <c r="C415" s="8">
        <v>8.5</v>
      </c>
      <c r="D415" s="1" t="s">
        <v>883</v>
      </c>
      <c r="E415"/>
      <c r="G415" s="250" t="s">
        <v>448</v>
      </c>
      <c r="H415" s="244" t="s">
        <v>449</v>
      </c>
      <c r="I415" s="1" t="s">
        <v>995</v>
      </c>
      <c r="J415" s="2" t="s">
        <v>448</v>
      </c>
      <c r="K415" s="6">
        <v>0</v>
      </c>
      <c r="R415" s="251">
        <f>SUM(R412:R413)</f>
        <v>120.3</v>
      </c>
      <c r="AG415" s="244" t="s">
        <v>2346</v>
      </c>
    </row>
    <row r="416" spans="1:33" hidden="1">
      <c r="A416" s="358">
        <f t="shared" si="20"/>
        <v>252</v>
      </c>
      <c r="B416" s="244" t="s">
        <v>1161</v>
      </c>
      <c r="C416" s="8">
        <v>14</v>
      </c>
      <c r="D416" s="1" t="s">
        <v>883</v>
      </c>
      <c r="E416"/>
      <c r="I416"/>
      <c r="J416" s="4"/>
      <c r="K416" s="6" t="s">
        <v>1667</v>
      </c>
      <c r="O416" s="244" t="s">
        <v>440</v>
      </c>
      <c r="R416" s="248" t="s">
        <v>1667</v>
      </c>
      <c r="AG416" s="244" t="s">
        <v>2346</v>
      </c>
    </row>
    <row r="417" spans="1:33" hidden="1">
      <c r="A417" s="358">
        <f t="shared" si="20"/>
        <v>253</v>
      </c>
      <c r="B417" s="244" t="s">
        <v>1162</v>
      </c>
      <c r="C417" s="8">
        <v>30.11</v>
      </c>
      <c r="D417" s="1" t="s">
        <v>883</v>
      </c>
      <c r="E417"/>
      <c r="H417" s="244" t="s">
        <v>618</v>
      </c>
      <c r="I417"/>
      <c r="J417" s="4"/>
      <c r="K417" s="6" t="e">
        <f>SUM(K409:K415)</f>
        <v>#REF!</v>
      </c>
      <c r="R417" s="251">
        <f>(R415/10)</f>
        <v>12.03</v>
      </c>
      <c r="AG417" s="244" t="s">
        <v>2346</v>
      </c>
    </row>
    <row r="418" spans="1:33" hidden="1">
      <c r="A418" s="358">
        <f t="shared" si="20"/>
        <v>254</v>
      </c>
      <c r="B418" s="244" t="s">
        <v>1164</v>
      </c>
      <c r="C418" s="8">
        <v>47.25</v>
      </c>
      <c r="D418" s="1" t="s">
        <v>883</v>
      </c>
      <c r="E418"/>
      <c r="I418"/>
      <c r="J418" s="4"/>
      <c r="K418" s="6" t="s">
        <v>1667</v>
      </c>
      <c r="O418" s="244" t="s">
        <v>555</v>
      </c>
      <c r="R418" s="248" t="s">
        <v>2130</v>
      </c>
      <c r="AG418" s="244" t="s">
        <v>2346</v>
      </c>
    </row>
    <row r="419" spans="1:33" hidden="1">
      <c r="A419" s="358">
        <f t="shared" si="20"/>
        <v>255</v>
      </c>
      <c r="B419" s="244" t="s">
        <v>237</v>
      </c>
      <c r="C419" s="8">
        <v>71.16</v>
      </c>
      <c r="D419" s="1" t="s">
        <v>883</v>
      </c>
      <c r="E419"/>
      <c r="H419" s="244" t="s">
        <v>785</v>
      </c>
      <c r="I419"/>
      <c r="J419" s="4"/>
      <c r="K419" s="6" t="e">
        <f>(K417/10)</f>
        <v>#REF!</v>
      </c>
      <c r="AG419" s="244" t="s">
        <v>2346</v>
      </c>
    </row>
    <row r="420" spans="1:33" hidden="1">
      <c r="A420" s="358">
        <f t="shared" si="20"/>
        <v>256</v>
      </c>
      <c r="B420" s="244" t="s">
        <v>1165</v>
      </c>
      <c r="C420" s="8">
        <v>125.84</v>
      </c>
      <c r="D420" s="1" t="s">
        <v>883</v>
      </c>
      <c r="E420"/>
      <c r="I420"/>
      <c r="J420" s="4"/>
      <c r="K420" s="6" t="s">
        <v>2130</v>
      </c>
      <c r="AG420" s="244" t="s">
        <v>2346</v>
      </c>
    </row>
    <row r="421" spans="1:33" hidden="1">
      <c r="C421"/>
      <c r="D421"/>
      <c r="E421"/>
      <c r="F421" s="244" t="s">
        <v>246</v>
      </c>
      <c r="I421"/>
      <c r="J421" s="4"/>
      <c r="K421" s="34"/>
    </row>
    <row r="422" spans="1:33" hidden="1">
      <c r="A422" s="358">
        <f>(A420+1)</f>
        <v>257</v>
      </c>
      <c r="B422" s="244" t="s">
        <v>1600</v>
      </c>
      <c r="C422"/>
      <c r="D422" s="1" t="s">
        <v>995</v>
      </c>
      <c r="E422"/>
      <c r="I422"/>
      <c r="J422" s="4"/>
      <c r="K422" s="34"/>
      <c r="O422" s="354" t="s">
        <v>1601</v>
      </c>
      <c r="AG422" s="244" t="s">
        <v>2346</v>
      </c>
    </row>
    <row r="423" spans="1:33" hidden="1">
      <c r="A423" s="358">
        <f t="shared" ref="A423:A436" si="21">(A422+1)</f>
        <v>258</v>
      </c>
      <c r="B423" s="244" t="s">
        <v>1159</v>
      </c>
      <c r="C423" s="8">
        <v>17</v>
      </c>
      <c r="D423" s="1" t="s">
        <v>883</v>
      </c>
      <c r="E423"/>
      <c r="G423" s="250" t="s">
        <v>1602</v>
      </c>
      <c r="H423" s="244" t="s">
        <v>429</v>
      </c>
      <c r="I423"/>
      <c r="J423" s="4"/>
      <c r="K423" s="34"/>
      <c r="O423" s="248" t="s">
        <v>1667</v>
      </c>
      <c r="AG423" s="244" t="s">
        <v>2346</v>
      </c>
    </row>
    <row r="424" spans="1:33" hidden="1">
      <c r="A424" s="358">
        <f t="shared" si="21"/>
        <v>259</v>
      </c>
      <c r="B424" s="244" t="s">
        <v>1160</v>
      </c>
      <c r="C424" s="8">
        <v>23.4</v>
      </c>
      <c r="D424" s="1" t="s">
        <v>883</v>
      </c>
      <c r="E424"/>
      <c r="H424" s="248" t="s">
        <v>1667</v>
      </c>
      <c r="I424"/>
      <c r="J424" s="4"/>
      <c r="K424" s="34"/>
      <c r="N424" s="244" t="s">
        <v>2338</v>
      </c>
      <c r="O424" s="244" t="s">
        <v>2124</v>
      </c>
      <c r="AG424" s="244" t="s">
        <v>2346</v>
      </c>
    </row>
    <row r="425" spans="1:33" hidden="1">
      <c r="A425" s="358">
        <f t="shared" si="21"/>
        <v>260</v>
      </c>
      <c r="B425" s="244" t="s">
        <v>1161</v>
      </c>
      <c r="C425" s="8">
        <v>33</v>
      </c>
      <c r="D425" s="1" t="s">
        <v>883</v>
      </c>
      <c r="E425"/>
      <c r="F425" s="251">
        <v>0.7</v>
      </c>
      <c r="G425" s="250" t="s">
        <v>884</v>
      </c>
      <c r="H425" s="244" t="s">
        <v>2367</v>
      </c>
      <c r="I425" s="8" t="e">
        <f>(K419)</f>
        <v>#REF!</v>
      </c>
      <c r="J425" s="2" t="s">
        <v>883</v>
      </c>
      <c r="K425" s="6" t="e">
        <f>(F425*I425)</f>
        <v>#REF!</v>
      </c>
      <c r="O425" s="244" t="s">
        <v>2125</v>
      </c>
      <c r="AG425" s="244" t="s">
        <v>2346</v>
      </c>
    </row>
    <row r="426" spans="1:33" hidden="1">
      <c r="A426" s="358">
        <f t="shared" si="21"/>
        <v>261</v>
      </c>
      <c r="B426" s="244" t="s">
        <v>1162</v>
      </c>
      <c r="C426" s="8">
        <v>34.22</v>
      </c>
      <c r="D426" s="1" t="s">
        <v>883</v>
      </c>
      <c r="E426"/>
      <c r="F426" s="251">
        <v>1</v>
      </c>
      <c r="G426" s="250" t="s">
        <v>781</v>
      </c>
      <c r="H426" s="244" t="s">
        <v>2082</v>
      </c>
      <c r="I426" s="8">
        <f>(C10)</f>
        <v>150</v>
      </c>
      <c r="J426" s="2" t="s">
        <v>883</v>
      </c>
      <c r="K426" s="6">
        <f>(F426*I426)</f>
        <v>150</v>
      </c>
      <c r="O426" s="244" t="s">
        <v>159</v>
      </c>
      <c r="AG426" s="244" t="s">
        <v>2346</v>
      </c>
    </row>
    <row r="427" spans="1:33" hidden="1">
      <c r="A427" s="358">
        <f t="shared" si="21"/>
        <v>262</v>
      </c>
      <c r="B427" s="244" t="s">
        <v>1164</v>
      </c>
      <c r="C427" s="8">
        <v>75.28</v>
      </c>
      <c r="D427" s="1" t="s">
        <v>883</v>
      </c>
      <c r="E427"/>
      <c r="G427" s="250" t="s">
        <v>448</v>
      </c>
      <c r="H427" s="244" t="s">
        <v>449</v>
      </c>
      <c r="I427" s="1" t="s">
        <v>995</v>
      </c>
      <c r="J427" s="2" t="s">
        <v>448</v>
      </c>
      <c r="K427" s="6">
        <v>0</v>
      </c>
      <c r="O427" s="248" t="s">
        <v>1667</v>
      </c>
      <c r="AG427" s="244" t="s">
        <v>2346</v>
      </c>
    </row>
    <row r="428" spans="1:33" hidden="1">
      <c r="A428" s="358">
        <f t="shared" si="21"/>
        <v>263</v>
      </c>
      <c r="B428" s="244" t="s">
        <v>237</v>
      </c>
      <c r="C428" s="8">
        <v>92.66</v>
      </c>
      <c r="D428" s="1" t="s">
        <v>883</v>
      </c>
      <c r="E428"/>
      <c r="I428"/>
      <c r="J428" s="4"/>
      <c r="K428" s="6" t="s">
        <v>1667</v>
      </c>
      <c r="N428" s="244" t="s">
        <v>160</v>
      </c>
      <c r="O428" s="354" t="s">
        <v>161</v>
      </c>
      <c r="AG428" s="244" t="s">
        <v>2346</v>
      </c>
    </row>
    <row r="429" spans="1:33" hidden="1">
      <c r="A429" s="358">
        <f t="shared" si="21"/>
        <v>264</v>
      </c>
      <c r="B429" s="244" t="s">
        <v>1165</v>
      </c>
      <c r="C429" s="8">
        <v>141.86000000000001</v>
      </c>
      <c r="D429" s="1" t="s">
        <v>883</v>
      </c>
      <c r="E429"/>
      <c r="H429" s="244" t="s">
        <v>440</v>
      </c>
      <c r="I429"/>
      <c r="J429" s="4"/>
      <c r="K429" s="6" t="e">
        <f>SUM(K425:K427)</f>
        <v>#REF!</v>
      </c>
      <c r="O429" s="248" t="s">
        <v>1667</v>
      </c>
      <c r="AG429" s="244" t="s">
        <v>2346</v>
      </c>
    </row>
    <row r="430" spans="1:33" hidden="1">
      <c r="A430" s="358">
        <f t="shared" si="21"/>
        <v>265</v>
      </c>
      <c r="B430" s="244" t="s">
        <v>162</v>
      </c>
      <c r="C430"/>
      <c r="D430" s="1" t="s">
        <v>995</v>
      </c>
      <c r="E430"/>
      <c r="I430"/>
      <c r="J430" s="4"/>
      <c r="K430" s="6" t="s">
        <v>1667</v>
      </c>
      <c r="M430" s="251">
        <v>8.1</v>
      </c>
      <c r="N430" s="244" t="s">
        <v>884</v>
      </c>
      <c r="O430" s="244" t="s">
        <v>621</v>
      </c>
      <c r="P430" s="251">
        <f>(C61)*2</f>
        <v>50</v>
      </c>
      <c r="Q430" s="244" t="s">
        <v>884</v>
      </c>
      <c r="R430" s="251">
        <f>(M430*P430)</f>
        <v>405</v>
      </c>
      <c r="AG430" s="244" t="s">
        <v>2346</v>
      </c>
    </row>
    <row r="431" spans="1:33" hidden="1">
      <c r="A431" s="358">
        <f t="shared" si="21"/>
        <v>266</v>
      </c>
      <c r="B431" s="244" t="s">
        <v>1159</v>
      </c>
      <c r="C431" s="8">
        <v>1.8</v>
      </c>
      <c r="D431" s="1" t="s">
        <v>883</v>
      </c>
      <c r="E431"/>
      <c r="H431" s="244" t="s">
        <v>555</v>
      </c>
      <c r="I431"/>
      <c r="J431" s="4"/>
      <c r="K431" s="6" t="e">
        <f>(K429/10)</f>
        <v>#REF!</v>
      </c>
      <c r="M431" s="251">
        <v>8.1</v>
      </c>
      <c r="N431" s="244" t="s">
        <v>884</v>
      </c>
      <c r="O431" s="244" t="s">
        <v>2232</v>
      </c>
      <c r="P431" s="251">
        <f>(C26)</f>
        <v>8.8000000000000007</v>
      </c>
      <c r="Q431" s="244" t="s">
        <v>884</v>
      </c>
      <c r="R431" s="251">
        <f>(M431*P431)</f>
        <v>71.28</v>
      </c>
      <c r="AG431" s="244" t="s">
        <v>2346</v>
      </c>
    </row>
    <row r="432" spans="1:33" hidden="1">
      <c r="A432" s="358">
        <f t="shared" si="21"/>
        <v>267</v>
      </c>
      <c r="B432" s="244" t="s">
        <v>1160</v>
      </c>
      <c r="C432" s="8">
        <v>2.9</v>
      </c>
      <c r="D432" s="1" t="s">
        <v>883</v>
      </c>
      <c r="E432"/>
      <c r="I432"/>
      <c r="J432" s="4"/>
      <c r="K432" s="6" t="s">
        <v>2130</v>
      </c>
      <c r="M432" s="251">
        <v>30</v>
      </c>
      <c r="N432" s="244" t="s">
        <v>1854</v>
      </c>
      <c r="O432" s="244" t="s">
        <v>2233</v>
      </c>
      <c r="P432" s="251">
        <f>(C42)</f>
        <v>1.75</v>
      </c>
      <c r="Q432" s="244" t="s">
        <v>1854</v>
      </c>
      <c r="R432" s="251">
        <f>(M432*P432)</f>
        <v>52.5</v>
      </c>
      <c r="AG432" s="244" t="s">
        <v>2346</v>
      </c>
    </row>
    <row r="433" spans="1:33" hidden="1">
      <c r="A433" s="358">
        <f t="shared" si="21"/>
        <v>268</v>
      </c>
      <c r="B433" s="244" t="s">
        <v>1161</v>
      </c>
      <c r="C433" s="8">
        <v>4</v>
      </c>
      <c r="D433" s="1" t="s">
        <v>883</v>
      </c>
      <c r="E433"/>
      <c r="H433" s="244" t="s">
        <v>388</v>
      </c>
      <c r="I433"/>
      <c r="J433" s="4"/>
      <c r="K433" s="6" t="e">
        <f>(K431+C19/10*F425)</f>
        <v>#REF!</v>
      </c>
      <c r="O433" s="244" t="s">
        <v>2234</v>
      </c>
      <c r="AG433" s="244" t="s">
        <v>2346</v>
      </c>
    </row>
    <row r="434" spans="1:33" hidden="1">
      <c r="A434" s="358">
        <f t="shared" si="21"/>
        <v>269</v>
      </c>
      <c r="B434" s="244" t="s">
        <v>1162</v>
      </c>
      <c r="C434" s="8">
        <v>6.86</v>
      </c>
      <c r="D434" s="1" t="s">
        <v>883</v>
      </c>
      <c r="E434"/>
      <c r="H434" s="244" t="s">
        <v>390</v>
      </c>
      <c r="I434"/>
      <c r="J434" s="4"/>
      <c r="K434" s="6" t="e">
        <f>(K433+C20/10*F425)</f>
        <v>#REF!</v>
      </c>
      <c r="O434" s="244" t="s">
        <v>2235</v>
      </c>
      <c r="AG434" s="244" t="s">
        <v>2346</v>
      </c>
    </row>
    <row r="435" spans="1:33" hidden="1">
      <c r="A435" s="358">
        <f t="shared" si="21"/>
        <v>270</v>
      </c>
      <c r="B435" s="244" t="s">
        <v>1164</v>
      </c>
      <c r="C435" s="8">
        <v>9.15</v>
      </c>
      <c r="D435" s="1" t="s">
        <v>883</v>
      </c>
      <c r="E435"/>
      <c r="H435" s="244" t="s">
        <v>2319</v>
      </c>
      <c r="I435"/>
      <c r="J435" s="4"/>
      <c r="K435" s="6" t="e">
        <f>(K434+C21/10*F425)</f>
        <v>#REF!</v>
      </c>
      <c r="O435" s="244" t="s">
        <v>2236</v>
      </c>
      <c r="AG435" s="244" t="s">
        <v>2346</v>
      </c>
    </row>
    <row r="436" spans="1:33" hidden="1">
      <c r="A436" s="358">
        <f t="shared" si="21"/>
        <v>271</v>
      </c>
      <c r="B436" s="244" t="s">
        <v>237</v>
      </c>
      <c r="C436" s="8">
        <v>14.59</v>
      </c>
      <c r="D436" s="1" t="s">
        <v>883</v>
      </c>
      <c r="E436"/>
      <c r="H436" s="244" t="s">
        <v>382</v>
      </c>
      <c r="I436"/>
      <c r="J436" s="4"/>
      <c r="K436" s="6" t="e">
        <f>(K435+C21/10*F425)</f>
        <v>#REF!</v>
      </c>
      <c r="O436" s="244" t="s">
        <v>2239</v>
      </c>
      <c r="AG436" s="244" t="s">
        <v>2346</v>
      </c>
    </row>
    <row r="437" spans="1:33" hidden="1">
      <c r="A437" s="358"/>
      <c r="B437" s="244"/>
      <c r="C437" s="8"/>
      <c r="D437" s="1"/>
      <c r="E437"/>
      <c r="H437" s="244" t="s">
        <v>847</v>
      </c>
      <c r="I437"/>
      <c r="J437" s="4"/>
      <c r="K437" s="6" t="e">
        <f>(K436+C22/10*F426)</f>
        <v>#REF!</v>
      </c>
      <c r="O437" s="244"/>
      <c r="AG437" s="244"/>
    </row>
    <row r="438" spans="1:33" hidden="1">
      <c r="A438" s="358">
        <f>(A436+1)</f>
        <v>272</v>
      </c>
      <c r="B438" s="244" t="s">
        <v>1165</v>
      </c>
      <c r="C438" s="8">
        <v>21.74</v>
      </c>
      <c r="D438" s="1" t="s">
        <v>883</v>
      </c>
      <c r="E438"/>
      <c r="H438" s="354" t="s">
        <v>2217</v>
      </c>
      <c r="I438"/>
      <c r="J438" s="4"/>
      <c r="K438" s="34"/>
      <c r="M438" s="251">
        <v>8</v>
      </c>
      <c r="N438" s="244" t="s">
        <v>781</v>
      </c>
      <c r="O438" s="244" t="s">
        <v>2218</v>
      </c>
      <c r="P438" s="251">
        <f>(C43)</f>
        <v>2.2000000000000002</v>
      </c>
      <c r="Q438" s="244" t="s">
        <v>781</v>
      </c>
      <c r="R438" s="251">
        <f>(M438*P438)</f>
        <v>17.600000000000001</v>
      </c>
      <c r="AG438" s="244" t="s">
        <v>2346</v>
      </c>
    </row>
    <row r="439" spans="1:33" hidden="1">
      <c r="A439" s="358">
        <f t="shared" ref="A439:A470" si="22">(A438+1)</f>
        <v>273</v>
      </c>
      <c r="B439" s="244" t="s">
        <v>2219</v>
      </c>
      <c r="C439"/>
      <c r="D439" s="1" t="s">
        <v>995</v>
      </c>
      <c r="E439"/>
      <c r="H439" s="354" t="s">
        <v>2192</v>
      </c>
      <c r="I439"/>
      <c r="J439" s="4"/>
      <c r="K439" s="34"/>
      <c r="M439" s="251">
        <v>8</v>
      </c>
      <c r="N439" s="244" t="s">
        <v>781</v>
      </c>
      <c r="O439" s="244" t="s">
        <v>467</v>
      </c>
      <c r="P439" s="251">
        <f>(C50)</f>
        <v>3.2</v>
      </c>
      <c r="Q439" s="244" t="s">
        <v>781</v>
      </c>
      <c r="R439" s="251">
        <f>(M439*P439)</f>
        <v>25.6</v>
      </c>
      <c r="AG439" s="244" t="s">
        <v>2346</v>
      </c>
    </row>
    <row r="440" spans="1:33" hidden="1">
      <c r="A440" s="358">
        <f t="shared" si="22"/>
        <v>274</v>
      </c>
      <c r="B440" s="244" t="s">
        <v>1159</v>
      </c>
      <c r="C440" s="8">
        <v>8.85</v>
      </c>
      <c r="D440" s="1" t="s">
        <v>883</v>
      </c>
      <c r="E440"/>
      <c r="F440" s="360">
        <v>12</v>
      </c>
      <c r="G440" s="250" t="s">
        <v>2338</v>
      </c>
      <c r="H440" s="244" t="s">
        <v>468</v>
      </c>
      <c r="I440"/>
      <c r="J440" s="4"/>
      <c r="K440" s="34"/>
      <c r="M440" s="251">
        <v>1</v>
      </c>
      <c r="N440" s="244" t="s">
        <v>448</v>
      </c>
      <c r="O440" s="244" t="s">
        <v>1770</v>
      </c>
      <c r="P440" s="251">
        <f>(C56)</f>
        <v>12.1</v>
      </c>
      <c r="Q440" s="244" t="s">
        <v>448</v>
      </c>
      <c r="R440" s="251">
        <f>(M440*P440)</f>
        <v>12.1</v>
      </c>
      <c r="AG440" s="244" t="s">
        <v>2346</v>
      </c>
    </row>
    <row r="441" spans="1:33" hidden="1">
      <c r="A441" s="358">
        <f t="shared" si="22"/>
        <v>275</v>
      </c>
      <c r="B441" s="244" t="s">
        <v>1160</v>
      </c>
      <c r="C441" s="8">
        <v>14</v>
      </c>
      <c r="D441" s="1" t="s">
        <v>883</v>
      </c>
      <c r="E441"/>
      <c r="H441" s="244" t="s">
        <v>1156</v>
      </c>
      <c r="I441"/>
      <c r="J441" s="4"/>
      <c r="K441" s="34"/>
      <c r="M441" s="251">
        <v>1</v>
      </c>
      <c r="N441" s="244" t="s">
        <v>448</v>
      </c>
      <c r="O441" s="244" t="s">
        <v>449</v>
      </c>
      <c r="Q441" s="244" t="s">
        <v>448</v>
      </c>
      <c r="R441" s="251">
        <v>0</v>
      </c>
      <c r="AG441" s="244" t="s">
        <v>2346</v>
      </c>
    </row>
    <row r="442" spans="1:33" hidden="1">
      <c r="A442" s="358">
        <f t="shared" si="22"/>
        <v>276</v>
      </c>
      <c r="B442" s="244" t="s">
        <v>1161</v>
      </c>
      <c r="C442" s="8">
        <v>20.7</v>
      </c>
      <c r="D442" s="1" t="s">
        <v>883</v>
      </c>
      <c r="E442"/>
      <c r="H442" s="248" t="s">
        <v>1667</v>
      </c>
      <c r="I442"/>
      <c r="J442" s="4"/>
      <c r="K442" s="34"/>
      <c r="R442" s="248" t="s">
        <v>1667</v>
      </c>
      <c r="AG442" s="244" t="s">
        <v>2346</v>
      </c>
    </row>
    <row r="443" spans="1:33" hidden="1">
      <c r="A443" s="358">
        <f t="shared" si="22"/>
        <v>277</v>
      </c>
      <c r="B443" s="244" t="s">
        <v>1162</v>
      </c>
      <c r="C443" s="8">
        <v>41.82</v>
      </c>
      <c r="D443" s="1" t="s">
        <v>883</v>
      </c>
      <c r="E443"/>
      <c r="F443" s="251">
        <v>6570</v>
      </c>
      <c r="G443" s="250" t="s">
        <v>1485</v>
      </c>
      <c r="H443" s="244" t="s">
        <v>1647</v>
      </c>
      <c r="I443" s="8" t="e">
        <f>(C77)</f>
        <v>#REF!</v>
      </c>
      <c r="J443" s="2" t="s">
        <v>1675</v>
      </c>
      <c r="K443" s="6" t="e">
        <f>(F443*I443)/1000</f>
        <v>#REF!</v>
      </c>
      <c r="O443" s="244" t="s">
        <v>1621</v>
      </c>
      <c r="R443" s="251">
        <f>SUM(R430:R441)</f>
        <v>584.08000000000004</v>
      </c>
      <c r="AG443" s="244" t="s">
        <v>325</v>
      </c>
    </row>
    <row r="444" spans="1:33" hidden="1">
      <c r="A444" s="358">
        <f t="shared" si="22"/>
        <v>278</v>
      </c>
      <c r="B444" s="244" t="s">
        <v>1164</v>
      </c>
      <c r="C444" s="8">
        <v>61.78</v>
      </c>
      <c r="D444" s="1" t="s">
        <v>883</v>
      </c>
      <c r="E444"/>
      <c r="F444" s="251">
        <v>1.91</v>
      </c>
      <c r="G444" s="250" t="s">
        <v>884</v>
      </c>
      <c r="H444" s="244" t="s">
        <v>1364</v>
      </c>
      <c r="I444" s="8" t="e">
        <f>(K40)</f>
        <v>#REF!</v>
      </c>
      <c r="J444" s="2" t="s">
        <v>884</v>
      </c>
      <c r="K444" s="6" t="e">
        <f>(F444*I444)</f>
        <v>#REF!</v>
      </c>
      <c r="R444" s="248" t="s">
        <v>1667</v>
      </c>
    </row>
    <row r="445" spans="1:33" hidden="1">
      <c r="A445" s="358">
        <f t="shared" si="22"/>
        <v>279</v>
      </c>
      <c r="B445" s="244" t="s">
        <v>237</v>
      </c>
      <c r="C445" s="8">
        <v>97.93</v>
      </c>
      <c r="D445" s="1" t="s">
        <v>883</v>
      </c>
      <c r="E445"/>
      <c r="F445" s="251">
        <v>7</v>
      </c>
      <c r="G445" s="250" t="s">
        <v>883</v>
      </c>
      <c r="H445" s="244" t="s">
        <v>2082</v>
      </c>
      <c r="I445" s="8">
        <f>(C10)</f>
        <v>150</v>
      </c>
      <c r="J445" s="2" t="s">
        <v>883</v>
      </c>
      <c r="K445" s="6">
        <f>(F445*I445)</f>
        <v>1050</v>
      </c>
      <c r="O445" s="244" t="s">
        <v>1622</v>
      </c>
      <c r="R445" s="251">
        <f>(R443/30)</f>
        <v>19.47</v>
      </c>
    </row>
    <row r="446" spans="1:33" hidden="1">
      <c r="A446" s="358">
        <f t="shared" si="22"/>
        <v>280</v>
      </c>
      <c r="B446" s="244" t="s">
        <v>1165</v>
      </c>
      <c r="C446" s="8">
        <v>156.5</v>
      </c>
      <c r="D446" s="1" t="s">
        <v>883</v>
      </c>
      <c r="E446"/>
      <c r="F446" s="251">
        <v>3.6</v>
      </c>
      <c r="G446" s="250" t="s">
        <v>883</v>
      </c>
      <c r="H446" s="244" t="s">
        <v>1791</v>
      </c>
      <c r="I446" s="8">
        <f>(C11)</f>
        <v>135</v>
      </c>
      <c r="J446" s="2" t="s">
        <v>883</v>
      </c>
      <c r="K446" s="6">
        <f>(F446*I446)</f>
        <v>486</v>
      </c>
      <c r="R446" s="248" t="s">
        <v>1667</v>
      </c>
      <c r="AG446" s="244" t="s">
        <v>2346</v>
      </c>
    </row>
    <row r="447" spans="1:33" hidden="1">
      <c r="A447" s="358">
        <f t="shared" si="22"/>
        <v>281</v>
      </c>
      <c r="B447" s="244" t="s">
        <v>1634</v>
      </c>
      <c r="C447"/>
      <c r="D447" s="1" t="s">
        <v>995</v>
      </c>
      <c r="E447"/>
      <c r="F447" s="251">
        <v>7.1</v>
      </c>
      <c r="G447" s="250" t="s">
        <v>883</v>
      </c>
      <c r="H447" s="244" t="s">
        <v>1979</v>
      </c>
      <c r="I447" s="8">
        <f>(C12)</f>
        <v>95</v>
      </c>
      <c r="J447" s="2" t="s">
        <v>883</v>
      </c>
      <c r="K447" s="6">
        <f>(F447*I447)</f>
        <v>674.5</v>
      </c>
      <c r="N447" s="244" t="s">
        <v>1635</v>
      </c>
      <c r="O447" s="354" t="s">
        <v>1036</v>
      </c>
      <c r="AG447" s="244" t="s">
        <v>2346</v>
      </c>
    </row>
    <row r="448" spans="1:33" hidden="1">
      <c r="A448" s="358">
        <f t="shared" si="22"/>
        <v>282</v>
      </c>
      <c r="B448" s="244" t="s">
        <v>1159</v>
      </c>
      <c r="C448" s="8">
        <v>3.2</v>
      </c>
      <c r="D448" s="1" t="s">
        <v>883</v>
      </c>
      <c r="E448"/>
      <c r="F448" s="251">
        <v>14.1</v>
      </c>
      <c r="G448" s="250" t="s">
        <v>883</v>
      </c>
      <c r="H448" s="244" t="s">
        <v>324</v>
      </c>
      <c r="I448" s="8">
        <f>(C13)</f>
        <v>85</v>
      </c>
      <c r="J448" s="2" t="s">
        <v>883</v>
      </c>
      <c r="K448" s="6">
        <f>(F448*I448)</f>
        <v>1198.5</v>
      </c>
      <c r="O448" s="248" t="s">
        <v>1667</v>
      </c>
      <c r="AG448" s="244" t="s">
        <v>2346</v>
      </c>
    </row>
    <row r="449" spans="1:33" hidden="1">
      <c r="A449" s="358">
        <f t="shared" si="22"/>
        <v>283</v>
      </c>
      <c r="B449" s="244" t="s">
        <v>1160</v>
      </c>
      <c r="C449" s="8">
        <v>4.7</v>
      </c>
      <c r="D449" s="1" t="s">
        <v>883</v>
      </c>
      <c r="E449"/>
      <c r="G449" s="250" t="s">
        <v>448</v>
      </c>
      <c r="H449" s="244" t="s">
        <v>449</v>
      </c>
      <c r="I449" s="1" t="s">
        <v>995</v>
      </c>
      <c r="J449" s="2" t="s">
        <v>448</v>
      </c>
      <c r="K449" s="6">
        <v>0</v>
      </c>
      <c r="M449" s="251">
        <v>8.1</v>
      </c>
      <c r="N449" s="244" t="s">
        <v>884</v>
      </c>
      <c r="O449" s="244" t="s">
        <v>621</v>
      </c>
      <c r="P449" s="251">
        <f>(C61)*2</f>
        <v>50</v>
      </c>
      <c r="Q449" s="244" t="s">
        <v>884</v>
      </c>
      <c r="R449" s="251">
        <f>(M449*P449)</f>
        <v>405</v>
      </c>
      <c r="AG449" s="244" t="s">
        <v>2346</v>
      </c>
    </row>
    <row r="450" spans="1:33" hidden="1">
      <c r="A450" s="358">
        <f t="shared" si="22"/>
        <v>284</v>
      </c>
      <c r="B450" s="244" t="s">
        <v>1161</v>
      </c>
      <c r="C450" s="8">
        <v>7.65</v>
      </c>
      <c r="D450" s="1" t="s">
        <v>883</v>
      </c>
      <c r="E450"/>
      <c r="I450"/>
      <c r="J450" s="4"/>
      <c r="K450" s="6" t="s">
        <v>1667</v>
      </c>
      <c r="M450" s="251">
        <v>8.1</v>
      </c>
      <c r="N450" s="244" t="s">
        <v>884</v>
      </c>
      <c r="O450" s="244" t="s">
        <v>2232</v>
      </c>
      <c r="P450" s="251">
        <f>(C26)</f>
        <v>8.8000000000000007</v>
      </c>
      <c r="Q450" s="244" t="s">
        <v>884</v>
      </c>
      <c r="R450" s="251">
        <f>(M450*P450)</f>
        <v>71.28</v>
      </c>
      <c r="AG450" s="244" t="s">
        <v>2346</v>
      </c>
    </row>
    <row r="451" spans="1:33" hidden="1">
      <c r="A451" s="358">
        <f t="shared" si="22"/>
        <v>285</v>
      </c>
      <c r="B451" s="244" t="s">
        <v>1162</v>
      </c>
      <c r="C451" s="8">
        <v>30.93</v>
      </c>
      <c r="D451" s="1" t="s">
        <v>883</v>
      </c>
      <c r="E451"/>
      <c r="H451" s="244" t="s">
        <v>618</v>
      </c>
      <c r="I451"/>
      <c r="J451" s="4"/>
      <c r="K451" s="6" t="e">
        <f>SUM(K443:K449)</f>
        <v>#REF!</v>
      </c>
      <c r="M451" s="251">
        <v>30</v>
      </c>
      <c r="N451" s="244" t="s">
        <v>1854</v>
      </c>
      <c r="O451" s="244" t="s">
        <v>2233</v>
      </c>
      <c r="P451" s="251">
        <f>(C42)</f>
        <v>1.75</v>
      </c>
      <c r="Q451" s="244" t="s">
        <v>1854</v>
      </c>
      <c r="R451" s="251">
        <f>(M451*P451)</f>
        <v>52.5</v>
      </c>
      <c r="AG451" s="244" t="s">
        <v>2346</v>
      </c>
    </row>
    <row r="452" spans="1:33" hidden="1">
      <c r="A452" s="358">
        <f t="shared" si="22"/>
        <v>286</v>
      </c>
      <c r="B452" s="244" t="s">
        <v>1164</v>
      </c>
      <c r="C452" s="8">
        <v>39.630000000000003</v>
      </c>
      <c r="D452" s="1" t="s">
        <v>883</v>
      </c>
      <c r="E452"/>
      <c r="I452"/>
      <c r="J452" s="4"/>
      <c r="K452" s="6" t="s">
        <v>1667</v>
      </c>
      <c r="O452" s="244" t="s">
        <v>2234</v>
      </c>
      <c r="AG452" s="244" t="s">
        <v>2346</v>
      </c>
    </row>
    <row r="453" spans="1:33" hidden="1">
      <c r="A453" s="358">
        <f t="shared" si="22"/>
        <v>287</v>
      </c>
      <c r="B453" s="244" t="s">
        <v>237</v>
      </c>
      <c r="C453" s="8">
        <v>70.47</v>
      </c>
      <c r="D453" s="1" t="s">
        <v>883</v>
      </c>
      <c r="E453"/>
      <c r="H453" s="244" t="s">
        <v>785</v>
      </c>
      <c r="I453"/>
      <c r="J453" s="4"/>
      <c r="K453" s="6" t="e">
        <f>(K451/10)</f>
        <v>#REF!</v>
      </c>
      <c r="O453" s="244" t="s">
        <v>2235</v>
      </c>
      <c r="AG453" s="244" t="s">
        <v>2346</v>
      </c>
    </row>
    <row r="454" spans="1:33" hidden="1">
      <c r="A454" s="358">
        <f t="shared" si="22"/>
        <v>288</v>
      </c>
      <c r="B454" s="244" t="s">
        <v>1165</v>
      </c>
      <c r="C454" s="8">
        <v>70.47</v>
      </c>
      <c r="D454" s="1" t="s">
        <v>883</v>
      </c>
      <c r="E454"/>
      <c r="I454"/>
      <c r="J454" s="4"/>
      <c r="K454" s="6" t="s">
        <v>2130</v>
      </c>
      <c r="O454" s="244" t="s">
        <v>2236</v>
      </c>
      <c r="AG454" s="244" t="s">
        <v>2346</v>
      </c>
    </row>
    <row r="455" spans="1:33" hidden="1">
      <c r="A455" s="358">
        <f t="shared" si="22"/>
        <v>289</v>
      </c>
      <c r="B455" s="244" t="s">
        <v>2376</v>
      </c>
      <c r="C455"/>
      <c r="D455" s="1" t="s">
        <v>995</v>
      </c>
      <c r="E455"/>
      <c r="I455"/>
      <c r="J455" s="4"/>
      <c r="K455" s="34"/>
      <c r="O455" s="244" t="s">
        <v>2239</v>
      </c>
      <c r="AG455" s="244" t="s">
        <v>2346</v>
      </c>
    </row>
    <row r="456" spans="1:33" hidden="1">
      <c r="A456" s="358">
        <f t="shared" si="22"/>
        <v>290</v>
      </c>
      <c r="B456" s="244" t="s">
        <v>1159</v>
      </c>
      <c r="C456" s="8">
        <v>158.91999999999999</v>
      </c>
      <c r="D456" s="1" t="s">
        <v>883</v>
      </c>
      <c r="E456"/>
      <c r="G456" s="250" t="s">
        <v>2338</v>
      </c>
      <c r="H456" s="244" t="s">
        <v>157</v>
      </c>
      <c r="I456"/>
      <c r="J456" s="4"/>
      <c r="K456" s="34"/>
      <c r="M456" s="251">
        <v>8</v>
      </c>
      <c r="N456" s="244" t="s">
        <v>781</v>
      </c>
      <c r="O456" s="244" t="s">
        <v>2218</v>
      </c>
      <c r="P456" s="251">
        <f>(C44)</f>
        <v>2.2000000000000002</v>
      </c>
      <c r="Q456" s="244" t="s">
        <v>781</v>
      </c>
      <c r="R456" s="251">
        <f>(M456*P456)</f>
        <v>17.600000000000001</v>
      </c>
      <c r="AG456" s="244" t="s">
        <v>2346</v>
      </c>
    </row>
    <row r="457" spans="1:33" hidden="1">
      <c r="A457" s="358">
        <f t="shared" si="22"/>
        <v>291</v>
      </c>
      <c r="B457" s="244" t="s">
        <v>1160</v>
      </c>
      <c r="C457" s="8">
        <v>263.04000000000002</v>
      </c>
      <c r="D457" s="1" t="s">
        <v>883</v>
      </c>
      <c r="E457"/>
      <c r="H457" s="248" t="s">
        <v>1667</v>
      </c>
      <c r="I457"/>
      <c r="J457" s="4"/>
      <c r="K457" s="34"/>
      <c r="M457" s="251">
        <v>8</v>
      </c>
      <c r="N457" s="244" t="s">
        <v>781</v>
      </c>
      <c r="O457" s="244" t="s">
        <v>467</v>
      </c>
      <c r="P457" s="251">
        <f>(C51)</f>
        <v>3.2</v>
      </c>
      <c r="Q457" s="244" t="s">
        <v>781</v>
      </c>
      <c r="R457" s="251">
        <f>(M457*P457)</f>
        <v>25.6</v>
      </c>
      <c r="AG457" s="244" t="s">
        <v>2346</v>
      </c>
    </row>
    <row r="458" spans="1:33" hidden="1">
      <c r="A458" s="358">
        <f t="shared" si="22"/>
        <v>292</v>
      </c>
      <c r="B458" s="244" t="s">
        <v>1161</v>
      </c>
      <c r="C458"/>
      <c r="D458" s="1" t="s">
        <v>995</v>
      </c>
      <c r="E458"/>
      <c r="F458" s="251">
        <v>0.5</v>
      </c>
      <c r="G458" s="250" t="s">
        <v>884</v>
      </c>
      <c r="H458" s="244" t="s">
        <v>2367</v>
      </c>
      <c r="I458" s="8" t="e">
        <f>(K453)</f>
        <v>#REF!</v>
      </c>
      <c r="J458" s="2" t="s">
        <v>883</v>
      </c>
      <c r="K458" s="6" t="e">
        <f>(F458*I458)</f>
        <v>#REF!</v>
      </c>
      <c r="M458" s="251">
        <v>1</v>
      </c>
      <c r="N458" s="244" t="s">
        <v>448</v>
      </c>
      <c r="O458" s="244" t="s">
        <v>1770</v>
      </c>
      <c r="P458" s="251">
        <f>(C56)</f>
        <v>12.1</v>
      </c>
      <c r="Q458" s="244" t="s">
        <v>448</v>
      </c>
      <c r="R458" s="251">
        <f>(M458*P458)</f>
        <v>12.1</v>
      </c>
      <c r="AG458" s="244" t="s">
        <v>2346</v>
      </c>
    </row>
    <row r="459" spans="1:33" hidden="1">
      <c r="A459" s="358">
        <f t="shared" si="22"/>
        <v>293</v>
      </c>
      <c r="B459" s="244" t="s">
        <v>1223</v>
      </c>
      <c r="C459" s="8">
        <v>1.2</v>
      </c>
      <c r="D459" s="1" t="s">
        <v>883</v>
      </c>
      <c r="E459"/>
      <c r="F459" s="251">
        <v>1</v>
      </c>
      <c r="G459" s="250" t="s">
        <v>781</v>
      </c>
      <c r="H459" s="244" t="s">
        <v>2082</v>
      </c>
      <c r="I459" s="8">
        <f>(C10)</f>
        <v>150</v>
      </c>
      <c r="J459" s="2" t="s">
        <v>883</v>
      </c>
      <c r="K459" s="6">
        <f>(F459*I459)</f>
        <v>150</v>
      </c>
      <c r="M459" s="251">
        <v>1</v>
      </c>
      <c r="N459" s="244" t="s">
        <v>448</v>
      </c>
      <c r="O459" s="244" t="s">
        <v>449</v>
      </c>
      <c r="Q459" s="244" t="s">
        <v>448</v>
      </c>
      <c r="R459" s="251">
        <v>0</v>
      </c>
      <c r="AG459" s="244" t="s">
        <v>2346</v>
      </c>
    </row>
    <row r="460" spans="1:33" hidden="1">
      <c r="A460" s="358">
        <f t="shared" si="22"/>
        <v>294</v>
      </c>
      <c r="B460" s="244" t="s">
        <v>1119</v>
      </c>
      <c r="C460" s="8">
        <v>0.85</v>
      </c>
      <c r="D460" s="1" t="s">
        <v>883</v>
      </c>
      <c r="E460"/>
      <c r="G460" s="250" t="s">
        <v>448</v>
      </c>
      <c r="H460" s="244" t="s">
        <v>449</v>
      </c>
      <c r="I460" s="1" t="s">
        <v>995</v>
      </c>
      <c r="J460" s="2" t="s">
        <v>448</v>
      </c>
      <c r="K460" s="6">
        <v>0</v>
      </c>
      <c r="R460" s="248" t="s">
        <v>1667</v>
      </c>
      <c r="AG460" s="244" t="s">
        <v>2346</v>
      </c>
    </row>
    <row r="461" spans="1:33" hidden="1">
      <c r="A461" s="358">
        <f t="shared" si="22"/>
        <v>295</v>
      </c>
      <c r="B461" s="244" t="s">
        <v>1120</v>
      </c>
      <c r="C461" s="8">
        <v>350</v>
      </c>
      <c r="D461" s="8">
        <v>375</v>
      </c>
      <c r="E461"/>
      <c r="I461"/>
      <c r="J461" s="4"/>
      <c r="K461" s="6" t="s">
        <v>1667</v>
      </c>
      <c r="O461" s="244" t="s">
        <v>1621</v>
      </c>
      <c r="R461" s="251">
        <f>SUM(R449:R459)</f>
        <v>584.08000000000004</v>
      </c>
      <c r="AG461" s="244" t="s">
        <v>2346</v>
      </c>
    </row>
    <row r="462" spans="1:33" hidden="1">
      <c r="A462" s="358">
        <f t="shared" si="22"/>
        <v>296</v>
      </c>
      <c r="B462" s="244" t="s">
        <v>2169</v>
      </c>
      <c r="C462" s="8">
        <v>400</v>
      </c>
      <c r="D462" s="8">
        <v>425</v>
      </c>
      <c r="E462"/>
      <c r="H462" s="244" t="s">
        <v>440</v>
      </c>
      <c r="I462"/>
      <c r="J462" s="4"/>
      <c r="K462" s="6" t="e">
        <f>SUM(K458:K460)</f>
        <v>#REF!</v>
      </c>
      <c r="R462" s="248" t="s">
        <v>1667</v>
      </c>
      <c r="AG462" s="244" t="s">
        <v>2346</v>
      </c>
    </row>
    <row r="463" spans="1:33" hidden="1">
      <c r="A463" s="358">
        <f t="shared" si="22"/>
        <v>297</v>
      </c>
      <c r="B463" s="244" t="s">
        <v>1091</v>
      </c>
      <c r="C463" s="8">
        <v>450</v>
      </c>
      <c r="D463" s="8">
        <v>500</v>
      </c>
      <c r="E463"/>
      <c r="I463"/>
      <c r="J463" s="4"/>
      <c r="K463" s="6" t="s">
        <v>1667</v>
      </c>
      <c r="O463" s="244" t="s">
        <v>1622</v>
      </c>
      <c r="R463" s="251">
        <f>(R461/30)</f>
        <v>19.47</v>
      </c>
      <c r="AG463" s="244" t="s">
        <v>2346</v>
      </c>
    </row>
    <row r="464" spans="1:33" hidden="1">
      <c r="A464" s="358">
        <f t="shared" si="22"/>
        <v>298</v>
      </c>
      <c r="B464" s="244" t="s">
        <v>2029</v>
      </c>
      <c r="C464" s="8">
        <v>77.819999999999993</v>
      </c>
      <c r="D464" s="1" t="s">
        <v>883</v>
      </c>
      <c r="E464"/>
      <c r="H464" s="244" t="s">
        <v>555</v>
      </c>
      <c r="I464"/>
      <c r="J464" s="4"/>
      <c r="K464" s="6" t="e">
        <f>(K462/10)</f>
        <v>#REF!</v>
      </c>
      <c r="R464" s="248" t="s">
        <v>1667</v>
      </c>
      <c r="AG464" s="244" t="s">
        <v>2346</v>
      </c>
    </row>
    <row r="465" spans="1:33" hidden="1">
      <c r="A465" s="358">
        <f t="shared" si="22"/>
        <v>299</v>
      </c>
      <c r="B465" s="244" t="s">
        <v>2030</v>
      </c>
      <c r="C465" s="8">
        <v>99.74</v>
      </c>
      <c r="D465" s="1" t="s">
        <v>883</v>
      </c>
      <c r="E465"/>
      <c r="I465"/>
      <c r="J465" s="4"/>
      <c r="K465" s="6" t="s">
        <v>2130</v>
      </c>
      <c r="N465" s="244" t="s">
        <v>2031</v>
      </c>
      <c r="O465" s="354" t="s">
        <v>2032</v>
      </c>
      <c r="AG465" s="244" t="s">
        <v>2346</v>
      </c>
    </row>
    <row r="466" spans="1:33" hidden="1">
      <c r="A466" s="358">
        <f t="shared" si="22"/>
        <v>300</v>
      </c>
      <c r="B466" s="244" t="s">
        <v>1161</v>
      </c>
      <c r="C466" s="8">
        <v>165</v>
      </c>
      <c r="D466" s="1" t="s">
        <v>883</v>
      </c>
      <c r="E466"/>
      <c r="H466" s="244" t="s">
        <v>388</v>
      </c>
      <c r="I466"/>
      <c r="J466" s="4"/>
      <c r="K466" s="6" t="e">
        <f>(K464+C19/10*F458)</f>
        <v>#REF!</v>
      </c>
      <c r="O466" s="248" t="s">
        <v>1667</v>
      </c>
      <c r="AG466" s="244" t="s">
        <v>2346</v>
      </c>
    </row>
    <row r="467" spans="1:33" hidden="1">
      <c r="A467" s="358">
        <f t="shared" si="22"/>
        <v>301</v>
      </c>
      <c r="B467" s="244" t="s">
        <v>1162</v>
      </c>
      <c r="C467" s="8">
        <v>258</v>
      </c>
      <c r="D467" s="1" t="s">
        <v>883</v>
      </c>
      <c r="E467"/>
      <c r="H467" s="244" t="s">
        <v>390</v>
      </c>
      <c r="I467"/>
      <c r="J467" s="4"/>
      <c r="K467" s="6" t="e">
        <f>(K466+C20/10*F458)</f>
        <v>#REF!</v>
      </c>
      <c r="M467" s="251">
        <v>8.1</v>
      </c>
      <c r="N467" s="244" t="s">
        <v>884</v>
      </c>
      <c r="O467" s="244" t="s">
        <v>621</v>
      </c>
      <c r="P467" s="251">
        <f>(C61)*2</f>
        <v>50</v>
      </c>
      <c r="Q467" s="244" t="s">
        <v>884</v>
      </c>
      <c r="R467" s="251">
        <f>(M467*P467)</f>
        <v>405</v>
      </c>
      <c r="AG467" s="244" t="s">
        <v>2346</v>
      </c>
    </row>
    <row r="468" spans="1:33" hidden="1">
      <c r="A468" s="358">
        <f t="shared" si="22"/>
        <v>302</v>
      </c>
      <c r="B468" s="244" t="s">
        <v>1164</v>
      </c>
      <c r="C468" s="8">
        <v>298</v>
      </c>
      <c r="D468" s="1" t="s">
        <v>883</v>
      </c>
      <c r="E468"/>
      <c r="H468" s="244" t="s">
        <v>2319</v>
      </c>
      <c r="I468"/>
      <c r="J468" s="4"/>
      <c r="K468" s="6" t="e">
        <f>(K467+C21/10*F458)</f>
        <v>#REF!</v>
      </c>
      <c r="M468" s="251">
        <v>8.1</v>
      </c>
      <c r="N468" s="244" t="s">
        <v>884</v>
      </c>
      <c r="O468" s="244" t="s">
        <v>2232</v>
      </c>
      <c r="P468" s="251">
        <f>(C26)</f>
        <v>8.8000000000000007</v>
      </c>
      <c r="Q468" s="244" t="s">
        <v>884</v>
      </c>
      <c r="R468" s="251">
        <f>(M468*P468)</f>
        <v>71.28</v>
      </c>
      <c r="AG468" s="244" t="s">
        <v>2346</v>
      </c>
    </row>
    <row r="469" spans="1:33" hidden="1">
      <c r="A469" s="358">
        <f t="shared" si="22"/>
        <v>303</v>
      </c>
      <c r="B469" s="244" t="s">
        <v>237</v>
      </c>
      <c r="C469" s="8">
        <v>398</v>
      </c>
      <c r="D469" s="1" t="s">
        <v>883</v>
      </c>
      <c r="E469"/>
      <c r="H469" s="244" t="s">
        <v>382</v>
      </c>
      <c r="I469"/>
      <c r="J469" s="4"/>
      <c r="K469" s="6" t="e">
        <f>(K468+C21/10*F458)</f>
        <v>#REF!</v>
      </c>
      <c r="M469" s="251">
        <v>30</v>
      </c>
      <c r="N469" s="244" t="s">
        <v>1854</v>
      </c>
      <c r="O469" s="244" t="s">
        <v>2233</v>
      </c>
      <c r="P469" s="251">
        <f>(C42)</f>
        <v>1.75</v>
      </c>
      <c r="Q469" s="244" t="s">
        <v>1854</v>
      </c>
      <c r="R469" s="251">
        <f>(M469*P469)</f>
        <v>52.5</v>
      </c>
      <c r="AG469" s="244" t="s">
        <v>2346</v>
      </c>
    </row>
    <row r="470" spans="1:33" hidden="1">
      <c r="A470" s="358">
        <f t="shared" si="22"/>
        <v>304</v>
      </c>
      <c r="B470" s="244" t="s">
        <v>1165</v>
      </c>
      <c r="C470"/>
      <c r="D470" s="1" t="s">
        <v>883</v>
      </c>
      <c r="E470"/>
      <c r="H470" s="244" t="s">
        <v>1595</v>
      </c>
      <c r="I470"/>
      <c r="J470" s="4"/>
      <c r="K470" s="6" t="e">
        <f>(K469+C22/10*F459)</f>
        <v>#REF!</v>
      </c>
      <c r="O470" s="244" t="s">
        <v>2234</v>
      </c>
      <c r="AG470" s="244" t="s">
        <v>2346</v>
      </c>
    </row>
    <row r="471" spans="1:33" hidden="1">
      <c r="A471" s="358">
        <f t="shared" ref="A471:A489" si="23">(A470+1)</f>
        <v>305</v>
      </c>
      <c r="B471" s="244" t="s">
        <v>3084</v>
      </c>
      <c r="C471"/>
      <c r="D471" s="1" t="s">
        <v>883</v>
      </c>
      <c r="E471"/>
      <c r="F471" s="354" t="s">
        <v>2033</v>
      </c>
      <c r="G471" s="250" t="s">
        <v>2338</v>
      </c>
      <c r="H471" s="244" t="s">
        <v>2034</v>
      </c>
      <c r="I471"/>
      <c r="J471" s="4"/>
      <c r="K471" s="34"/>
      <c r="O471" s="244" t="s">
        <v>2235</v>
      </c>
      <c r="AG471" s="244" t="s">
        <v>2346</v>
      </c>
    </row>
    <row r="472" spans="1:33" hidden="1">
      <c r="A472" s="358">
        <f t="shared" si="23"/>
        <v>306</v>
      </c>
      <c r="B472" s="244" t="s">
        <v>1159</v>
      </c>
      <c r="C472" s="8">
        <v>130</v>
      </c>
      <c r="D472" s="1" t="s">
        <v>883</v>
      </c>
      <c r="E472"/>
      <c r="H472" s="244" t="s">
        <v>2325</v>
      </c>
      <c r="I472"/>
      <c r="J472" s="4"/>
      <c r="K472" s="34"/>
      <c r="O472" s="244" t="s">
        <v>2236</v>
      </c>
      <c r="AG472" s="244" t="s">
        <v>2346</v>
      </c>
    </row>
    <row r="473" spans="1:33" hidden="1">
      <c r="A473" s="358">
        <f t="shared" si="23"/>
        <v>307</v>
      </c>
      <c r="B473" s="244" t="s">
        <v>1160</v>
      </c>
      <c r="C473" s="8">
        <v>178</v>
      </c>
      <c r="D473" s="1" t="s">
        <v>883</v>
      </c>
      <c r="E473"/>
      <c r="H473" s="248" t="s">
        <v>1667</v>
      </c>
      <c r="I473"/>
      <c r="J473" s="4"/>
      <c r="K473" s="34"/>
      <c r="O473" s="244" t="s">
        <v>2239</v>
      </c>
      <c r="AG473" s="244" t="s">
        <v>2346</v>
      </c>
    </row>
    <row r="474" spans="1:33" hidden="1">
      <c r="A474" s="358">
        <f t="shared" si="23"/>
        <v>308</v>
      </c>
      <c r="B474" s="244" t="s">
        <v>1161</v>
      </c>
      <c r="C474" s="8">
        <v>279</v>
      </c>
      <c r="D474" s="1" t="s">
        <v>883</v>
      </c>
      <c r="E474"/>
      <c r="F474" s="251">
        <v>1</v>
      </c>
      <c r="G474" s="250" t="s">
        <v>884</v>
      </c>
      <c r="H474" s="244" t="s">
        <v>2326</v>
      </c>
      <c r="I474" s="8">
        <f>(C26)</f>
        <v>8.8000000000000007</v>
      </c>
      <c r="J474" s="2" t="s">
        <v>884</v>
      </c>
      <c r="K474" s="6">
        <f>(F474*I474)</f>
        <v>8.8000000000000007</v>
      </c>
      <c r="M474" s="251">
        <v>8</v>
      </c>
      <c r="N474" s="244" t="s">
        <v>781</v>
      </c>
      <c r="O474" s="244" t="s">
        <v>2218</v>
      </c>
      <c r="P474" s="251">
        <f>(C45)</f>
        <v>2.7</v>
      </c>
      <c r="Q474" s="244" t="s">
        <v>781</v>
      </c>
      <c r="R474" s="251">
        <f>(M474*P474)</f>
        <v>21.6</v>
      </c>
      <c r="AG474" s="244" t="s">
        <v>2346</v>
      </c>
    </row>
    <row r="475" spans="1:33" hidden="1">
      <c r="A475" s="358">
        <f t="shared" si="23"/>
        <v>309</v>
      </c>
      <c r="B475" s="244" t="s">
        <v>1162</v>
      </c>
      <c r="C475" s="8">
        <v>394</v>
      </c>
      <c r="D475" s="1" t="s">
        <v>883</v>
      </c>
      <c r="E475"/>
      <c r="I475"/>
      <c r="J475" s="4"/>
      <c r="K475" s="6" t="s">
        <v>2130</v>
      </c>
      <c r="M475" s="251">
        <v>8</v>
      </c>
      <c r="N475" s="244" t="s">
        <v>781</v>
      </c>
      <c r="O475" s="244" t="s">
        <v>467</v>
      </c>
      <c r="P475" s="251">
        <f>(C52)</f>
        <v>6.4</v>
      </c>
      <c r="Q475" s="244" t="s">
        <v>781</v>
      </c>
      <c r="R475" s="251">
        <f>(M475*P475)</f>
        <v>51.2</v>
      </c>
      <c r="AG475" s="244" t="s">
        <v>2346</v>
      </c>
    </row>
    <row r="476" spans="1:33" hidden="1">
      <c r="A476" s="358">
        <f t="shared" si="23"/>
        <v>310</v>
      </c>
      <c r="B476" s="244" t="s">
        <v>1164</v>
      </c>
      <c r="C476" s="8">
        <v>508</v>
      </c>
      <c r="D476" s="1" t="s">
        <v>883</v>
      </c>
      <c r="E476"/>
      <c r="F476" s="364">
        <v>7.3</v>
      </c>
      <c r="G476" s="250" t="s">
        <v>2338</v>
      </c>
      <c r="H476" s="244" t="s">
        <v>2327</v>
      </c>
      <c r="I476"/>
      <c r="J476" s="4"/>
      <c r="K476" s="34"/>
      <c r="M476" s="251">
        <v>1</v>
      </c>
      <c r="N476" s="244" t="s">
        <v>448</v>
      </c>
      <c r="O476" s="244" t="s">
        <v>1770</v>
      </c>
      <c r="P476" s="251">
        <f>(C56)</f>
        <v>12.1</v>
      </c>
      <c r="Q476" s="244" t="s">
        <v>448</v>
      </c>
      <c r="R476" s="251">
        <f>(M476*P476)</f>
        <v>12.1</v>
      </c>
      <c r="AG476" s="244" t="s">
        <v>2346</v>
      </c>
    </row>
    <row r="477" spans="1:33" hidden="1">
      <c r="A477" s="358">
        <f t="shared" si="23"/>
        <v>311</v>
      </c>
      <c r="B477" s="244" t="s">
        <v>237</v>
      </c>
      <c r="C477" s="8">
        <v>709</v>
      </c>
      <c r="D477" s="1" t="s">
        <v>883</v>
      </c>
      <c r="E477"/>
      <c r="F477" s="244" t="s">
        <v>995</v>
      </c>
      <c r="H477" s="244" t="s">
        <v>982</v>
      </c>
      <c r="I477"/>
      <c r="J477" s="4"/>
      <c r="K477" s="34"/>
      <c r="M477" s="251">
        <v>1</v>
      </c>
      <c r="N477" s="244" t="s">
        <v>448</v>
      </c>
      <c r="O477" s="244" t="s">
        <v>449</v>
      </c>
      <c r="Q477" s="244" t="s">
        <v>448</v>
      </c>
      <c r="R477" s="251">
        <v>0</v>
      </c>
      <c r="AG477" s="244" t="s">
        <v>2346</v>
      </c>
    </row>
    <row r="478" spans="1:33" hidden="1">
      <c r="A478" s="358">
        <f t="shared" si="23"/>
        <v>312</v>
      </c>
      <c r="B478" s="244" t="s">
        <v>1165</v>
      </c>
      <c r="C478"/>
      <c r="D478" s="1" t="s">
        <v>883</v>
      </c>
      <c r="E478"/>
      <c r="F478" s="244" t="s">
        <v>995</v>
      </c>
      <c r="H478" s="248" t="s">
        <v>1667</v>
      </c>
      <c r="I478"/>
      <c r="J478" s="4"/>
      <c r="K478" s="34"/>
      <c r="R478" s="248" t="s">
        <v>1667</v>
      </c>
      <c r="AG478" s="244" t="s">
        <v>2346</v>
      </c>
    </row>
    <row r="479" spans="1:33" hidden="1">
      <c r="A479" s="358">
        <f t="shared" si="23"/>
        <v>313</v>
      </c>
      <c r="B479" s="244" t="s">
        <v>3085</v>
      </c>
      <c r="C479"/>
      <c r="D479" s="1" t="s">
        <v>883</v>
      </c>
      <c r="E479"/>
      <c r="F479" s="251">
        <v>0.13</v>
      </c>
      <c r="G479" s="250" t="s">
        <v>884</v>
      </c>
      <c r="H479" s="244" t="s">
        <v>1364</v>
      </c>
      <c r="I479" s="8" t="e">
        <f>(K40)</f>
        <v>#REF!</v>
      </c>
      <c r="J479" s="2" t="s">
        <v>884</v>
      </c>
      <c r="K479" s="6" t="e">
        <f t="shared" ref="K479:K484" si="24">(F479*I479)</f>
        <v>#REF!</v>
      </c>
      <c r="O479" s="244" t="s">
        <v>1621</v>
      </c>
      <c r="R479" s="251">
        <f>SUM(R467:R477)</f>
        <v>613.67999999999995</v>
      </c>
      <c r="AG479" s="244" t="s">
        <v>2346</v>
      </c>
    </row>
    <row r="480" spans="1:33" hidden="1">
      <c r="A480" s="358">
        <f t="shared" si="23"/>
        <v>314</v>
      </c>
      <c r="B480" s="244" t="s">
        <v>1159</v>
      </c>
      <c r="C480" s="8">
        <v>77</v>
      </c>
      <c r="D480" s="1" t="s">
        <v>883</v>
      </c>
      <c r="E480"/>
      <c r="F480" s="251">
        <v>0.7</v>
      </c>
      <c r="G480" s="250" t="s">
        <v>781</v>
      </c>
      <c r="H480" s="244" t="s">
        <v>2082</v>
      </c>
      <c r="I480" s="8">
        <f>(C10)</f>
        <v>150</v>
      </c>
      <c r="J480" s="2" t="s">
        <v>781</v>
      </c>
      <c r="K480" s="6">
        <f t="shared" si="24"/>
        <v>105</v>
      </c>
      <c r="R480" s="248" t="s">
        <v>1667</v>
      </c>
      <c r="AG480" s="244" t="s">
        <v>2346</v>
      </c>
    </row>
    <row r="481" spans="1:33" hidden="1">
      <c r="A481" s="358">
        <f t="shared" si="23"/>
        <v>315</v>
      </c>
      <c r="B481" s="244" t="s">
        <v>1160</v>
      </c>
      <c r="C481" s="8">
        <v>119</v>
      </c>
      <c r="D481" s="1" t="s">
        <v>883</v>
      </c>
      <c r="E481"/>
      <c r="F481" s="251">
        <v>0.7</v>
      </c>
      <c r="G481" s="250" t="s">
        <v>781</v>
      </c>
      <c r="H481" s="244" t="s">
        <v>1791</v>
      </c>
      <c r="I481" s="8">
        <f>(C11)</f>
        <v>135</v>
      </c>
      <c r="J481" s="2" t="s">
        <v>781</v>
      </c>
      <c r="K481" s="6">
        <f t="shared" si="24"/>
        <v>94.5</v>
      </c>
      <c r="O481" s="244" t="s">
        <v>1622</v>
      </c>
      <c r="R481" s="251">
        <f>(R479/30)</f>
        <v>20.46</v>
      </c>
      <c r="AG481" s="244" t="s">
        <v>2346</v>
      </c>
    </row>
    <row r="482" spans="1:33" hidden="1">
      <c r="A482" s="358">
        <f t="shared" si="23"/>
        <v>316</v>
      </c>
      <c r="B482" s="244" t="s">
        <v>1161</v>
      </c>
      <c r="C482" s="8">
        <v>175</v>
      </c>
      <c r="D482" s="1" t="s">
        <v>883</v>
      </c>
      <c r="E482"/>
      <c r="F482" s="251">
        <v>1.5</v>
      </c>
      <c r="G482" s="250" t="s">
        <v>781</v>
      </c>
      <c r="H482" s="244" t="s">
        <v>1979</v>
      </c>
      <c r="I482" s="8">
        <f>(C12)</f>
        <v>95</v>
      </c>
      <c r="J482" s="2" t="s">
        <v>781</v>
      </c>
      <c r="K482" s="6">
        <f t="shared" si="24"/>
        <v>142.5</v>
      </c>
      <c r="R482" s="248" t="s">
        <v>1667</v>
      </c>
      <c r="AG482" s="244" t="s">
        <v>2346</v>
      </c>
    </row>
    <row r="483" spans="1:33" hidden="1">
      <c r="A483" s="358">
        <f t="shared" si="23"/>
        <v>317</v>
      </c>
      <c r="B483" s="244" t="s">
        <v>1162</v>
      </c>
      <c r="C483" s="8">
        <v>277</v>
      </c>
      <c r="D483" s="1" t="s">
        <v>883</v>
      </c>
      <c r="E483"/>
      <c r="F483" s="251">
        <v>0.5</v>
      </c>
      <c r="G483" s="250" t="s">
        <v>781</v>
      </c>
      <c r="H483" s="244" t="s">
        <v>324</v>
      </c>
      <c r="I483" s="8">
        <f>(C13)</f>
        <v>85</v>
      </c>
      <c r="J483" s="2" t="s">
        <v>781</v>
      </c>
      <c r="K483" s="6">
        <f t="shared" si="24"/>
        <v>42.5</v>
      </c>
      <c r="M483" s="244" t="s">
        <v>995</v>
      </c>
      <c r="AG483" s="244" t="s">
        <v>2346</v>
      </c>
    </row>
    <row r="484" spans="1:33" hidden="1">
      <c r="A484" s="358">
        <f t="shared" si="23"/>
        <v>318</v>
      </c>
      <c r="B484" s="244" t="s">
        <v>1164</v>
      </c>
      <c r="C484" s="8">
        <v>353</v>
      </c>
      <c r="D484" s="1" t="s">
        <v>883</v>
      </c>
      <c r="E484"/>
      <c r="F484" s="251">
        <v>0.94</v>
      </c>
      <c r="G484" s="250" t="s">
        <v>1730</v>
      </c>
      <c r="H484" s="244" t="s">
        <v>927</v>
      </c>
      <c r="I484" s="8">
        <f>C631</f>
        <v>30</v>
      </c>
      <c r="J484" s="2" t="s">
        <v>1730</v>
      </c>
      <c r="K484" s="6">
        <f t="shared" si="24"/>
        <v>28.2</v>
      </c>
      <c r="N484" s="244" t="s">
        <v>2338</v>
      </c>
      <c r="O484" s="244" t="s">
        <v>2124</v>
      </c>
      <c r="AG484" s="244" t="s">
        <v>2346</v>
      </c>
    </row>
    <row r="485" spans="1:33" hidden="1">
      <c r="A485" s="358">
        <f t="shared" si="23"/>
        <v>319</v>
      </c>
      <c r="B485" s="244" t="s">
        <v>237</v>
      </c>
      <c r="C485" s="8">
        <v>584</v>
      </c>
      <c r="D485" s="1" t="s">
        <v>883</v>
      </c>
      <c r="E485"/>
      <c r="H485" s="244" t="s">
        <v>449</v>
      </c>
      <c r="I485" s="1" t="s">
        <v>995</v>
      </c>
      <c r="J485" s="2" t="s">
        <v>448</v>
      </c>
      <c r="K485" s="6">
        <v>0</v>
      </c>
      <c r="O485" s="244" t="s">
        <v>2125</v>
      </c>
      <c r="AG485" s="244" t="s">
        <v>2346</v>
      </c>
    </row>
    <row r="486" spans="1:33" hidden="1">
      <c r="A486" s="358">
        <f t="shared" si="23"/>
        <v>320</v>
      </c>
      <c r="B486" s="244" t="s">
        <v>1165</v>
      </c>
      <c r="C486"/>
      <c r="D486" s="1" t="s">
        <v>883</v>
      </c>
      <c r="E486"/>
      <c r="I486"/>
      <c r="J486" s="4"/>
      <c r="K486" s="6" t="s">
        <v>1667</v>
      </c>
      <c r="O486" s="244" t="s">
        <v>967</v>
      </c>
      <c r="AG486" s="244" t="s">
        <v>2346</v>
      </c>
    </row>
    <row r="487" spans="1:33" hidden="1">
      <c r="A487" s="358">
        <f t="shared" si="23"/>
        <v>321</v>
      </c>
      <c r="B487" s="244" t="s">
        <v>968</v>
      </c>
      <c r="C487"/>
      <c r="D487" s="1" t="s">
        <v>883</v>
      </c>
      <c r="E487"/>
      <c r="H487" s="244" t="s">
        <v>618</v>
      </c>
      <c r="I487"/>
      <c r="J487" s="4"/>
      <c r="K487" s="6" t="e">
        <f>SUM(K478:K485)</f>
        <v>#REF!</v>
      </c>
      <c r="O487" s="248" t="s">
        <v>1667</v>
      </c>
      <c r="AG487" s="244" t="s">
        <v>2346</v>
      </c>
    </row>
    <row r="488" spans="1:33" hidden="1">
      <c r="A488" s="358">
        <f t="shared" si="23"/>
        <v>322</v>
      </c>
      <c r="B488" s="244" t="s">
        <v>971</v>
      </c>
      <c r="C488" s="8">
        <v>8.75</v>
      </c>
      <c r="D488" s="1" t="s">
        <v>883</v>
      </c>
      <c r="E488"/>
      <c r="I488"/>
      <c r="J488" s="4"/>
      <c r="K488" s="6" t="s">
        <v>1667</v>
      </c>
      <c r="N488" s="244" t="s">
        <v>160</v>
      </c>
      <c r="O488" s="354" t="s">
        <v>972</v>
      </c>
      <c r="AG488" s="244" t="s">
        <v>2346</v>
      </c>
    </row>
    <row r="489" spans="1:33" hidden="1">
      <c r="A489" s="358">
        <f t="shared" si="23"/>
        <v>323</v>
      </c>
      <c r="B489" s="244" t="s">
        <v>756</v>
      </c>
      <c r="C489" s="8">
        <v>11.5</v>
      </c>
      <c r="D489" s="1" t="s">
        <v>883</v>
      </c>
      <c r="E489"/>
      <c r="H489" s="244" t="s">
        <v>785</v>
      </c>
      <c r="I489"/>
      <c r="J489" s="4"/>
      <c r="K489" s="6" t="e">
        <f>(K487/10)</f>
        <v>#REF!</v>
      </c>
      <c r="O489" s="248" t="s">
        <v>1667</v>
      </c>
      <c r="AG489" s="244" t="s">
        <v>2346</v>
      </c>
    </row>
    <row r="490" spans="1:33" hidden="1">
      <c r="C490"/>
      <c r="D490"/>
      <c r="E490"/>
      <c r="F490" s="244" t="s">
        <v>995</v>
      </c>
      <c r="I490"/>
      <c r="J490" s="4"/>
      <c r="K490" s="34"/>
    </row>
    <row r="491" spans="1:33" hidden="1">
      <c r="A491" s="358">
        <f>(A489+1)</f>
        <v>324</v>
      </c>
      <c r="B491" s="244" t="s">
        <v>1749</v>
      </c>
      <c r="C491" s="8">
        <v>11.5</v>
      </c>
      <c r="D491" s="1" t="s">
        <v>883</v>
      </c>
      <c r="E491"/>
      <c r="I491"/>
      <c r="J491" s="4"/>
      <c r="K491" s="6" t="s">
        <v>2130</v>
      </c>
      <c r="M491" s="251">
        <v>30</v>
      </c>
      <c r="N491" s="244" t="s">
        <v>1854</v>
      </c>
      <c r="O491" s="244" t="s">
        <v>1750</v>
      </c>
      <c r="P491" s="251">
        <f>(C42)</f>
        <v>1.75</v>
      </c>
      <c r="Q491" s="244" t="s">
        <v>1854</v>
      </c>
      <c r="R491" s="251">
        <f>(M491*P491)</f>
        <v>52.5</v>
      </c>
      <c r="AG491" s="244" t="s">
        <v>2346</v>
      </c>
    </row>
    <row r="492" spans="1:33" hidden="1">
      <c r="A492" s="358">
        <f t="shared" ref="A492:A523" si="25">(A491+1)</f>
        <v>325</v>
      </c>
      <c r="B492" s="244" t="s">
        <v>1751</v>
      </c>
      <c r="C492" s="8">
        <v>56.74</v>
      </c>
      <c r="D492" s="1" t="s">
        <v>883</v>
      </c>
      <c r="E492"/>
      <c r="F492" s="354"/>
      <c r="G492" s="250" t="s">
        <v>2338</v>
      </c>
      <c r="H492" s="244" t="s">
        <v>1752</v>
      </c>
      <c r="I492"/>
      <c r="J492" s="4"/>
      <c r="K492" s="34"/>
      <c r="M492" s="244" t="s">
        <v>995</v>
      </c>
      <c r="O492" s="244" t="s">
        <v>1753</v>
      </c>
      <c r="P492" s="244" t="s">
        <v>995</v>
      </c>
      <c r="R492" s="244" t="s">
        <v>995</v>
      </c>
      <c r="AG492" s="244" t="s">
        <v>2346</v>
      </c>
    </row>
    <row r="493" spans="1:33" hidden="1">
      <c r="A493" s="358">
        <f t="shared" si="25"/>
        <v>326</v>
      </c>
      <c r="B493" s="244" t="s">
        <v>1754</v>
      </c>
      <c r="C493" s="8">
        <v>56.74</v>
      </c>
      <c r="D493" s="1" t="s">
        <v>883</v>
      </c>
      <c r="E493"/>
      <c r="H493" s="244" t="s">
        <v>2356</v>
      </c>
      <c r="I493"/>
      <c r="J493" s="4"/>
      <c r="K493" s="34"/>
      <c r="M493" s="251">
        <v>8</v>
      </c>
      <c r="N493" s="244" t="s">
        <v>883</v>
      </c>
      <c r="O493" s="244" t="s">
        <v>2218</v>
      </c>
      <c r="P493" s="251">
        <f>(C43)</f>
        <v>2.2000000000000002</v>
      </c>
      <c r="Q493" s="244" t="s">
        <v>883</v>
      </c>
      <c r="R493" s="251">
        <f t="shared" ref="R493:R498" si="26">(M493*P493)</f>
        <v>17.600000000000001</v>
      </c>
      <c r="AG493" s="244" t="s">
        <v>2346</v>
      </c>
    </row>
    <row r="494" spans="1:33" hidden="1">
      <c r="A494" s="358">
        <f t="shared" si="25"/>
        <v>327</v>
      </c>
      <c r="B494" s="244" t="s">
        <v>1755</v>
      </c>
      <c r="C494"/>
      <c r="D494" s="1" t="s">
        <v>995</v>
      </c>
      <c r="E494"/>
      <c r="H494" s="248" t="s">
        <v>1667</v>
      </c>
      <c r="I494"/>
      <c r="J494" s="4"/>
      <c r="K494" s="34"/>
      <c r="M494" s="251">
        <v>8</v>
      </c>
      <c r="N494" s="244" t="s">
        <v>883</v>
      </c>
      <c r="O494" s="244" t="s">
        <v>467</v>
      </c>
      <c r="P494" s="251">
        <f>(C50)</f>
        <v>3.2</v>
      </c>
      <c r="Q494" s="244" t="s">
        <v>883</v>
      </c>
      <c r="R494" s="251">
        <f t="shared" si="26"/>
        <v>25.6</v>
      </c>
      <c r="AG494" s="244" t="s">
        <v>2346</v>
      </c>
    </row>
    <row r="495" spans="1:33" hidden="1">
      <c r="A495" s="358">
        <f t="shared" si="25"/>
        <v>328</v>
      </c>
      <c r="B495" s="244" t="s">
        <v>971</v>
      </c>
      <c r="C495" s="8">
        <v>15.6</v>
      </c>
      <c r="D495" s="1" t="s">
        <v>883</v>
      </c>
      <c r="E495"/>
      <c r="F495" s="251">
        <v>9</v>
      </c>
      <c r="G495" s="250" t="s">
        <v>884</v>
      </c>
      <c r="H495" s="244" t="s">
        <v>1756</v>
      </c>
      <c r="I495" s="8" t="e">
        <f>(C70)</f>
        <v>#REF!</v>
      </c>
      <c r="J495" s="2" t="s">
        <v>884</v>
      </c>
      <c r="K495" s="6" t="e">
        <f t="shared" ref="K495:K500" si="27">(F495*I495)</f>
        <v>#REF!</v>
      </c>
      <c r="M495" s="251">
        <v>3</v>
      </c>
      <c r="N495" s="244" t="s">
        <v>883</v>
      </c>
      <c r="O495" s="244" t="s">
        <v>1922</v>
      </c>
      <c r="P495" s="251">
        <f>(C41)</f>
        <v>110</v>
      </c>
      <c r="Q495" s="244" t="s">
        <v>883</v>
      </c>
      <c r="R495" s="251">
        <f t="shared" si="26"/>
        <v>330</v>
      </c>
      <c r="AG495" s="244" t="s">
        <v>2346</v>
      </c>
    </row>
    <row r="496" spans="1:33" hidden="1">
      <c r="A496" s="358">
        <f t="shared" si="25"/>
        <v>329</v>
      </c>
      <c r="B496" s="244" t="s">
        <v>756</v>
      </c>
      <c r="C496" s="8">
        <v>15.6</v>
      </c>
      <c r="D496" s="1" t="s">
        <v>883</v>
      </c>
      <c r="E496"/>
      <c r="F496" s="363">
        <v>3.2309999999999999</v>
      </c>
      <c r="G496" s="250" t="s">
        <v>876</v>
      </c>
      <c r="H496" s="244" t="s">
        <v>877</v>
      </c>
      <c r="I496" s="8">
        <f>(C67)</f>
        <v>3800</v>
      </c>
      <c r="J496" s="2" t="s">
        <v>876</v>
      </c>
      <c r="K496" s="6">
        <f t="shared" si="27"/>
        <v>12277.8</v>
      </c>
      <c r="M496" s="251">
        <v>1</v>
      </c>
      <c r="N496" s="244" t="s">
        <v>883</v>
      </c>
      <c r="O496" s="244" t="s">
        <v>1923</v>
      </c>
      <c r="P496" s="251">
        <f>(C10)</f>
        <v>150</v>
      </c>
      <c r="Q496" s="244" t="s">
        <v>883</v>
      </c>
      <c r="R496" s="251">
        <f t="shared" si="26"/>
        <v>150</v>
      </c>
      <c r="AG496" s="244" t="s">
        <v>2346</v>
      </c>
    </row>
    <row r="497" spans="1:33" hidden="1">
      <c r="A497" s="358">
        <f t="shared" si="25"/>
        <v>330</v>
      </c>
      <c r="B497" s="244" t="s">
        <v>1749</v>
      </c>
      <c r="C497" s="8">
        <v>15.6</v>
      </c>
      <c r="D497" s="1" t="s">
        <v>883</v>
      </c>
      <c r="E497"/>
      <c r="F497" s="251">
        <v>4.5</v>
      </c>
      <c r="G497" s="250" t="s">
        <v>884</v>
      </c>
      <c r="H497" s="244" t="s">
        <v>885</v>
      </c>
      <c r="I497" s="8" t="e">
        <f>(C78)</f>
        <v>#REF!</v>
      </c>
      <c r="J497" s="2" t="s">
        <v>884</v>
      </c>
      <c r="K497" s="6" t="e">
        <f t="shared" si="27"/>
        <v>#REF!</v>
      </c>
      <c r="M497" s="251">
        <v>2</v>
      </c>
      <c r="N497" s="244" t="s">
        <v>883</v>
      </c>
      <c r="O497" s="244" t="s">
        <v>1979</v>
      </c>
      <c r="P497" s="251">
        <f>(C12)</f>
        <v>95</v>
      </c>
      <c r="Q497" s="244" t="s">
        <v>883</v>
      </c>
      <c r="R497" s="251">
        <f t="shared" si="26"/>
        <v>190</v>
      </c>
      <c r="AG497" s="244" t="s">
        <v>2346</v>
      </c>
    </row>
    <row r="498" spans="1:33" hidden="1">
      <c r="A498" s="358">
        <f t="shared" si="25"/>
        <v>331</v>
      </c>
      <c r="B498" s="244" t="s">
        <v>1751</v>
      </c>
      <c r="C498" s="8">
        <v>100.3</v>
      </c>
      <c r="D498" s="1" t="s">
        <v>883</v>
      </c>
      <c r="E498"/>
      <c r="F498" s="251">
        <v>3.5</v>
      </c>
      <c r="G498" s="250" t="s">
        <v>883</v>
      </c>
      <c r="H498" s="244" t="s">
        <v>1791</v>
      </c>
      <c r="I498" s="8">
        <f>(C11)</f>
        <v>135</v>
      </c>
      <c r="J498" s="2" t="s">
        <v>883</v>
      </c>
      <c r="K498" s="6">
        <f t="shared" si="27"/>
        <v>472.5</v>
      </c>
      <c r="M498" s="251">
        <v>1</v>
      </c>
      <c r="N498" s="244" t="s">
        <v>883</v>
      </c>
      <c r="O498" s="244" t="s">
        <v>324</v>
      </c>
      <c r="P498" s="251">
        <f>(C13)</f>
        <v>85</v>
      </c>
      <c r="Q498" s="244" t="s">
        <v>883</v>
      </c>
      <c r="R498" s="251">
        <f t="shared" si="26"/>
        <v>85</v>
      </c>
      <c r="AG498" s="244" t="s">
        <v>325</v>
      </c>
    </row>
    <row r="499" spans="1:33" hidden="1">
      <c r="A499" s="358">
        <f t="shared" si="25"/>
        <v>332</v>
      </c>
      <c r="B499" s="244" t="s">
        <v>1754</v>
      </c>
      <c r="C499" s="8">
        <v>100.3</v>
      </c>
      <c r="D499" s="1" t="s">
        <v>883</v>
      </c>
      <c r="E499"/>
      <c r="F499" s="251">
        <v>21.2</v>
      </c>
      <c r="G499" s="250" t="s">
        <v>883</v>
      </c>
      <c r="H499" s="244" t="s">
        <v>1979</v>
      </c>
      <c r="I499" s="8">
        <f>(C12)</f>
        <v>95</v>
      </c>
      <c r="J499" s="2" t="s">
        <v>883</v>
      </c>
      <c r="K499" s="6">
        <f t="shared" si="27"/>
        <v>2014</v>
      </c>
      <c r="N499" s="244" t="s">
        <v>448</v>
      </c>
      <c r="O499" s="244" t="s">
        <v>1924</v>
      </c>
      <c r="P499" s="244" t="s">
        <v>995</v>
      </c>
      <c r="Q499" s="244" t="s">
        <v>448</v>
      </c>
      <c r="R499" s="251">
        <f>(C56)</f>
        <v>12.1</v>
      </c>
    </row>
    <row r="500" spans="1:33" hidden="1">
      <c r="A500" s="358">
        <f t="shared" si="25"/>
        <v>333</v>
      </c>
      <c r="B500" s="244" t="s">
        <v>1925</v>
      </c>
      <c r="C500"/>
      <c r="D500" s="1" t="s">
        <v>995</v>
      </c>
      <c r="E500"/>
      <c r="F500" s="251">
        <v>35.299999999999997</v>
      </c>
      <c r="G500" s="250" t="s">
        <v>883</v>
      </c>
      <c r="H500" s="244" t="s">
        <v>324</v>
      </c>
      <c r="I500" s="8">
        <f>(C13)</f>
        <v>85</v>
      </c>
      <c r="J500" s="2" t="s">
        <v>883</v>
      </c>
      <c r="K500" s="6">
        <f t="shared" si="27"/>
        <v>3000.5</v>
      </c>
      <c r="O500" s="244" t="s">
        <v>1926</v>
      </c>
      <c r="P500" s="244" t="s">
        <v>995</v>
      </c>
      <c r="R500" s="244" t="s">
        <v>995</v>
      </c>
    </row>
    <row r="501" spans="1:33" hidden="1">
      <c r="A501" s="358">
        <f t="shared" si="25"/>
        <v>334</v>
      </c>
      <c r="B501" s="244" t="s">
        <v>971</v>
      </c>
      <c r="C501" s="8">
        <v>9.4499999999999993</v>
      </c>
      <c r="D501" s="1" t="s">
        <v>883</v>
      </c>
      <c r="E501"/>
      <c r="G501" s="250" t="s">
        <v>448</v>
      </c>
      <c r="H501" s="244" t="s">
        <v>449</v>
      </c>
      <c r="I501" s="1" t="s">
        <v>995</v>
      </c>
      <c r="J501" s="2" t="s">
        <v>448</v>
      </c>
      <c r="K501" s="6">
        <v>0</v>
      </c>
      <c r="N501" s="244" t="s">
        <v>448</v>
      </c>
      <c r="O501" s="244" t="s">
        <v>449</v>
      </c>
      <c r="Q501" s="244" t="s">
        <v>448</v>
      </c>
      <c r="R501" s="251">
        <v>0</v>
      </c>
      <c r="AG501" s="244" t="s">
        <v>2346</v>
      </c>
    </row>
    <row r="502" spans="1:33" hidden="1">
      <c r="A502" s="358">
        <f t="shared" si="25"/>
        <v>335</v>
      </c>
      <c r="B502" s="244" t="s">
        <v>756</v>
      </c>
      <c r="C502" s="8">
        <v>15.6</v>
      </c>
      <c r="D502" s="1" t="s">
        <v>883</v>
      </c>
      <c r="E502"/>
      <c r="I502"/>
      <c r="J502" s="4"/>
      <c r="K502" s="6" t="s">
        <v>1667</v>
      </c>
      <c r="R502" s="248" t="s">
        <v>1667</v>
      </c>
      <c r="AG502" s="244" t="s">
        <v>2346</v>
      </c>
    </row>
    <row r="503" spans="1:33" hidden="1">
      <c r="A503" s="358">
        <f t="shared" si="25"/>
        <v>336</v>
      </c>
      <c r="B503" s="244" t="s">
        <v>1749</v>
      </c>
      <c r="C503" s="8">
        <v>15.6</v>
      </c>
      <c r="D503" s="1" t="s">
        <v>883</v>
      </c>
      <c r="E503"/>
      <c r="H503" s="244" t="s">
        <v>2246</v>
      </c>
      <c r="I503"/>
      <c r="J503" s="4"/>
      <c r="K503" s="6" t="e">
        <f>SUM(K495:K501)</f>
        <v>#REF!</v>
      </c>
      <c r="O503" s="244" t="s">
        <v>1927</v>
      </c>
      <c r="R503" s="251">
        <f>SUM(R491:R501)</f>
        <v>862.8</v>
      </c>
      <c r="AG503" s="244" t="s">
        <v>2346</v>
      </c>
    </row>
    <row r="504" spans="1:33" hidden="1">
      <c r="A504" s="358">
        <f t="shared" si="25"/>
        <v>337</v>
      </c>
      <c r="B504" s="244" t="s">
        <v>1928</v>
      </c>
      <c r="C504" s="8">
        <v>36.61</v>
      </c>
      <c r="D504" s="1" t="s">
        <v>883</v>
      </c>
      <c r="E504"/>
      <c r="I504"/>
      <c r="J504" s="4"/>
      <c r="K504" s="6" t="s">
        <v>1667</v>
      </c>
      <c r="R504" s="248" t="s">
        <v>1667</v>
      </c>
      <c r="AG504" s="244" t="s">
        <v>2346</v>
      </c>
    </row>
    <row r="505" spans="1:33" hidden="1">
      <c r="A505" s="358">
        <f t="shared" si="25"/>
        <v>338</v>
      </c>
      <c r="B505" s="244" t="s">
        <v>1751</v>
      </c>
      <c r="C505" s="8">
        <v>78.709999999999994</v>
      </c>
      <c r="D505" s="1" t="s">
        <v>883</v>
      </c>
      <c r="E505"/>
      <c r="H505" s="244" t="s">
        <v>785</v>
      </c>
      <c r="I505"/>
      <c r="J505" s="4"/>
      <c r="K505" s="6" t="e">
        <f>(K503/10)</f>
        <v>#REF!</v>
      </c>
      <c r="O505" s="244" t="s">
        <v>1622</v>
      </c>
      <c r="R505" s="251">
        <f>(R503/30)</f>
        <v>28.76</v>
      </c>
      <c r="AG505" s="244" t="s">
        <v>2346</v>
      </c>
    </row>
    <row r="506" spans="1:33" hidden="1">
      <c r="A506" s="358">
        <f t="shared" si="25"/>
        <v>339</v>
      </c>
      <c r="B506" s="244" t="s">
        <v>1754</v>
      </c>
      <c r="C506" s="8">
        <v>78.709999999999994</v>
      </c>
      <c r="D506" s="1" t="s">
        <v>883</v>
      </c>
      <c r="E506"/>
      <c r="I506"/>
      <c r="J506" s="4"/>
      <c r="K506" s="34"/>
      <c r="R506" s="248" t="s">
        <v>1667</v>
      </c>
      <c r="AG506" s="244" t="s">
        <v>2346</v>
      </c>
    </row>
    <row r="507" spans="1:33" hidden="1">
      <c r="A507" s="358">
        <f t="shared" si="25"/>
        <v>340</v>
      </c>
      <c r="B507" s="244" t="s">
        <v>1929</v>
      </c>
      <c r="C507"/>
      <c r="D507" s="1" t="s">
        <v>221</v>
      </c>
      <c r="E507"/>
      <c r="F507" s="251">
        <v>1</v>
      </c>
      <c r="G507" s="250" t="s">
        <v>884</v>
      </c>
      <c r="H507" s="244" t="s">
        <v>50</v>
      </c>
      <c r="I507"/>
      <c r="J507" s="4"/>
      <c r="K507" s="6">
        <f>(C25)</f>
        <v>20.7</v>
      </c>
      <c r="N507" s="244" t="s">
        <v>1635</v>
      </c>
      <c r="O507" s="354" t="s">
        <v>222</v>
      </c>
      <c r="AG507" s="244" t="s">
        <v>2346</v>
      </c>
    </row>
    <row r="508" spans="1:33" hidden="1">
      <c r="A508" s="358">
        <f t="shared" si="25"/>
        <v>341</v>
      </c>
      <c r="B508" s="244" t="s">
        <v>1108</v>
      </c>
      <c r="C508" s="8">
        <v>20.55</v>
      </c>
      <c r="D508" s="1" t="s">
        <v>1854</v>
      </c>
      <c r="E508"/>
      <c r="I508"/>
      <c r="J508" s="4"/>
      <c r="K508" s="6" t="s">
        <v>1667</v>
      </c>
      <c r="O508" s="248" t="s">
        <v>1667</v>
      </c>
      <c r="AG508" s="244" t="s">
        <v>2346</v>
      </c>
    </row>
    <row r="509" spans="1:33" hidden="1">
      <c r="A509" s="358">
        <f t="shared" si="25"/>
        <v>342</v>
      </c>
      <c r="B509" s="244" t="s">
        <v>1298</v>
      </c>
      <c r="C509" s="8">
        <v>32.9</v>
      </c>
      <c r="D509" s="1" t="s">
        <v>1854</v>
      </c>
      <c r="E509">
        <v>70</v>
      </c>
      <c r="H509" s="244" t="s">
        <v>1299</v>
      </c>
      <c r="I509"/>
      <c r="J509" s="4"/>
      <c r="K509" s="6" t="e">
        <f>SUM(K505:K507)</f>
        <v>#REF!</v>
      </c>
      <c r="M509" s="251">
        <v>30</v>
      </c>
      <c r="N509" s="244" t="s">
        <v>1854</v>
      </c>
      <c r="O509" s="244" t="s">
        <v>1750</v>
      </c>
      <c r="P509" s="251">
        <f>(C42)</f>
        <v>1.75</v>
      </c>
      <c r="Q509" s="244" t="s">
        <v>1854</v>
      </c>
      <c r="R509" s="251">
        <f>(M509*P509)</f>
        <v>52.5</v>
      </c>
      <c r="AG509" s="244" t="s">
        <v>2346</v>
      </c>
    </row>
    <row r="510" spans="1:33" hidden="1">
      <c r="A510" s="358">
        <f t="shared" si="25"/>
        <v>343</v>
      </c>
      <c r="B510" s="244" t="s">
        <v>1300</v>
      </c>
      <c r="C510" s="8">
        <v>48.8</v>
      </c>
      <c r="D510" s="1" t="s">
        <v>1854</v>
      </c>
      <c r="E510"/>
      <c r="I510"/>
      <c r="J510" s="4"/>
      <c r="K510" s="6" t="s">
        <v>1667</v>
      </c>
      <c r="M510" s="244" t="s">
        <v>995</v>
      </c>
      <c r="O510" s="244" t="s">
        <v>1753</v>
      </c>
      <c r="P510" s="244" t="s">
        <v>995</v>
      </c>
      <c r="R510" s="244" t="s">
        <v>995</v>
      </c>
      <c r="AG510" s="244" t="s">
        <v>2346</v>
      </c>
    </row>
    <row r="511" spans="1:33" hidden="1">
      <c r="A511" s="358">
        <f t="shared" si="25"/>
        <v>344</v>
      </c>
      <c r="B511" s="244" t="s">
        <v>1301</v>
      </c>
      <c r="C511" s="8">
        <v>65.7</v>
      </c>
      <c r="D511" s="1" t="s">
        <v>1854</v>
      </c>
      <c r="E511"/>
      <c r="G511" s="250" t="s">
        <v>1302</v>
      </c>
      <c r="H511" s="244" t="s">
        <v>388</v>
      </c>
      <c r="I511"/>
      <c r="J511" s="4"/>
      <c r="K511" s="6" t="e">
        <f>(K509+C22)</f>
        <v>#REF!</v>
      </c>
      <c r="M511" s="251">
        <v>8</v>
      </c>
      <c r="N511" s="244" t="s">
        <v>883</v>
      </c>
      <c r="O511" s="244" t="s">
        <v>2218</v>
      </c>
      <c r="P511" s="251">
        <f>(C44)</f>
        <v>2.2000000000000002</v>
      </c>
      <c r="Q511" s="244" t="s">
        <v>883</v>
      </c>
      <c r="R511" s="251">
        <f t="shared" ref="R511:R516" si="28">(M511*P511)</f>
        <v>17.600000000000001</v>
      </c>
      <c r="AG511" s="244" t="s">
        <v>2346</v>
      </c>
    </row>
    <row r="512" spans="1:33" hidden="1">
      <c r="A512" s="358">
        <f t="shared" si="25"/>
        <v>345</v>
      </c>
      <c r="B512" s="244" t="s">
        <v>1303</v>
      </c>
      <c r="C512" s="8">
        <v>69.099999999999994</v>
      </c>
      <c r="D512" s="8">
        <v>21</v>
      </c>
      <c r="E512"/>
      <c r="G512" s="250" t="s">
        <v>1304</v>
      </c>
      <c r="H512" s="244" t="s">
        <v>390</v>
      </c>
      <c r="I512"/>
      <c r="J512" s="4"/>
      <c r="K512" s="6" t="e">
        <f>(K511+C23)</f>
        <v>#REF!</v>
      </c>
      <c r="M512" s="251">
        <v>8</v>
      </c>
      <c r="N512" s="244" t="s">
        <v>883</v>
      </c>
      <c r="O512" s="244" t="s">
        <v>467</v>
      </c>
      <c r="P512" s="251">
        <f>(C51)</f>
        <v>3.2</v>
      </c>
      <c r="Q512" s="244" t="s">
        <v>883</v>
      </c>
      <c r="R512" s="251">
        <f t="shared" si="28"/>
        <v>25.6</v>
      </c>
      <c r="AG512" s="244" t="s">
        <v>2346</v>
      </c>
    </row>
    <row r="513" spans="1:33" hidden="1">
      <c r="A513" s="358">
        <f t="shared" si="25"/>
        <v>346</v>
      </c>
      <c r="B513" s="244" t="s">
        <v>378</v>
      </c>
      <c r="C513" s="8">
        <v>94.12</v>
      </c>
      <c r="D513" s="8">
        <v>37.15</v>
      </c>
      <c r="E513"/>
      <c r="G513" s="250" t="s">
        <v>424</v>
      </c>
      <c r="H513" s="244" t="s">
        <v>2319</v>
      </c>
      <c r="I513"/>
      <c r="J513" s="4"/>
      <c r="K513" s="6" t="e">
        <f>(K512+C24)</f>
        <v>#REF!</v>
      </c>
      <c r="M513" s="251">
        <v>3</v>
      </c>
      <c r="N513" s="244" t="s">
        <v>883</v>
      </c>
      <c r="O513" s="244" t="s">
        <v>1922</v>
      </c>
      <c r="P513" s="251">
        <f>(C41)</f>
        <v>110</v>
      </c>
      <c r="Q513" s="244" t="s">
        <v>883</v>
      </c>
      <c r="R513" s="251">
        <f t="shared" si="28"/>
        <v>330</v>
      </c>
      <c r="AG513" s="244" t="s">
        <v>2346</v>
      </c>
    </row>
    <row r="514" spans="1:33" hidden="1">
      <c r="A514" s="358">
        <f t="shared" si="25"/>
        <v>347</v>
      </c>
      <c r="B514" s="244" t="s">
        <v>1014</v>
      </c>
      <c r="C514"/>
      <c r="D514" s="1" t="s">
        <v>995</v>
      </c>
      <c r="E514"/>
      <c r="G514" s="250" t="s">
        <v>1015</v>
      </c>
      <c r="H514" s="244" t="s">
        <v>382</v>
      </c>
      <c r="I514"/>
      <c r="J514" s="4"/>
      <c r="K514" s="6" t="e">
        <f>(K513+C24)</f>
        <v>#REF!</v>
      </c>
      <c r="M514" s="251">
        <v>1</v>
      </c>
      <c r="N514" s="244" t="s">
        <v>883</v>
      </c>
      <c r="O514" s="244" t="s">
        <v>1923</v>
      </c>
      <c r="P514" s="251">
        <f>(C10)</f>
        <v>150</v>
      </c>
      <c r="Q514" s="244" t="s">
        <v>883</v>
      </c>
      <c r="R514" s="251">
        <f t="shared" si="28"/>
        <v>150</v>
      </c>
      <c r="AG514" s="244" t="s">
        <v>2346</v>
      </c>
    </row>
    <row r="515" spans="1:33" hidden="1">
      <c r="A515" s="358">
        <f t="shared" si="25"/>
        <v>348</v>
      </c>
      <c r="B515" s="244" t="s">
        <v>1159</v>
      </c>
      <c r="C515" s="8">
        <v>4.1900000000000004</v>
      </c>
      <c r="D515" s="1" t="s">
        <v>883</v>
      </c>
      <c r="E515"/>
      <c r="I515"/>
      <c r="J515" s="4"/>
      <c r="K515" s="34"/>
      <c r="M515" s="251">
        <v>2</v>
      </c>
      <c r="N515" s="244" t="s">
        <v>883</v>
      </c>
      <c r="O515" s="244" t="s">
        <v>1979</v>
      </c>
      <c r="P515" s="251">
        <f>(C12)</f>
        <v>95</v>
      </c>
      <c r="Q515" s="244" t="s">
        <v>883</v>
      </c>
      <c r="R515" s="251">
        <f t="shared" si="28"/>
        <v>190</v>
      </c>
      <c r="AG515" s="244" t="s">
        <v>2346</v>
      </c>
    </row>
    <row r="516" spans="1:33" hidden="1">
      <c r="A516" s="358">
        <f t="shared" si="25"/>
        <v>349</v>
      </c>
      <c r="B516" s="244" t="s">
        <v>1160</v>
      </c>
      <c r="C516" s="8">
        <v>5</v>
      </c>
      <c r="D516" s="1" t="s">
        <v>883</v>
      </c>
      <c r="E516"/>
      <c r="F516" s="354" t="s">
        <v>1016</v>
      </c>
      <c r="G516" s="250" t="s">
        <v>2338</v>
      </c>
      <c r="H516" s="244" t="s">
        <v>1017</v>
      </c>
      <c r="I516"/>
      <c r="J516" s="4"/>
      <c r="K516" s="34"/>
      <c r="M516" s="251">
        <v>1</v>
      </c>
      <c r="N516" s="244" t="s">
        <v>883</v>
      </c>
      <c r="O516" s="244" t="s">
        <v>324</v>
      </c>
      <c r="P516" s="251">
        <f>(C13)</f>
        <v>85</v>
      </c>
      <c r="Q516" s="244" t="s">
        <v>883</v>
      </c>
      <c r="R516" s="251">
        <f t="shared" si="28"/>
        <v>85</v>
      </c>
      <c r="AG516" s="244" t="s">
        <v>2346</v>
      </c>
    </row>
    <row r="517" spans="1:33" hidden="1">
      <c r="A517" s="358">
        <f t="shared" si="25"/>
        <v>350</v>
      </c>
      <c r="B517" s="244" t="s">
        <v>1161</v>
      </c>
      <c r="C517" s="8">
        <v>8.06</v>
      </c>
      <c r="D517" s="1" t="s">
        <v>883</v>
      </c>
      <c r="E517"/>
      <c r="H517" s="248" t="s">
        <v>1667</v>
      </c>
      <c r="I517"/>
      <c r="J517" s="4"/>
      <c r="K517" s="34"/>
      <c r="N517" s="244" t="s">
        <v>448</v>
      </c>
      <c r="O517" s="244" t="s">
        <v>1924</v>
      </c>
      <c r="P517" s="244" t="s">
        <v>995</v>
      </c>
      <c r="Q517" s="244" t="s">
        <v>448</v>
      </c>
      <c r="R517" s="251">
        <f>(C56)</f>
        <v>12.1</v>
      </c>
      <c r="AG517" s="244" t="s">
        <v>2346</v>
      </c>
    </row>
    <row r="518" spans="1:33" hidden="1">
      <c r="A518" s="358">
        <f t="shared" si="25"/>
        <v>351</v>
      </c>
      <c r="B518" s="244" t="s">
        <v>1162</v>
      </c>
      <c r="C518" s="8">
        <v>11.86</v>
      </c>
      <c r="D518" s="1" t="s">
        <v>883</v>
      </c>
      <c r="E518"/>
      <c r="F518" s="363">
        <v>1.4999999999999999E-2</v>
      </c>
      <c r="G518" s="250" t="s">
        <v>884</v>
      </c>
      <c r="H518" s="244" t="s">
        <v>1018</v>
      </c>
      <c r="I518" s="8" t="e">
        <f>(K505)</f>
        <v>#REF!</v>
      </c>
      <c r="J518" s="2" t="s">
        <v>884</v>
      </c>
      <c r="K518" s="6" t="e">
        <f>(F518*I518)</f>
        <v>#REF!</v>
      </c>
      <c r="O518" s="244" t="s">
        <v>1926</v>
      </c>
      <c r="P518" s="244" t="s">
        <v>995</v>
      </c>
      <c r="R518" s="244" t="s">
        <v>995</v>
      </c>
      <c r="AG518" s="244" t="s">
        <v>2346</v>
      </c>
    </row>
    <row r="519" spans="1:33" hidden="1">
      <c r="A519" s="358">
        <f t="shared" si="25"/>
        <v>352</v>
      </c>
      <c r="B519" s="244" t="s">
        <v>1164</v>
      </c>
      <c r="C519" s="8">
        <v>18.88</v>
      </c>
      <c r="D519" s="1" t="s">
        <v>883</v>
      </c>
      <c r="E519"/>
      <c r="F519" s="251">
        <v>0.5</v>
      </c>
      <c r="G519" s="250" t="s">
        <v>781</v>
      </c>
      <c r="H519" s="244" t="s">
        <v>2082</v>
      </c>
      <c r="I519" s="8">
        <f>(C10)</f>
        <v>150</v>
      </c>
      <c r="J519" s="2" t="s">
        <v>781</v>
      </c>
      <c r="K519" s="6">
        <f>(F519*I519)</f>
        <v>75</v>
      </c>
      <c r="N519" s="244" t="s">
        <v>448</v>
      </c>
      <c r="O519" s="244" t="s">
        <v>449</v>
      </c>
      <c r="Q519" s="244" t="s">
        <v>448</v>
      </c>
      <c r="R519" s="251">
        <v>0</v>
      </c>
      <c r="AG519" s="244" t="s">
        <v>2346</v>
      </c>
    </row>
    <row r="520" spans="1:33" hidden="1">
      <c r="A520" s="358">
        <f t="shared" si="25"/>
        <v>353</v>
      </c>
      <c r="B520" s="244" t="s">
        <v>237</v>
      </c>
      <c r="C520" s="8">
        <v>26</v>
      </c>
      <c r="D520" s="1" t="s">
        <v>883</v>
      </c>
      <c r="E520"/>
      <c r="F520" s="251">
        <v>0.75</v>
      </c>
      <c r="G520" s="250" t="s">
        <v>781</v>
      </c>
      <c r="H520" s="244" t="s">
        <v>1979</v>
      </c>
      <c r="I520" s="8">
        <f>(C12)</f>
        <v>95</v>
      </c>
      <c r="J520" s="2" t="s">
        <v>781</v>
      </c>
      <c r="K520" s="6">
        <f>(F520*I520)</f>
        <v>71.25</v>
      </c>
      <c r="R520" s="248" t="s">
        <v>1667</v>
      </c>
      <c r="AG520" s="244" t="s">
        <v>2346</v>
      </c>
    </row>
    <row r="521" spans="1:33" hidden="1">
      <c r="A521" s="358">
        <f t="shared" si="25"/>
        <v>354</v>
      </c>
      <c r="B521" s="244" t="s">
        <v>692</v>
      </c>
      <c r="C521"/>
      <c r="D521" s="1" t="s">
        <v>995</v>
      </c>
      <c r="E521"/>
      <c r="G521" s="250" t="s">
        <v>448</v>
      </c>
      <c r="H521" s="244" t="s">
        <v>449</v>
      </c>
      <c r="I521"/>
      <c r="J521" s="2" t="s">
        <v>448</v>
      </c>
      <c r="K521" s="6">
        <v>0</v>
      </c>
      <c r="O521" s="244" t="s">
        <v>1927</v>
      </c>
      <c r="R521" s="251">
        <f>SUM(R509:R519)</f>
        <v>862.8</v>
      </c>
      <c r="AG521" s="244" t="s">
        <v>2346</v>
      </c>
    </row>
    <row r="522" spans="1:33" hidden="1">
      <c r="A522" s="358">
        <f t="shared" si="25"/>
        <v>355</v>
      </c>
      <c r="B522" s="244" t="s">
        <v>1159</v>
      </c>
      <c r="C522" s="8">
        <v>4.62</v>
      </c>
      <c r="D522" s="1" t="s">
        <v>883</v>
      </c>
      <c r="E522"/>
      <c r="I522"/>
      <c r="J522" s="4"/>
      <c r="K522" s="6" t="s">
        <v>1667</v>
      </c>
      <c r="R522" s="248" t="s">
        <v>1667</v>
      </c>
      <c r="AG522" s="244" t="s">
        <v>2346</v>
      </c>
    </row>
    <row r="523" spans="1:33" hidden="1">
      <c r="A523" s="358">
        <f t="shared" si="25"/>
        <v>356</v>
      </c>
      <c r="B523" s="244" t="s">
        <v>1160</v>
      </c>
      <c r="C523" s="8">
        <v>7.83</v>
      </c>
      <c r="D523" s="1" t="s">
        <v>883</v>
      </c>
      <c r="E523"/>
      <c r="H523" s="244" t="s">
        <v>1831</v>
      </c>
      <c r="I523"/>
      <c r="J523" s="4"/>
      <c r="K523" s="6" t="e">
        <f>SUM(K518:K521)</f>
        <v>#REF!</v>
      </c>
      <c r="O523" s="244" t="s">
        <v>1622</v>
      </c>
      <c r="R523" s="251">
        <f>(R521/30)</f>
        <v>28.76</v>
      </c>
      <c r="AG523" s="244" t="s">
        <v>2346</v>
      </c>
    </row>
    <row r="524" spans="1:33" hidden="1">
      <c r="A524" s="358">
        <f t="shared" ref="A524:A546" si="29">(A523+1)</f>
        <v>357</v>
      </c>
      <c r="B524" s="244" t="s">
        <v>1161</v>
      </c>
      <c r="C524" s="8">
        <v>11.38</v>
      </c>
      <c r="D524" s="1" t="s">
        <v>883</v>
      </c>
      <c r="E524"/>
      <c r="I524"/>
      <c r="J524" s="4"/>
      <c r="K524" s="6" t="s">
        <v>1667</v>
      </c>
      <c r="R524" s="248" t="s">
        <v>1667</v>
      </c>
      <c r="AG524" s="244" t="s">
        <v>2346</v>
      </c>
    </row>
    <row r="525" spans="1:33" hidden="1">
      <c r="A525" s="358">
        <f t="shared" si="29"/>
        <v>358</v>
      </c>
      <c r="B525" s="244" t="s">
        <v>1162</v>
      </c>
      <c r="C525" s="8">
        <v>18.75</v>
      </c>
      <c r="D525" s="1" t="s">
        <v>883</v>
      </c>
      <c r="E525"/>
      <c r="H525" s="244" t="s">
        <v>555</v>
      </c>
      <c r="I525"/>
      <c r="J525" s="4"/>
      <c r="K525" s="6" t="e">
        <f>(K523/0.743)</f>
        <v>#REF!</v>
      </c>
      <c r="AG525" s="244" t="s">
        <v>2346</v>
      </c>
    </row>
    <row r="526" spans="1:33" hidden="1">
      <c r="A526" s="358">
        <f t="shared" si="29"/>
        <v>359</v>
      </c>
      <c r="B526" s="244" t="s">
        <v>1164</v>
      </c>
      <c r="C526" s="8">
        <v>35.1</v>
      </c>
      <c r="D526" s="1" t="s">
        <v>883</v>
      </c>
      <c r="E526"/>
      <c r="I526"/>
      <c r="J526" s="4"/>
      <c r="K526" s="6" t="s">
        <v>2130</v>
      </c>
      <c r="AG526" s="244" t="s">
        <v>2346</v>
      </c>
    </row>
    <row r="527" spans="1:33" hidden="1">
      <c r="A527" s="358">
        <f t="shared" si="29"/>
        <v>360</v>
      </c>
      <c r="B527" s="244" t="s">
        <v>237</v>
      </c>
      <c r="C527" s="8">
        <v>45.57</v>
      </c>
      <c r="D527" s="1" t="s">
        <v>883</v>
      </c>
      <c r="E527"/>
      <c r="H527" s="244" t="s">
        <v>388</v>
      </c>
      <c r="I527" s="8" t="e">
        <f>K525</f>
        <v>#REF!</v>
      </c>
      <c r="J527" s="2">
        <f>C22*0.02</f>
        <v>0.53</v>
      </c>
      <c r="K527" s="6" t="e">
        <f>I527+J527</f>
        <v>#REF!</v>
      </c>
      <c r="N527" s="244" t="s">
        <v>2031</v>
      </c>
      <c r="O527" s="354" t="s">
        <v>1332</v>
      </c>
      <c r="AG527" s="244" t="s">
        <v>2346</v>
      </c>
    </row>
    <row r="528" spans="1:33" hidden="1">
      <c r="A528" s="358">
        <f t="shared" si="29"/>
        <v>361</v>
      </c>
      <c r="B528" s="244" t="s">
        <v>1171</v>
      </c>
      <c r="C528"/>
      <c r="D528" s="1" t="s">
        <v>995</v>
      </c>
      <c r="E528"/>
      <c r="H528" s="244" t="s">
        <v>390</v>
      </c>
      <c r="I528" s="8" t="e">
        <f>K527</f>
        <v>#REF!</v>
      </c>
      <c r="J528" s="2">
        <f>C23*0.02</f>
        <v>1.06</v>
      </c>
      <c r="K528" s="6" t="e">
        <f>I528+J528</f>
        <v>#REF!</v>
      </c>
      <c r="O528" s="248" t="s">
        <v>1667</v>
      </c>
      <c r="AG528" s="244" t="s">
        <v>2346</v>
      </c>
    </row>
    <row r="529" spans="1:33" hidden="1">
      <c r="A529" s="358">
        <f t="shared" si="29"/>
        <v>362</v>
      </c>
      <c r="B529" s="244" t="s">
        <v>1159</v>
      </c>
      <c r="C529" s="8">
        <v>7.8</v>
      </c>
      <c r="D529" s="1" t="s">
        <v>883</v>
      </c>
      <c r="E529"/>
      <c r="H529" s="244" t="s">
        <v>2319</v>
      </c>
      <c r="I529" s="8" t="e">
        <f>K528</f>
        <v>#REF!</v>
      </c>
      <c r="J529" s="2">
        <f>C23*0.02</f>
        <v>1.06</v>
      </c>
      <c r="K529" s="6" t="e">
        <f>I529+J529</f>
        <v>#REF!</v>
      </c>
      <c r="M529" s="251">
        <v>30</v>
      </c>
      <c r="N529" s="244" t="s">
        <v>1854</v>
      </c>
      <c r="O529" s="244" t="s">
        <v>1750</v>
      </c>
      <c r="P529" s="251">
        <f>(C42)</f>
        <v>1.75</v>
      </c>
      <c r="Q529" s="244" t="s">
        <v>1854</v>
      </c>
      <c r="R529" s="251">
        <f>(M529*P529)</f>
        <v>52.5</v>
      </c>
      <c r="AG529" s="244" t="s">
        <v>2346</v>
      </c>
    </row>
    <row r="530" spans="1:33" hidden="1">
      <c r="A530" s="358">
        <f t="shared" si="29"/>
        <v>363</v>
      </c>
      <c r="B530" s="244" t="s">
        <v>1160</v>
      </c>
      <c r="C530" s="8">
        <v>9.49</v>
      </c>
      <c r="D530" s="1" t="s">
        <v>883</v>
      </c>
      <c r="E530"/>
      <c r="H530" s="244" t="s">
        <v>382</v>
      </c>
      <c r="I530" s="8" t="e">
        <f>K529</f>
        <v>#REF!</v>
      </c>
      <c r="J530" s="2">
        <f>C23*0.02</f>
        <v>1.06</v>
      </c>
      <c r="K530" s="6" t="e">
        <f>I530+J530</f>
        <v>#REF!</v>
      </c>
      <c r="M530" s="244" t="s">
        <v>995</v>
      </c>
      <c r="O530" s="244" t="s">
        <v>1753</v>
      </c>
      <c r="P530" s="244" t="s">
        <v>995</v>
      </c>
      <c r="R530" s="244" t="s">
        <v>995</v>
      </c>
      <c r="AG530" s="244" t="s">
        <v>2346</v>
      </c>
    </row>
    <row r="531" spans="1:33" hidden="1">
      <c r="A531" s="358">
        <f t="shared" si="29"/>
        <v>364</v>
      </c>
      <c r="B531" s="244" t="s">
        <v>1161</v>
      </c>
      <c r="C531" s="8">
        <v>13.91</v>
      </c>
      <c r="D531" s="1" t="s">
        <v>883</v>
      </c>
      <c r="E531"/>
      <c r="H531" s="244" t="s">
        <v>390</v>
      </c>
      <c r="I531" s="8" t="e">
        <f>K530</f>
        <v>#REF!</v>
      </c>
      <c r="J531" s="2">
        <f>C24*0.02</f>
        <v>1.06</v>
      </c>
      <c r="K531" s="6" t="e">
        <f>I531+J531</f>
        <v>#REF!</v>
      </c>
      <c r="M531" s="251">
        <v>8</v>
      </c>
      <c r="N531" s="244" t="s">
        <v>883</v>
      </c>
      <c r="O531" s="244" t="s">
        <v>2218</v>
      </c>
      <c r="P531" s="251">
        <f>(C45)</f>
        <v>2.7</v>
      </c>
      <c r="Q531" s="244" t="s">
        <v>883</v>
      </c>
      <c r="R531" s="251">
        <f t="shared" ref="R531:R536" si="30">(M531*P531)</f>
        <v>21.6</v>
      </c>
      <c r="AG531" s="244" t="s">
        <v>2346</v>
      </c>
    </row>
    <row r="532" spans="1:33" hidden="1">
      <c r="A532" s="358">
        <f t="shared" si="29"/>
        <v>365</v>
      </c>
      <c r="B532" s="244" t="s">
        <v>1162</v>
      </c>
      <c r="C532" s="8">
        <v>26.59</v>
      </c>
      <c r="D532" s="1" t="s">
        <v>883</v>
      </c>
      <c r="E532"/>
      <c r="F532" s="354" t="s">
        <v>1172</v>
      </c>
      <c r="G532" s="250" t="s">
        <v>2338</v>
      </c>
      <c r="H532" s="244" t="s">
        <v>255</v>
      </c>
      <c r="I532"/>
      <c r="J532" s="4"/>
      <c r="K532" s="34"/>
      <c r="M532" s="251">
        <v>8</v>
      </c>
      <c r="N532" s="244" t="s">
        <v>883</v>
      </c>
      <c r="O532" s="244" t="s">
        <v>467</v>
      </c>
      <c r="P532" s="251">
        <f>(C52)</f>
        <v>6.4</v>
      </c>
      <c r="Q532" s="244" t="s">
        <v>883</v>
      </c>
      <c r="R532" s="251">
        <f t="shared" si="30"/>
        <v>51.2</v>
      </c>
      <c r="AG532" s="244" t="s">
        <v>2346</v>
      </c>
    </row>
    <row r="533" spans="1:33" hidden="1">
      <c r="A533" s="358">
        <f t="shared" si="29"/>
        <v>366</v>
      </c>
      <c r="B533" s="244" t="s">
        <v>1164</v>
      </c>
      <c r="C533" s="8">
        <v>39.909999999999997</v>
      </c>
      <c r="D533" s="1" t="s">
        <v>883</v>
      </c>
      <c r="E533"/>
      <c r="H533" s="248" t="s">
        <v>1667</v>
      </c>
      <c r="I533"/>
      <c r="J533" s="4"/>
      <c r="K533" s="34"/>
      <c r="M533" s="251">
        <v>3</v>
      </c>
      <c r="N533" s="244" t="s">
        <v>883</v>
      </c>
      <c r="O533" s="244" t="s">
        <v>1922</v>
      </c>
      <c r="P533" s="251">
        <f>(C41)</f>
        <v>110</v>
      </c>
      <c r="Q533" s="244" t="s">
        <v>883</v>
      </c>
      <c r="R533" s="251">
        <f t="shared" si="30"/>
        <v>330</v>
      </c>
      <c r="AG533" s="244" t="s">
        <v>2346</v>
      </c>
    </row>
    <row r="534" spans="1:33" hidden="1">
      <c r="A534" s="358">
        <f t="shared" si="29"/>
        <v>367</v>
      </c>
      <c r="B534" s="244" t="s">
        <v>237</v>
      </c>
      <c r="C534" s="8">
        <v>66</v>
      </c>
      <c r="D534" s="1" t="s">
        <v>883</v>
      </c>
      <c r="E534"/>
      <c r="F534" s="251">
        <v>0.03</v>
      </c>
      <c r="G534" s="250" t="s">
        <v>884</v>
      </c>
      <c r="H534" s="244" t="s">
        <v>1018</v>
      </c>
      <c r="I534" s="8" t="e">
        <f>(K505)</f>
        <v>#REF!</v>
      </c>
      <c r="J534" s="2" t="s">
        <v>884</v>
      </c>
      <c r="K534" s="6" t="e">
        <f>(F534*I534)</f>
        <v>#REF!</v>
      </c>
      <c r="M534" s="251">
        <v>1</v>
      </c>
      <c r="N534" s="244" t="s">
        <v>883</v>
      </c>
      <c r="O534" s="244" t="s">
        <v>1923</v>
      </c>
      <c r="P534" s="251">
        <f>(C10)</f>
        <v>150</v>
      </c>
      <c r="Q534" s="244" t="s">
        <v>883</v>
      </c>
      <c r="R534" s="251">
        <f t="shared" si="30"/>
        <v>150</v>
      </c>
      <c r="AG534" s="244" t="s">
        <v>2346</v>
      </c>
    </row>
    <row r="535" spans="1:33" hidden="1">
      <c r="A535" s="358">
        <f t="shared" si="29"/>
        <v>368</v>
      </c>
      <c r="B535" s="244" t="s">
        <v>1173</v>
      </c>
      <c r="C535"/>
      <c r="D535" s="1" t="s">
        <v>995</v>
      </c>
      <c r="E535"/>
      <c r="F535" s="251">
        <v>0.5</v>
      </c>
      <c r="G535" s="250" t="s">
        <v>781</v>
      </c>
      <c r="H535" s="244" t="s">
        <v>2082</v>
      </c>
      <c r="I535" s="8">
        <f>(C10)</f>
        <v>150</v>
      </c>
      <c r="J535" s="2" t="s">
        <v>781</v>
      </c>
      <c r="K535" s="6">
        <f>(F535*I535)</f>
        <v>75</v>
      </c>
      <c r="M535" s="251">
        <v>2</v>
      </c>
      <c r="N535" s="244" t="s">
        <v>883</v>
      </c>
      <c r="O535" s="244" t="s">
        <v>1979</v>
      </c>
      <c r="P535" s="251">
        <f>(C12)</f>
        <v>95</v>
      </c>
      <c r="Q535" s="244" t="s">
        <v>883</v>
      </c>
      <c r="R535" s="251">
        <f t="shared" si="30"/>
        <v>190</v>
      </c>
      <c r="AG535" s="244" t="s">
        <v>2346</v>
      </c>
    </row>
    <row r="536" spans="1:33" hidden="1">
      <c r="A536" s="358">
        <f t="shared" si="29"/>
        <v>369</v>
      </c>
      <c r="B536" s="244" t="s">
        <v>971</v>
      </c>
      <c r="C536" s="8">
        <v>4.75</v>
      </c>
      <c r="D536" s="1" t="s">
        <v>883</v>
      </c>
      <c r="E536"/>
      <c r="F536" s="251">
        <v>0.75</v>
      </c>
      <c r="G536" s="250" t="s">
        <v>781</v>
      </c>
      <c r="H536" s="244" t="s">
        <v>1979</v>
      </c>
      <c r="I536" s="8">
        <f>(C12)</f>
        <v>95</v>
      </c>
      <c r="J536" s="2" t="s">
        <v>781</v>
      </c>
      <c r="K536" s="6">
        <f>(F536*I536)</f>
        <v>71.25</v>
      </c>
      <c r="M536" s="251">
        <v>1</v>
      </c>
      <c r="N536" s="244" t="s">
        <v>883</v>
      </c>
      <c r="O536" s="244" t="s">
        <v>324</v>
      </c>
      <c r="P536" s="251">
        <f>(C13)</f>
        <v>85</v>
      </c>
      <c r="Q536" s="244" t="s">
        <v>883</v>
      </c>
      <c r="R536" s="251">
        <f t="shared" si="30"/>
        <v>85</v>
      </c>
      <c r="AG536" s="244" t="s">
        <v>2346</v>
      </c>
    </row>
    <row r="537" spans="1:33" hidden="1">
      <c r="A537" s="358">
        <f t="shared" si="29"/>
        <v>370</v>
      </c>
      <c r="B537" s="244" t="s">
        <v>756</v>
      </c>
      <c r="C537" s="8">
        <v>6.89</v>
      </c>
      <c r="D537" s="1" t="s">
        <v>883</v>
      </c>
      <c r="E537"/>
      <c r="G537" s="250" t="s">
        <v>448</v>
      </c>
      <c r="H537" s="244" t="s">
        <v>449</v>
      </c>
      <c r="I537"/>
      <c r="J537" s="2" t="s">
        <v>448</v>
      </c>
      <c r="K537" s="6">
        <v>0</v>
      </c>
      <c r="N537" s="244" t="s">
        <v>448</v>
      </c>
      <c r="O537" s="244" t="s">
        <v>1924</v>
      </c>
      <c r="P537" s="244" t="s">
        <v>995</v>
      </c>
      <c r="Q537" s="244" t="s">
        <v>448</v>
      </c>
      <c r="R537" s="251">
        <f>(C56)</f>
        <v>12.1</v>
      </c>
      <c r="AG537" s="244" t="s">
        <v>2346</v>
      </c>
    </row>
    <row r="538" spans="1:33" hidden="1">
      <c r="A538" s="358">
        <f t="shared" si="29"/>
        <v>371</v>
      </c>
      <c r="B538" s="244" t="s">
        <v>1749</v>
      </c>
      <c r="C538" s="8">
        <v>6.18</v>
      </c>
      <c r="D538" s="1" t="s">
        <v>883</v>
      </c>
      <c r="E538"/>
      <c r="I538"/>
      <c r="J538" s="4"/>
      <c r="K538" s="6" t="s">
        <v>1667</v>
      </c>
      <c r="O538" s="244" t="s">
        <v>1926</v>
      </c>
      <c r="P538" s="244" t="s">
        <v>995</v>
      </c>
      <c r="R538" s="244" t="s">
        <v>995</v>
      </c>
      <c r="AG538" s="244" t="s">
        <v>2346</v>
      </c>
    </row>
    <row r="539" spans="1:33" hidden="1">
      <c r="A539" s="358">
        <f t="shared" si="29"/>
        <v>372</v>
      </c>
      <c r="B539" s="244" t="s">
        <v>1174</v>
      </c>
      <c r="C539" s="8">
        <v>13.29</v>
      </c>
      <c r="D539" s="1" t="s">
        <v>883</v>
      </c>
      <c r="E539"/>
      <c r="H539" s="244" t="s">
        <v>1831</v>
      </c>
      <c r="I539"/>
      <c r="J539" s="4"/>
      <c r="K539" s="6" t="e">
        <f>SUM(K534:K537)</f>
        <v>#REF!</v>
      </c>
      <c r="N539" s="244" t="s">
        <v>448</v>
      </c>
      <c r="O539" s="244" t="s">
        <v>449</v>
      </c>
      <c r="Q539" s="244" t="s">
        <v>448</v>
      </c>
      <c r="R539" s="251">
        <v>0</v>
      </c>
      <c r="AG539" s="244" t="s">
        <v>2346</v>
      </c>
    </row>
    <row r="540" spans="1:33" hidden="1">
      <c r="A540" s="358">
        <f t="shared" si="29"/>
        <v>373</v>
      </c>
      <c r="B540" s="244" t="s">
        <v>1175</v>
      </c>
      <c r="C540" s="8">
        <v>14.11</v>
      </c>
      <c r="D540" s="1" t="s">
        <v>883</v>
      </c>
      <c r="E540"/>
      <c r="I540"/>
      <c r="J540" s="4"/>
      <c r="K540" s="6" t="s">
        <v>1667</v>
      </c>
      <c r="R540" s="248" t="s">
        <v>1667</v>
      </c>
      <c r="AG540" s="244" t="s">
        <v>2346</v>
      </c>
    </row>
    <row r="541" spans="1:33" hidden="1">
      <c r="A541" s="358">
        <f t="shared" si="29"/>
        <v>374</v>
      </c>
      <c r="B541" s="244" t="s">
        <v>1176</v>
      </c>
      <c r="C541" s="8">
        <v>14.69</v>
      </c>
      <c r="D541" s="1" t="s">
        <v>883</v>
      </c>
      <c r="E541"/>
      <c r="H541" s="244" t="s">
        <v>555</v>
      </c>
      <c r="I541"/>
      <c r="J541" s="4"/>
      <c r="K541" s="6" t="e">
        <f>(K539/0.743)</f>
        <v>#REF!</v>
      </c>
      <c r="O541" s="244" t="s">
        <v>1927</v>
      </c>
      <c r="R541" s="251">
        <f>SUM(R529:R539)</f>
        <v>892.4</v>
      </c>
      <c r="AG541" s="244" t="s">
        <v>2346</v>
      </c>
    </row>
    <row r="542" spans="1:33" hidden="1">
      <c r="A542" s="358">
        <f t="shared" si="29"/>
        <v>375</v>
      </c>
      <c r="B542" s="244" t="s">
        <v>1941</v>
      </c>
      <c r="C542"/>
      <c r="D542" s="1" t="s">
        <v>995</v>
      </c>
      <c r="E542"/>
      <c r="I542"/>
      <c r="J542" s="4"/>
      <c r="K542" s="6" t="s">
        <v>2130</v>
      </c>
      <c r="R542" s="248" t="s">
        <v>1667</v>
      </c>
      <c r="AG542" s="244" t="s">
        <v>2346</v>
      </c>
    </row>
    <row r="543" spans="1:33" hidden="1">
      <c r="A543" s="358">
        <f t="shared" si="29"/>
        <v>376</v>
      </c>
      <c r="B543" s="244" t="s">
        <v>971</v>
      </c>
      <c r="C543" s="8">
        <v>10.3</v>
      </c>
      <c r="D543" s="1" t="s">
        <v>883</v>
      </c>
      <c r="E543"/>
      <c r="H543" s="244" t="s">
        <v>388</v>
      </c>
      <c r="I543" s="8" t="e">
        <f>K541</f>
        <v>#REF!</v>
      </c>
      <c r="J543" s="2">
        <f>C22*0.04</f>
        <v>1.06</v>
      </c>
      <c r="K543" s="6" t="e">
        <f>I543+J543</f>
        <v>#REF!</v>
      </c>
      <c r="O543" s="244" t="s">
        <v>1622</v>
      </c>
      <c r="R543" s="251">
        <f>(R541/30)</f>
        <v>29.75</v>
      </c>
      <c r="AG543" s="244" t="s">
        <v>2346</v>
      </c>
    </row>
    <row r="544" spans="1:33" hidden="1">
      <c r="A544" s="358">
        <f t="shared" si="29"/>
        <v>377</v>
      </c>
      <c r="B544" s="244" t="s">
        <v>756</v>
      </c>
      <c r="C544" s="8">
        <v>19.05</v>
      </c>
      <c r="D544" s="1" t="s">
        <v>883</v>
      </c>
      <c r="E544"/>
      <c r="H544" s="244" t="s">
        <v>390</v>
      </c>
      <c r="I544" s="8" t="e">
        <f>K543</f>
        <v>#REF!</v>
      </c>
      <c r="J544" s="2">
        <f>C23*0.04</f>
        <v>2.11</v>
      </c>
      <c r="K544" s="6" t="e">
        <f>I544+J544</f>
        <v>#REF!</v>
      </c>
      <c r="R544" s="248" t="s">
        <v>1667</v>
      </c>
      <c r="AG544" s="244" t="s">
        <v>2346</v>
      </c>
    </row>
    <row r="545" spans="1:33" hidden="1">
      <c r="A545" s="358">
        <f t="shared" si="29"/>
        <v>378</v>
      </c>
      <c r="B545" s="244" t="s">
        <v>1749</v>
      </c>
      <c r="C545" s="8">
        <v>15.34</v>
      </c>
      <c r="D545" s="1" t="s">
        <v>883</v>
      </c>
      <c r="E545"/>
      <c r="H545" s="244" t="s">
        <v>2319</v>
      </c>
      <c r="I545" s="8" t="e">
        <f>K544</f>
        <v>#REF!</v>
      </c>
      <c r="J545" s="2">
        <f>C23*0.04</f>
        <v>2.11</v>
      </c>
      <c r="K545" s="6" t="e">
        <f>I545+J545</f>
        <v>#REF!</v>
      </c>
      <c r="N545" s="244" t="s">
        <v>2338</v>
      </c>
      <c r="O545" s="244" t="s">
        <v>2124</v>
      </c>
      <c r="AG545" s="244" t="s">
        <v>2346</v>
      </c>
    </row>
    <row r="546" spans="1:33" hidden="1">
      <c r="A546" s="358">
        <f t="shared" si="29"/>
        <v>379</v>
      </c>
      <c r="B546" s="244" t="s">
        <v>1942</v>
      </c>
      <c r="C546" s="8">
        <v>29.41</v>
      </c>
      <c r="D546" s="1" t="s">
        <v>883</v>
      </c>
      <c r="E546"/>
      <c r="H546" s="244" t="s">
        <v>382</v>
      </c>
      <c r="I546" s="8" t="e">
        <f>K545</f>
        <v>#REF!</v>
      </c>
      <c r="J546" s="2">
        <f>C23*0.04</f>
        <v>2.11</v>
      </c>
      <c r="K546" s="6" t="e">
        <f>I546+J546</f>
        <v>#REF!</v>
      </c>
      <c r="O546" s="244" t="s">
        <v>1943</v>
      </c>
      <c r="AG546" s="244" t="s">
        <v>2346</v>
      </c>
    </row>
    <row r="547" spans="1:33" hidden="1">
      <c r="C547"/>
      <c r="D547"/>
      <c r="E547"/>
      <c r="F547" s="244" t="s">
        <v>995</v>
      </c>
      <c r="H547" s="244" t="s">
        <v>390</v>
      </c>
      <c r="I547" s="8" t="e">
        <f>K546</f>
        <v>#REF!</v>
      </c>
      <c r="J547" s="2">
        <f>C24*0.04</f>
        <v>2.11</v>
      </c>
      <c r="K547" s="6" t="e">
        <f>I547+J547</f>
        <v>#REF!</v>
      </c>
    </row>
    <row r="548" spans="1:33" hidden="1">
      <c r="A548" s="358">
        <f>(A546+1)</f>
        <v>380</v>
      </c>
      <c r="B548" s="244" t="s">
        <v>1175</v>
      </c>
      <c r="C548" s="8">
        <v>38.35</v>
      </c>
      <c r="D548" s="1" t="s">
        <v>883</v>
      </c>
      <c r="E548"/>
      <c r="I548"/>
      <c r="J548" s="4"/>
      <c r="K548" s="34"/>
      <c r="O548" s="244" t="s">
        <v>159</v>
      </c>
      <c r="AG548" s="244" t="s">
        <v>2346</v>
      </c>
    </row>
    <row r="549" spans="1:33" hidden="1">
      <c r="A549" s="358">
        <f t="shared" ref="A549:A564" si="31">(A548+1)</f>
        <v>381</v>
      </c>
      <c r="B549" s="244" t="s">
        <v>1176</v>
      </c>
      <c r="C549" s="8">
        <v>37.96</v>
      </c>
      <c r="D549" s="1" t="s">
        <v>883</v>
      </c>
      <c r="E549"/>
      <c r="F549" s="364"/>
      <c r="G549" s="250" t="s">
        <v>995</v>
      </c>
      <c r="H549" s="244" t="s">
        <v>137</v>
      </c>
      <c r="I549"/>
      <c r="J549" s="4"/>
      <c r="K549" s="34"/>
      <c r="O549" s="248" t="s">
        <v>1667</v>
      </c>
      <c r="AG549" s="244" t="s">
        <v>2346</v>
      </c>
    </row>
    <row r="550" spans="1:33" hidden="1">
      <c r="A550" s="358">
        <f t="shared" si="31"/>
        <v>382</v>
      </c>
      <c r="B550" s="244" t="s">
        <v>138</v>
      </c>
      <c r="C550"/>
      <c r="D550" s="1" t="s">
        <v>995</v>
      </c>
      <c r="E550"/>
      <c r="H550" s="244" t="s">
        <v>1325</v>
      </c>
      <c r="I550"/>
      <c r="J550" s="4"/>
      <c r="K550" s="34"/>
      <c r="AG550" s="244" t="s">
        <v>2346</v>
      </c>
    </row>
    <row r="551" spans="1:33" hidden="1">
      <c r="A551" s="358">
        <f t="shared" si="31"/>
        <v>383</v>
      </c>
      <c r="B551" s="244" t="s">
        <v>971</v>
      </c>
      <c r="C551" s="8">
        <v>6.68</v>
      </c>
      <c r="D551" s="1" t="s">
        <v>883</v>
      </c>
      <c r="E551"/>
      <c r="H551" s="244" t="s">
        <v>1326</v>
      </c>
      <c r="I551"/>
      <c r="J551" s="4"/>
      <c r="K551" s="34"/>
      <c r="N551" s="244" t="s">
        <v>160</v>
      </c>
      <c r="O551" s="244" t="s">
        <v>1050</v>
      </c>
      <c r="AG551" s="244" t="s">
        <v>2346</v>
      </c>
    </row>
    <row r="552" spans="1:33" hidden="1">
      <c r="A552" s="358">
        <f t="shared" si="31"/>
        <v>384</v>
      </c>
      <c r="B552" s="244" t="s">
        <v>756</v>
      </c>
      <c r="C552" s="8">
        <v>9.4499999999999993</v>
      </c>
      <c r="D552" s="1" t="s">
        <v>883</v>
      </c>
      <c r="E552"/>
      <c r="H552" s="244" t="s">
        <v>1051</v>
      </c>
      <c r="I552"/>
      <c r="J552" s="4"/>
      <c r="K552" s="34"/>
      <c r="O552" s="248" t="s">
        <v>1667</v>
      </c>
      <c r="AG552" s="244" t="s">
        <v>2346</v>
      </c>
    </row>
    <row r="553" spans="1:33" hidden="1">
      <c r="A553" s="358">
        <f t="shared" si="31"/>
        <v>385</v>
      </c>
      <c r="B553" s="244" t="s">
        <v>1749</v>
      </c>
      <c r="C553" s="8">
        <v>33.04</v>
      </c>
      <c r="D553" s="1" t="s">
        <v>883</v>
      </c>
      <c r="E553"/>
      <c r="H553" s="244" t="s">
        <v>1052</v>
      </c>
      <c r="I553"/>
      <c r="J553" s="4"/>
      <c r="K553" s="34"/>
      <c r="M553" s="251">
        <v>8.1</v>
      </c>
      <c r="N553" s="244" t="s">
        <v>884</v>
      </c>
      <c r="O553" s="244" t="s">
        <v>621</v>
      </c>
      <c r="P553" s="251">
        <f>(C61)*2</f>
        <v>50</v>
      </c>
      <c r="Q553" s="244" t="s">
        <v>884</v>
      </c>
      <c r="R553" s="251">
        <f>(M553*P553)</f>
        <v>405</v>
      </c>
      <c r="AG553" s="244" t="s">
        <v>2346</v>
      </c>
    </row>
    <row r="554" spans="1:33" hidden="1">
      <c r="A554" s="358">
        <f t="shared" si="31"/>
        <v>386</v>
      </c>
      <c r="B554" s="244" t="s">
        <v>1942</v>
      </c>
      <c r="C554" s="8">
        <v>33.04</v>
      </c>
      <c r="D554" s="1" t="s">
        <v>883</v>
      </c>
      <c r="E554"/>
      <c r="H554" s="244" t="s">
        <v>1306</v>
      </c>
      <c r="I554"/>
      <c r="J554" s="4"/>
      <c r="K554" s="34"/>
      <c r="M554" s="251">
        <v>8.1</v>
      </c>
      <c r="N554" s="244" t="s">
        <v>884</v>
      </c>
      <c r="O554" s="244" t="s">
        <v>2232</v>
      </c>
      <c r="P554" s="251">
        <f>(C26)</f>
        <v>8.8000000000000007</v>
      </c>
      <c r="Q554" s="244" t="s">
        <v>884</v>
      </c>
      <c r="R554" s="251">
        <f>(M554*P554)</f>
        <v>71.28</v>
      </c>
      <c r="AG554" s="244" t="s">
        <v>2346</v>
      </c>
    </row>
    <row r="555" spans="1:33" hidden="1">
      <c r="A555" s="358">
        <f t="shared" si="31"/>
        <v>387</v>
      </c>
      <c r="B555" s="244" t="s">
        <v>1307</v>
      </c>
      <c r="C555" s="8">
        <v>33.04</v>
      </c>
      <c r="D555" s="1" t="s">
        <v>883</v>
      </c>
      <c r="E555"/>
      <c r="H555" s="244" t="s">
        <v>2532</v>
      </c>
      <c r="I555"/>
      <c r="J555" s="4"/>
      <c r="K555" s="34"/>
      <c r="M555" s="251">
        <v>30</v>
      </c>
      <c r="N555" s="244" t="s">
        <v>1854</v>
      </c>
      <c r="O555" s="244" t="s">
        <v>2233</v>
      </c>
      <c r="P555" s="251">
        <f>(C639)</f>
        <v>3</v>
      </c>
      <c r="Q555" s="244" t="s">
        <v>1854</v>
      </c>
      <c r="R555" s="251">
        <f>(M555*P555)</f>
        <v>90</v>
      </c>
      <c r="AG555" s="244" t="s">
        <v>325</v>
      </c>
    </row>
    <row r="556" spans="1:33" hidden="1">
      <c r="A556" s="358">
        <f t="shared" si="31"/>
        <v>388</v>
      </c>
      <c r="B556" s="244" t="s">
        <v>1308</v>
      </c>
      <c r="C556" s="8">
        <v>33.04</v>
      </c>
      <c r="D556" s="1" t="s">
        <v>883</v>
      </c>
      <c r="E556"/>
      <c r="H556" s="248" t="s">
        <v>1667</v>
      </c>
      <c r="I556" s="5" t="s">
        <v>1667</v>
      </c>
      <c r="J556" s="4"/>
      <c r="K556" s="34"/>
      <c r="O556" s="244" t="s">
        <v>1309</v>
      </c>
    </row>
    <row r="557" spans="1:33" hidden="1">
      <c r="A557" s="358">
        <f t="shared" si="31"/>
        <v>389</v>
      </c>
      <c r="B557" s="244" t="s">
        <v>612</v>
      </c>
      <c r="C557" s="8">
        <v>538</v>
      </c>
      <c r="D557" s="1" t="s">
        <v>883</v>
      </c>
      <c r="E557"/>
      <c r="G557" s="250" t="s">
        <v>699</v>
      </c>
      <c r="H557" s="244" t="s">
        <v>613</v>
      </c>
      <c r="I557"/>
      <c r="J557" s="4"/>
      <c r="K557" s="34"/>
      <c r="O557" s="244" t="s">
        <v>2235</v>
      </c>
    </row>
    <row r="558" spans="1:33" hidden="1">
      <c r="A558" s="358">
        <f t="shared" si="31"/>
        <v>390</v>
      </c>
      <c r="B558" s="244" t="s">
        <v>2368</v>
      </c>
      <c r="C558" s="8">
        <v>340</v>
      </c>
      <c r="D558" s="1" t="s">
        <v>883</v>
      </c>
      <c r="E558"/>
      <c r="H558" s="244" t="s">
        <v>2369</v>
      </c>
      <c r="I558"/>
      <c r="J558" s="4"/>
      <c r="K558" s="34"/>
      <c r="O558" s="244" t="s">
        <v>2236</v>
      </c>
      <c r="AG558" s="244" t="s">
        <v>2346</v>
      </c>
    </row>
    <row r="559" spans="1:33" hidden="1">
      <c r="A559" s="358">
        <f t="shared" si="31"/>
        <v>391</v>
      </c>
      <c r="B559" s="244" t="s">
        <v>2370</v>
      </c>
      <c r="C559" s="8">
        <v>1039</v>
      </c>
      <c r="D559" s="1" t="s">
        <v>883</v>
      </c>
      <c r="E559"/>
      <c r="F559" s="251">
        <v>10</v>
      </c>
      <c r="G559" s="250" t="s">
        <v>2371</v>
      </c>
      <c r="H559" s="244" t="s">
        <v>561</v>
      </c>
      <c r="I559" s="8">
        <f>C721</f>
        <v>227</v>
      </c>
      <c r="J559" s="2" t="s">
        <v>2371</v>
      </c>
      <c r="K559" s="6">
        <f>(F559*I559)</f>
        <v>2270</v>
      </c>
      <c r="O559" s="244" t="s">
        <v>2239</v>
      </c>
      <c r="AG559" s="244" t="s">
        <v>2346</v>
      </c>
    </row>
    <row r="560" spans="1:33" hidden="1">
      <c r="A560" s="358">
        <f t="shared" si="31"/>
        <v>392</v>
      </c>
      <c r="B560" s="244" t="s">
        <v>562</v>
      </c>
      <c r="C560" s="8">
        <v>100.44</v>
      </c>
      <c r="D560" s="1" t="s">
        <v>883</v>
      </c>
      <c r="E560"/>
      <c r="F560" s="251">
        <v>1</v>
      </c>
      <c r="G560" s="250" t="s">
        <v>563</v>
      </c>
      <c r="H560" s="244" t="s">
        <v>564</v>
      </c>
      <c r="I560" s="8">
        <f>C10</f>
        <v>150</v>
      </c>
      <c r="J560" s="2" t="s">
        <v>1458</v>
      </c>
      <c r="K560" s="6">
        <f>(F560*I560)</f>
        <v>150</v>
      </c>
      <c r="M560" s="251">
        <v>8</v>
      </c>
      <c r="N560" s="244" t="s">
        <v>781</v>
      </c>
      <c r="O560" s="244" t="s">
        <v>2218</v>
      </c>
      <c r="P560" s="251">
        <f>(C641)</f>
        <v>2.2000000000000002</v>
      </c>
      <c r="Q560" s="244" t="s">
        <v>781</v>
      </c>
      <c r="R560" s="251">
        <f>(M560*P560)</f>
        <v>17.600000000000001</v>
      </c>
      <c r="AG560" s="244" t="s">
        <v>2346</v>
      </c>
    </row>
    <row r="561" spans="1:33" hidden="1">
      <c r="A561" s="358">
        <f t="shared" si="31"/>
        <v>393</v>
      </c>
      <c r="B561" s="244" t="s">
        <v>837</v>
      </c>
      <c r="C561" s="8">
        <v>31</v>
      </c>
      <c r="D561" s="1" t="s">
        <v>1199</v>
      </c>
      <c r="E561"/>
      <c r="F561" s="251">
        <v>1</v>
      </c>
      <c r="G561" s="250" t="s">
        <v>563</v>
      </c>
      <c r="H561" s="244" t="s">
        <v>838</v>
      </c>
      <c r="I561" s="8">
        <f>C12</f>
        <v>95</v>
      </c>
      <c r="J561" s="2" t="s">
        <v>1458</v>
      </c>
      <c r="K561" s="6">
        <f>(F561*I561)</f>
        <v>95</v>
      </c>
      <c r="M561" s="251">
        <v>8</v>
      </c>
      <c r="N561" s="244" t="s">
        <v>781</v>
      </c>
      <c r="O561" s="244" t="s">
        <v>467</v>
      </c>
      <c r="P561" s="251">
        <f>(C642)</f>
        <v>3.2</v>
      </c>
      <c r="Q561" s="244" t="s">
        <v>781</v>
      </c>
      <c r="R561" s="251">
        <f>(M561*P561)</f>
        <v>25.6</v>
      </c>
      <c r="AG561" s="244" t="s">
        <v>2346</v>
      </c>
    </row>
    <row r="562" spans="1:33" hidden="1">
      <c r="A562" s="358">
        <f t="shared" si="31"/>
        <v>394</v>
      </c>
      <c r="B562" s="244" t="s">
        <v>3086</v>
      </c>
      <c r="C562" s="8">
        <v>71.239999999999995</v>
      </c>
      <c r="D562" s="1" t="s">
        <v>883</v>
      </c>
      <c r="E562"/>
      <c r="G562" s="250" t="s">
        <v>448</v>
      </c>
      <c r="H562" s="244" t="s">
        <v>64</v>
      </c>
      <c r="I562"/>
      <c r="J562" s="2" t="s">
        <v>448</v>
      </c>
      <c r="K562" s="6">
        <v>120</v>
      </c>
      <c r="M562" s="251">
        <v>1</v>
      </c>
      <c r="N562" s="244" t="s">
        <v>448</v>
      </c>
      <c r="O562" s="244" t="s">
        <v>1770</v>
      </c>
      <c r="P562" s="251">
        <f>(C643)</f>
        <v>4</v>
      </c>
      <c r="Q562" s="244" t="s">
        <v>448</v>
      </c>
      <c r="R562" s="251">
        <f>(M562*P562)</f>
        <v>4</v>
      </c>
      <c r="AG562" s="244" t="s">
        <v>2346</v>
      </c>
    </row>
    <row r="563" spans="1:33" hidden="1">
      <c r="A563" s="358">
        <f t="shared" si="31"/>
        <v>395</v>
      </c>
      <c r="B563" s="244" t="s">
        <v>65</v>
      </c>
      <c r="C563" s="8">
        <v>82.2</v>
      </c>
      <c r="D563" s="1" t="s">
        <v>883</v>
      </c>
      <c r="E563"/>
      <c r="H563" s="244" t="s">
        <v>946</v>
      </c>
      <c r="I563"/>
      <c r="J563" s="4"/>
      <c r="K563" s="6" t="s">
        <v>1667</v>
      </c>
      <c r="M563" s="251">
        <v>1</v>
      </c>
      <c r="N563" s="244" t="s">
        <v>448</v>
      </c>
      <c r="O563" s="244" t="s">
        <v>449</v>
      </c>
      <c r="Q563" s="244" t="s">
        <v>448</v>
      </c>
      <c r="R563" s="251">
        <v>0</v>
      </c>
      <c r="AG563" s="244" t="s">
        <v>2346</v>
      </c>
    </row>
    <row r="564" spans="1:33" hidden="1">
      <c r="A564" s="358">
        <f t="shared" si="31"/>
        <v>396</v>
      </c>
      <c r="B564" s="244" t="s">
        <v>1092</v>
      </c>
      <c r="C564" s="8">
        <v>57.51</v>
      </c>
      <c r="D564" s="1" t="s">
        <v>883</v>
      </c>
      <c r="E564"/>
      <c r="H564" s="354" t="s">
        <v>1093</v>
      </c>
      <c r="I564"/>
      <c r="J564" s="4"/>
      <c r="K564" s="6">
        <f>SUM(K559:K562)</f>
        <v>2635</v>
      </c>
      <c r="R564" s="248" t="s">
        <v>1667</v>
      </c>
      <c r="AG564" s="244" t="s">
        <v>2346</v>
      </c>
    </row>
    <row r="565" spans="1:33" hidden="1">
      <c r="C565"/>
      <c r="D565"/>
      <c r="E565"/>
      <c r="F565" s="244" t="s">
        <v>995</v>
      </c>
      <c r="I565"/>
      <c r="J565" s="4"/>
      <c r="K565" s="34"/>
    </row>
    <row r="566" spans="1:33" hidden="1">
      <c r="A566" s="358">
        <f>(A564+1)</f>
        <v>397</v>
      </c>
      <c r="B566" s="244" t="s">
        <v>933</v>
      </c>
      <c r="C566" s="8">
        <v>28.5</v>
      </c>
      <c r="D566" s="1" t="s">
        <v>883</v>
      </c>
      <c r="E566"/>
      <c r="I566"/>
      <c r="J566" s="4"/>
      <c r="K566" s="6" t="s">
        <v>1667</v>
      </c>
      <c r="O566" s="244" t="s">
        <v>1621</v>
      </c>
      <c r="R566" s="251">
        <f>SUM(R553:R563)</f>
        <v>613.48</v>
      </c>
      <c r="AG566" s="244" t="s">
        <v>2346</v>
      </c>
    </row>
    <row r="567" spans="1:33" hidden="1">
      <c r="A567" s="358">
        <f>(A566+1)</f>
        <v>398</v>
      </c>
      <c r="B567" s="244" t="s">
        <v>500</v>
      </c>
      <c r="C567" s="8">
        <v>57.51</v>
      </c>
      <c r="D567" s="1" t="s">
        <v>883</v>
      </c>
      <c r="E567"/>
      <c r="H567" s="354" t="s">
        <v>501</v>
      </c>
      <c r="I567"/>
      <c r="J567" s="4"/>
      <c r="K567" s="6">
        <f>K564/10</f>
        <v>263.5</v>
      </c>
      <c r="R567" s="248" t="s">
        <v>1667</v>
      </c>
      <c r="AG567" s="244" t="s">
        <v>2346</v>
      </c>
    </row>
    <row r="568" spans="1:33" hidden="1">
      <c r="A568" s="358">
        <f>(A567+1)</f>
        <v>399</v>
      </c>
      <c r="B568" s="244" t="s">
        <v>1983</v>
      </c>
      <c r="C568" s="8">
        <v>20</v>
      </c>
      <c r="D568" s="1" t="s">
        <v>883</v>
      </c>
      <c r="E568"/>
      <c r="H568" s="244" t="s">
        <v>388</v>
      </c>
      <c r="I568" s="8">
        <f>K567</f>
        <v>263.5</v>
      </c>
      <c r="J568" s="2">
        <f>C22*0.02</f>
        <v>0.53</v>
      </c>
      <c r="K568" s="6">
        <f>I568+J568</f>
        <v>264.02999999999997</v>
      </c>
      <c r="O568" s="244" t="s">
        <v>1622</v>
      </c>
      <c r="R568" s="251">
        <f>(R566/30)</f>
        <v>20.45</v>
      </c>
      <c r="AG568" s="244" t="s">
        <v>2346</v>
      </c>
    </row>
    <row r="569" spans="1:33" hidden="1">
      <c r="A569" s="358">
        <f>(A568+1)</f>
        <v>400</v>
      </c>
      <c r="B569" s="244" t="s">
        <v>1984</v>
      </c>
      <c r="C569" s="8">
        <v>21.92</v>
      </c>
      <c r="D569" s="1" t="s">
        <v>883</v>
      </c>
      <c r="E569"/>
      <c r="H569" s="244" t="s">
        <v>390</v>
      </c>
      <c r="I569" s="8">
        <f>K568</f>
        <v>264.02999999999997</v>
      </c>
      <c r="J569" s="2">
        <f>C23*0.02</f>
        <v>1.06</v>
      </c>
      <c r="K569" s="6">
        <f>I569+J569</f>
        <v>265.08999999999997</v>
      </c>
      <c r="N569" s="244" t="s">
        <v>2338</v>
      </c>
      <c r="O569" s="244" t="s">
        <v>1985</v>
      </c>
      <c r="AG569" s="244" t="s">
        <v>2346</v>
      </c>
    </row>
    <row r="570" spans="1:33" hidden="1">
      <c r="A570" s="358">
        <f>(A569+1)</f>
        <v>401</v>
      </c>
      <c r="B570" s="244" t="s">
        <v>235</v>
      </c>
      <c r="C570" s="8">
        <v>28.5</v>
      </c>
      <c r="D570" s="1" t="s">
        <v>883</v>
      </c>
      <c r="E570"/>
      <c r="H570" s="244" t="s">
        <v>2319</v>
      </c>
      <c r="I570" s="8">
        <f>K569</f>
        <v>265.08999999999997</v>
      </c>
      <c r="J570" s="2">
        <f>C23*0.02</f>
        <v>1.06</v>
      </c>
      <c r="K570" s="6">
        <f>I570+J570</f>
        <v>266.14999999999998</v>
      </c>
      <c r="O570" s="244" t="s">
        <v>236</v>
      </c>
      <c r="AG570" s="244" t="s">
        <v>2346</v>
      </c>
    </row>
    <row r="571" spans="1:33" hidden="1">
      <c r="A571" s="358">
        <f>(A570+1)</f>
        <v>402</v>
      </c>
      <c r="B571" s="244" t="s">
        <v>2140</v>
      </c>
      <c r="C571" s="8">
        <v>535</v>
      </c>
      <c r="D571" s="1" t="s">
        <v>883</v>
      </c>
      <c r="E571"/>
      <c r="H571" s="244" t="s">
        <v>382</v>
      </c>
      <c r="I571" s="8">
        <f>K570</f>
        <v>266.14999999999998</v>
      </c>
      <c r="J571" s="2">
        <f>C23*0.02</f>
        <v>1.06</v>
      </c>
      <c r="K571" s="6">
        <f>I571+J571</f>
        <v>267.20999999999998</v>
      </c>
      <c r="O571" s="248" t="s">
        <v>1667</v>
      </c>
      <c r="AG571" s="244" t="s">
        <v>2346</v>
      </c>
    </row>
    <row r="572" spans="1:33" hidden="1">
      <c r="A572" s="358"/>
      <c r="B572" s="244"/>
      <c r="C572" s="8"/>
      <c r="D572" s="1"/>
      <c r="E572"/>
      <c r="H572" s="244" t="s">
        <v>1427</v>
      </c>
      <c r="I572" s="8">
        <f>K571</f>
        <v>267.20999999999998</v>
      </c>
      <c r="J572" s="2">
        <f>C24*0.02</f>
        <v>1.06</v>
      </c>
      <c r="K572" s="6">
        <f>I572+J572</f>
        <v>268.27</v>
      </c>
      <c r="O572" s="248"/>
      <c r="AG572" s="244"/>
    </row>
    <row r="573" spans="1:33" hidden="1">
      <c r="A573" s="358">
        <f>(A571+1)</f>
        <v>403</v>
      </c>
      <c r="B573" s="244" t="s">
        <v>545</v>
      </c>
      <c r="C573" s="8">
        <v>21</v>
      </c>
      <c r="D573" s="1" t="s">
        <v>883</v>
      </c>
      <c r="E573"/>
      <c r="F573" s="364">
        <v>15.2</v>
      </c>
      <c r="G573" s="250" t="s">
        <v>699</v>
      </c>
      <c r="H573" s="244" t="s">
        <v>802</v>
      </c>
      <c r="I573"/>
      <c r="J573" s="4"/>
      <c r="K573" s="34"/>
      <c r="M573" s="251">
        <v>1.08</v>
      </c>
      <c r="N573" s="244" t="s">
        <v>884</v>
      </c>
      <c r="O573" s="244" t="s">
        <v>803</v>
      </c>
      <c r="P573" s="251">
        <f>(K88)</f>
        <v>52.93</v>
      </c>
      <c r="Q573" s="244" t="s">
        <v>884</v>
      </c>
      <c r="R573" s="251">
        <f>(M573*P573)</f>
        <v>57.16</v>
      </c>
      <c r="AG573" s="244" t="s">
        <v>2346</v>
      </c>
    </row>
    <row r="574" spans="1:33" hidden="1">
      <c r="A574" s="358">
        <f t="shared" ref="A574:A586" si="32">(A573+1)</f>
        <v>404</v>
      </c>
      <c r="B574" s="244" t="s">
        <v>804</v>
      </c>
      <c r="C574" s="8">
        <v>150</v>
      </c>
      <c r="D574" s="1" t="s">
        <v>883</v>
      </c>
      <c r="E574"/>
      <c r="H574" s="244" t="s">
        <v>2369</v>
      </c>
      <c r="I574"/>
      <c r="J574" s="4"/>
      <c r="K574" s="34"/>
      <c r="M574" s="363">
        <v>0.216</v>
      </c>
      <c r="N574" s="244" t="s">
        <v>884</v>
      </c>
      <c r="O574" s="244" t="s">
        <v>805</v>
      </c>
      <c r="P574" s="251" t="e">
        <f>(R60)</f>
        <v>#REF!</v>
      </c>
      <c r="Q574" s="244" t="s">
        <v>884</v>
      </c>
      <c r="R574" s="251" t="e">
        <f>(M574*P574)</f>
        <v>#REF!</v>
      </c>
      <c r="AG574" s="244" t="s">
        <v>2346</v>
      </c>
    </row>
    <row r="575" spans="1:33" hidden="1">
      <c r="A575" s="358">
        <f t="shared" si="32"/>
        <v>405</v>
      </c>
      <c r="B575" s="244" t="s">
        <v>2051</v>
      </c>
      <c r="C575" s="8">
        <v>16.440000000000001</v>
      </c>
      <c r="D575" s="1" t="s">
        <v>883</v>
      </c>
      <c r="E575"/>
      <c r="F575" s="251">
        <v>1</v>
      </c>
      <c r="G575" s="250" t="s">
        <v>2371</v>
      </c>
      <c r="H575" s="244" t="s">
        <v>561</v>
      </c>
      <c r="I575" s="8">
        <f>D721</f>
        <v>247</v>
      </c>
      <c r="J575" s="2" t="s">
        <v>2371</v>
      </c>
      <c r="K575" s="6">
        <f>(F575*I575)</f>
        <v>247</v>
      </c>
      <c r="M575" s="363">
        <v>0.48699999999999999</v>
      </c>
      <c r="N575" s="244" t="s">
        <v>884</v>
      </c>
      <c r="O575" s="244" t="s">
        <v>2052</v>
      </c>
      <c r="P575" s="251" t="e">
        <f>(R89)</f>
        <v>#REF!</v>
      </c>
      <c r="Q575" s="244" t="s">
        <v>884</v>
      </c>
      <c r="R575" s="251" t="e">
        <f>(M575*P575)</f>
        <v>#REF!</v>
      </c>
      <c r="AG575" s="244" t="s">
        <v>2346</v>
      </c>
    </row>
    <row r="576" spans="1:33" hidden="1">
      <c r="A576" s="358">
        <f t="shared" si="32"/>
        <v>406</v>
      </c>
      <c r="B576" s="244" t="s">
        <v>3087</v>
      </c>
      <c r="C576" s="8">
        <v>30</v>
      </c>
      <c r="D576" s="8">
        <v>25</v>
      </c>
      <c r="E576"/>
      <c r="F576" s="251">
        <v>0.75</v>
      </c>
      <c r="G576" s="250" t="s">
        <v>563</v>
      </c>
      <c r="H576" s="244" t="s">
        <v>564</v>
      </c>
      <c r="I576" s="8">
        <f>C10</f>
        <v>150</v>
      </c>
      <c r="J576" s="2" t="s">
        <v>1458</v>
      </c>
      <c r="K576" s="6">
        <f>(F576*I576)</f>
        <v>112.5</v>
      </c>
      <c r="M576" s="363">
        <v>5.36</v>
      </c>
      <c r="N576" s="244" t="s">
        <v>611</v>
      </c>
      <c r="O576" s="244" t="s">
        <v>2053</v>
      </c>
      <c r="P576" s="251" t="e">
        <f>(R303)</f>
        <v>#REF!</v>
      </c>
      <c r="Q576" s="244" t="s">
        <v>611</v>
      </c>
      <c r="R576" s="251" t="e">
        <f>(M576*P576)</f>
        <v>#REF!</v>
      </c>
      <c r="AG576" s="244" t="s">
        <v>2346</v>
      </c>
    </row>
    <row r="577" spans="1:33" hidden="1">
      <c r="A577" s="358">
        <f t="shared" si="32"/>
        <v>407</v>
      </c>
      <c r="B577" s="244" t="s">
        <v>422</v>
      </c>
      <c r="C577" s="8">
        <v>208.5</v>
      </c>
      <c r="D577" s="1" t="s">
        <v>883</v>
      </c>
      <c r="E577"/>
      <c r="F577" s="251">
        <v>0.75</v>
      </c>
      <c r="G577" s="250" t="s">
        <v>563</v>
      </c>
      <c r="H577" s="244" t="s">
        <v>838</v>
      </c>
      <c r="I577" s="8">
        <f>C12</f>
        <v>95</v>
      </c>
      <c r="J577" s="2" t="s">
        <v>1458</v>
      </c>
      <c r="K577" s="6">
        <f>(F577*I577)</f>
        <v>71.25</v>
      </c>
      <c r="M577" s="363">
        <v>3.2000000000000001E-2</v>
      </c>
      <c r="N577" s="244" t="s">
        <v>884</v>
      </c>
      <c r="O577" s="244" t="s">
        <v>795</v>
      </c>
      <c r="P577" s="251" t="e">
        <f>(K614)</f>
        <v>#REF!</v>
      </c>
      <c r="Q577" s="244" t="s">
        <v>884</v>
      </c>
      <c r="R577" s="251" t="e">
        <f>(M577*P577)</f>
        <v>#REF!</v>
      </c>
      <c r="AG577" s="244" t="s">
        <v>2346</v>
      </c>
    </row>
    <row r="578" spans="1:33" hidden="1">
      <c r="A578" s="358">
        <f t="shared" si="32"/>
        <v>408</v>
      </c>
      <c r="B578" s="244" t="s">
        <v>2117</v>
      </c>
      <c r="C578" s="8">
        <v>95</v>
      </c>
      <c r="D578" s="1" t="s">
        <v>883</v>
      </c>
      <c r="E578"/>
      <c r="F578" s="251">
        <v>0.5</v>
      </c>
      <c r="G578" s="250" t="s">
        <v>563</v>
      </c>
      <c r="H578" s="244" t="s">
        <v>2118</v>
      </c>
      <c r="I578" s="8">
        <f>C41</f>
        <v>110</v>
      </c>
      <c r="J578" s="2" t="s">
        <v>1458</v>
      </c>
      <c r="K578" s="6">
        <f>(F578*I578)</f>
        <v>55</v>
      </c>
      <c r="O578" s="244" t="s">
        <v>290</v>
      </c>
      <c r="R578" s="244" t="s">
        <v>995</v>
      </c>
      <c r="AG578" s="244" t="s">
        <v>2346</v>
      </c>
    </row>
    <row r="579" spans="1:33" hidden="1">
      <c r="A579" s="358">
        <f t="shared" si="32"/>
        <v>409</v>
      </c>
      <c r="B579" s="244" t="s">
        <v>3088</v>
      </c>
      <c r="C579" s="6">
        <v>301</v>
      </c>
      <c r="D579" s="1" t="s">
        <v>611</v>
      </c>
      <c r="E579"/>
      <c r="G579" s="250" t="s">
        <v>448</v>
      </c>
      <c r="H579" s="244" t="s">
        <v>64</v>
      </c>
      <c r="I579"/>
      <c r="J579" s="2" t="s">
        <v>448</v>
      </c>
      <c r="K579" s="6">
        <v>53.5</v>
      </c>
      <c r="N579" s="244" t="s">
        <v>448</v>
      </c>
      <c r="O579" s="244" t="s">
        <v>345</v>
      </c>
      <c r="Q579" s="244" t="s">
        <v>448</v>
      </c>
      <c r="R579" s="251">
        <v>2.92</v>
      </c>
      <c r="AG579" s="244" t="s">
        <v>2346</v>
      </c>
    </row>
    <row r="580" spans="1:33" hidden="1">
      <c r="A580" s="358">
        <f t="shared" si="32"/>
        <v>410</v>
      </c>
      <c r="B580" s="244" t="s">
        <v>3089</v>
      </c>
      <c r="C580" s="8">
        <v>325</v>
      </c>
      <c r="D580" s="1" t="s">
        <v>611</v>
      </c>
      <c r="E580" s="1" t="s">
        <v>995</v>
      </c>
      <c r="H580" s="244" t="s">
        <v>946</v>
      </c>
      <c r="I580"/>
      <c r="J580" s="4"/>
      <c r="K580" s="6" t="s">
        <v>1667</v>
      </c>
      <c r="R580" s="248" t="s">
        <v>1667</v>
      </c>
      <c r="AG580" s="244" t="s">
        <v>2346</v>
      </c>
    </row>
    <row r="581" spans="1:33" hidden="1">
      <c r="A581" s="358">
        <f t="shared" si="32"/>
        <v>411</v>
      </c>
      <c r="B581" s="244" t="s">
        <v>346</v>
      </c>
      <c r="C581" s="8">
        <v>75</v>
      </c>
      <c r="D581" s="1" t="s">
        <v>883</v>
      </c>
      <c r="E581"/>
      <c r="H581" s="354" t="s">
        <v>1833</v>
      </c>
      <c r="I581"/>
      <c r="J581" s="4"/>
      <c r="K581" s="6">
        <f>SUM(K575:K579)</f>
        <v>539.25</v>
      </c>
      <c r="O581" s="244" t="s">
        <v>1834</v>
      </c>
      <c r="R581" s="251" t="e">
        <f>SUM(R573:R579)</f>
        <v>#REF!</v>
      </c>
      <c r="AG581" s="244" t="s">
        <v>2346</v>
      </c>
    </row>
    <row r="582" spans="1:33" hidden="1">
      <c r="A582" s="358">
        <f t="shared" si="32"/>
        <v>412</v>
      </c>
      <c r="B582" s="244" t="s">
        <v>1835</v>
      </c>
      <c r="C582" s="8">
        <v>125</v>
      </c>
      <c r="D582" s="1" t="s">
        <v>883</v>
      </c>
      <c r="E582"/>
      <c r="I582"/>
      <c r="J582" s="4"/>
      <c r="K582" s="6" t="s">
        <v>1667</v>
      </c>
      <c r="R582" s="248" t="s">
        <v>1667</v>
      </c>
      <c r="AG582" s="244" t="s">
        <v>2346</v>
      </c>
    </row>
    <row r="583" spans="1:33" hidden="1">
      <c r="A583" s="358">
        <f t="shared" si="32"/>
        <v>413</v>
      </c>
      <c r="B583" s="244" t="s">
        <v>1836</v>
      </c>
      <c r="C583" s="8">
        <v>190</v>
      </c>
      <c r="D583" s="1" t="s">
        <v>883</v>
      </c>
      <c r="E583"/>
      <c r="H583" s="244" t="s">
        <v>388</v>
      </c>
      <c r="I583" s="8">
        <f>K581</f>
        <v>539.25</v>
      </c>
      <c r="J583" s="2">
        <f>C22*0.04</f>
        <v>1.06</v>
      </c>
      <c r="K583" s="6">
        <f>(K581+C22*0.04)</f>
        <v>540.30999999999995</v>
      </c>
      <c r="N583" s="244" t="s">
        <v>2338</v>
      </c>
      <c r="O583" s="244" t="s">
        <v>1985</v>
      </c>
      <c r="AG583" s="244" t="s">
        <v>2346</v>
      </c>
    </row>
    <row r="584" spans="1:33" hidden="1">
      <c r="A584" s="358">
        <f t="shared" si="32"/>
        <v>414</v>
      </c>
      <c r="B584" s="244" t="s">
        <v>1837</v>
      </c>
      <c r="C584" s="8">
        <v>16</v>
      </c>
      <c r="D584" s="1" t="s">
        <v>883</v>
      </c>
      <c r="E584"/>
      <c r="H584" s="244" t="s">
        <v>390</v>
      </c>
      <c r="I584" s="8">
        <f>K583</f>
        <v>540.30999999999995</v>
      </c>
      <c r="J584" s="2">
        <f>C23*0.04</f>
        <v>2.11</v>
      </c>
      <c r="K584" s="6">
        <f>(K583+C23*0.04)</f>
        <v>542.41999999999996</v>
      </c>
      <c r="O584" s="244" t="s">
        <v>1838</v>
      </c>
      <c r="AG584" s="244" t="s">
        <v>2346</v>
      </c>
    </row>
    <row r="585" spans="1:33" hidden="1">
      <c r="A585" s="358">
        <f t="shared" si="32"/>
        <v>415</v>
      </c>
      <c r="B585" s="244" t="s">
        <v>1839</v>
      </c>
      <c r="C585" s="8">
        <v>7</v>
      </c>
      <c r="D585" s="1" t="s">
        <v>1730</v>
      </c>
      <c r="E585"/>
      <c r="H585" s="244" t="s">
        <v>2319</v>
      </c>
      <c r="I585" s="8">
        <f>K584</f>
        <v>542.41999999999996</v>
      </c>
      <c r="J585" s="2">
        <f>C23*0.04</f>
        <v>2.11</v>
      </c>
      <c r="K585" s="6">
        <f>(K584+C24*0.04)</f>
        <v>544.53</v>
      </c>
      <c r="O585" s="248" t="s">
        <v>1667</v>
      </c>
      <c r="AG585" s="244" t="s">
        <v>2346</v>
      </c>
    </row>
    <row r="586" spans="1:33" hidden="1">
      <c r="A586" s="358">
        <f t="shared" si="32"/>
        <v>416</v>
      </c>
      <c r="B586" s="244" t="s">
        <v>3090</v>
      </c>
      <c r="C586" s="8">
        <v>19</v>
      </c>
      <c r="D586" s="1" t="s">
        <v>1730</v>
      </c>
      <c r="E586"/>
      <c r="H586" s="244" t="s">
        <v>382</v>
      </c>
      <c r="I586" s="8">
        <f>K585</f>
        <v>544.53</v>
      </c>
      <c r="J586" s="2">
        <f>C23*0.04</f>
        <v>2.11</v>
      </c>
      <c r="K586" s="6">
        <f>(K585+C24*0.04)</f>
        <v>546.64</v>
      </c>
      <c r="M586" s="251">
        <v>1.3</v>
      </c>
      <c r="N586" s="244" t="s">
        <v>884</v>
      </c>
      <c r="O586" s="244" t="s">
        <v>803</v>
      </c>
      <c r="P586" s="251">
        <f>(K88)</f>
        <v>52.93</v>
      </c>
      <c r="Q586" s="244" t="s">
        <v>884</v>
      </c>
      <c r="R586" s="251">
        <f>(M586*P586)</f>
        <v>68.81</v>
      </c>
      <c r="AG586" s="244" t="s">
        <v>2346</v>
      </c>
    </row>
    <row r="587" spans="1:33" hidden="1">
      <c r="A587" s="358"/>
      <c r="B587" s="244"/>
      <c r="C587" s="8"/>
      <c r="D587" s="1"/>
      <c r="E587"/>
      <c r="H587" s="244" t="s">
        <v>1427</v>
      </c>
      <c r="I587" s="8">
        <f>K586</f>
        <v>546.64</v>
      </c>
      <c r="J587" s="2">
        <f>C24*0.04</f>
        <v>2.11</v>
      </c>
      <c r="K587" s="6">
        <f>(K586+C25*0.04)</f>
        <v>547.47</v>
      </c>
      <c r="M587" s="251"/>
      <c r="N587" s="244"/>
      <c r="O587" s="244"/>
      <c r="P587" s="251"/>
      <c r="Q587" s="244"/>
      <c r="R587" s="251"/>
      <c r="AG587" s="244"/>
    </row>
    <row r="588" spans="1:33" hidden="1">
      <c r="A588" s="358">
        <f>(A586+1)</f>
        <v>417</v>
      </c>
      <c r="B588" s="244" t="s">
        <v>3091</v>
      </c>
      <c r="C588" s="8">
        <v>20</v>
      </c>
      <c r="D588" s="1" t="s">
        <v>1730</v>
      </c>
      <c r="E588"/>
      <c r="F588" s="375">
        <v>15.1</v>
      </c>
      <c r="G588" s="250" t="s">
        <v>1840</v>
      </c>
      <c r="H588" s="244" t="s">
        <v>1689</v>
      </c>
      <c r="I588"/>
      <c r="J588" s="4"/>
      <c r="K588" s="34"/>
      <c r="M588" s="363">
        <v>0.216</v>
      </c>
      <c r="N588" s="244" t="s">
        <v>884</v>
      </c>
      <c r="O588" s="244" t="s">
        <v>805</v>
      </c>
      <c r="P588" s="251" t="e">
        <f>(R60)</f>
        <v>#REF!</v>
      </c>
      <c r="Q588" s="244" t="s">
        <v>884</v>
      </c>
      <c r="R588" s="251" t="e">
        <f>(M588*P588)</f>
        <v>#REF!</v>
      </c>
      <c r="AG588" s="244" t="s">
        <v>2346</v>
      </c>
    </row>
    <row r="589" spans="1:33" hidden="1">
      <c r="A589" s="358">
        <f t="shared" ref="A589:A614" si="33">(A588+1)</f>
        <v>418</v>
      </c>
      <c r="B589" s="244" t="s">
        <v>1841</v>
      </c>
      <c r="C589" s="8">
        <v>7.5</v>
      </c>
      <c r="D589" s="1" t="s">
        <v>781</v>
      </c>
      <c r="E589"/>
      <c r="H589" s="244" t="s">
        <v>2369</v>
      </c>
      <c r="I589"/>
      <c r="J589" s="4"/>
      <c r="K589" s="34"/>
      <c r="M589" s="363">
        <v>0.60099999999999998</v>
      </c>
      <c r="N589" s="244" t="s">
        <v>884</v>
      </c>
      <c r="O589" s="244" t="s">
        <v>2052</v>
      </c>
      <c r="P589" s="251" t="e">
        <f>(R89)</f>
        <v>#REF!</v>
      </c>
      <c r="Q589" s="244" t="s">
        <v>884</v>
      </c>
      <c r="R589" s="251" t="e">
        <f>(M589*P589)</f>
        <v>#REF!</v>
      </c>
      <c r="AG589" s="244" t="s">
        <v>2346</v>
      </c>
    </row>
    <row r="590" spans="1:33" hidden="1">
      <c r="A590" s="358">
        <f t="shared" si="33"/>
        <v>419</v>
      </c>
      <c r="B590" s="244" t="s">
        <v>797</v>
      </c>
      <c r="C590" s="8">
        <v>16</v>
      </c>
      <c r="D590" s="1" t="s">
        <v>781</v>
      </c>
      <c r="E590" t="s">
        <v>1640</v>
      </c>
      <c r="F590" s="251">
        <v>10</v>
      </c>
      <c r="G590" s="250" t="s">
        <v>2371</v>
      </c>
      <c r="H590" s="244" t="s">
        <v>561</v>
      </c>
      <c r="I590" s="8">
        <f>C721</f>
        <v>227</v>
      </c>
      <c r="J590" s="2" t="s">
        <v>2371</v>
      </c>
      <c r="K590" s="6">
        <f>(F590*I590)</f>
        <v>2270</v>
      </c>
      <c r="M590" s="363">
        <v>6.35</v>
      </c>
      <c r="N590" s="244" t="s">
        <v>611</v>
      </c>
      <c r="O590" s="244" t="s">
        <v>2053</v>
      </c>
      <c r="P590" s="251" t="e">
        <f>(R303)</f>
        <v>#REF!</v>
      </c>
      <c r="Q590" s="244" t="s">
        <v>611</v>
      </c>
      <c r="R590" s="251" t="e">
        <f>(M590*P590)</f>
        <v>#REF!</v>
      </c>
      <c r="AG590" s="244" t="s">
        <v>2346</v>
      </c>
    </row>
    <row r="591" spans="1:33" hidden="1">
      <c r="A591" s="358">
        <f t="shared" si="33"/>
        <v>420</v>
      </c>
      <c r="B591" s="244" t="s">
        <v>798</v>
      </c>
      <c r="C591" s="8">
        <v>1700</v>
      </c>
      <c r="D591" s="1" t="s">
        <v>799</v>
      </c>
      <c r="E591">
        <v>2000</v>
      </c>
      <c r="F591" s="251">
        <v>0.12</v>
      </c>
      <c r="G591" s="250" t="s">
        <v>884</v>
      </c>
      <c r="H591" s="244" t="s">
        <v>800</v>
      </c>
      <c r="I591" s="8" t="e">
        <f>K32</f>
        <v>#REF!</v>
      </c>
      <c r="J591" s="2" t="s">
        <v>884</v>
      </c>
      <c r="K591" s="6" t="e">
        <f>(F591*I591)</f>
        <v>#REF!</v>
      </c>
      <c r="M591" s="363">
        <v>3.2000000000000001E-2</v>
      </c>
      <c r="N591" s="244" t="s">
        <v>884</v>
      </c>
      <c r="O591" s="244" t="s">
        <v>795</v>
      </c>
      <c r="P591" s="251" t="e">
        <f>(K614)</f>
        <v>#REF!</v>
      </c>
      <c r="Q591" s="244" t="s">
        <v>884</v>
      </c>
      <c r="R591" s="251" t="e">
        <f>(M591*P591)</f>
        <v>#REF!</v>
      </c>
      <c r="AG591" s="244" t="s">
        <v>2346</v>
      </c>
    </row>
    <row r="592" spans="1:33" hidden="1">
      <c r="A592" s="358">
        <f t="shared" si="33"/>
        <v>421</v>
      </c>
      <c r="B592" s="244" t="s">
        <v>801</v>
      </c>
      <c r="C592" s="8">
        <v>805</v>
      </c>
      <c r="D592" s="1" t="s">
        <v>799</v>
      </c>
      <c r="E592"/>
      <c r="F592" s="251">
        <v>1</v>
      </c>
      <c r="G592" s="250" t="s">
        <v>563</v>
      </c>
      <c r="H592" s="244" t="s">
        <v>564</v>
      </c>
      <c r="I592" s="8">
        <f>C10</f>
        <v>150</v>
      </c>
      <c r="J592" s="2" t="s">
        <v>1458</v>
      </c>
      <c r="K592" s="6">
        <f>(F592*I592)</f>
        <v>150</v>
      </c>
      <c r="O592" s="244" t="s">
        <v>290</v>
      </c>
      <c r="R592" s="244" t="s">
        <v>995</v>
      </c>
      <c r="AG592" s="244" t="s">
        <v>2346</v>
      </c>
    </row>
    <row r="593" spans="1:33" hidden="1">
      <c r="A593" s="358">
        <f t="shared" si="33"/>
        <v>422</v>
      </c>
      <c r="B593" s="244" t="s">
        <v>2137</v>
      </c>
      <c r="C593" s="8">
        <f>204+53</f>
        <v>257</v>
      </c>
      <c r="D593" s="1" t="s">
        <v>799</v>
      </c>
      <c r="E593"/>
      <c r="F593" s="251">
        <v>1</v>
      </c>
      <c r="G593" s="250" t="s">
        <v>563</v>
      </c>
      <c r="H593" s="244" t="s">
        <v>838</v>
      </c>
      <c r="I593" s="8">
        <f>C12</f>
        <v>95</v>
      </c>
      <c r="J593" s="2" t="s">
        <v>1458</v>
      </c>
      <c r="K593" s="6">
        <f>(F593*I593)</f>
        <v>95</v>
      </c>
      <c r="N593" s="244" t="s">
        <v>448</v>
      </c>
      <c r="O593" s="244" t="s">
        <v>345</v>
      </c>
      <c r="Q593" s="244" t="s">
        <v>448</v>
      </c>
      <c r="R593" s="251">
        <v>2.1</v>
      </c>
      <c r="AG593" s="244" t="s">
        <v>2346</v>
      </c>
    </row>
    <row r="594" spans="1:33" hidden="1">
      <c r="A594" s="358">
        <f t="shared" si="33"/>
        <v>423</v>
      </c>
      <c r="B594" s="244" t="s">
        <v>3092</v>
      </c>
      <c r="C594" s="8">
        <v>53</v>
      </c>
      <c r="D594" s="1" t="s">
        <v>781</v>
      </c>
      <c r="E594"/>
      <c r="G594" s="250" t="s">
        <v>448</v>
      </c>
      <c r="H594" s="244" t="s">
        <v>64</v>
      </c>
      <c r="I594"/>
      <c r="J594" s="2" t="s">
        <v>448</v>
      </c>
      <c r="K594" s="6">
        <v>0.33</v>
      </c>
      <c r="R594" s="248" t="s">
        <v>1667</v>
      </c>
      <c r="AG594" s="244" t="s">
        <v>2346</v>
      </c>
    </row>
    <row r="595" spans="1:33" hidden="1">
      <c r="A595" s="358">
        <f t="shared" si="33"/>
        <v>424</v>
      </c>
      <c r="B595" s="244" t="s">
        <v>311</v>
      </c>
      <c r="C595" s="8">
        <v>1050</v>
      </c>
      <c r="D595" s="1" t="s">
        <v>781</v>
      </c>
      <c r="E595"/>
      <c r="H595" s="244" t="s">
        <v>946</v>
      </c>
      <c r="I595"/>
      <c r="J595" s="4"/>
      <c r="K595" s="6" t="s">
        <v>1667</v>
      </c>
      <c r="O595" s="244" t="s">
        <v>1834</v>
      </c>
      <c r="R595" s="251" t="e">
        <f>SUM(R586:R593)</f>
        <v>#REF!</v>
      </c>
      <c r="AG595" s="244" t="s">
        <v>2346</v>
      </c>
    </row>
    <row r="596" spans="1:33" hidden="1">
      <c r="A596" s="358">
        <f t="shared" si="33"/>
        <v>425</v>
      </c>
      <c r="B596" s="244" t="s">
        <v>405</v>
      </c>
      <c r="C596" s="8">
        <v>196</v>
      </c>
      <c r="D596" s="1" t="s">
        <v>781</v>
      </c>
      <c r="E596"/>
      <c r="H596" s="354" t="s">
        <v>406</v>
      </c>
      <c r="I596"/>
      <c r="J596" s="4"/>
      <c r="K596" s="6" t="e">
        <f>SUM(K590:K594)</f>
        <v>#REF!</v>
      </c>
      <c r="R596" s="248" t="s">
        <v>1667</v>
      </c>
      <c r="AG596" s="244" t="s">
        <v>2346</v>
      </c>
    </row>
    <row r="597" spans="1:33" hidden="1">
      <c r="A597" s="358">
        <f t="shared" si="33"/>
        <v>426</v>
      </c>
      <c r="B597" s="244" t="s">
        <v>407</v>
      </c>
      <c r="C597" s="8">
        <v>206.9</v>
      </c>
      <c r="D597" s="1" t="s">
        <v>781</v>
      </c>
      <c r="E597"/>
      <c r="I597"/>
      <c r="J597" s="4"/>
      <c r="K597" s="6" t="s">
        <v>1667</v>
      </c>
      <c r="N597" s="244" t="s">
        <v>2338</v>
      </c>
      <c r="O597" s="244" t="s">
        <v>408</v>
      </c>
      <c r="AG597" s="244" t="s">
        <v>2346</v>
      </c>
    </row>
    <row r="598" spans="1:33" hidden="1">
      <c r="A598" s="358">
        <f t="shared" si="33"/>
        <v>427</v>
      </c>
      <c r="B598" s="244" t="s">
        <v>409</v>
      </c>
      <c r="C598" s="8">
        <v>120</v>
      </c>
      <c r="D598" s="1" t="s">
        <v>1854</v>
      </c>
      <c r="E598"/>
      <c r="H598" s="354" t="s">
        <v>410</v>
      </c>
      <c r="I598"/>
      <c r="J598" s="4"/>
      <c r="K598" s="6" t="e">
        <f>K596/10</f>
        <v>#REF!</v>
      </c>
      <c r="O598" s="244" t="s">
        <v>411</v>
      </c>
      <c r="AG598" s="244" t="s">
        <v>2346</v>
      </c>
    </row>
    <row r="599" spans="1:33" hidden="1">
      <c r="A599" s="358">
        <f t="shared" si="33"/>
        <v>428</v>
      </c>
      <c r="B599" s="244" t="s">
        <v>412</v>
      </c>
      <c r="C599" s="8">
        <v>80</v>
      </c>
      <c r="D599" s="1" t="s">
        <v>1854</v>
      </c>
      <c r="E599"/>
      <c r="H599" s="244" t="s">
        <v>388</v>
      </c>
      <c r="I599"/>
      <c r="J599" s="4"/>
      <c r="K599" s="6" t="e">
        <f>(K598+C22*0.02)</f>
        <v>#REF!</v>
      </c>
      <c r="O599" s="248" t="s">
        <v>1667</v>
      </c>
      <c r="AG599" s="244" t="s">
        <v>2346</v>
      </c>
    </row>
    <row r="600" spans="1:33" hidden="1">
      <c r="A600" s="358">
        <f t="shared" si="33"/>
        <v>429</v>
      </c>
      <c r="B600" s="244" t="s">
        <v>413</v>
      </c>
      <c r="C600"/>
      <c r="D600" s="1" t="s">
        <v>1854</v>
      </c>
      <c r="E600"/>
      <c r="H600" s="244" t="s">
        <v>390</v>
      </c>
      <c r="I600"/>
      <c r="J600" s="4"/>
      <c r="K600" s="6" t="e">
        <f>(K599+C24*0.02)</f>
        <v>#REF!</v>
      </c>
      <c r="M600" s="251">
        <v>10.37</v>
      </c>
      <c r="N600" s="244" t="s">
        <v>884</v>
      </c>
      <c r="O600" s="244" t="s">
        <v>414</v>
      </c>
      <c r="P600" s="251">
        <f>(C61*2)</f>
        <v>50</v>
      </c>
      <c r="Q600" s="244" t="s">
        <v>884</v>
      </c>
      <c r="R600" s="251">
        <f t="shared" ref="R600:R608" si="34">(M600*P600)</f>
        <v>518.5</v>
      </c>
      <c r="AG600" s="244" t="s">
        <v>2346</v>
      </c>
    </row>
    <row r="601" spans="1:33" hidden="1">
      <c r="A601" s="358">
        <f t="shared" si="33"/>
        <v>430</v>
      </c>
      <c r="B601" s="244" t="s">
        <v>2135</v>
      </c>
      <c r="C601" s="8">
        <v>65</v>
      </c>
      <c r="D601" s="1" t="s">
        <v>883</v>
      </c>
      <c r="E601"/>
      <c r="H601" s="244" t="s">
        <v>2319</v>
      </c>
      <c r="I601"/>
      <c r="J601" s="4"/>
      <c r="K601" s="6" t="e">
        <f>(K600+C24*0.02)</f>
        <v>#REF!</v>
      </c>
      <c r="M601" s="251">
        <v>0.65</v>
      </c>
      <c r="N601" s="244" t="s">
        <v>884</v>
      </c>
      <c r="O601" s="244" t="s">
        <v>2136</v>
      </c>
      <c r="P601" s="251" t="e">
        <f>R60</f>
        <v>#REF!</v>
      </c>
      <c r="Q601" s="244" t="s">
        <v>884</v>
      </c>
      <c r="R601" s="251" t="e">
        <f t="shared" si="34"/>
        <v>#REF!</v>
      </c>
      <c r="AG601" s="244" t="s">
        <v>2346</v>
      </c>
    </row>
    <row r="602" spans="1:33" hidden="1">
      <c r="A602" s="358">
        <f t="shared" si="33"/>
        <v>431</v>
      </c>
      <c r="B602" s="244" t="s">
        <v>1865</v>
      </c>
      <c r="C602" s="8">
        <v>40</v>
      </c>
      <c r="D602" s="1" t="s">
        <v>883</v>
      </c>
      <c r="E602"/>
      <c r="H602" s="244" t="s">
        <v>382</v>
      </c>
      <c r="I602"/>
      <c r="J602" s="4"/>
      <c r="K602" s="6" t="e">
        <f>(K601+C24*0.02)</f>
        <v>#REF!</v>
      </c>
      <c r="M602" s="251">
        <v>1.1399999999999999</v>
      </c>
      <c r="N602" s="244" t="s">
        <v>884</v>
      </c>
      <c r="O602" s="244" t="s">
        <v>330</v>
      </c>
      <c r="P602" s="251" t="e">
        <f>K320</f>
        <v>#REF!</v>
      </c>
      <c r="Q602" s="244" t="s">
        <v>884</v>
      </c>
      <c r="R602" s="251" t="e">
        <f t="shared" si="34"/>
        <v>#REF!</v>
      </c>
      <c r="AG602" s="244" t="s">
        <v>2346</v>
      </c>
    </row>
    <row r="603" spans="1:33" hidden="1">
      <c r="A603" s="358">
        <f t="shared" si="33"/>
        <v>432</v>
      </c>
      <c r="B603" s="244" t="s">
        <v>332</v>
      </c>
      <c r="C603"/>
      <c r="D603" s="1" t="s">
        <v>883</v>
      </c>
      <c r="E603"/>
      <c r="H603" s="244" t="s">
        <v>1427</v>
      </c>
      <c r="I603"/>
      <c r="J603" s="4"/>
      <c r="K603" s="6" t="e">
        <f>(K602+C25*0.02)</f>
        <v>#REF!</v>
      </c>
      <c r="M603" s="251">
        <v>0.85</v>
      </c>
      <c r="N603" s="244" t="s">
        <v>884</v>
      </c>
      <c r="O603" s="244" t="s">
        <v>1692</v>
      </c>
      <c r="P603" s="251" t="e">
        <f>K320-K311/10</f>
        <v>#REF!</v>
      </c>
      <c r="Q603" s="244" t="s">
        <v>884</v>
      </c>
      <c r="R603" s="251" t="e">
        <f t="shared" si="34"/>
        <v>#REF!</v>
      </c>
      <c r="AG603" s="244" t="s">
        <v>2346</v>
      </c>
    </row>
    <row r="604" spans="1:33" hidden="1">
      <c r="A604" s="358">
        <f t="shared" si="33"/>
        <v>433</v>
      </c>
      <c r="B604" s="244" t="s">
        <v>1693</v>
      </c>
      <c r="C604" s="8">
        <v>45</v>
      </c>
      <c r="D604" s="1" t="s">
        <v>883</v>
      </c>
      <c r="E604"/>
      <c r="F604" s="354" t="s">
        <v>1694</v>
      </c>
      <c r="G604" s="250" t="s">
        <v>2338</v>
      </c>
      <c r="H604" s="244" t="s">
        <v>897</v>
      </c>
      <c r="I604"/>
      <c r="J604" s="4"/>
      <c r="K604" s="34"/>
      <c r="M604" s="251">
        <v>0.98</v>
      </c>
      <c r="N604" s="244" t="s">
        <v>884</v>
      </c>
      <c r="O604" s="244" t="s">
        <v>2298</v>
      </c>
      <c r="P604" s="251" t="e">
        <f>(C73)</f>
        <v>#REF!</v>
      </c>
      <c r="Q604" s="244" t="s">
        <v>884</v>
      </c>
      <c r="R604" s="251" t="e">
        <f t="shared" si="34"/>
        <v>#REF!</v>
      </c>
      <c r="AG604" s="244" t="s">
        <v>2346</v>
      </c>
    </row>
    <row r="605" spans="1:33" hidden="1">
      <c r="A605" s="358">
        <f t="shared" si="33"/>
        <v>434</v>
      </c>
      <c r="B605" s="244" t="s">
        <v>1131</v>
      </c>
      <c r="C605" s="8">
        <v>36.520000000000003</v>
      </c>
      <c r="D605" s="1" t="s">
        <v>883</v>
      </c>
      <c r="E605"/>
      <c r="H605" s="244" t="s">
        <v>1132</v>
      </c>
      <c r="I605"/>
      <c r="J605" s="4"/>
      <c r="K605" s="34"/>
      <c r="M605" s="251">
        <v>2.68</v>
      </c>
      <c r="N605" s="244" t="s">
        <v>884</v>
      </c>
      <c r="O605" s="244" t="s">
        <v>1064</v>
      </c>
      <c r="P605" s="251" t="e">
        <f>(C79)</f>
        <v>#REF!</v>
      </c>
      <c r="Q605" s="244" t="s">
        <v>884</v>
      </c>
      <c r="R605" s="251" t="e">
        <f t="shared" si="34"/>
        <v>#REF!</v>
      </c>
      <c r="AG605" s="244" t="s">
        <v>2346</v>
      </c>
    </row>
    <row r="606" spans="1:33" hidden="1">
      <c r="A606" s="358">
        <f t="shared" si="33"/>
        <v>435</v>
      </c>
      <c r="B606" s="244" t="s">
        <v>1695</v>
      </c>
      <c r="C606"/>
      <c r="D606" s="1" t="s">
        <v>883</v>
      </c>
      <c r="E606"/>
      <c r="H606" s="244" t="s">
        <v>1696</v>
      </c>
      <c r="I606"/>
      <c r="J606" s="4"/>
      <c r="K606" s="34"/>
      <c r="M606" s="251">
        <v>7.24</v>
      </c>
      <c r="N606" s="244" t="s">
        <v>611</v>
      </c>
      <c r="O606" s="244" t="s">
        <v>1697</v>
      </c>
      <c r="P606" s="251" t="e">
        <f>(K1332)</f>
        <v>#REF!</v>
      </c>
      <c r="Q606" s="244" t="s">
        <v>611</v>
      </c>
      <c r="R606" s="251" t="e">
        <f t="shared" si="34"/>
        <v>#REF!</v>
      </c>
      <c r="AG606" s="244" t="s">
        <v>2346</v>
      </c>
    </row>
    <row r="607" spans="1:33" hidden="1">
      <c r="A607" s="358">
        <f t="shared" si="33"/>
        <v>436</v>
      </c>
      <c r="B607" s="244" t="s">
        <v>1538</v>
      </c>
      <c r="C607" s="8">
        <v>73.48</v>
      </c>
      <c r="D607" s="8">
        <v>93.72</v>
      </c>
      <c r="E607"/>
      <c r="H607" s="248" t="s">
        <v>1667</v>
      </c>
      <c r="I607"/>
      <c r="J607" s="4"/>
      <c r="K607" s="34"/>
      <c r="M607" s="251">
        <v>1</v>
      </c>
      <c r="N607" s="244" t="s">
        <v>883</v>
      </c>
      <c r="O607" s="244" t="s">
        <v>1539</v>
      </c>
      <c r="P607" s="251">
        <f>(C202)</f>
        <v>75</v>
      </c>
      <c r="Q607" s="244" t="s">
        <v>883</v>
      </c>
      <c r="R607" s="251">
        <f t="shared" si="34"/>
        <v>75</v>
      </c>
      <c r="AG607" s="244" t="s">
        <v>2346</v>
      </c>
    </row>
    <row r="608" spans="1:33" hidden="1">
      <c r="A608" s="358">
        <f t="shared" si="33"/>
        <v>437</v>
      </c>
      <c r="B608" s="244" t="s">
        <v>1540</v>
      </c>
      <c r="C608" s="8">
        <v>43.12</v>
      </c>
      <c r="D608" s="1" t="s">
        <v>883</v>
      </c>
      <c r="E608"/>
      <c r="F608" s="251">
        <v>0.01</v>
      </c>
      <c r="G608" s="250" t="s">
        <v>884</v>
      </c>
      <c r="H608" s="244" t="s">
        <v>1541</v>
      </c>
      <c r="I608" s="8" t="e">
        <f>(K279)</f>
        <v>#REF!</v>
      </c>
      <c r="J608" s="2" t="s">
        <v>884</v>
      </c>
      <c r="K608" s="6" t="e">
        <f>(F608*I608)</f>
        <v>#REF!</v>
      </c>
      <c r="M608" s="363">
        <v>0.13600000000000001</v>
      </c>
      <c r="N608" s="244" t="s">
        <v>884</v>
      </c>
      <c r="O608" s="244" t="s">
        <v>1002</v>
      </c>
      <c r="P608" s="251" t="e">
        <f>(K614)</f>
        <v>#REF!</v>
      </c>
      <c r="Q608" s="244" t="s">
        <v>884</v>
      </c>
      <c r="R608" s="251" t="e">
        <f t="shared" si="34"/>
        <v>#REF!</v>
      </c>
      <c r="AG608" s="244" t="s">
        <v>2346</v>
      </c>
    </row>
    <row r="609" spans="1:33" hidden="1">
      <c r="A609" s="358">
        <f t="shared" si="33"/>
        <v>438</v>
      </c>
      <c r="B609" s="244" t="s">
        <v>1003</v>
      </c>
      <c r="C609"/>
      <c r="D609" s="1" t="s">
        <v>883</v>
      </c>
      <c r="E609"/>
      <c r="F609" s="251">
        <v>0.01</v>
      </c>
      <c r="G609" s="250" t="s">
        <v>884</v>
      </c>
      <c r="H609" s="244" t="s">
        <v>1004</v>
      </c>
      <c r="I609"/>
      <c r="J609" s="2" t="s">
        <v>448</v>
      </c>
      <c r="K609" s="6">
        <v>1.1499999999999999</v>
      </c>
      <c r="O609" s="244" t="s">
        <v>132</v>
      </c>
      <c r="AG609" s="244" t="s">
        <v>2346</v>
      </c>
    </row>
    <row r="610" spans="1:33" hidden="1">
      <c r="A610" s="358">
        <f t="shared" si="33"/>
        <v>439</v>
      </c>
      <c r="B610" s="244" t="s">
        <v>133</v>
      </c>
      <c r="C610" s="8">
        <v>121.88</v>
      </c>
      <c r="D610" s="1" t="s">
        <v>883</v>
      </c>
      <c r="E610"/>
      <c r="H610" s="244" t="s">
        <v>134</v>
      </c>
      <c r="I610"/>
      <c r="J610" s="4"/>
      <c r="K610" s="34"/>
      <c r="N610" s="244" t="s">
        <v>448</v>
      </c>
      <c r="O610" s="244" t="s">
        <v>345</v>
      </c>
      <c r="Q610" s="244" t="s">
        <v>448</v>
      </c>
      <c r="R610" s="251">
        <v>1.5</v>
      </c>
      <c r="AG610" s="244" t="s">
        <v>2346</v>
      </c>
    </row>
    <row r="611" spans="1:33" hidden="1">
      <c r="A611" s="358">
        <f t="shared" si="33"/>
        <v>440</v>
      </c>
      <c r="B611" s="244" t="s">
        <v>1547</v>
      </c>
      <c r="C611" s="8">
        <v>66</v>
      </c>
      <c r="D611" s="1" t="s">
        <v>883</v>
      </c>
      <c r="E611"/>
      <c r="I611"/>
      <c r="J611" s="4"/>
      <c r="K611" s="6" t="s">
        <v>1667</v>
      </c>
      <c r="R611" s="248" t="s">
        <v>1667</v>
      </c>
      <c r="AG611" s="244" t="s">
        <v>2346</v>
      </c>
    </row>
    <row r="612" spans="1:33" hidden="1">
      <c r="A612" s="358">
        <f t="shared" si="33"/>
        <v>441</v>
      </c>
      <c r="B612" s="244" t="s">
        <v>1548</v>
      </c>
      <c r="C612"/>
      <c r="D612" s="1" t="s">
        <v>883</v>
      </c>
      <c r="E612"/>
      <c r="H612" s="244" t="s">
        <v>1549</v>
      </c>
      <c r="I612"/>
      <c r="J612" s="4"/>
      <c r="K612" s="6" t="e">
        <f>SUM(K608:K610)</f>
        <v>#REF!</v>
      </c>
      <c r="O612" s="244" t="s">
        <v>1834</v>
      </c>
      <c r="R612" s="251" t="e">
        <f>SUM(R600:R610)</f>
        <v>#REF!</v>
      </c>
      <c r="AG612" s="244" t="s">
        <v>325</v>
      </c>
    </row>
    <row r="613" spans="1:33" hidden="1">
      <c r="A613" s="358">
        <f t="shared" si="33"/>
        <v>442</v>
      </c>
      <c r="B613" s="244" t="s">
        <v>432</v>
      </c>
      <c r="C613" s="8">
        <v>149.16</v>
      </c>
      <c r="D613" s="1" t="s">
        <v>883</v>
      </c>
      <c r="E613"/>
      <c r="I613"/>
      <c r="J613" s="4"/>
      <c r="K613" s="6" t="s">
        <v>1667</v>
      </c>
      <c r="R613" s="248" t="s">
        <v>1667</v>
      </c>
    </row>
    <row r="614" spans="1:33" hidden="1">
      <c r="A614" s="358">
        <f t="shared" si="33"/>
        <v>443</v>
      </c>
      <c r="B614" s="244" t="s">
        <v>433</v>
      </c>
      <c r="C614" s="8">
        <v>84.92</v>
      </c>
      <c r="D614" s="1" t="s">
        <v>883</v>
      </c>
      <c r="E614"/>
      <c r="H614" s="244" t="s">
        <v>785</v>
      </c>
      <c r="I614"/>
      <c r="J614" s="4"/>
      <c r="K614" s="6" t="e">
        <f>ROUND(K612*100,0)</f>
        <v>#REF!</v>
      </c>
      <c r="N614" s="244" t="s">
        <v>2338</v>
      </c>
      <c r="O614" s="244" t="s">
        <v>434</v>
      </c>
    </row>
    <row r="615" spans="1:33" hidden="1">
      <c r="C615"/>
      <c r="D615"/>
      <c r="E615"/>
      <c r="F615" s="244" t="s">
        <v>995</v>
      </c>
      <c r="I615"/>
      <c r="J615" s="4"/>
      <c r="K615" s="34"/>
    </row>
    <row r="616" spans="1:33" hidden="1">
      <c r="A616" s="358">
        <f>(A614+1)</f>
        <v>444</v>
      </c>
      <c r="B616" s="244" t="s">
        <v>1136</v>
      </c>
      <c r="C616"/>
      <c r="D616" s="1" t="s">
        <v>883</v>
      </c>
      <c r="E616"/>
      <c r="I616"/>
      <c r="J616" s="4"/>
      <c r="K616" s="6" t="s">
        <v>2130</v>
      </c>
      <c r="O616" s="244" t="s">
        <v>1137</v>
      </c>
      <c r="AG616" s="244" t="s">
        <v>2346</v>
      </c>
    </row>
    <row r="617" spans="1:33" hidden="1">
      <c r="A617" s="358">
        <f t="shared" ref="A617:A648" si="35">(A616+1)</f>
        <v>445</v>
      </c>
      <c r="B617" s="244" t="s">
        <v>1010</v>
      </c>
      <c r="C617" s="8">
        <v>195.36</v>
      </c>
      <c r="D617" s="1" t="s">
        <v>883</v>
      </c>
      <c r="E617"/>
      <c r="G617" s="250" t="s">
        <v>685</v>
      </c>
      <c r="H617" s="244" t="s">
        <v>1011</v>
      </c>
      <c r="I617"/>
      <c r="J617" s="4"/>
      <c r="K617" s="34"/>
      <c r="O617" s="248" t="s">
        <v>1667</v>
      </c>
      <c r="AG617" s="244" t="s">
        <v>2346</v>
      </c>
    </row>
    <row r="618" spans="1:33" hidden="1">
      <c r="A618" s="358">
        <f t="shared" si="35"/>
        <v>446</v>
      </c>
      <c r="B618" s="244" t="s">
        <v>1737</v>
      </c>
      <c r="C618" s="8">
        <v>137.28</v>
      </c>
      <c r="D618" s="1" t="s">
        <v>883</v>
      </c>
      <c r="E618"/>
      <c r="H618" s="244" t="s">
        <v>1738</v>
      </c>
      <c r="I618"/>
      <c r="J618" s="4"/>
      <c r="K618" s="34"/>
      <c r="M618" s="251">
        <v>3</v>
      </c>
      <c r="N618" s="244" t="s">
        <v>884</v>
      </c>
      <c r="O618" s="244" t="s">
        <v>1739</v>
      </c>
      <c r="P618" s="251">
        <f>(C61*2)</f>
        <v>50</v>
      </c>
      <c r="Q618" s="244" t="s">
        <v>884</v>
      </c>
      <c r="R618" s="251">
        <f>(M618*P618)</f>
        <v>150</v>
      </c>
      <c r="AG618" s="244" t="s">
        <v>2346</v>
      </c>
    </row>
    <row r="619" spans="1:33" hidden="1">
      <c r="A619" s="358">
        <f t="shared" si="35"/>
        <v>447</v>
      </c>
      <c r="B619" s="244" t="s">
        <v>630</v>
      </c>
      <c r="C619"/>
      <c r="D619" s="1" t="s">
        <v>883</v>
      </c>
      <c r="E619"/>
      <c r="H619" s="248" t="s">
        <v>1667</v>
      </c>
      <c r="I619"/>
      <c r="J619" s="4"/>
      <c r="K619" s="34"/>
      <c r="M619" s="251">
        <v>2.4</v>
      </c>
      <c r="N619" s="244" t="s">
        <v>884</v>
      </c>
      <c r="O619" s="244" t="s">
        <v>1718</v>
      </c>
      <c r="P619" s="251" t="e">
        <f>(C81)</f>
        <v>#REF!</v>
      </c>
      <c r="Q619" s="244" t="s">
        <v>884</v>
      </c>
      <c r="R619" s="251" t="e">
        <f>(M619*P619)</f>
        <v>#REF!</v>
      </c>
      <c r="AG619" s="244" t="s">
        <v>2346</v>
      </c>
    </row>
    <row r="620" spans="1:33" hidden="1">
      <c r="A620" s="358">
        <f t="shared" si="35"/>
        <v>448</v>
      </c>
      <c r="B620" s="244" t="s">
        <v>1498</v>
      </c>
      <c r="C620" s="8">
        <v>97.68</v>
      </c>
      <c r="D620" s="1" t="s">
        <v>883</v>
      </c>
      <c r="E620"/>
      <c r="F620" s="363">
        <v>1.4E-2</v>
      </c>
      <c r="G620" s="250" t="s">
        <v>884</v>
      </c>
      <c r="H620" s="244" t="s">
        <v>1383</v>
      </c>
      <c r="I620" s="8" t="e">
        <f>(K614)</f>
        <v>#REF!</v>
      </c>
      <c r="J620" s="2" t="s">
        <v>884</v>
      </c>
      <c r="K620" s="6" t="e">
        <f>(F620*I620)</f>
        <v>#REF!</v>
      </c>
      <c r="M620" s="251">
        <v>5</v>
      </c>
      <c r="N620" s="244" t="s">
        <v>883</v>
      </c>
      <c r="O620" s="244" t="s">
        <v>609</v>
      </c>
      <c r="P620" s="251">
        <f>(C203)</f>
        <v>40</v>
      </c>
      <c r="Q620" s="244" t="s">
        <v>883</v>
      </c>
      <c r="R620" s="251">
        <f>(M620*P620)</f>
        <v>200</v>
      </c>
      <c r="AG620" s="244" t="s">
        <v>2346</v>
      </c>
    </row>
    <row r="621" spans="1:33" hidden="1">
      <c r="A621" s="358">
        <f t="shared" si="35"/>
        <v>449</v>
      </c>
      <c r="B621" s="244" t="s">
        <v>1856</v>
      </c>
      <c r="C621" s="8">
        <v>54.12</v>
      </c>
      <c r="D621" s="1" t="s">
        <v>883</v>
      </c>
      <c r="E621"/>
      <c r="F621" s="363"/>
      <c r="H621" s="244" t="s">
        <v>1857</v>
      </c>
      <c r="I621"/>
      <c r="J621" s="4"/>
      <c r="K621" s="6" t="s">
        <v>995</v>
      </c>
      <c r="O621" s="244" t="s">
        <v>449</v>
      </c>
      <c r="Q621" s="244" t="s">
        <v>448</v>
      </c>
      <c r="R621" s="251">
        <v>0.08</v>
      </c>
      <c r="AG621" s="244" t="s">
        <v>2346</v>
      </c>
    </row>
    <row r="622" spans="1:33" hidden="1">
      <c r="A622" s="358">
        <f t="shared" si="35"/>
        <v>450</v>
      </c>
      <c r="B622" s="244" t="s">
        <v>1858</v>
      </c>
      <c r="C622"/>
      <c r="D622" s="1" t="s">
        <v>883</v>
      </c>
      <c r="E622"/>
      <c r="F622" s="251">
        <v>0.5</v>
      </c>
      <c r="G622" s="250" t="s">
        <v>781</v>
      </c>
      <c r="H622" s="244" t="s">
        <v>2082</v>
      </c>
      <c r="I622" s="8">
        <f>(C10)</f>
        <v>150</v>
      </c>
      <c r="J622" s="2" t="s">
        <v>781</v>
      </c>
      <c r="K622" s="6">
        <f>(F622*I622)</f>
        <v>75</v>
      </c>
      <c r="R622" s="248" t="s">
        <v>1667</v>
      </c>
      <c r="S622" s="244" t="s">
        <v>995</v>
      </c>
      <c r="AG622" s="244" t="s">
        <v>2346</v>
      </c>
    </row>
    <row r="623" spans="1:33" hidden="1">
      <c r="A623" s="358">
        <f t="shared" si="35"/>
        <v>451</v>
      </c>
      <c r="B623" s="244" t="s">
        <v>1719</v>
      </c>
      <c r="C623" s="8">
        <v>110</v>
      </c>
      <c r="D623" s="1" t="s">
        <v>883</v>
      </c>
      <c r="E623"/>
      <c r="F623" s="251">
        <v>0.75</v>
      </c>
      <c r="G623" s="250" t="s">
        <v>781</v>
      </c>
      <c r="H623" s="244" t="s">
        <v>1979</v>
      </c>
      <c r="I623" s="8">
        <f>(C12)</f>
        <v>95</v>
      </c>
      <c r="J623" s="2" t="s">
        <v>781</v>
      </c>
      <c r="K623" s="6">
        <f>(F623*I623)</f>
        <v>71.25</v>
      </c>
      <c r="O623" s="244" t="s">
        <v>1834</v>
      </c>
      <c r="R623" s="251" t="e">
        <f>SUM(R618:R621)</f>
        <v>#REF!</v>
      </c>
      <c r="AG623" s="244" t="s">
        <v>2346</v>
      </c>
    </row>
    <row r="624" spans="1:33" hidden="1">
      <c r="A624" s="358">
        <f t="shared" si="35"/>
        <v>452</v>
      </c>
      <c r="B624" s="244" t="s">
        <v>1720</v>
      </c>
      <c r="C624" s="8">
        <v>70</v>
      </c>
      <c r="D624" s="1" t="s">
        <v>883</v>
      </c>
      <c r="E624"/>
      <c r="G624" s="250" t="s">
        <v>448</v>
      </c>
      <c r="H624" s="244" t="s">
        <v>449</v>
      </c>
      <c r="I624"/>
      <c r="J624" s="2" t="s">
        <v>448</v>
      </c>
      <c r="K624" s="6">
        <v>0</v>
      </c>
      <c r="R624" s="248" t="s">
        <v>1667</v>
      </c>
      <c r="AG624" s="244" t="s">
        <v>2346</v>
      </c>
    </row>
    <row r="625" spans="1:33" hidden="1">
      <c r="A625" s="358">
        <f t="shared" si="35"/>
        <v>453</v>
      </c>
      <c r="B625" s="244" t="s">
        <v>1721</v>
      </c>
      <c r="C625"/>
      <c r="D625" s="1" t="s">
        <v>883</v>
      </c>
      <c r="E625"/>
      <c r="I625"/>
      <c r="J625" s="4"/>
      <c r="K625" s="6" t="s">
        <v>1667</v>
      </c>
      <c r="AG625" s="244" t="s">
        <v>2346</v>
      </c>
    </row>
    <row r="626" spans="1:33" hidden="1">
      <c r="A626" s="358">
        <f t="shared" si="35"/>
        <v>454</v>
      </c>
      <c r="B626" s="244" t="s">
        <v>104</v>
      </c>
      <c r="C626" s="8">
        <v>12</v>
      </c>
      <c r="D626" s="1" t="s">
        <v>883</v>
      </c>
      <c r="E626"/>
      <c r="H626" s="244" t="s">
        <v>105</v>
      </c>
      <c r="I626"/>
      <c r="J626" s="4"/>
      <c r="K626" s="6" t="e">
        <f>SUM(K620:K624)</f>
        <v>#REF!</v>
      </c>
      <c r="N626" s="244" t="s">
        <v>2338</v>
      </c>
      <c r="O626" s="244" t="s">
        <v>66</v>
      </c>
      <c r="AG626" s="244" t="s">
        <v>2346</v>
      </c>
    </row>
    <row r="627" spans="1:33" hidden="1">
      <c r="A627" s="358">
        <f t="shared" si="35"/>
        <v>455</v>
      </c>
      <c r="B627" s="244" t="s">
        <v>2036</v>
      </c>
      <c r="C627" s="8">
        <v>7.5</v>
      </c>
      <c r="D627" s="1" t="s">
        <v>883</v>
      </c>
      <c r="E627"/>
      <c r="I627"/>
      <c r="J627" s="4"/>
      <c r="K627" s="6" t="s">
        <v>1667</v>
      </c>
      <c r="O627" s="244" t="s">
        <v>2037</v>
      </c>
      <c r="AG627" s="244" t="s">
        <v>2346</v>
      </c>
    </row>
    <row r="628" spans="1:33" hidden="1">
      <c r="A628" s="358">
        <f t="shared" si="35"/>
        <v>456</v>
      </c>
      <c r="B628" s="244" t="s">
        <v>2038</v>
      </c>
      <c r="C628"/>
      <c r="D628" s="1" t="s">
        <v>883</v>
      </c>
      <c r="E628"/>
      <c r="H628" s="244" t="s">
        <v>555</v>
      </c>
      <c r="I628"/>
      <c r="J628" s="4"/>
      <c r="K628" s="6" t="e">
        <f>(K626/0.372)</f>
        <v>#REF!</v>
      </c>
      <c r="O628" s="244" t="s">
        <v>2039</v>
      </c>
      <c r="AG628" s="244" t="s">
        <v>2346</v>
      </c>
    </row>
    <row r="629" spans="1:33" hidden="1">
      <c r="A629" s="358">
        <f t="shared" si="35"/>
        <v>457</v>
      </c>
      <c r="B629" s="244" t="s">
        <v>2040</v>
      </c>
      <c r="C629" s="8">
        <v>155.32</v>
      </c>
      <c r="D629" s="1" t="s">
        <v>883</v>
      </c>
      <c r="E629"/>
      <c r="I629"/>
      <c r="J629" s="4"/>
      <c r="K629" s="6" t="s">
        <v>2130</v>
      </c>
      <c r="O629" s="248" t="s">
        <v>1667</v>
      </c>
      <c r="AG629" s="244" t="s">
        <v>2346</v>
      </c>
    </row>
    <row r="630" spans="1:33" hidden="1">
      <c r="A630" s="358">
        <f t="shared" si="35"/>
        <v>458</v>
      </c>
      <c r="B630" s="244" t="s">
        <v>1850</v>
      </c>
      <c r="C630" s="8">
        <v>91.08</v>
      </c>
      <c r="D630" s="1" t="s">
        <v>883</v>
      </c>
      <c r="E630"/>
      <c r="H630" s="244" t="s">
        <v>388</v>
      </c>
      <c r="I630"/>
      <c r="J630" s="4"/>
      <c r="K630" s="6" t="e">
        <f>(K628+C22*0.014/0.372)</f>
        <v>#REF!</v>
      </c>
      <c r="M630" s="251">
        <v>9.5</v>
      </c>
      <c r="N630" s="244" t="s">
        <v>884</v>
      </c>
      <c r="O630" s="244" t="s">
        <v>1739</v>
      </c>
      <c r="P630" s="251">
        <f>(C61*2)</f>
        <v>50</v>
      </c>
      <c r="Q630" s="244" t="s">
        <v>884</v>
      </c>
      <c r="R630" s="251">
        <f t="shared" ref="R630:R638" si="36">(M630*P630)</f>
        <v>475</v>
      </c>
      <c r="AG630" s="244" t="s">
        <v>2346</v>
      </c>
    </row>
    <row r="631" spans="1:33" hidden="1">
      <c r="A631" s="358">
        <f t="shared" si="35"/>
        <v>459</v>
      </c>
      <c r="B631" s="244" t="s">
        <v>3093</v>
      </c>
      <c r="C631" s="8">
        <v>30</v>
      </c>
      <c r="D631" s="1" t="s">
        <v>1730</v>
      </c>
      <c r="E631"/>
      <c r="H631" s="244" t="s">
        <v>390</v>
      </c>
      <c r="I631"/>
      <c r="J631" s="4"/>
      <c r="K631" s="6" t="e">
        <f>(K630+C23*0.014/0.372)</f>
        <v>#REF!</v>
      </c>
      <c r="M631" s="251">
        <v>0.47</v>
      </c>
      <c r="N631" s="244" t="s">
        <v>884</v>
      </c>
      <c r="O631" s="244" t="s">
        <v>347</v>
      </c>
      <c r="P631" s="251" t="e">
        <f>(R74)</f>
        <v>#REF!</v>
      </c>
      <c r="Q631" s="244" t="s">
        <v>884</v>
      </c>
      <c r="R631" s="251" t="e">
        <f t="shared" si="36"/>
        <v>#REF!</v>
      </c>
      <c r="AG631" s="244" t="s">
        <v>2346</v>
      </c>
    </row>
    <row r="632" spans="1:33" hidden="1">
      <c r="A632" s="358">
        <f t="shared" si="35"/>
        <v>460</v>
      </c>
      <c r="B632" s="244" t="s">
        <v>1919</v>
      </c>
      <c r="C632" s="8">
        <v>0.3</v>
      </c>
      <c r="D632" s="1" t="s">
        <v>883</v>
      </c>
      <c r="E632"/>
      <c r="H632" s="244" t="s">
        <v>2319</v>
      </c>
      <c r="I632"/>
      <c r="J632" s="4"/>
      <c r="K632" s="6" t="e">
        <f>(K631+C24*0.014/0.372)</f>
        <v>#REF!</v>
      </c>
      <c r="M632" s="251">
        <v>1.62</v>
      </c>
      <c r="N632" s="244" t="s">
        <v>884</v>
      </c>
      <c r="O632" s="244" t="s">
        <v>2052</v>
      </c>
      <c r="P632" s="251" t="e">
        <f>(R89)</f>
        <v>#REF!</v>
      </c>
      <c r="Q632" s="244" t="s">
        <v>884</v>
      </c>
      <c r="R632" s="251" t="e">
        <f t="shared" si="36"/>
        <v>#REF!</v>
      </c>
      <c r="AG632" s="244" t="s">
        <v>2346</v>
      </c>
    </row>
    <row r="633" spans="1:33" hidden="1">
      <c r="A633" s="358">
        <f t="shared" si="35"/>
        <v>461</v>
      </c>
      <c r="B633" s="244" t="s">
        <v>3094</v>
      </c>
      <c r="C633" s="8">
        <v>99</v>
      </c>
      <c r="D633" s="1" t="s">
        <v>611</v>
      </c>
      <c r="E633"/>
      <c r="H633" s="244" t="s">
        <v>382</v>
      </c>
      <c r="I633"/>
      <c r="J633" s="4"/>
      <c r="K633" s="6" t="e">
        <f>(K632+C24*0.014/0.372)</f>
        <v>#REF!</v>
      </c>
      <c r="M633" s="251">
        <v>15.22</v>
      </c>
      <c r="N633" s="244" t="s">
        <v>611</v>
      </c>
      <c r="O633" s="244" t="s">
        <v>2209</v>
      </c>
      <c r="P633" s="251" t="e">
        <f>(R303)</f>
        <v>#REF!</v>
      </c>
      <c r="Q633" s="244" t="s">
        <v>611</v>
      </c>
      <c r="R633" s="251" t="e">
        <f t="shared" si="36"/>
        <v>#REF!</v>
      </c>
      <c r="AG633" s="244" t="s">
        <v>2346</v>
      </c>
    </row>
    <row r="634" spans="1:33" hidden="1">
      <c r="A634" s="358">
        <f t="shared" si="35"/>
        <v>462</v>
      </c>
      <c r="B634" s="244" t="s">
        <v>2091</v>
      </c>
      <c r="C634" s="8">
        <v>97.31</v>
      </c>
      <c r="D634" s="1" t="s">
        <v>611</v>
      </c>
      <c r="E634"/>
      <c r="H634" s="244" t="s">
        <v>1427</v>
      </c>
      <c r="I634"/>
      <c r="J634" s="4"/>
      <c r="K634" s="6" t="e">
        <f>(K633+C25*0.014/0.372)</f>
        <v>#REF!</v>
      </c>
      <c r="M634" s="251">
        <v>0.18</v>
      </c>
      <c r="N634" s="244" t="s">
        <v>884</v>
      </c>
      <c r="O634" s="244" t="s">
        <v>1392</v>
      </c>
      <c r="P634" s="251" t="e">
        <f>(K279)</f>
        <v>#REF!</v>
      </c>
      <c r="Q634" s="244" t="s">
        <v>884</v>
      </c>
      <c r="R634" s="251" t="e">
        <f t="shared" si="36"/>
        <v>#REF!</v>
      </c>
      <c r="AG634" s="244" t="s">
        <v>2346</v>
      </c>
    </row>
    <row r="635" spans="1:33" hidden="1">
      <c r="A635" s="358">
        <f t="shared" si="35"/>
        <v>463</v>
      </c>
      <c r="B635" s="244" t="s">
        <v>3095</v>
      </c>
      <c r="C635" s="8">
        <v>105.28</v>
      </c>
      <c r="D635" s="1" t="s">
        <v>1199</v>
      </c>
      <c r="E635"/>
      <c r="F635" s="354" t="s">
        <v>1393</v>
      </c>
      <c r="H635" s="244" t="s">
        <v>772</v>
      </c>
      <c r="I635"/>
      <c r="J635" s="4"/>
      <c r="K635" s="34"/>
      <c r="M635" s="251">
        <v>0.36</v>
      </c>
      <c r="N635" s="244" t="s">
        <v>611</v>
      </c>
      <c r="O635" s="244" t="s">
        <v>773</v>
      </c>
      <c r="P635" s="251" t="e">
        <f>(K466)</f>
        <v>#REF!</v>
      </c>
      <c r="Q635" s="244" t="s">
        <v>611</v>
      </c>
      <c r="R635" s="251" t="e">
        <f t="shared" si="36"/>
        <v>#REF!</v>
      </c>
      <c r="AG635" s="244" t="s">
        <v>2346</v>
      </c>
    </row>
    <row r="636" spans="1:33" hidden="1">
      <c r="A636" s="358">
        <f t="shared" si="35"/>
        <v>464</v>
      </c>
      <c r="B636" s="244" t="s">
        <v>3096</v>
      </c>
      <c r="C636" s="8">
        <v>106.75</v>
      </c>
      <c r="D636" s="1" t="s">
        <v>1199</v>
      </c>
      <c r="E636"/>
      <c r="H636" s="244" t="s">
        <v>1469</v>
      </c>
      <c r="I636"/>
      <c r="J636" s="4"/>
      <c r="K636" s="34"/>
      <c r="M636" s="251">
        <v>1</v>
      </c>
      <c r="N636" s="244" t="s">
        <v>883</v>
      </c>
      <c r="O636" s="244" t="s">
        <v>1211</v>
      </c>
      <c r="P636" s="251">
        <f>(C202)</f>
        <v>75</v>
      </c>
      <c r="Q636" s="244" t="s">
        <v>883</v>
      </c>
      <c r="R636" s="251">
        <f t="shared" si="36"/>
        <v>75</v>
      </c>
      <c r="AG636" s="244" t="s">
        <v>2346</v>
      </c>
    </row>
    <row r="637" spans="1:33" hidden="1">
      <c r="A637" s="358">
        <f t="shared" si="35"/>
        <v>465</v>
      </c>
      <c r="B637" s="244" t="s">
        <v>1212</v>
      </c>
      <c r="C637" s="8">
        <v>1</v>
      </c>
      <c r="D637" s="1" t="s">
        <v>883</v>
      </c>
      <c r="E637" t="s">
        <v>154</v>
      </c>
      <c r="H637" s="244" t="s">
        <v>339</v>
      </c>
      <c r="I637"/>
      <c r="J637" s="4"/>
      <c r="K637" s="34"/>
      <c r="M637" s="251">
        <v>1.8</v>
      </c>
      <c r="N637" s="244" t="s">
        <v>340</v>
      </c>
      <c r="O637" s="244" t="s">
        <v>341</v>
      </c>
      <c r="P637" s="251">
        <f>(C324)</f>
        <v>14.91</v>
      </c>
      <c r="Q637" s="244" t="s">
        <v>340</v>
      </c>
      <c r="R637" s="251">
        <f t="shared" si="36"/>
        <v>26.84</v>
      </c>
      <c r="AG637" s="244" t="s">
        <v>2346</v>
      </c>
    </row>
    <row r="638" spans="1:33" hidden="1">
      <c r="A638" s="358">
        <f t="shared" si="35"/>
        <v>466</v>
      </c>
      <c r="B638" s="244" t="s">
        <v>3097</v>
      </c>
      <c r="C638" s="8">
        <v>37</v>
      </c>
      <c r="D638" s="1" t="s">
        <v>1730</v>
      </c>
      <c r="E638"/>
      <c r="H638" s="244" t="s">
        <v>1566</v>
      </c>
      <c r="I638"/>
      <c r="J638" s="4"/>
      <c r="K638" s="34"/>
      <c r="M638" s="251">
        <v>1</v>
      </c>
      <c r="N638" s="244" t="s">
        <v>883</v>
      </c>
      <c r="O638" s="244" t="s">
        <v>1987</v>
      </c>
      <c r="P638" s="251">
        <f>(C370)</f>
        <v>13.29</v>
      </c>
      <c r="Q638" s="244" t="s">
        <v>883</v>
      </c>
      <c r="R638" s="251">
        <f t="shared" si="36"/>
        <v>13.29</v>
      </c>
      <c r="AG638" s="244" t="s">
        <v>2346</v>
      </c>
    </row>
    <row r="639" spans="1:33" hidden="1">
      <c r="A639" s="358">
        <f t="shared" si="35"/>
        <v>467</v>
      </c>
      <c r="B639" s="376" t="s">
        <v>1988</v>
      </c>
      <c r="C639" s="8">
        <v>3</v>
      </c>
      <c r="D639" s="1" t="s">
        <v>1854</v>
      </c>
      <c r="E639">
        <v>5</v>
      </c>
      <c r="H639" s="244" t="s">
        <v>173</v>
      </c>
      <c r="I639"/>
      <c r="J639" s="4"/>
      <c r="K639" s="34"/>
      <c r="N639" s="244" t="s">
        <v>448</v>
      </c>
      <c r="O639" s="244" t="s">
        <v>345</v>
      </c>
      <c r="Q639" s="244" t="s">
        <v>448</v>
      </c>
      <c r="R639" s="251">
        <v>1.6</v>
      </c>
      <c r="AG639" s="244" t="s">
        <v>2346</v>
      </c>
    </row>
    <row r="640" spans="1:33" hidden="1">
      <c r="A640" s="358">
        <f t="shared" si="35"/>
        <v>468</v>
      </c>
      <c r="B640" s="376" t="s">
        <v>174</v>
      </c>
      <c r="C640" s="8">
        <v>2.2000000000000002</v>
      </c>
      <c r="D640" s="1" t="s">
        <v>1854</v>
      </c>
      <c r="E640"/>
      <c r="H640" s="244" t="s">
        <v>175</v>
      </c>
      <c r="I640"/>
      <c r="J640" s="4"/>
      <c r="K640" s="34"/>
      <c r="R640" s="244" t="s">
        <v>995</v>
      </c>
      <c r="AG640" s="244" t="s">
        <v>2346</v>
      </c>
    </row>
    <row r="641" spans="1:33" hidden="1">
      <c r="A641" s="358">
        <f t="shared" si="35"/>
        <v>469</v>
      </c>
      <c r="B641" s="244" t="s">
        <v>3098</v>
      </c>
      <c r="C641" s="8">
        <v>2.2000000000000002</v>
      </c>
      <c r="D641" s="1">
        <v>2.7</v>
      </c>
      <c r="E641">
        <v>2</v>
      </c>
      <c r="H641" s="244" t="s">
        <v>176</v>
      </c>
      <c r="I641"/>
      <c r="J641" s="4"/>
      <c r="K641" s="34"/>
      <c r="R641" s="248" t="s">
        <v>1667</v>
      </c>
      <c r="AG641" s="244" t="s">
        <v>2346</v>
      </c>
    </row>
    <row r="642" spans="1:33" hidden="1">
      <c r="A642" s="358">
        <f t="shared" si="35"/>
        <v>470</v>
      </c>
      <c r="B642" s="244" t="s">
        <v>177</v>
      </c>
      <c r="C642" s="8">
        <v>3.2</v>
      </c>
      <c r="D642" s="8">
        <v>3.2</v>
      </c>
      <c r="E642"/>
      <c r="H642" s="248" t="s">
        <v>1667</v>
      </c>
      <c r="I642" s="5" t="s">
        <v>1667</v>
      </c>
      <c r="J642" s="4"/>
      <c r="K642" s="34"/>
      <c r="O642" s="244" t="s">
        <v>1834</v>
      </c>
      <c r="R642" s="251" t="e">
        <f>SUM(R630:R640)</f>
        <v>#REF!</v>
      </c>
      <c r="AG642" s="244" t="s">
        <v>2346</v>
      </c>
    </row>
    <row r="643" spans="1:33" hidden="1">
      <c r="A643" s="358">
        <f t="shared" si="35"/>
        <v>471</v>
      </c>
      <c r="B643" s="244" t="s">
        <v>178</v>
      </c>
      <c r="C643" s="8">
        <v>4</v>
      </c>
      <c r="D643" s="1" t="s">
        <v>448</v>
      </c>
      <c r="E643"/>
      <c r="F643" s="251">
        <v>1</v>
      </c>
      <c r="G643" s="250" t="s">
        <v>611</v>
      </c>
      <c r="H643" s="244" t="s">
        <v>179</v>
      </c>
      <c r="I643" s="8">
        <f>D76</f>
        <v>240</v>
      </c>
      <c r="J643" s="2" t="s">
        <v>611</v>
      </c>
      <c r="K643" s="6">
        <f>(F643*I643)</f>
        <v>240</v>
      </c>
      <c r="R643" s="248" t="s">
        <v>1667</v>
      </c>
      <c r="AG643" s="244" t="s">
        <v>2346</v>
      </c>
    </row>
    <row r="644" spans="1:33" hidden="1">
      <c r="A644" s="358">
        <f t="shared" si="35"/>
        <v>472</v>
      </c>
      <c r="B644" s="244" t="s">
        <v>417</v>
      </c>
      <c r="C644" s="8">
        <v>5</v>
      </c>
      <c r="D644" s="1" t="s">
        <v>448</v>
      </c>
      <c r="E644"/>
      <c r="F644" s="251">
        <v>1</v>
      </c>
      <c r="G644" s="250" t="s">
        <v>611</v>
      </c>
      <c r="H644" s="244" t="s">
        <v>1499</v>
      </c>
      <c r="I644" s="8">
        <f>C75</f>
        <v>20</v>
      </c>
      <c r="J644" s="2" t="s">
        <v>611</v>
      </c>
      <c r="K644" s="6">
        <f>(F644*I644)</f>
        <v>20</v>
      </c>
      <c r="O644" s="244" t="s">
        <v>1500</v>
      </c>
      <c r="AG644" s="244" t="s">
        <v>2346</v>
      </c>
    </row>
    <row r="645" spans="1:33" hidden="1">
      <c r="A645" s="358">
        <f t="shared" si="35"/>
        <v>473</v>
      </c>
      <c r="B645" s="244" t="s">
        <v>1679</v>
      </c>
      <c r="C645" s="8">
        <v>96</v>
      </c>
      <c r="D645" s="1" t="s">
        <v>883</v>
      </c>
      <c r="E645"/>
      <c r="F645" s="251">
        <v>1</v>
      </c>
      <c r="G645" s="250" t="s">
        <v>448</v>
      </c>
      <c r="H645" s="244" t="s">
        <v>1680</v>
      </c>
      <c r="I645" s="8">
        <v>15</v>
      </c>
      <c r="J645" s="2" t="s">
        <v>448</v>
      </c>
      <c r="K645" s="6">
        <f>(F645*I645)</f>
        <v>15</v>
      </c>
      <c r="N645" s="244" t="s">
        <v>2338</v>
      </c>
      <c r="O645" s="244" t="s">
        <v>1681</v>
      </c>
      <c r="AG645" s="244" t="s">
        <v>2346</v>
      </c>
    </row>
    <row r="646" spans="1:33" hidden="1">
      <c r="A646" s="358">
        <f t="shared" si="35"/>
        <v>474</v>
      </c>
      <c r="B646" s="244" t="s">
        <v>1682</v>
      </c>
      <c r="C646" s="8">
        <v>75</v>
      </c>
      <c r="D646" s="1" t="s">
        <v>883</v>
      </c>
      <c r="E646"/>
      <c r="I646"/>
      <c r="J646" s="4"/>
      <c r="K646" s="6" t="s">
        <v>1667</v>
      </c>
      <c r="O646" s="244" t="s">
        <v>1683</v>
      </c>
      <c r="AG646" s="244" t="s">
        <v>2346</v>
      </c>
    </row>
    <row r="647" spans="1:33" hidden="1">
      <c r="A647" s="358">
        <f t="shared" si="35"/>
        <v>475</v>
      </c>
      <c r="B647" s="244" t="s">
        <v>1684</v>
      </c>
      <c r="C647" s="8">
        <v>6.4</v>
      </c>
      <c r="D647" s="8">
        <v>12.65</v>
      </c>
      <c r="E647">
        <v>3</v>
      </c>
      <c r="H647" s="244" t="s">
        <v>555</v>
      </c>
      <c r="I647"/>
      <c r="J647" s="4"/>
      <c r="K647" s="6">
        <f>SUM(K641:K645)</f>
        <v>275</v>
      </c>
      <c r="O647" s="248" t="s">
        <v>1667</v>
      </c>
      <c r="AG647" s="244" t="s">
        <v>2346</v>
      </c>
    </row>
    <row r="648" spans="1:33" hidden="1">
      <c r="A648" s="358">
        <f t="shared" si="35"/>
        <v>476</v>
      </c>
      <c r="B648" s="244" t="s">
        <v>1662</v>
      </c>
      <c r="C648" s="8">
        <v>80</v>
      </c>
      <c r="D648" s="1" t="s">
        <v>883</v>
      </c>
      <c r="E648"/>
      <c r="H648" s="244" t="s">
        <v>1663</v>
      </c>
      <c r="I648"/>
      <c r="J648" s="4"/>
      <c r="K648" s="6" t="s">
        <v>2130</v>
      </c>
      <c r="M648" s="251">
        <v>1</v>
      </c>
      <c r="N648" s="244" t="s">
        <v>883</v>
      </c>
      <c r="O648" s="244" t="s">
        <v>1664</v>
      </c>
      <c r="P648" s="251">
        <f>(C382)</f>
        <v>14.91</v>
      </c>
      <c r="Q648" s="244" t="s">
        <v>883</v>
      </c>
      <c r="R648" s="251">
        <f>(M648*P648)</f>
        <v>14.91</v>
      </c>
      <c r="AG648" s="244" t="s">
        <v>2346</v>
      </c>
    </row>
    <row r="649" spans="1:33" hidden="1">
      <c r="A649" s="358">
        <f t="shared" ref="A649:A673" si="37">(A648+1)</f>
        <v>477</v>
      </c>
      <c r="B649" s="244" t="s">
        <v>139</v>
      </c>
      <c r="C649" s="8">
        <v>64</v>
      </c>
      <c r="D649" s="1" t="s">
        <v>883</v>
      </c>
      <c r="E649"/>
      <c r="H649" s="244" t="s">
        <v>388</v>
      </c>
      <c r="I649"/>
      <c r="J649" s="4"/>
      <c r="K649" s="6">
        <f>(K647+C19*0.05)</f>
        <v>275.88</v>
      </c>
      <c r="N649" s="244" t="s">
        <v>448</v>
      </c>
      <c r="O649" s="244" t="s">
        <v>140</v>
      </c>
      <c r="Q649" s="244" t="s">
        <v>448</v>
      </c>
      <c r="R649" s="251">
        <v>2.09</v>
      </c>
      <c r="AG649" s="244" t="s">
        <v>2346</v>
      </c>
    </row>
    <row r="650" spans="1:33" hidden="1">
      <c r="A650" s="358">
        <f t="shared" si="37"/>
        <v>478</v>
      </c>
      <c r="B650" s="244" t="s">
        <v>141</v>
      </c>
      <c r="C650" s="8">
        <v>40.5</v>
      </c>
      <c r="D650" s="1" t="s">
        <v>883</v>
      </c>
      <c r="E650"/>
      <c r="H650" s="244" t="s">
        <v>390</v>
      </c>
      <c r="I650"/>
      <c r="J650" s="4"/>
      <c r="K650" s="6">
        <f>(K649+C20*0.05)</f>
        <v>277.64</v>
      </c>
      <c r="O650" s="244" t="s">
        <v>142</v>
      </c>
      <c r="R650" s="244" t="s">
        <v>995</v>
      </c>
      <c r="AG650" s="244" t="s">
        <v>2346</v>
      </c>
    </row>
    <row r="651" spans="1:33" hidden="1">
      <c r="A651" s="358">
        <f t="shared" si="37"/>
        <v>479</v>
      </c>
      <c r="B651" s="244" t="s">
        <v>1524</v>
      </c>
      <c r="C651" s="8">
        <v>92</v>
      </c>
      <c r="D651" s="1" t="s">
        <v>883</v>
      </c>
      <c r="E651"/>
      <c r="H651" s="244" t="s">
        <v>2319</v>
      </c>
      <c r="I651"/>
      <c r="J651" s="4"/>
      <c r="K651" s="6">
        <f>(K650+C21*0.05)</f>
        <v>279.39999999999998</v>
      </c>
      <c r="R651" s="248" t="s">
        <v>1667</v>
      </c>
      <c r="AG651" s="244" t="s">
        <v>2346</v>
      </c>
    </row>
    <row r="652" spans="1:33" hidden="1">
      <c r="A652" s="358">
        <f t="shared" si="37"/>
        <v>480</v>
      </c>
      <c r="B652" s="244" t="s">
        <v>1645</v>
      </c>
      <c r="C652" s="8">
        <v>60</v>
      </c>
      <c r="D652" s="1" t="s">
        <v>883</v>
      </c>
      <c r="E652"/>
      <c r="H652" s="244" t="s">
        <v>382</v>
      </c>
      <c r="I652"/>
      <c r="J652" s="4"/>
      <c r="K652" s="6">
        <f>(K651+C21*0.05)</f>
        <v>281.16000000000003</v>
      </c>
      <c r="O652" s="244" t="s">
        <v>1646</v>
      </c>
      <c r="R652" s="251">
        <f>SUM(R648:R650)</f>
        <v>17</v>
      </c>
      <c r="AG652" s="244" t="s">
        <v>2346</v>
      </c>
    </row>
    <row r="653" spans="1:33" hidden="1">
      <c r="A653" s="358">
        <f t="shared" si="37"/>
        <v>481</v>
      </c>
      <c r="B653" s="244" t="s">
        <v>1426</v>
      </c>
      <c r="C653" s="8">
        <v>49.87</v>
      </c>
      <c r="D653" s="1" t="s">
        <v>883</v>
      </c>
      <c r="E653"/>
      <c r="H653" s="244" t="s">
        <v>1427</v>
      </c>
      <c r="I653"/>
      <c r="J653" s="4"/>
      <c r="K653" s="6">
        <f>(K652+C21*0.05)</f>
        <v>282.92</v>
      </c>
      <c r="R653" s="248" t="s">
        <v>1667</v>
      </c>
      <c r="AG653" s="244" t="s">
        <v>2346</v>
      </c>
    </row>
    <row r="654" spans="1:33" hidden="1">
      <c r="A654" s="358">
        <f t="shared" si="37"/>
        <v>482</v>
      </c>
      <c r="B654" s="244" t="s">
        <v>1893</v>
      </c>
      <c r="C654" s="8">
        <v>80</v>
      </c>
      <c r="D654" s="1" t="s">
        <v>883</v>
      </c>
      <c r="E654"/>
      <c r="F654" s="354" t="s">
        <v>1894</v>
      </c>
      <c r="H654" s="244" t="s">
        <v>772</v>
      </c>
      <c r="I654"/>
      <c r="J654" s="4"/>
      <c r="K654" s="34"/>
      <c r="AG654" s="244" t="s">
        <v>2346</v>
      </c>
    </row>
    <row r="655" spans="1:33" hidden="1">
      <c r="A655" s="358">
        <f t="shared" si="37"/>
        <v>483</v>
      </c>
      <c r="B655" s="244" t="s">
        <v>1895</v>
      </c>
      <c r="C655" s="8">
        <v>52</v>
      </c>
      <c r="D655" s="1" t="s">
        <v>883</v>
      </c>
      <c r="E655"/>
      <c r="H655" s="244" t="s">
        <v>1896</v>
      </c>
      <c r="I655"/>
      <c r="J655" s="4"/>
      <c r="K655" s="34"/>
      <c r="N655" s="244" t="s">
        <v>2338</v>
      </c>
      <c r="O655" s="244" t="s">
        <v>910</v>
      </c>
      <c r="AG655" s="244" t="s">
        <v>2346</v>
      </c>
    </row>
    <row r="656" spans="1:33" hidden="1">
      <c r="A656" s="358">
        <f t="shared" si="37"/>
        <v>484</v>
      </c>
      <c r="B656" s="244" t="s">
        <v>1232</v>
      </c>
      <c r="C656" s="8">
        <v>39</v>
      </c>
      <c r="D656" s="1" t="s">
        <v>883</v>
      </c>
      <c r="E656"/>
      <c r="H656" s="244" t="s">
        <v>339</v>
      </c>
      <c r="I656"/>
      <c r="J656" s="4"/>
      <c r="K656" s="34"/>
      <c r="O656" s="244" t="s">
        <v>1683</v>
      </c>
      <c r="AG656" s="244" t="s">
        <v>2346</v>
      </c>
    </row>
    <row r="657" spans="1:33" hidden="1">
      <c r="A657" s="358">
        <f t="shared" si="37"/>
        <v>485</v>
      </c>
      <c r="B657" s="244" t="s">
        <v>1311</v>
      </c>
      <c r="C657" s="8">
        <v>90</v>
      </c>
      <c r="D657" s="1" t="s">
        <v>883</v>
      </c>
      <c r="E657"/>
      <c r="H657" s="244" t="s">
        <v>1566</v>
      </c>
      <c r="I657"/>
      <c r="J657" s="4"/>
      <c r="K657" s="34"/>
      <c r="O657" s="248" t="s">
        <v>1667</v>
      </c>
      <c r="AG657" s="244" t="s">
        <v>2346</v>
      </c>
    </row>
    <row r="658" spans="1:33" hidden="1">
      <c r="A658" s="358">
        <f t="shared" si="37"/>
        <v>486</v>
      </c>
      <c r="B658" s="244" t="s">
        <v>1312</v>
      </c>
      <c r="C658" s="8">
        <v>60</v>
      </c>
      <c r="D658" s="1" t="s">
        <v>883</v>
      </c>
      <c r="E658"/>
      <c r="H658" s="244" t="s">
        <v>173</v>
      </c>
      <c r="I658"/>
      <c r="J658" s="4"/>
      <c r="K658" s="34"/>
      <c r="M658" s="251">
        <v>1</v>
      </c>
      <c r="N658" s="244" t="s">
        <v>883</v>
      </c>
      <c r="O658" s="244" t="s">
        <v>1121</v>
      </c>
      <c r="P658" s="251">
        <f>(C383)</f>
        <v>17.579999999999998</v>
      </c>
      <c r="Q658" s="244" t="s">
        <v>883</v>
      </c>
      <c r="R658" s="251">
        <f>(M658*P658)</f>
        <v>17.579999999999998</v>
      </c>
      <c r="AG658" s="244" t="s">
        <v>2346</v>
      </c>
    </row>
    <row r="659" spans="1:33" hidden="1">
      <c r="A659" s="358">
        <f t="shared" si="37"/>
        <v>487</v>
      </c>
      <c r="B659" s="244" t="s">
        <v>1122</v>
      </c>
      <c r="C659" s="8">
        <v>43.5</v>
      </c>
      <c r="D659" s="1" t="s">
        <v>883</v>
      </c>
      <c r="E659"/>
      <c r="H659" s="244" t="s">
        <v>175</v>
      </c>
      <c r="I659"/>
      <c r="J659" s="4"/>
      <c r="K659" s="34"/>
      <c r="N659" s="244" t="s">
        <v>448</v>
      </c>
      <c r="O659" s="244" t="s">
        <v>140</v>
      </c>
      <c r="Q659" s="244" t="s">
        <v>448</v>
      </c>
      <c r="R659" s="251">
        <v>2.09</v>
      </c>
      <c r="AG659" s="244" t="s">
        <v>2346</v>
      </c>
    </row>
    <row r="660" spans="1:33" hidden="1">
      <c r="A660" s="358">
        <f t="shared" si="37"/>
        <v>488</v>
      </c>
      <c r="B660" s="244" t="s">
        <v>244</v>
      </c>
      <c r="C660" s="8">
        <v>75</v>
      </c>
      <c r="D660" s="1" t="s">
        <v>883</v>
      </c>
      <c r="E660"/>
      <c r="H660" s="244" t="s">
        <v>2143</v>
      </c>
      <c r="I660"/>
      <c r="J660" s="4"/>
      <c r="K660" s="34"/>
      <c r="O660" s="244" t="s">
        <v>142</v>
      </c>
      <c r="R660" s="244" t="s">
        <v>995</v>
      </c>
      <c r="AG660" s="244" t="s">
        <v>2346</v>
      </c>
    </row>
    <row r="661" spans="1:33" hidden="1">
      <c r="A661" s="358">
        <f t="shared" si="37"/>
        <v>489</v>
      </c>
      <c r="B661" s="244" t="s">
        <v>2101</v>
      </c>
      <c r="C661" s="8">
        <v>52</v>
      </c>
      <c r="D661" s="1" t="s">
        <v>883</v>
      </c>
      <c r="E661"/>
      <c r="H661" s="248" t="s">
        <v>1667</v>
      </c>
      <c r="I661" s="5" t="s">
        <v>1667</v>
      </c>
      <c r="J661" s="4"/>
      <c r="K661" s="34"/>
      <c r="R661" s="248" t="s">
        <v>1667</v>
      </c>
      <c r="AG661" s="244" t="s">
        <v>2346</v>
      </c>
    </row>
    <row r="662" spans="1:33" hidden="1">
      <c r="A662" s="358">
        <f t="shared" si="37"/>
        <v>490</v>
      </c>
      <c r="B662" s="244" t="s">
        <v>1232</v>
      </c>
      <c r="C662" s="8">
        <v>35.25</v>
      </c>
      <c r="D662" s="1" t="s">
        <v>883</v>
      </c>
      <c r="E662"/>
      <c r="F662" s="251">
        <v>1</v>
      </c>
      <c r="G662" s="250" t="s">
        <v>611</v>
      </c>
      <c r="H662" s="244" t="s">
        <v>941</v>
      </c>
      <c r="I662" s="8">
        <f>C76</f>
        <v>514.62</v>
      </c>
      <c r="J662" s="2" t="s">
        <v>611</v>
      </c>
      <c r="K662" s="6">
        <f>(F662*I662)</f>
        <v>514.62</v>
      </c>
      <c r="O662" s="244" t="s">
        <v>1646</v>
      </c>
      <c r="R662" s="251">
        <f>SUM(R658:R660)</f>
        <v>19.670000000000002</v>
      </c>
      <c r="AG662" s="244" t="s">
        <v>2346</v>
      </c>
    </row>
    <row r="663" spans="1:33" hidden="1">
      <c r="A663" s="358">
        <f t="shared" si="37"/>
        <v>491</v>
      </c>
      <c r="B663" s="244" t="s">
        <v>942</v>
      </c>
      <c r="C663" s="8">
        <v>37.5</v>
      </c>
      <c r="D663" s="1" t="s">
        <v>883</v>
      </c>
      <c r="E663"/>
      <c r="F663" s="251">
        <v>1</v>
      </c>
      <c r="G663" s="250" t="s">
        <v>611</v>
      </c>
      <c r="H663" s="244" t="s">
        <v>1499</v>
      </c>
      <c r="I663" s="8">
        <f>C75</f>
        <v>20</v>
      </c>
      <c r="J663" s="2" t="s">
        <v>611</v>
      </c>
      <c r="K663" s="6">
        <f>(F663*I663)</f>
        <v>20</v>
      </c>
      <c r="R663" s="248" t="s">
        <v>1667</v>
      </c>
      <c r="AG663" s="244" t="s">
        <v>2346</v>
      </c>
    </row>
    <row r="664" spans="1:33" hidden="1">
      <c r="A664" s="358">
        <f t="shared" si="37"/>
        <v>492</v>
      </c>
      <c r="B664" s="244" t="s">
        <v>943</v>
      </c>
      <c r="C664" s="8">
        <v>24</v>
      </c>
      <c r="D664" s="1" t="s">
        <v>883</v>
      </c>
      <c r="E664"/>
      <c r="F664" s="251">
        <v>1</v>
      </c>
      <c r="G664" s="250" t="s">
        <v>448</v>
      </c>
      <c r="H664" s="244" t="s">
        <v>1680</v>
      </c>
      <c r="I664" s="8">
        <v>15</v>
      </c>
      <c r="J664" s="2" t="s">
        <v>448</v>
      </c>
      <c r="K664" s="6">
        <f>(F664*I664)</f>
        <v>15</v>
      </c>
      <c r="AG664" s="244" t="s">
        <v>2346</v>
      </c>
    </row>
    <row r="665" spans="1:33" hidden="1">
      <c r="A665" s="358">
        <f t="shared" si="37"/>
        <v>493</v>
      </c>
      <c r="B665" s="244" t="s">
        <v>944</v>
      </c>
      <c r="C665" s="8">
        <v>16</v>
      </c>
      <c r="D665" s="1" t="s">
        <v>883</v>
      </c>
      <c r="E665"/>
      <c r="H665" s="244" t="s">
        <v>449</v>
      </c>
      <c r="I665"/>
      <c r="J665" s="2" t="s">
        <v>448</v>
      </c>
      <c r="K665" s="6">
        <v>0</v>
      </c>
      <c r="N665" s="244" t="s">
        <v>2338</v>
      </c>
      <c r="O665" s="244" t="s">
        <v>476</v>
      </c>
      <c r="AG665" s="244" t="s">
        <v>2346</v>
      </c>
    </row>
    <row r="666" spans="1:33" hidden="1">
      <c r="A666" s="358">
        <f t="shared" si="37"/>
        <v>494</v>
      </c>
      <c r="B666" s="244" t="s">
        <v>477</v>
      </c>
      <c r="C666" s="8">
        <v>18</v>
      </c>
      <c r="D666" s="1" t="s">
        <v>883</v>
      </c>
      <c r="E666"/>
      <c r="I666"/>
      <c r="J666" s="4"/>
      <c r="K666" s="6" t="s">
        <v>1667</v>
      </c>
      <c r="O666" s="244" t="s">
        <v>1683</v>
      </c>
      <c r="AG666" s="244" t="s">
        <v>2346</v>
      </c>
    </row>
    <row r="667" spans="1:33" hidden="1">
      <c r="A667" s="358">
        <f t="shared" si="37"/>
        <v>495</v>
      </c>
      <c r="B667" s="244" t="s">
        <v>478</v>
      </c>
      <c r="C667" s="8">
        <v>6</v>
      </c>
      <c r="D667" s="1" t="s">
        <v>883</v>
      </c>
      <c r="E667"/>
      <c r="H667" s="244" t="s">
        <v>555</v>
      </c>
      <c r="I667"/>
      <c r="J667" s="4"/>
      <c r="K667" s="6">
        <f>SUM(K662:K665)</f>
        <v>549.62</v>
      </c>
      <c r="O667" s="248" t="s">
        <v>1667</v>
      </c>
      <c r="AG667" s="244" t="s">
        <v>2346</v>
      </c>
    </row>
    <row r="668" spans="1:33" hidden="1">
      <c r="A668" s="358">
        <f t="shared" si="37"/>
        <v>496</v>
      </c>
      <c r="B668" s="244" t="s">
        <v>479</v>
      </c>
      <c r="C668" s="8">
        <v>152.5</v>
      </c>
      <c r="D668" s="1" t="s">
        <v>1854</v>
      </c>
      <c r="E668"/>
      <c r="H668" s="244" t="s">
        <v>1663</v>
      </c>
      <c r="I668"/>
      <c r="J668" s="4"/>
      <c r="K668" s="6" t="s">
        <v>2130</v>
      </c>
      <c r="M668" s="251">
        <v>1</v>
      </c>
      <c r="N668" s="244" t="s">
        <v>883</v>
      </c>
      <c r="O668" s="244" t="s">
        <v>480</v>
      </c>
      <c r="P668" s="251">
        <f>(C384)</f>
        <v>19.3</v>
      </c>
      <c r="Q668" s="244" t="s">
        <v>883</v>
      </c>
      <c r="R668" s="251">
        <f>(M668*P668)</f>
        <v>19.3</v>
      </c>
      <c r="AG668" s="244" t="s">
        <v>2346</v>
      </c>
    </row>
    <row r="669" spans="1:33" hidden="1">
      <c r="A669" s="358">
        <f t="shared" si="37"/>
        <v>497</v>
      </c>
      <c r="B669" s="244" t="s">
        <v>1029</v>
      </c>
      <c r="C669" s="8">
        <v>108.68</v>
      </c>
      <c r="D669" s="1" t="s">
        <v>883</v>
      </c>
      <c r="E669"/>
      <c r="H669" s="244" t="s">
        <v>388</v>
      </c>
      <c r="I669"/>
      <c r="J669" s="2" t="s">
        <v>995</v>
      </c>
      <c r="K669" s="6">
        <f>(K667+C19*0.11)</f>
        <v>551.55999999999995</v>
      </c>
      <c r="N669" s="244" t="s">
        <v>448</v>
      </c>
      <c r="O669" s="244" t="s">
        <v>140</v>
      </c>
      <c r="Q669" s="244" t="s">
        <v>448</v>
      </c>
      <c r="R669" s="251">
        <v>2.09</v>
      </c>
      <c r="AG669" s="244" t="s">
        <v>2346</v>
      </c>
    </row>
    <row r="670" spans="1:33" hidden="1">
      <c r="A670" s="358">
        <f t="shared" si="37"/>
        <v>498</v>
      </c>
      <c r="B670" s="244" t="s">
        <v>551</v>
      </c>
      <c r="C670" s="8">
        <v>119.89</v>
      </c>
      <c r="D670" s="1" t="s">
        <v>883</v>
      </c>
      <c r="E670"/>
      <c r="H670" s="244" t="s">
        <v>390</v>
      </c>
      <c r="I670"/>
      <c r="J670" s="4"/>
      <c r="K670" s="6">
        <f>(K669+C20*0.11)</f>
        <v>555.42999999999995</v>
      </c>
      <c r="O670" s="244" t="s">
        <v>142</v>
      </c>
      <c r="R670" s="244" t="s">
        <v>995</v>
      </c>
      <c r="AG670" s="244" t="s">
        <v>2346</v>
      </c>
    </row>
    <row r="671" spans="1:33" hidden="1">
      <c r="A671" s="358">
        <f t="shared" si="37"/>
        <v>499</v>
      </c>
      <c r="B671" s="244" t="s">
        <v>552</v>
      </c>
      <c r="C671" s="8">
        <v>297.44</v>
      </c>
      <c r="D671" s="1" t="s">
        <v>883</v>
      </c>
      <c r="E671"/>
      <c r="H671" s="244" t="s">
        <v>2319</v>
      </c>
      <c r="I671"/>
      <c r="J671" s="4"/>
      <c r="K671" s="6">
        <f>(K670+C21*0.11)</f>
        <v>559.29999999999995</v>
      </c>
      <c r="R671" s="248" t="s">
        <v>1667</v>
      </c>
      <c r="AG671" s="244" t="s">
        <v>325</v>
      </c>
    </row>
    <row r="672" spans="1:33" hidden="1">
      <c r="A672" s="358">
        <f t="shared" si="37"/>
        <v>500</v>
      </c>
      <c r="B672" s="244" t="s">
        <v>553</v>
      </c>
      <c r="C672" s="8">
        <v>28.6</v>
      </c>
      <c r="D672" s="1" t="s">
        <v>883</v>
      </c>
      <c r="E672"/>
      <c r="H672" s="244" t="s">
        <v>382</v>
      </c>
      <c r="I672"/>
      <c r="J672" s="4"/>
      <c r="K672" s="6">
        <f>(K671+C21*0.11)</f>
        <v>563.16999999999996</v>
      </c>
      <c r="O672" s="244" t="s">
        <v>1646</v>
      </c>
      <c r="R672" s="251">
        <f>SUM(R668:R670)</f>
        <v>21.39</v>
      </c>
    </row>
    <row r="673" spans="1:33" hidden="1">
      <c r="A673" s="358">
        <f t="shared" si="37"/>
        <v>501</v>
      </c>
      <c r="B673" s="244" t="s">
        <v>187</v>
      </c>
      <c r="C673" s="8">
        <v>228.86</v>
      </c>
      <c r="D673" s="1" t="s">
        <v>883</v>
      </c>
      <c r="E673"/>
      <c r="H673" s="244" t="s">
        <v>1427</v>
      </c>
      <c r="I673"/>
      <c r="J673" s="4"/>
      <c r="K673" s="6">
        <f>(K672+C21*0.11)</f>
        <v>567.04</v>
      </c>
      <c r="R673" s="248" t="s">
        <v>1667</v>
      </c>
    </row>
    <row r="674" spans="1:33" hidden="1">
      <c r="C674"/>
      <c r="D674"/>
      <c r="E674"/>
      <c r="F674" s="244" t="s">
        <v>995</v>
      </c>
      <c r="I674"/>
      <c r="J674" s="4"/>
      <c r="K674" s="34"/>
    </row>
    <row r="675" spans="1:33" hidden="1">
      <c r="A675" s="358">
        <f>(A673+1)</f>
        <v>502</v>
      </c>
      <c r="B675" s="244" t="s">
        <v>188</v>
      </c>
      <c r="C675" s="8">
        <v>70.47</v>
      </c>
      <c r="D675" s="1" t="s">
        <v>883</v>
      </c>
      <c r="E675"/>
      <c r="I675"/>
      <c r="J675" s="4"/>
      <c r="K675" s="34"/>
      <c r="AG675" s="244" t="s">
        <v>2346</v>
      </c>
    </row>
    <row r="676" spans="1:33" hidden="1">
      <c r="A676" s="358">
        <f t="shared" ref="A676:A707" si="38">(A675+1)</f>
        <v>503</v>
      </c>
      <c r="B676" s="244" t="s">
        <v>189</v>
      </c>
      <c r="C676" s="8">
        <v>133.62</v>
      </c>
      <c r="D676" s="1" t="s">
        <v>883</v>
      </c>
      <c r="E676"/>
      <c r="F676" s="354" t="s">
        <v>1416</v>
      </c>
      <c r="H676" s="244" t="s">
        <v>190</v>
      </c>
      <c r="I676"/>
      <c r="J676" s="4"/>
      <c r="K676" s="34"/>
      <c r="N676" s="244" t="s">
        <v>2338</v>
      </c>
      <c r="O676" s="244" t="s">
        <v>1515</v>
      </c>
      <c r="AG676" s="244" t="s">
        <v>2346</v>
      </c>
    </row>
    <row r="677" spans="1:33" hidden="1">
      <c r="A677" s="358">
        <f t="shared" si="38"/>
        <v>504</v>
      </c>
      <c r="B677" s="244" t="s">
        <v>1516</v>
      </c>
      <c r="C677" s="8">
        <v>133.62</v>
      </c>
      <c r="D677" s="1" t="s">
        <v>883</v>
      </c>
      <c r="E677"/>
      <c r="H677" s="244" t="s">
        <v>1517</v>
      </c>
      <c r="I677"/>
      <c r="J677" s="4"/>
      <c r="K677" s="34"/>
      <c r="O677" s="244" t="s">
        <v>1518</v>
      </c>
      <c r="AG677" s="244" t="s">
        <v>2346</v>
      </c>
    </row>
    <row r="678" spans="1:33" hidden="1">
      <c r="A678" s="358">
        <f t="shared" si="38"/>
        <v>505</v>
      </c>
      <c r="B678" s="244" t="s">
        <v>1519</v>
      </c>
      <c r="C678" s="8">
        <v>215</v>
      </c>
      <c r="D678" s="1" t="s">
        <v>883</v>
      </c>
      <c r="E678"/>
      <c r="H678" s="244" t="s">
        <v>1520</v>
      </c>
      <c r="I678"/>
      <c r="J678" s="4"/>
      <c r="K678" s="34"/>
      <c r="O678" s="248" t="s">
        <v>1667</v>
      </c>
      <c r="AG678" s="244" t="s">
        <v>2346</v>
      </c>
    </row>
    <row r="679" spans="1:33" hidden="1">
      <c r="A679" s="358">
        <f t="shared" si="38"/>
        <v>506</v>
      </c>
      <c r="B679" s="244" t="s">
        <v>1271</v>
      </c>
      <c r="C679" s="8">
        <v>215</v>
      </c>
      <c r="D679" s="1" t="s">
        <v>883</v>
      </c>
      <c r="E679"/>
      <c r="H679" s="248" t="s">
        <v>1667</v>
      </c>
      <c r="I679"/>
      <c r="J679" s="4"/>
      <c r="K679" s="34"/>
      <c r="M679" s="251">
        <v>1</v>
      </c>
      <c r="N679" s="244" t="s">
        <v>883</v>
      </c>
      <c r="O679" s="244" t="s">
        <v>1272</v>
      </c>
      <c r="P679" s="251">
        <f>(C392/1*0.3)</f>
        <v>14.61</v>
      </c>
      <c r="Q679" s="244" t="s">
        <v>883</v>
      </c>
      <c r="R679" s="251">
        <f>(M679*P679)</f>
        <v>14.61</v>
      </c>
      <c r="AG679" s="244" t="s">
        <v>2346</v>
      </c>
    </row>
    <row r="680" spans="1:33" hidden="1">
      <c r="A680" s="358">
        <f t="shared" si="38"/>
        <v>507</v>
      </c>
      <c r="B680" s="244" t="s">
        <v>1273</v>
      </c>
      <c r="C680" s="8">
        <v>107.64</v>
      </c>
      <c r="D680" s="1" t="s">
        <v>611</v>
      </c>
      <c r="E680"/>
      <c r="F680" s="251">
        <v>0.4</v>
      </c>
      <c r="G680" s="250" t="s">
        <v>884</v>
      </c>
      <c r="H680" s="244" t="s">
        <v>1274</v>
      </c>
      <c r="I680" s="8">
        <f>(C267)</f>
        <v>10705</v>
      </c>
      <c r="J680" s="2" t="s">
        <v>884</v>
      </c>
      <c r="K680" s="6">
        <f>(F680*I680)</f>
        <v>4282</v>
      </c>
      <c r="N680" s="244" t="s">
        <v>448</v>
      </c>
      <c r="O680" s="244" t="s">
        <v>140</v>
      </c>
      <c r="Q680" s="244" t="s">
        <v>448</v>
      </c>
      <c r="R680" s="251">
        <v>1.65</v>
      </c>
      <c r="AG680" s="244" t="s">
        <v>2346</v>
      </c>
    </row>
    <row r="681" spans="1:33" hidden="1">
      <c r="A681" s="358">
        <f t="shared" si="38"/>
        <v>508</v>
      </c>
      <c r="B681" s="244" t="s">
        <v>1275</v>
      </c>
      <c r="C681"/>
      <c r="D681"/>
      <c r="E681"/>
      <c r="F681" s="251">
        <v>0.12</v>
      </c>
      <c r="G681" s="250" t="s">
        <v>884</v>
      </c>
      <c r="H681" s="244" t="s">
        <v>1224</v>
      </c>
      <c r="I681" s="8">
        <f>(C268)</f>
        <v>9395</v>
      </c>
      <c r="J681" s="2" t="s">
        <v>884</v>
      </c>
      <c r="K681" s="6">
        <f>(F681*I681)</f>
        <v>1127.4000000000001</v>
      </c>
      <c r="O681" s="244" t="s">
        <v>142</v>
      </c>
      <c r="R681" s="244" t="s">
        <v>995</v>
      </c>
      <c r="AG681" s="244" t="s">
        <v>2346</v>
      </c>
    </row>
    <row r="682" spans="1:33" hidden="1">
      <c r="A682" s="358">
        <f t="shared" si="38"/>
        <v>509</v>
      </c>
      <c r="B682" s="244" t="s">
        <v>2190</v>
      </c>
      <c r="C682" s="8">
        <v>11.55</v>
      </c>
      <c r="D682" s="1" t="s">
        <v>883</v>
      </c>
      <c r="E682"/>
      <c r="H682" s="244" t="s">
        <v>2191</v>
      </c>
      <c r="I682" s="1" t="s">
        <v>995</v>
      </c>
      <c r="J682" s="4"/>
      <c r="K682" s="6" t="s">
        <v>995</v>
      </c>
      <c r="R682" s="248" t="s">
        <v>1667</v>
      </c>
      <c r="AG682" s="244" t="s">
        <v>2346</v>
      </c>
    </row>
    <row r="683" spans="1:33" hidden="1">
      <c r="A683" s="358">
        <f t="shared" si="38"/>
        <v>510</v>
      </c>
      <c r="B683" s="244" t="s">
        <v>1160</v>
      </c>
      <c r="C683" s="8">
        <v>16.399999999999999</v>
      </c>
      <c r="D683" s="1" t="s">
        <v>883</v>
      </c>
      <c r="E683"/>
      <c r="F683" s="251">
        <v>98.5</v>
      </c>
      <c r="G683" s="250" t="s">
        <v>1854</v>
      </c>
      <c r="H683" s="244" t="s">
        <v>1486</v>
      </c>
      <c r="I683" s="8">
        <f>(C269)</f>
        <v>15</v>
      </c>
      <c r="J683" s="2" t="s">
        <v>1854</v>
      </c>
      <c r="K683" s="6">
        <f>(F683*I683)</f>
        <v>1477.5</v>
      </c>
      <c r="O683" s="244" t="s">
        <v>1646</v>
      </c>
      <c r="R683" s="251">
        <f>SUM(R679:R681)</f>
        <v>16.260000000000002</v>
      </c>
      <c r="AG683" s="244" t="s">
        <v>2346</v>
      </c>
    </row>
    <row r="684" spans="1:33" hidden="1">
      <c r="A684" s="358">
        <f t="shared" si="38"/>
        <v>511</v>
      </c>
      <c r="B684" s="244" t="s">
        <v>1161</v>
      </c>
      <c r="C684" s="8">
        <v>27.85</v>
      </c>
      <c r="D684" s="1" t="s">
        <v>883</v>
      </c>
      <c r="E684"/>
      <c r="H684" s="244" t="s">
        <v>316</v>
      </c>
      <c r="I684" s="1" t="s">
        <v>995</v>
      </c>
      <c r="J684" s="4"/>
      <c r="K684" s="6" t="s">
        <v>246</v>
      </c>
      <c r="R684" s="248" t="s">
        <v>1667</v>
      </c>
      <c r="AG684" s="244" t="s">
        <v>2346</v>
      </c>
    </row>
    <row r="685" spans="1:33" hidden="1">
      <c r="A685" s="358">
        <f t="shared" si="38"/>
        <v>512</v>
      </c>
      <c r="B685" s="244" t="s">
        <v>1162</v>
      </c>
      <c r="C685" s="8">
        <v>49.9</v>
      </c>
      <c r="D685" s="1" t="s">
        <v>883</v>
      </c>
      <c r="E685"/>
      <c r="I685"/>
      <c r="J685" s="4"/>
      <c r="K685" s="6" t="s">
        <v>1667</v>
      </c>
      <c r="O685" s="354" t="s">
        <v>672</v>
      </c>
      <c r="R685" s="244" t="s">
        <v>995</v>
      </c>
      <c r="AG685" s="244" t="s">
        <v>2346</v>
      </c>
    </row>
    <row r="686" spans="1:33" hidden="1">
      <c r="A686" s="358">
        <f t="shared" si="38"/>
        <v>513</v>
      </c>
      <c r="B686" s="244" t="s">
        <v>1164</v>
      </c>
      <c r="C686" s="8">
        <v>69.25</v>
      </c>
      <c r="D686" s="1" t="s">
        <v>883</v>
      </c>
      <c r="E686"/>
      <c r="H686" s="244" t="s">
        <v>673</v>
      </c>
      <c r="I686"/>
      <c r="J686" s="4"/>
      <c r="K686" s="6">
        <f>SUM(K680:K684)</f>
        <v>6886.9</v>
      </c>
      <c r="M686" s="374"/>
      <c r="O686" s="354" t="s">
        <v>2158</v>
      </c>
      <c r="AG686" s="244" t="s">
        <v>2346</v>
      </c>
    </row>
    <row r="687" spans="1:33" hidden="1">
      <c r="A687" s="358">
        <f t="shared" si="38"/>
        <v>514</v>
      </c>
      <c r="B687" s="244" t="s">
        <v>1980</v>
      </c>
      <c r="C687"/>
      <c r="D687" s="1" t="s">
        <v>995</v>
      </c>
      <c r="E687"/>
      <c r="H687" s="244" t="s">
        <v>995</v>
      </c>
      <c r="I687"/>
      <c r="J687" s="4"/>
      <c r="K687" s="6" t="s">
        <v>1667</v>
      </c>
      <c r="M687" s="354" t="s">
        <v>1602</v>
      </c>
      <c r="N687" s="244" t="s">
        <v>1981</v>
      </c>
      <c r="O687" s="244" t="s">
        <v>3099</v>
      </c>
      <c r="AG687" s="244" t="s">
        <v>2346</v>
      </c>
    </row>
    <row r="688" spans="1:33" hidden="1">
      <c r="A688" s="358">
        <f t="shared" si="38"/>
        <v>515</v>
      </c>
      <c r="B688" s="244" t="s">
        <v>238</v>
      </c>
      <c r="C688" s="8">
        <v>20</v>
      </c>
      <c r="D688" s="1" t="s">
        <v>883</v>
      </c>
      <c r="E688"/>
      <c r="F688" s="251">
        <v>10</v>
      </c>
      <c r="G688" s="250" t="s">
        <v>611</v>
      </c>
      <c r="H688" s="244" t="s">
        <v>497</v>
      </c>
      <c r="I688" s="8">
        <f>(K686/50)</f>
        <v>137.74</v>
      </c>
      <c r="J688" s="2" t="s">
        <v>611</v>
      </c>
      <c r="K688" s="6">
        <f>(F688*I688)</f>
        <v>1377.4</v>
      </c>
      <c r="O688" s="248" t="s">
        <v>1667</v>
      </c>
      <c r="AG688" s="244" t="s">
        <v>2346</v>
      </c>
    </row>
    <row r="689" spans="1:33" hidden="1">
      <c r="A689" s="358">
        <f t="shared" si="38"/>
        <v>516</v>
      </c>
      <c r="B689" s="244" t="s">
        <v>498</v>
      </c>
      <c r="C689" s="8">
        <v>45</v>
      </c>
      <c r="D689" s="1" t="s">
        <v>883</v>
      </c>
      <c r="E689"/>
      <c r="F689" s="251">
        <v>3.8</v>
      </c>
      <c r="G689" s="250" t="s">
        <v>781</v>
      </c>
      <c r="H689" s="244" t="s">
        <v>499</v>
      </c>
      <c r="I689" s="8">
        <f>(C16)</f>
        <v>150</v>
      </c>
      <c r="J689" s="2" t="s">
        <v>781</v>
      </c>
      <c r="K689" s="6">
        <f>(F689*I689)</f>
        <v>570</v>
      </c>
      <c r="M689" s="374">
        <v>2.69E-2</v>
      </c>
      <c r="N689" s="244" t="s">
        <v>884</v>
      </c>
      <c r="O689" s="244" t="s">
        <v>1372</v>
      </c>
      <c r="P689" s="251">
        <f>C86+2500</f>
        <v>23105</v>
      </c>
      <c r="Q689" s="244" t="s">
        <v>884</v>
      </c>
      <c r="R689" s="251">
        <f t="shared" ref="R689:R695" si="39">M689*P689</f>
        <v>621.52</v>
      </c>
      <c r="AG689" s="244" t="s">
        <v>2346</v>
      </c>
    </row>
    <row r="690" spans="1:33" hidden="1">
      <c r="A690" s="358">
        <f t="shared" si="38"/>
        <v>517</v>
      </c>
      <c r="B690" s="244" t="s">
        <v>1373</v>
      </c>
      <c r="C690"/>
      <c r="D690" s="1" t="s">
        <v>246</v>
      </c>
      <c r="E690"/>
      <c r="F690" s="251">
        <v>5.4</v>
      </c>
      <c r="G690" s="250" t="s">
        <v>781</v>
      </c>
      <c r="H690" s="244" t="s">
        <v>1979</v>
      </c>
      <c r="I690" s="8">
        <f>(C12)</f>
        <v>95</v>
      </c>
      <c r="J690" s="2" t="s">
        <v>781</v>
      </c>
      <c r="K690" s="6">
        <f>(F690*I690)</f>
        <v>513</v>
      </c>
      <c r="M690" s="374">
        <v>1.2949999999999999</v>
      </c>
      <c r="N690" s="244" t="s">
        <v>611</v>
      </c>
      <c r="O690" s="244" t="s">
        <v>1355</v>
      </c>
      <c r="P690" s="251">
        <f>C753</f>
        <v>381.37</v>
      </c>
      <c r="Q690" s="244" t="s">
        <v>611</v>
      </c>
      <c r="R690" s="251">
        <f t="shared" si="39"/>
        <v>493.87</v>
      </c>
      <c r="AG690" s="244" t="s">
        <v>2346</v>
      </c>
    </row>
    <row r="691" spans="1:33" hidden="1">
      <c r="A691" s="358">
        <f t="shared" si="38"/>
        <v>518</v>
      </c>
      <c r="B691" s="244" t="s">
        <v>238</v>
      </c>
      <c r="C691" s="8">
        <v>19.09</v>
      </c>
      <c r="D691" s="1" t="s">
        <v>883</v>
      </c>
      <c r="E691"/>
      <c r="G691" s="250" t="s">
        <v>448</v>
      </c>
      <c r="H691" s="244" t="s">
        <v>1356</v>
      </c>
      <c r="I691"/>
      <c r="J691" s="2" t="s">
        <v>448</v>
      </c>
      <c r="K691" s="6">
        <v>5</v>
      </c>
      <c r="M691" s="374">
        <v>1.8149999999999999</v>
      </c>
      <c r="N691" s="244" t="s">
        <v>611</v>
      </c>
      <c r="O691" s="244" t="s">
        <v>2164</v>
      </c>
      <c r="P691" s="251">
        <f>C31</f>
        <v>342</v>
      </c>
      <c r="Q691" s="244" t="s">
        <v>611</v>
      </c>
      <c r="R691" s="251">
        <f t="shared" si="39"/>
        <v>620.73</v>
      </c>
      <c r="AG691" s="244" t="s">
        <v>2346</v>
      </c>
    </row>
    <row r="692" spans="1:33" hidden="1">
      <c r="A692" s="358">
        <f t="shared" si="38"/>
        <v>519</v>
      </c>
      <c r="B692" s="244" t="s">
        <v>498</v>
      </c>
      <c r="C692" s="8">
        <v>50.66</v>
      </c>
      <c r="D692" s="1" t="s">
        <v>883</v>
      </c>
      <c r="E692"/>
      <c r="I692"/>
      <c r="J692" s="4"/>
      <c r="K692" s="6" t="s">
        <v>1667</v>
      </c>
      <c r="M692" s="251">
        <v>2</v>
      </c>
      <c r="N692" s="244" t="s">
        <v>883</v>
      </c>
      <c r="O692" s="244" t="s">
        <v>1803</v>
      </c>
      <c r="P692" s="251">
        <f>C298</f>
        <v>10.5</v>
      </c>
      <c r="Q692" s="244" t="s">
        <v>883</v>
      </c>
      <c r="R692" s="251">
        <f t="shared" si="39"/>
        <v>21</v>
      </c>
      <c r="AG692" s="244" t="s">
        <v>2346</v>
      </c>
    </row>
    <row r="693" spans="1:33" hidden="1">
      <c r="A693" s="358">
        <f t="shared" si="38"/>
        <v>520</v>
      </c>
      <c r="B693" s="244" t="s">
        <v>1701</v>
      </c>
      <c r="C693" s="8">
        <v>1183.82</v>
      </c>
      <c r="D693" s="1" t="s">
        <v>611</v>
      </c>
      <c r="E693"/>
      <c r="H693" s="244" t="s">
        <v>440</v>
      </c>
      <c r="I693"/>
      <c r="J693" s="4"/>
      <c r="K693" s="6">
        <f>SUM(K688:K691)</f>
        <v>2465.4</v>
      </c>
      <c r="M693" s="251">
        <v>3</v>
      </c>
      <c r="N693" s="244" t="s">
        <v>883</v>
      </c>
      <c r="O693" s="244" t="s">
        <v>1702</v>
      </c>
      <c r="P693" s="251">
        <f>C294</f>
        <v>8.5</v>
      </c>
      <c r="Q693" s="244" t="s">
        <v>883</v>
      </c>
      <c r="R693" s="251">
        <f t="shared" si="39"/>
        <v>25.5</v>
      </c>
      <c r="AG693" s="244" t="s">
        <v>2346</v>
      </c>
    </row>
    <row r="694" spans="1:33" hidden="1">
      <c r="A694" s="358">
        <f t="shared" si="38"/>
        <v>521</v>
      </c>
      <c r="B694" s="244" t="s">
        <v>1703</v>
      </c>
      <c r="C694" s="8">
        <v>1605</v>
      </c>
      <c r="D694" s="1" t="s">
        <v>611</v>
      </c>
      <c r="E694"/>
      <c r="I694"/>
      <c r="J694" s="4"/>
      <c r="K694" s="6" t="s">
        <v>1667</v>
      </c>
      <c r="M694" s="251">
        <v>1</v>
      </c>
      <c r="N694" s="244" t="s">
        <v>883</v>
      </c>
      <c r="O694" s="244" t="s">
        <v>1786</v>
      </c>
      <c r="P694" s="251">
        <f>C300</f>
        <v>21</v>
      </c>
      <c r="Q694" s="244" t="s">
        <v>883</v>
      </c>
      <c r="R694" s="251">
        <f t="shared" si="39"/>
        <v>21</v>
      </c>
      <c r="AG694" s="244" t="s">
        <v>2346</v>
      </c>
    </row>
    <row r="695" spans="1:33" hidden="1">
      <c r="A695" s="358">
        <f t="shared" si="38"/>
        <v>522</v>
      </c>
      <c r="B695" s="244" t="s">
        <v>1795</v>
      </c>
      <c r="C695" s="1" t="s">
        <v>3100</v>
      </c>
      <c r="D695" s="1" t="s">
        <v>1796</v>
      </c>
      <c r="E695"/>
      <c r="H695" s="244" t="s">
        <v>555</v>
      </c>
      <c r="I695"/>
      <c r="J695" s="4"/>
      <c r="K695" s="6">
        <f>(K693/10)</f>
        <v>246.54</v>
      </c>
      <c r="M695" s="251">
        <v>1</v>
      </c>
      <c r="N695" s="244" t="s">
        <v>883</v>
      </c>
      <c r="O695" s="244" t="s">
        <v>2056</v>
      </c>
      <c r="P695" s="251">
        <f>C302</f>
        <v>4</v>
      </c>
      <c r="Q695" s="244" t="s">
        <v>883</v>
      </c>
      <c r="R695" s="251">
        <f t="shared" si="39"/>
        <v>4</v>
      </c>
      <c r="AG695" s="244" t="s">
        <v>2346</v>
      </c>
    </row>
    <row r="696" spans="1:33" hidden="1">
      <c r="A696" s="358">
        <f t="shared" si="38"/>
        <v>523</v>
      </c>
      <c r="B696" s="244" t="s">
        <v>1797</v>
      </c>
      <c r="C696" s="8">
        <v>147.6</v>
      </c>
      <c r="D696" s="1" t="s">
        <v>1854</v>
      </c>
      <c r="E696"/>
      <c r="I696"/>
      <c r="J696" s="4"/>
      <c r="K696" s="6" t="s">
        <v>2130</v>
      </c>
      <c r="N696" s="244" t="s">
        <v>448</v>
      </c>
      <c r="O696" s="244" t="s">
        <v>449</v>
      </c>
      <c r="Q696" s="244" t="s">
        <v>448</v>
      </c>
      <c r="R696" s="251">
        <v>0</v>
      </c>
      <c r="AG696" s="244" t="s">
        <v>2346</v>
      </c>
    </row>
    <row r="697" spans="1:33" hidden="1">
      <c r="A697" s="358">
        <f t="shared" si="38"/>
        <v>524</v>
      </c>
      <c r="B697" s="244" t="s">
        <v>1798</v>
      </c>
      <c r="C697" s="8">
        <v>147.6</v>
      </c>
      <c r="D697" s="1" t="s">
        <v>1854</v>
      </c>
      <c r="E697"/>
      <c r="I697"/>
      <c r="J697" s="4"/>
      <c r="K697" s="34"/>
      <c r="R697" s="248" t="s">
        <v>1667</v>
      </c>
      <c r="AG697" s="244" t="s">
        <v>2346</v>
      </c>
    </row>
    <row r="698" spans="1:33" hidden="1">
      <c r="A698" s="358">
        <f t="shared" si="38"/>
        <v>525</v>
      </c>
      <c r="B698" s="244" t="s">
        <v>1799</v>
      </c>
      <c r="C698" s="8">
        <v>147.6</v>
      </c>
      <c r="D698" s="1" t="s">
        <v>1854</v>
      </c>
      <c r="E698"/>
      <c r="F698" s="354" t="s">
        <v>2121</v>
      </c>
      <c r="G698" s="250" t="s">
        <v>2338</v>
      </c>
      <c r="H698" s="244" t="s">
        <v>10</v>
      </c>
      <c r="I698"/>
      <c r="J698" s="4"/>
      <c r="K698" s="34"/>
      <c r="O698" s="354" t="s">
        <v>11</v>
      </c>
      <c r="R698" s="251">
        <f>SUM(R689:R696)</f>
        <v>1807.62</v>
      </c>
      <c r="AG698" s="244" t="s">
        <v>2346</v>
      </c>
    </row>
    <row r="699" spans="1:33" hidden="1">
      <c r="A699" s="358">
        <f t="shared" si="38"/>
        <v>526</v>
      </c>
      <c r="B699" s="244" t="s">
        <v>656</v>
      </c>
      <c r="C699" s="8">
        <v>1250</v>
      </c>
      <c r="D699" s="1" t="s">
        <v>611</v>
      </c>
      <c r="E699"/>
      <c r="H699" s="244" t="s">
        <v>657</v>
      </c>
      <c r="I699"/>
      <c r="J699" s="4"/>
      <c r="K699" s="34"/>
      <c r="R699" s="248" t="s">
        <v>1667</v>
      </c>
      <c r="AG699" s="244" t="s">
        <v>2346</v>
      </c>
    </row>
    <row r="700" spans="1:33" hidden="1">
      <c r="A700" s="358">
        <f t="shared" si="38"/>
        <v>527</v>
      </c>
      <c r="B700" s="244" t="s">
        <v>658</v>
      </c>
      <c r="C700" s="8">
        <v>1250</v>
      </c>
      <c r="D700" s="1" t="s">
        <v>611</v>
      </c>
      <c r="E700"/>
      <c r="H700" s="244" t="s">
        <v>659</v>
      </c>
      <c r="I700"/>
      <c r="J700" s="4"/>
      <c r="K700" s="34"/>
      <c r="N700" s="244" t="s">
        <v>995</v>
      </c>
      <c r="O700" s="354" t="s">
        <v>555</v>
      </c>
      <c r="R700" s="251">
        <f>R698/M690</f>
        <v>1395.85</v>
      </c>
      <c r="AG700" s="244" t="s">
        <v>2346</v>
      </c>
    </row>
    <row r="701" spans="1:33" hidden="1">
      <c r="A701" s="358">
        <f t="shared" si="38"/>
        <v>528</v>
      </c>
      <c r="B701" s="244" t="s">
        <v>1294</v>
      </c>
      <c r="C701" s="8">
        <v>1250</v>
      </c>
      <c r="D701" s="1" t="s">
        <v>611</v>
      </c>
      <c r="E701"/>
      <c r="H701" s="244" t="s">
        <v>516</v>
      </c>
      <c r="I701"/>
      <c r="J701" s="4"/>
      <c r="K701" s="34"/>
      <c r="R701" s="248" t="s">
        <v>2130</v>
      </c>
      <c r="AG701" s="244" t="s">
        <v>2346</v>
      </c>
    </row>
    <row r="702" spans="1:33" hidden="1">
      <c r="A702" s="358">
        <f t="shared" si="38"/>
        <v>529</v>
      </c>
      <c r="B702" s="244" t="s">
        <v>517</v>
      </c>
      <c r="C702" s="8">
        <v>1250</v>
      </c>
      <c r="D702" s="1" t="s">
        <v>611</v>
      </c>
      <c r="E702"/>
      <c r="H702" s="244" t="s">
        <v>518</v>
      </c>
      <c r="I702"/>
      <c r="J702" s="4"/>
      <c r="K702" s="34"/>
      <c r="M702" s="354" t="s">
        <v>1602</v>
      </c>
      <c r="N702" s="244" t="s">
        <v>519</v>
      </c>
      <c r="O702" s="244" t="s">
        <v>520</v>
      </c>
      <c r="AG702" s="244" t="s">
        <v>2346</v>
      </c>
    </row>
    <row r="703" spans="1:33" hidden="1">
      <c r="A703" s="358">
        <f t="shared" si="38"/>
        <v>530</v>
      </c>
      <c r="B703" s="244" t="s">
        <v>521</v>
      </c>
      <c r="C703" s="8">
        <v>1250</v>
      </c>
      <c r="D703" s="1" t="s">
        <v>611</v>
      </c>
      <c r="E703"/>
      <c r="H703" s="244" t="s">
        <v>1</v>
      </c>
      <c r="I703"/>
      <c r="J703" s="4"/>
      <c r="K703" s="34"/>
      <c r="O703" s="248" t="s">
        <v>1667</v>
      </c>
      <c r="AG703" s="244" t="s">
        <v>2346</v>
      </c>
    </row>
    <row r="704" spans="1:33" hidden="1">
      <c r="A704" s="358">
        <f t="shared" si="38"/>
        <v>531</v>
      </c>
      <c r="B704" s="244" t="s">
        <v>774</v>
      </c>
      <c r="C704" s="8">
        <v>1250</v>
      </c>
      <c r="D704" s="1" t="s">
        <v>611</v>
      </c>
      <c r="E704"/>
      <c r="H704" s="244" t="s">
        <v>1285</v>
      </c>
      <c r="I704"/>
      <c r="J704" s="4"/>
      <c r="K704" s="34"/>
      <c r="M704" s="374">
        <v>2.5499999999999998E-2</v>
      </c>
      <c r="N704" s="244" t="s">
        <v>884</v>
      </c>
      <c r="O704" s="244" t="s">
        <v>1372</v>
      </c>
      <c r="P704" s="251">
        <f>C86+2500</f>
        <v>23105</v>
      </c>
      <c r="Q704" s="244" t="s">
        <v>884</v>
      </c>
      <c r="R704" s="251">
        <f t="shared" ref="R704:R710" si="40">M704*P704</f>
        <v>589.17999999999995</v>
      </c>
      <c r="AG704" s="244" t="s">
        <v>2346</v>
      </c>
    </row>
    <row r="705" spans="1:33" hidden="1">
      <c r="A705" s="358">
        <f t="shared" si="38"/>
        <v>532</v>
      </c>
      <c r="B705" s="244" t="s">
        <v>1286</v>
      </c>
      <c r="C705" s="8">
        <v>1250</v>
      </c>
      <c r="D705" s="1" t="s">
        <v>611</v>
      </c>
      <c r="E705"/>
      <c r="H705" s="248" t="s">
        <v>1667</v>
      </c>
      <c r="I705" s="5" t="s">
        <v>1667</v>
      </c>
      <c r="J705" s="2" t="s">
        <v>1667</v>
      </c>
      <c r="K705" s="34"/>
      <c r="M705" s="374">
        <v>1.1299999999999999</v>
      </c>
      <c r="N705" s="244" t="s">
        <v>611</v>
      </c>
      <c r="O705" s="244" t="s">
        <v>1355</v>
      </c>
      <c r="P705" s="251">
        <f>C753</f>
        <v>381.37</v>
      </c>
      <c r="Q705" s="244" t="s">
        <v>611</v>
      </c>
      <c r="R705" s="251">
        <f t="shared" si="40"/>
        <v>430.95</v>
      </c>
      <c r="AG705" s="244" t="s">
        <v>2346</v>
      </c>
    </row>
    <row r="706" spans="1:33" hidden="1">
      <c r="A706" s="358">
        <f t="shared" si="38"/>
        <v>533</v>
      </c>
      <c r="B706" s="244" t="s">
        <v>1287</v>
      </c>
      <c r="C706" s="8">
        <v>1250</v>
      </c>
      <c r="D706" s="1" t="s">
        <v>611</v>
      </c>
      <c r="E706"/>
      <c r="F706" s="251">
        <v>13.46</v>
      </c>
      <c r="G706" s="250" t="s">
        <v>267</v>
      </c>
      <c r="H706" s="244" t="s">
        <v>268</v>
      </c>
      <c r="I706" s="8">
        <f>C34/1000</f>
        <v>30</v>
      </c>
      <c r="J706" s="2" t="s">
        <v>267</v>
      </c>
      <c r="K706" s="6">
        <f>(F706*I706)</f>
        <v>403.8</v>
      </c>
      <c r="M706" s="374">
        <v>1.6191</v>
      </c>
      <c r="N706" s="244" t="s">
        <v>611</v>
      </c>
      <c r="O706" s="244" t="s">
        <v>2164</v>
      </c>
      <c r="P706" s="251">
        <f>C31</f>
        <v>342</v>
      </c>
      <c r="Q706" s="244" t="s">
        <v>611</v>
      </c>
      <c r="R706" s="251">
        <f t="shared" si="40"/>
        <v>553.73</v>
      </c>
      <c r="AG706" s="244" t="s">
        <v>2346</v>
      </c>
    </row>
    <row r="707" spans="1:33" hidden="1">
      <c r="A707" s="358">
        <f t="shared" si="38"/>
        <v>534</v>
      </c>
      <c r="B707" s="244" t="s">
        <v>998</v>
      </c>
      <c r="C707" s="8">
        <v>1250</v>
      </c>
      <c r="D707" s="1" t="s">
        <v>611</v>
      </c>
      <c r="E707"/>
      <c r="H707" s="244" t="s">
        <v>999</v>
      </c>
      <c r="I707"/>
      <c r="J707" s="4"/>
      <c r="K707" s="34"/>
      <c r="M707" s="251">
        <v>2</v>
      </c>
      <c r="N707" s="244" t="s">
        <v>883</v>
      </c>
      <c r="O707" s="244" t="s">
        <v>1803</v>
      </c>
      <c r="P707" s="251">
        <f>C298</f>
        <v>10.5</v>
      </c>
      <c r="Q707" s="244" t="s">
        <v>883</v>
      </c>
      <c r="R707" s="251">
        <f t="shared" si="40"/>
        <v>21</v>
      </c>
      <c r="AG707" s="244" t="s">
        <v>2346</v>
      </c>
    </row>
    <row r="708" spans="1:33" hidden="1">
      <c r="A708" s="358">
        <f t="shared" ref="A708:A733" si="41">(A707+1)</f>
        <v>535</v>
      </c>
      <c r="B708" s="244" t="s">
        <v>1000</v>
      </c>
      <c r="C708" s="8">
        <v>1250</v>
      </c>
      <c r="D708" s="1" t="s">
        <v>611</v>
      </c>
      <c r="E708"/>
      <c r="F708" s="251">
        <v>4</v>
      </c>
      <c r="G708" s="250" t="s">
        <v>267</v>
      </c>
      <c r="H708" s="244" t="s">
        <v>1001</v>
      </c>
      <c r="I708" s="8">
        <f>D34/1000</f>
        <v>30</v>
      </c>
      <c r="J708" s="2" t="s">
        <v>267</v>
      </c>
      <c r="K708" s="6">
        <f>(F708*I708)</f>
        <v>120</v>
      </c>
      <c r="M708" s="251">
        <v>3</v>
      </c>
      <c r="N708" s="244" t="s">
        <v>883</v>
      </c>
      <c r="O708" s="244" t="s">
        <v>1702</v>
      </c>
      <c r="P708" s="251">
        <f>C294</f>
        <v>8.5</v>
      </c>
      <c r="Q708" s="244" t="s">
        <v>883</v>
      </c>
      <c r="R708" s="251">
        <f t="shared" si="40"/>
        <v>25.5</v>
      </c>
      <c r="AG708" s="244" t="s">
        <v>2346</v>
      </c>
    </row>
    <row r="709" spans="1:33" hidden="1">
      <c r="A709" s="358">
        <f t="shared" si="41"/>
        <v>536</v>
      </c>
      <c r="B709" s="244" t="s">
        <v>961</v>
      </c>
      <c r="C709" s="8">
        <v>1250</v>
      </c>
      <c r="D709" s="1" t="s">
        <v>611</v>
      </c>
      <c r="E709"/>
      <c r="H709" s="244" t="s">
        <v>1058</v>
      </c>
      <c r="I709"/>
      <c r="J709" s="4"/>
      <c r="K709" s="34"/>
      <c r="M709" s="251">
        <v>1</v>
      </c>
      <c r="N709" s="244" t="s">
        <v>883</v>
      </c>
      <c r="O709" s="244" t="s">
        <v>1786</v>
      </c>
      <c r="P709" s="251">
        <f>C300</f>
        <v>21</v>
      </c>
      <c r="Q709" s="244" t="s">
        <v>883</v>
      </c>
      <c r="R709" s="251">
        <f t="shared" si="40"/>
        <v>21</v>
      </c>
      <c r="AG709" s="244" t="s">
        <v>2346</v>
      </c>
    </row>
    <row r="710" spans="1:33" hidden="1">
      <c r="A710" s="358">
        <f t="shared" si="41"/>
        <v>537</v>
      </c>
      <c r="B710" s="244" t="s">
        <v>1286</v>
      </c>
      <c r="C710" s="8">
        <v>1250</v>
      </c>
      <c r="D710" s="1" t="s">
        <v>611</v>
      </c>
      <c r="E710"/>
      <c r="F710" s="251"/>
      <c r="G710" s="250" t="s">
        <v>448</v>
      </c>
      <c r="H710" s="244" t="s">
        <v>1742</v>
      </c>
      <c r="I710"/>
      <c r="J710" s="2" t="s">
        <v>448</v>
      </c>
      <c r="K710" s="6">
        <v>40</v>
      </c>
      <c r="M710" s="251">
        <v>1</v>
      </c>
      <c r="N710" s="244" t="s">
        <v>883</v>
      </c>
      <c r="O710" s="244" t="s">
        <v>2056</v>
      </c>
      <c r="P710" s="251">
        <f>C302</f>
        <v>4</v>
      </c>
      <c r="Q710" s="244" t="s">
        <v>883</v>
      </c>
      <c r="R710" s="251">
        <f t="shared" si="40"/>
        <v>4</v>
      </c>
      <c r="AG710" s="244" t="s">
        <v>2346</v>
      </c>
    </row>
    <row r="711" spans="1:33" hidden="1">
      <c r="A711" s="358">
        <f t="shared" si="41"/>
        <v>538</v>
      </c>
      <c r="B711" s="244" t="s">
        <v>1743</v>
      </c>
      <c r="C711"/>
      <c r="D711" s="1" t="s">
        <v>995</v>
      </c>
      <c r="E711"/>
      <c r="H711" s="244" t="s">
        <v>1744</v>
      </c>
      <c r="I711"/>
      <c r="J711" s="4"/>
      <c r="K711" s="6" t="s">
        <v>1667</v>
      </c>
      <c r="N711" s="244" t="s">
        <v>448</v>
      </c>
      <c r="O711" s="244" t="s">
        <v>449</v>
      </c>
      <c r="Q711" s="244" t="s">
        <v>448</v>
      </c>
      <c r="R711" s="251">
        <v>0</v>
      </c>
      <c r="AG711" s="244" t="s">
        <v>2346</v>
      </c>
    </row>
    <row r="712" spans="1:33" hidden="1">
      <c r="A712" s="358">
        <f t="shared" si="41"/>
        <v>539</v>
      </c>
      <c r="B712" s="244" t="s">
        <v>1745</v>
      </c>
      <c r="C712" s="8">
        <v>65</v>
      </c>
      <c r="D712" s="1" t="s">
        <v>1796</v>
      </c>
      <c r="E712"/>
      <c r="H712" s="354" t="s">
        <v>24</v>
      </c>
      <c r="I712"/>
      <c r="J712" s="4"/>
      <c r="K712" s="6">
        <f>SUM(K706:K710)</f>
        <v>563.79999999999995</v>
      </c>
      <c r="R712" s="248" t="s">
        <v>1667</v>
      </c>
      <c r="AG712" s="244" t="s">
        <v>2346</v>
      </c>
    </row>
    <row r="713" spans="1:33" hidden="1">
      <c r="A713" s="358">
        <f t="shared" si="41"/>
        <v>540</v>
      </c>
      <c r="B713" s="244" t="s">
        <v>25</v>
      </c>
      <c r="C713" s="8">
        <v>64.55</v>
      </c>
      <c r="D713" s="1" t="s">
        <v>1796</v>
      </c>
      <c r="E713"/>
      <c r="I713"/>
      <c r="J713" s="4"/>
      <c r="K713" s="6" t="s">
        <v>1667</v>
      </c>
      <c r="O713" s="354" t="s">
        <v>26</v>
      </c>
      <c r="R713" s="251">
        <f>SUM(R704:R711)</f>
        <v>1645.36</v>
      </c>
      <c r="AG713" s="244" t="s">
        <v>2346</v>
      </c>
    </row>
    <row r="714" spans="1:33" hidden="1">
      <c r="A714" s="358">
        <f t="shared" si="41"/>
        <v>541</v>
      </c>
      <c r="B714" s="244" t="s">
        <v>27</v>
      </c>
      <c r="C714" s="8">
        <v>110.95</v>
      </c>
      <c r="D714" s="1" t="s">
        <v>1796</v>
      </c>
      <c r="E714"/>
      <c r="H714" s="354" t="s">
        <v>28</v>
      </c>
      <c r="I714"/>
      <c r="J714" s="4"/>
      <c r="K714" s="6">
        <f>K712/40</f>
        <v>14.1</v>
      </c>
      <c r="R714" s="248" t="s">
        <v>1667</v>
      </c>
      <c r="AG714" s="244" t="s">
        <v>2346</v>
      </c>
    </row>
    <row r="715" spans="1:33" hidden="1">
      <c r="A715" s="358">
        <f t="shared" si="41"/>
        <v>542</v>
      </c>
      <c r="B715" s="244" t="s">
        <v>1040</v>
      </c>
      <c r="C715" s="8">
        <v>399</v>
      </c>
      <c r="D715" s="1" t="s">
        <v>1796</v>
      </c>
      <c r="E715"/>
      <c r="I715"/>
      <c r="J715" s="4"/>
      <c r="K715" s="6" t="s">
        <v>1667</v>
      </c>
      <c r="O715" s="354" t="s">
        <v>555</v>
      </c>
      <c r="R715" s="251">
        <f>R713/M706</f>
        <v>1016.22</v>
      </c>
      <c r="AG715" s="244" t="s">
        <v>2346</v>
      </c>
    </row>
    <row r="716" spans="1:33" hidden="1">
      <c r="A716" s="358">
        <f t="shared" si="41"/>
        <v>543</v>
      </c>
      <c r="B716" s="244" t="s">
        <v>914</v>
      </c>
      <c r="C716" s="8">
        <v>92</v>
      </c>
      <c r="D716" s="1" t="s">
        <v>1796</v>
      </c>
      <c r="E716"/>
      <c r="H716" s="244" t="s">
        <v>915</v>
      </c>
      <c r="I716"/>
      <c r="J716" s="4"/>
      <c r="K716" s="34"/>
      <c r="R716" s="248" t="s">
        <v>2130</v>
      </c>
      <c r="AG716" s="244" t="s">
        <v>2346</v>
      </c>
    </row>
    <row r="717" spans="1:33" hidden="1">
      <c r="A717" s="358">
        <f t="shared" si="41"/>
        <v>544</v>
      </c>
      <c r="B717" s="244" t="s">
        <v>317</v>
      </c>
      <c r="C717" s="8">
        <v>174.24</v>
      </c>
      <c r="D717" s="1" t="s">
        <v>1796</v>
      </c>
      <c r="E717"/>
      <c r="H717" s="244" t="s">
        <v>318</v>
      </c>
      <c r="I717"/>
      <c r="J717" s="4"/>
      <c r="K717" s="34"/>
      <c r="AG717" s="244" t="s">
        <v>2346</v>
      </c>
    </row>
    <row r="718" spans="1:33" hidden="1">
      <c r="A718" s="358">
        <f t="shared" si="41"/>
        <v>545</v>
      </c>
      <c r="B718" s="244" t="s">
        <v>319</v>
      </c>
      <c r="C718" s="8">
        <v>215.06</v>
      </c>
      <c r="D718" s="1" t="s">
        <v>1796</v>
      </c>
      <c r="E718"/>
      <c r="H718" s="244" t="s">
        <v>320</v>
      </c>
      <c r="I718"/>
      <c r="J718" s="4"/>
      <c r="K718" s="34"/>
      <c r="M718" s="354" t="s">
        <v>1602</v>
      </c>
      <c r="N718" s="244" t="s">
        <v>321</v>
      </c>
      <c r="O718" s="244" t="s">
        <v>1706</v>
      </c>
      <c r="AG718" s="244" t="s">
        <v>2346</v>
      </c>
    </row>
    <row r="719" spans="1:33" hidden="1">
      <c r="A719" s="358">
        <f t="shared" si="41"/>
        <v>546</v>
      </c>
      <c r="B719" s="244" t="s">
        <v>1707</v>
      </c>
      <c r="C719" s="8">
        <v>97.24</v>
      </c>
      <c r="D719" s="1" t="s">
        <v>1796</v>
      </c>
      <c r="E719"/>
      <c r="I719"/>
      <c r="J719" s="4"/>
      <c r="K719" s="34"/>
      <c r="O719" s="248" t="s">
        <v>1667</v>
      </c>
      <c r="AG719" s="244" t="s">
        <v>2346</v>
      </c>
    </row>
    <row r="720" spans="1:33" hidden="1">
      <c r="A720" s="358">
        <f t="shared" si="41"/>
        <v>547</v>
      </c>
      <c r="B720" s="244" t="s">
        <v>1491</v>
      </c>
      <c r="C720" s="8">
        <v>168.96</v>
      </c>
      <c r="D720" s="1" t="s">
        <v>1796</v>
      </c>
      <c r="E720"/>
      <c r="F720" s="251">
        <v>19</v>
      </c>
      <c r="G720" s="250" t="s">
        <v>1492</v>
      </c>
      <c r="H720" s="244" t="s">
        <v>73</v>
      </c>
      <c r="I720" s="8">
        <f>K714</f>
        <v>14.1</v>
      </c>
      <c r="J720" s="2" t="s">
        <v>258</v>
      </c>
      <c r="K720" s="6">
        <f>(F720*I720)</f>
        <v>267.89999999999998</v>
      </c>
      <c r="M720" s="374">
        <v>2.35E-2</v>
      </c>
      <c r="N720" s="244" t="s">
        <v>884</v>
      </c>
      <c r="O720" s="244" t="s">
        <v>1372</v>
      </c>
      <c r="P720" s="251">
        <f>C86+2500</f>
        <v>23105</v>
      </c>
      <c r="Q720" s="244" t="s">
        <v>884</v>
      </c>
      <c r="R720" s="251">
        <f t="shared" ref="R720:R726" si="42">M720*P720</f>
        <v>542.97</v>
      </c>
      <c r="AG720" s="244" t="s">
        <v>2346</v>
      </c>
    </row>
    <row r="721" spans="1:33" hidden="1">
      <c r="A721" s="358">
        <f t="shared" si="41"/>
        <v>548</v>
      </c>
      <c r="B721" s="244" t="s">
        <v>3101</v>
      </c>
      <c r="C721" s="8">
        <v>227</v>
      </c>
      <c r="D721" s="8">
        <v>247</v>
      </c>
      <c r="E721"/>
      <c r="H721" s="244" t="s">
        <v>1746</v>
      </c>
      <c r="I721"/>
      <c r="J721" s="4"/>
      <c r="K721" s="34"/>
      <c r="M721" s="374">
        <v>0.872</v>
      </c>
      <c r="N721" s="244" t="s">
        <v>611</v>
      </c>
      <c r="O721" s="244" t="s">
        <v>1355</v>
      </c>
      <c r="P721" s="251">
        <f>C753</f>
        <v>381.37</v>
      </c>
      <c r="Q721" s="244" t="s">
        <v>611</v>
      </c>
      <c r="R721" s="251">
        <f t="shared" si="42"/>
        <v>332.55</v>
      </c>
      <c r="AG721" s="244" t="s">
        <v>2346</v>
      </c>
    </row>
    <row r="722" spans="1:33" hidden="1">
      <c r="A722" s="358">
        <f t="shared" si="41"/>
        <v>549</v>
      </c>
      <c r="B722" s="244" t="s">
        <v>2225</v>
      </c>
      <c r="C722" s="8">
        <v>250</v>
      </c>
      <c r="D722" s="1" t="s">
        <v>1796</v>
      </c>
      <c r="E722"/>
      <c r="F722" s="251">
        <v>0.12</v>
      </c>
      <c r="G722" s="250" t="s">
        <v>2226</v>
      </c>
      <c r="H722" s="244" t="s">
        <v>3102</v>
      </c>
      <c r="I722" s="8">
        <f>C268/5</f>
        <v>1879</v>
      </c>
      <c r="J722" s="2" t="s">
        <v>258</v>
      </c>
      <c r="K722" s="6">
        <f t="shared" ref="K722:K729" si="43">(F722*I722)</f>
        <v>225.48</v>
      </c>
      <c r="M722" s="374">
        <v>1.3247</v>
      </c>
      <c r="N722" s="244" t="s">
        <v>611</v>
      </c>
      <c r="O722" s="244" t="s">
        <v>2164</v>
      </c>
      <c r="P722" s="251">
        <f>C31</f>
        <v>342</v>
      </c>
      <c r="Q722" s="244" t="s">
        <v>611</v>
      </c>
      <c r="R722" s="251">
        <f t="shared" si="42"/>
        <v>453.05</v>
      </c>
      <c r="AG722" s="244" t="s">
        <v>2346</v>
      </c>
    </row>
    <row r="723" spans="1:33" hidden="1">
      <c r="A723" s="358">
        <f t="shared" si="41"/>
        <v>550</v>
      </c>
      <c r="B723" s="244" t="s">
        <v>839</v>
      </c>
      <c r="C723" s="8">
        <v>210</v>
      </c>
      <c r="D723" s="1" t="s">
        <v>1796</v>
      </c>
      <c r="E723"/>
      <c r="F723" s="251">
        <v>98.5</v>
      </c>
      <c r="G723" s="250" t="s">
        <v>840</v>
      </c>
      <c r="H723" s="244" t="s">
        <v>841</v>
      </c>
      <c r="I723" s="8">
        <f>C269/5</f>
        <v>3</v>
      </c>
      <c r="J723" s="2" t="s">
        <v>258</v>
      </c>
      <c r="K723" s="6">
        <f t="shared" si="43"/>
        <v>295.5</v>
      </c>
      <c r="M723" s="251">
        <v>1</v>
      </c>
      <c r="N723" s="244" t="s">
        <v>883</v>
      </c>
      <c r="O723" s="244" t="s">
        <v>1803</v>
      </c>
      <c r="P723" s="251">
        <f>C298</f>
        <v>10.5</v>
      </c>
      <c r="Q723" s="244" t="s">
        <v>883</v>
      </c>
      <c r="R723" s="251">
        <f t="shared" si="42"/>
        <v>10.5</v>
      </c>
      <c r="AG723" s="244" t="s">
        <v>2346</v>
      </c>
    </row>
    <row r="724" spans="1:33" hidden="1">
      <c r="A724" s="358">
        <f t="shared" si="41"/>
        <v>551</v>
      </c>
      <c r="B724" s="244" t="s">
        <v>3103</v>
      </c>
      <c r="C724" s="8">
        <v>1022.58</v>
      </c>
      <c r="D724" s="1" t="s">
        <v>611</v>
      </c>
      <c r="E724"/>
      <c r="F724" s="251">
        <v>1</v>
      </c>
      <c r="G724" s="250" t="s">
        <v>448</v>
      </c>
      <c r="H724" s="244" t="s">
        <v>1451</v>
      </c>
      <c r="I724" s="8">
        <v>11</v>
      </c>
      <c r="J724" s="2" t="s">
        <v>448</v>
      </c>
      <c r="K724" s="6">
        <f t="shared" si="43"/>
        <v>11</v>
      </c>
      <c r="M724" s="251">
        <v>3</v>
      </c>
      <c r="N724" s="244" t="s">
        <v>883</v>
      </c>
      <c r="O724" s="244" t="s">
        <v>1452</v>
      </c>
      <c r="P724" s="251">
        <f>C293</f>
        <v>5.75</v>
      </c>
      <c r="Q724" s="244" t="s">
        <v>883</v>
      </c>
      <c r="R724" s="251">
        <f t="shared" si="42"/>
        <v>17.25</v>
      </c>
      <c r="AG724" s="244" t="s">
        <v>2346</v>
      </c>
    </row>
    <row r="725" spans="1:33" hidden="1">
      <c r="A725" s="358">
        <f t="shared" si="41"/>
        <v>552</v>
      </c>
      <c r="B725" s="244" t="s">
        <v>1453</v>
      </c>
      <c r="C725"/>
      <c r="D725" s="1" t="s">
        <v>995</v>
      </c>
      <c r="E725"/>
      <c r="F725" s="251">
        <v>3.8</v>
      </c>
      <c r="G725" s="250" t="s">
        <v>1454</v>
      </c>
      <c r="H725" s="244" t="s">
        <v>1455</v>
      </c>
      <c r="I725" s="8">
        <f>C16</f>
        <v>150</v>
      </c>
      <c r="J725" s="2" t="s">
        <v>1458</v>
      </c>
      <c r="K725" s="6">
        <f t="shared" si="43"/>
        <v>570</v>
      </c>
      <c r="M725" s="251">
        <v>1</v>
      </c>
      <c r="N725" s="244" t="s">
        <v>883</v>
      </c>
      <c r="O725" s="244" t="s">
        <v>1456</v>
      </c>
      <c r="P725" s="251">
        <f>C301</f>
        <v>10</v>
      </c>
      <c r="Q725" s="244" t="s">
        <v>883</v>
      </c>
      <c r="R725" s="251">
        <f t="shared" si="42"/>
        <v>10</v>
      </c>
      <c r="AG725" s="244" t="s">
        <v>2346</v>
      </c>
    </row>
    <row r="726" spans="1:33" hidden="1">
      <c r="A726" s="358">
        <f t="shared" si="41"/>
        <v>553</v>
      </c>
      <c r="B726" s="244" t="s">
        <v>1457</v>
      </c>
      <c r="C726"/>
      <c r="D726"/>
      <c r="E726"/>
      <c r="F726" s="251">
        <v>5.4</v>
      </c>
      <c r="G726" s="250" t="s">
        <v>1454</v>
      </c>
      <c r="H726" s="244" t="s">
        <v>838</v>
      </c>
      <c r="I726" s="8">
        <f>C12</f>
        <v>95</v>
      </c>
      <c r="J726" s="2" t="s">
        <v>1458</v>
      </c>
      <c r="K726" s="6">
        <f t="shared" si="43"/>
        <v>513</v>
      </c>
      <c r="M726" s="251">
        <v>1</v>
      </c>
      <c r="N726" s="244" t="s">
        <v>883</v>
      </c>
      <c r="O726" s="244" t="s">
        <v>2056</v>
      </c>
      <c r="P726" s="251">
        <f>C302</f>
        <v>4</v>
      </c>
      <c r="Q726" s="244" t="s">
        <v>883</v>
      </c>
      <c r="R726" s="251">
        <f t="shared" si="42"/>
        <v>4</v>
      </c>
      <c r="AG726" s="244" t="s">
        <v>2346</v>
      </c>
    </row>
    <row r="727" spans="1:33" hidden="1">
      <c r="A727" s="358">
        <f t="shared" si="41"/>
        <v>554</v>
      </c>
      <c r="B727" s="244" t="s">
        <v>2254</v>
      </c>
      <c r="C727" s="8">
        <v>300</v>
      </c>
      <c r="D727" s="1" t="s">
        <v>2373</v>
      </c>
      <c r="E727"/>
      <c r="F727" s="251">
        <v>1</v>
      </c>
      <c r="G727" s="250" t="s">
        <v>1454</v>
      </c>
      <c r="H727" s="244" t="s">
        <v>2374</v>
      </c>
      <c r="I727" s="8">
        <f>C66</f>
        <v>120</v>
      </c>
      <c r="J727" s="2" t="s">
        <v>1458</v>
      </c>
      <c r="K727" s="6">
        <f t="shared" si="43"/>
        <v>120</v>
      </c>
      <c r="N727" s="244" t="s">
        <v>448</v>
      </c>
      <c r="O727" s="244" t="s">
        <v>449</v>
      </c>
      <c r="Q727" s="244" t="s">
        <v>448</v>
      </c>
      <c r="R727" s="251">
        <v>0</v>
      </c>
      <c r="AG727" s="244" t="s">
        <v>2346</v>
      </c>
    </row>
    <row r="728" spans="1:33" hidden="1">
      <c r="A728" s="358">
        <f t="shared" si="41"/>
        <v>555</v>
      </c>
      <c r="B728" s="354" t="s">
        <v>786</v>
      </c>
      <c r="C728" s="8">
        <v>302</v>
      </c>
      <c r="D728" s="1" t="s">
        <v>2373</v>
      </c>
      <c r="E728"/>
      <c r="F728" s="251">
        <v>1</v>
      </c>
      <c r="G728" s="250" t="s">
        <v>448</v>
      </c>
      <c r="H728" s="244" t="s">
        <v>787</v>
      </c>
      <c r="I728" s="8">
        <v>10</v>
      </c>
      <c r="J728" s="2" t="s">
        <v>448</v>
      </c>
      <c r="K728" s="6">
        <f t="shared" si="43"/>
        <v>10</v>
      </c>
      <c r="R728" s="248" t="s">
        <v>1667</v>
      </c>
      <c r="AG728" s="244" t="s">
        <v>2346</v>
      </c>
    </row>
    <row r="729" spans="1:33" hidden="1">
      <c r="A729" s="358">
        <f t="shared" si="41"/>
        <v>556</v>
      </c>
      <c r="B729" s="244" t="s">
        <v>788</v>
      </c>
      <c r="C729" s="8">
        <v>382</v>
      </c>
      <c r="D729" s="1" t="s">
        <v>2373</v>
      </c>
      <c r="E729"/>
      <c r="F729" s="251">
        <v>19</v>
      </c>
      <c r="G729" s="250" t="s">
        <v>1492</v>
      </c>
      <c r="H729" s="244" t="s">
        <v>789</v>
      </c>
      <c r="I729" s="8">
        <v>2</v>
      </c>
      <c r="J729" s="2" t="s">
        <v>1492</v>
      </c>
      <c r="K729" s="6">
        <f t="shared" si="43"/>
        <v>38</v>
      </c>
      <c r="O729" s="354" t="s">
        <v>757</v>
      </c>
      <c r="R729" s="251">
        <f>SUM(R720:R727)</f>
        <v>1370.32</v>
      </c>
      <c r="AG729" s="244" t="s">
        <v>2346</v>
      </c>
    </row>
    <row r="730" spans="1:33" hidden="1">
      <c r="A730" s="358">
        <f t="shared" si="41"/>
        <v>557</v>
      </c>
      <c r="B730" s="244" t="s">
        <v>573</v>
      </c>
      <c r="C730" s="8">
        <v>140</v>
      </c>
      <c r="D730" s="1" t="s">
        <v>2373</v>
      </c>
      <c r="E730"/>
      <c r="H730" s="244" t="s">
        <v>502</v>
      </c>
      <c r="I730"/>
      <c r="J730" s="4"/>
      <c r="K730" s="6" t="s">
        <v>1667</v>
      </c>
      <c r="R730" s="248" t="s">
        <v>1667</v>
      </c>
      <c r="AG730" s="244" t="s">
        <v>325</v>
      </c>
    </row>
    <row r="731" spans="1:33" hidden="1">
      <c r="A731" s="358">
        <f t="shared" si="41"/>
        <v>558</v>
      </c>
      <c r="B731" s="244" t="s">
        <v>853</v>
      </c>
      <c r="C731" s="8">
        <v>222</v>
      </c>
      <c r="D731" s="1" t="s">
        <v>2373</v>
      </c>
      <c r="E731"/>
      <c r="H731" s="354" t="s">
        <v>440</v>
      </c>
      <c r="I731"/>
      <c r="J731" s="4"/>
      <c r="K731" s="6">
        <f>SUM(K720:K729)</f>
        <v>2050.88</v>
      </c>
      <c r="O731" s="354" t="s">
        <v>555</v>
      </c>
      <c r="R731" s="251">
        <f>R729/1.3247</f>
        <v>1034.44</v>
      </c>
    </row>
    <row r="732" spans="1:33" hidden="1">
      <c r="A732" s="358">
        <f t="shared" si="41"/>
        <v>559</v>
      </c>
      <c r="B732" s="244" t="s">
        <v>615</v>
      </c>
      <c r="C732" s="8">
        <v>505</v>
      </c>
      <c r="D732" s="1" t="s">
        <v>2373</v>
      </c>
      <c r="E732"/>
      <c r="I732"/>
      <c r="J732" s="4"/>
      <c r="K732" s="6" t="s">
        <v>1667</v>
      </c>
      <c r="R732" s="248" t="s">
        <v>2130</v>
      </c>
    </row>
    <row r="733" spans="1:33" hidden="1">
      <c r="A733" s="358">
        <f t="shared" si="41"/>
        <v>560</v>
      </c>
      <c r="B733" s="244" t="s">
        <v>749</v>
      </c>
      <c r="C733" s="8">
        <v>75</v>
      </c>
      <c r="D733" s="1" t="s">
        <v>1796</v>
      </c>
      <c r="E733"/>
      <c r="H733" s="354" t="s">
        <v>555</v>
      </c>
      <c r="I733"/>
      <c r="J733" s="4"/>
      <c r="K733" s="6">
        <f>(K731/10)</f>
        <v>205.09</v>
      </c>
      <c r="N733" s="244" t="s">
        <v>2338</v>
      </c>
      <c r="O733" s="244" t="s">
        <v>2372</v>
      </c>
      <c r="AG733" s="244" t="s">
        <v>2346</v>
      </c>
    </row>
    <row r="734" spans="1:33" hidden="1">
      <c r="C734"/>
      <c r="D734"/>
      <c r="E734"/>
      <c r="F734" s="244" t="s">
        <v>995</v>
      </c>
      <c r="I734"/>
      <c r="J734" s="4"/>
      <c r="K734" s="34"/>
    </row>
    <row r="735" spans="1:33" hidden="1">
      <c r="A735" s="358">
        <f>(A733+1)</f>
        <v>561</v>
      </c>
      <c r="B735" s="244" t="s">
        <v>103</v>
      </c>
      <c r="C735" s="8">
        <v>43.3</v>
      </c>
      <c r="D735" s="1" t="s">
        <v>1854</v>
      </c>
      <c r="E735"/>
      <c r="I735"/>
      <c r="J735" s="4"/>
      <c r="K735" s="6" t="s">
        <v>2130</v>
      </c>
      <c r="O735" s="244" t="s">
        <v>2186</v>
      </c>
      <c r="AG735" s="244" t="s">
        <v>2346</v>
      </c>
    </row>
    <row r="736" spans="1:33" hidden="1">
      <c r="A736" s="358">
        <f t="shared" ref="A736:A753" si="44">(A735+1)</f>
        <v>562</v>
      </c>
      <c r="B736" s="244" t="s">
        <v>2187</v>
      </c>
      <c r="C736" s="8">
        <v>218</v>
      </c>
      <c r="D736" s="1" t="s">
        <v>1796</v>
      </c>
      <c r="E736"/>
      <c r="F736" s="354" t="s">
        <v>1553</v>
      </c>
      <c r="G736" s="250" t="s">
        <v>2338</v>
      </c>
      <c r="H736" s="244" t="s">
        <v>724</v>
      </c>
      <c r="I736"/>
      <c r="J736" s="4"/>
      <c r="K736" s="34"/>
      <c r="O736" s="244" t="s">
        <v>725</v>
      </c>
      <c r="AG736" s="244" t="s">
        <v>2346</v>
      </c>
    </row>
    <row r="737" spans="1:33" hidden="1">
      <c r="A737" s="358">
        <f t="shared" si="44"/>
        <v>563</v>
      </c>
      <c r="B737" s="244" t="s">
        <v>726</v>
      </c>
      <c r="C737" s="8">
        <v>926</v>
      </c>
      <c r="D737" s="1" t="s">
        <v>1796</v>
      </c>
      <c r="E737"/>
      <c r="H737" s="244" t="s">
        <v>727</v>
      </c>
      <c r="I737"/>
      <c r="J737" s="4"/>
      <c r="K737" s="34"/>
      <c r="O737" s="244" t="s">
        <v>90</v>
      </c>
      <c r="AG737" s="244" t="s">
        <v>2346</v>
      </c>
    </row>
    <row r="738" spans="1:33" hidden="1">
      <c r="A738" s="358">
        <f t="shared" si="44"/>
        <v>564</v>
      </c>
      <c r="B738" s="244" t="s">
        <v>91</v>
      </c>
      <c r="C738" s="8">
        <v>5.15</v>
      </c>
      <c r="D738" s="1" t="s">
        <v>1854</v>
      </c>
      <c r="E738"/>
      <c r="H738" s="244" t="s">
        <v>2361</v>
      </c>
      <c r="I738"/>
      <c r="J738" s="4"/>
      <c r="K738" s="34"/>
      <c r="O738" s="248" t="s">
        <v>1667</v>
      </c>
      <c r="AG738" s="244" t="s">
        <v>2346</v>
      </c>
    </row>
    <row r="739" spans="1:33" hidden="1">
      <c r="A739" s="358">
        <f t="shared" si="44"/>
        <v>565</v>
      </c>
      <c r="B739" s="244" t="s">
        <v>570</v>
      </c>
      <c r="C739" s="8">
        <v>550</v>
      </c>
      <c r="D739" s="1" t="s">
        <v>1796</v>
      </c>
      <c r="E739"/>
      <c r="H739" s="248" t="s">
        <v>1667</v>
      </c>
      <c r="I739"/>
      <c r="J739" s="4"/>
      <c r="K739" s="34"/>
      <c r="AG739" s="244" t="s">
        <v>2346</v>
      </c>
    </row>
    <row r="740" spans="1:33" hidden="1">
      <c r="A740" s="358">
        <f t="shared" si="44"/>
        <v>566</v>
      </c>
      <c r="B740" s="244" t="s">
        <v>997</v>
      </c>
      <c r="C740" s="8">
        <v>286</v>
      </c>
      <c r="D740" s="1" t="s">
        <v>1796</v>
      </c>
      <c r="E740"/>
      <c r="F740" s="251">
        <v>10</v>
      </c>
      <c r="G740" s="250" t="s">
        <v>611</v>
      </c>
      <c r="H740" s="244" t="s">
        <v>916</v>
      </c>
      <c r="I740" s="8">
        <f>(K720)*1.2</f>
        <v>321.48</v>
      </c>
      <c r="J740" s="2" t="s">
        <v>258</v>
      </c>
      <c r="K740" s="6">
        <f>(F740*I740)/10</f>
        <v>321.48</v>
      </c>
      <c r="O740" s="244" t="s">
        <v>917</v>
      </c>
      <c r="R740" s="251">
        <f>(C693)</f>
        <v>1183.82</v>
      </c>
      <c r="AG740" s="244" t="s">
        <v>2346</v>
      </c>
    </row>
    <row r="741" spans="1:33" hidden="1">
      <c r="A741" s="358">
        <f t="shared" si="44"/>
        <v>567</v>
      </c>
      <c r="B741" s="244" t="s">
        <v>918</v>
      </c>
      <c r="C741" s="8">
        <v>96.3</v>
      </c>
      <c r="D741" s="1" t="s">
        <v>1854</v>
      </c>
      <c r="E741"/>
      <c r="H741" s="244" t="s">
        <v>919</v>
      </c>
      <c r="I741"/>
      <c r="J741" s="4"/>
      <c r="K741" s="34"/>
      <c r="R741" s="248" t="s">
        <v>2130</v>
      </c>
      <c r="AG741" s="244" t="s">
        <v>2346</v>
      </c>
    </row>
    <row r="742" spans="1:33" hidden="1">
      <c r="A742" s="358">
        <f t="shared" si="44"/>
        <v>568</v>
      </c>
      <c r="B742" s="244" t="s">
        <v>854</v>
      </c>
      <c r="C742" s="8">
        <v>51</v>
      </c>
      <c r="D742" s="1" t="s">
        <v>1796</v>
      </c>
      <c r="E742"/>
      <c r="H742" s="244" t="s">
        <v>855</v>
      </c>
      <c r="I742"/>
      <c r="J742" s="4"/>
      <c r="K742" s="34"/>
      <c r="AG742" s="244" t="s">
        <v>2346</v>
      </c>
    </row>
    <row r="743" spans="1:33" hidden="1">
      <c r="A743" s="358">
        <f t="shared" si="44"/>
        <v>569</v>
      </c>
      <c r="B743" s="244" t="s">
        <v>557</v>
      </c>
      <c r="C743" s="8">
        <v>181</v>
      </c>
      <c r="D743" s="1" t="s">
        <v>799</v>
      </c>
      <c r="E743"/>
      <c r="F743" s="251">
        <v>10</v>
      </c>
      <c r="G743" s="250" t="s">
        <v>611</v>
      </c>
      <c r="H743" s="244" t="s">
        <v>558</v>
      </c>
      <c r="I743" s="8">
        <f>K722*1.2</f>
        <v>270.58</v>
      </c>
      <c r="J743" s="2" t="s">
        <v>258</v>
      </c>
      <c r="K743" s="6">
        <f>(F743*I743)/10</f>
        <v>270.58</v>
      </c>
      <c r="N743" s="244" t="s">
        <v>2338</v>
      </c>
      <c r="O743" s="244" t="s">
        <v>559</v>
      </c>
      <c r="AG743" s="244" t="s">
        <v>2346</v>
      </c>
    </row>
    <row r="744" spans="1:33" hidden="1">
      <c r="A744" s="358">
        <f t="shared" si="44"/>
        <v>570</v>
      </c>
      <c r="B744" s="244" t="s">
        <v>560</v>
      </c>
      <c r="C744" s="8">
        <v>36.200000000000003</v>
      </c>
      <c r="D744" s="1" t="s">
        <v>1854</v>
      </c>
      <c r="E744"/>
      <c r="H744" s="244" t="s">
        <v>1022</v>
      </c>
      <c r="I744"/>
      <c r="J744" s="4"/>
      <c r="K744" s="34"/>
      <c r="O744" s="248" t="s">
        <v>2130</v>
      </c>
      <c r="P744" s="248" t="s">
        <v>2130</v>
      </c>
      <c r="Q744" s="248" t="s">
        <v>2130</v>
      </c>
      <c r="R744" s="244" t="s">
        <v>1023</v>
      </c>
      <c r="AG744" s="244" t="s">
        <v>2346</v>
      </c>
    </row>
    <row r="745" spans="1:33" hidden="1">
      <c r="A745" s="358">
        <f t="shared" si="44"/>
        <v>571</v>
      </c>
      <c r="B745" s="244" t="s">
        <v>668</v>
      </c>
      <c r="C745" s="8">
        <v>98</v>
      </c>
      <c r="D745" s="1" t="s">
        <v>1796</v>
      </c>
      <c r="E745"/>
      <c r="H745" s="244" t="s">
        <v>832</v>
      </c>
      <c r="I745"/>
      <c r="J745" s="4"/>
      <c r="K745" s="34"/>
      <c r="O745" s="244" t="s">
        <v>1494</v>
      </c>
      <c r="Q745" s="354" t="s">
        <v>840</v>
      </c>
      <c r="R745" s="251">
        <f>(C696)</f>
        <v>147.6</v>
      </c>
      <c r="AG745" s="244" t="s">
        <v>2346</v>
      </c>
    </row>
    <row r="746" spans="1:33" hidden="1">
      <c r="A746" s="358">
        <f t="shared" si="44"/>
        <v>572</v>
      </c>
      <c r="B746" s="244" t="s">
        <v>2035</v>
      </c>
      <c r="C746" s="8">
        <v>92</v>
      </c>
      <c r="D746" s="1" t="s">
        <v>1854</v>
      </c>
      <c r="E746"/>
      <c r="F746" s="251">
        <v>98.5</v>
      </c>
      <c r="G746" s="250" t="s">
        <v>840</v>
      </c>
      <c r="H746" s="244" t="s">
        <v>841</v>
      </c>
      <c r="I746" s="8">
        <f>C269/5</f>
        <v>3</v>
      </c>
      <c r="J746" s="2" t="s">
        <v>258</v>
      </c>
      <c r="K746" s="6">
        <f t="shared" ref="K746:K752" si="45">(F746*I746)</f>
        <v>295.5</v>
      </c>
      <c r="O746" s="244" t="s">
        <v>2156</v>
      </c>
      <c r="AG746" s="244" t="s">
        <v>2346</v>
      </c>
    </row>
    <row r="747" spans="1:33" hidden="1">
      <c r="A747" s="358">
        <f t="shared" si="44"/>
        <v>573</v>
      </c>
      <c r="B747" s="244" t="s">
        <v>328</v>
      </c>
      <c r="C747" s="8">
        <v>49.42</v>
      </c>
      <c r="D747" s="1" t="s">
        <v>1796</v>
      </c>
      <c r="E747"/>
      <c r="F747" s="251">
        <v>3.8</v>
      </c>
      <c r="G747" s="250" t="s">
        <v>781</v>
      </c>
      <c r="H747" s="244" t="s">
        <v>499</v>
      </c>
      <c r="I747" s="8">
        <f>(C16)</f>
        <v>150</v>
      </c>
      <c r="J747" s="2" t="s">
        <v>781</v>
      </c>
      <c r="K747" s="6">
        <f t="shared" si="45"/>
        <v>570</v>
      </c>
      <c r="O747" s="244" t="s">
        <v>329</v>
      </c>
      <c r="AG747" s="244" t="s">
        <v>2346</v>
      </c>
    </row>
    <row r="748" spans="1:33" hidden="1">
      <c r="A748" s="358">
        <f t="shared" si="44"/>
        <v>574</v>
      </c>
      <c r="B748" s="244" t="s">
        <v>723</v>
      </c>
      <c r="C748" s="8">
        <v>53.2</v>
      </c>
      <c r="D748" s="1" t="s">
        <v>1796</v>
      </c>
      <c r="E748"/>
      <c r="F748" s="251">
        <v>5.4</v>
      </c>
      <c r="G748" s="250" t="s">
        <v>781</v>
      </c>
      <c r="H748" s="244" t="s">
        <v>1979</v>
      </c>
      <c r="I748" s="8">
        <f>(C12)</f>
        <v>95</v>
      </c>
      <c r="J748" s="2" t="s">
        <v>781</v>
      </c>
      <c r="K748" s="6">
        <f t="shared" si="45"/>
        <v>513</v>
      </c>
      <c r="O748" s="244" t="s">
        <v>1076</v>
      </c>
      <c r="AG748" s="244" t="s">
        <v>2346</v>
      </c>
    </row>
    <row r="749" spans="1:33" hidden="1">
      <c r="A749" s="358">
        <f t="shared" si="44"/>
        <v>575</v>
      </c>
      <c r="B749" s="244" t="s">
        <v>1077</v>
      </c>
      <c r="C749" s="8">
        <v>59</v>
      </c>
      <c r="D749" s="1" t="s">
        <v>1796</v>
      </c>
      <c r="E749"/>
      <c r="F749" s="251">
        <v>1</v>
      </c>
      <c r="G749" s="250" t="s">
        <v>781</v>
      </c>
      <c r="H749" s="244" t="s">
        <v>2374</v>
      </c>
      <c r="I749" s="8">
        <f>C66</f>
        <v>120</v>
      </c>
      <c r="J749" s="2" t="s">
        <v>1458</v>
      </c>
      <c r="K749" s="6">
        <f t="shared" si="45"/>
        <v>120</v>
      </c>
      <c r="O749" s="244" t="s">
        <v>1138</v>
      </c>
      <c r="AG749" s="244" t="s">
        <v>2346</v>
      </c>
    </row>
    <row r="750" spans="1:33" hidden="1">
      <c r="A750" s="358">
        <f t="shared" si="44"/>
        <v>576</v>
      </c>
      <c r="B750" s="244" t="s">
        <v>980</v>
      </c>
      <c r="C750" s="8">
        <v>100</v>
      </c>
      <c r="D750" s="1" t="s">
        <v>1796</v>
      </c>
      <c r="E750"/>
      <c r="F750" s="251">
        <v>1</v>
      </c>
      <c r="G750" s="250" t="s">
        <v>448</v>
      </c>
      <c r="H750" s="244" t="s">
        <v>981</v>
      </c>
      <c r="I750" s="8">
        <v>11</v>
      </c>
      <c r="J750" s="2" t="s">
        <v>1458</v>
      </c>
      <c r="K750" s="6">
        <f t="shared" si="45"/>
        <v>11</v>
      </c>
      <c r="O750" s="244" t="s">
        <v>1154</v>
      </c>
      <c r="R750" s="244" t="s">
        <v>995</v>
      </c>
      <c r="AG750" s="244" t="s">
        <v>2346</v>
      </c>
    </row>
    <row r="751" spans="1:33" hidden="1">
      <c r="A751" s="358">
        <f t="shared" si="44"/>
        <v>577</v>
      </c>
      <c r="B751" s="244" t="s">
        <v>1155</v>
      </c>
      <c r="C751" s="8">
        <v>49.52</v>
      </c>
      <c r="D751" s="1" t="s">
        <v>1854</v>
      </c>
      <c r="E751"/>
      <c r="F751" s="251">
        <v>1</v>
      </c>
      <c r="G751" s="250" t="s">
        <v>448</v>
      </c>
      <c r="H751" s="244" t="s">
        <v>1356</v>
      </c>
      <c r="I751" s="8">
        <v>10</v>
      </c>
      <c r="J751" s="2" t="s">
        <v>448</v>
      </c>
      <c r="K751" s="6">
        <f t="shared" si="45"/>
        <v>10</v>
      </c>
      <c r="O751" s="244" t="s">
        <v>995</v>
      </c>
      <c r="AG751" s="244" t="s">
        <v>2346</v>
      </c>
    </row>
    <row r="752" spans="1:33" hidden="1">
      <c r="A752" s="358">
        <f t="shared" si="44"/>
        <v>578</v>
      </c>
      <c r="B752" s="244" t="s">
        <v>2199</v>
      </c>
      <c r="C752" s="8">
        <v>1080</v>
      </c>
      <c r="D752" s="1" t="s">
        <v>1796</v>
      </c>
      <c r="E752"/>
      <c r="F752" s="251">
        <v>19</v>
      </c>
      <c r="G752" s="250" t="s">
        <v>1492</v>
      </c>
      <c r="H752" s="244" t="s">
        <v>2200</v>
      </c>
      <c r="I752" s="8">
        <v>2</v>
      </c>
      <c r="J752" s="4" t="s">
        <v>1492</v>
      </c>
      <c r="K752" s="6">
        <f t="shared" si="45"/>
        <v>38</v>
      </c>
      <c r="AG752" s="244" t="s">
        <v>2346</v>
      </c>
    </row>
    <row r="753" spans="1:33" hidden="1">
      <c r="A753" s="358">
        <f t="shared" si="44"/>
        <v>579</v>
      </c>
      <c r="B753" s="244" t="s">
        <v>3104</v>
      </c>
      <c r="C753" s="8">
        <v>381.37</v>
      </c>
      <c r="D753" s="1" t="s">
        <v>611</v>
      </c>
      <c r="E753"/>
      <c r="H753" s="244" t="s">
        <v>79</v>
      </c>
      <c r="I753"/>
      <c r="J753" s="4"/>
      <c r="K753" s="34"/>
      <c r="N753" s="244" t="s">
        <v>2338</v>
      </c>
      <c r="O753" s="244" t="s">
        <v>2201</v>
      </c>
      <c r="Q753" s="354" t="s">
        <v>2371</v>
      </c>
      <c r="R753" s="251">
        <f>(C700)</f>
        <v>1250</v>
      </c>
      <c r="AG753" s="244" t="s">
        <v>2346</v>
      </c>
    </row>
    <row r="754" spans="1:33" hidden="1">
      <c r="A754" s="358" t="e">
        <f>(#REF!+1)</f>
        <v>#REF!</v>
      </c>
      <c r="B754" s="244" t="s">
        <v>1457</v>
      </c>
      <c r="C754"/>
      <c r="D754"/>
      <c r="E754"/>
      <c r="I754"/>
      <c r="J754" s="4"/>
      <c r="K754" s="6" t="s">
        <v>1667</v>
      </c>
      <c r="O754" s="244" t="s">
        <v>1769</v>
      </c>
      <c r="AG754" s="244" t="s">
        <v>2346</v>
      </c>
    </row>
    <row r="755" spans="1:33" hidden="1">
      <c r="A755" s="358"/>
      <c r="B755" s="244" t="s">
        <v>2254</v>
      </c>
      <c r="C755" s="8">
        <v>300</v>
      </c>
      <c r="D755"/>
      <c r="E755"/>
      <c r="H755" s="244" t="s">
        <v>440</v>
      </c>
      <c r="I755"/>
      <c r="J755" s="4"/>
      <c r="K755" s="6">
        <f>SUM(K740:K753)</f>
        <v>2149.56</v>
      </c>
      <c r="O755" s="244" t="s">
        <v>322</v>
      </c>
      <c r="AG755" s="244" t="s">
        <v>2346</v>
      </c>
    </row>
    <row r="756" spans="1:33" hidden="1">
      <c r="A756" s="358"/>
      <c r="B756" s="354" t="s">
        <v>786</v>
      </c>
      <c r="C756" s="8">
        <v>302</v>
      </c>
      <c r="D756"/>
      <c r="E756"/>
      <c r="I756"/>
      <c r="J756" s="4"/>
      <c r="K756" s="6" t="s">
        <v>1667</v>
      </c>
      <c r="O756" s="244" t="s">
        <v>1327</v>
      </c>
      <c r="AG756" s="244" t="s">
        <v>2346</v>
      </c>
    </row>
    <row r="757" spans="1:33" hidden="1">
      <c r="A757" s="358"/>
      <c r="B757" s="244" t="s">
        <v>1328</v>
      </c>
      <c r="C757" s="8">
        <v>324</v>
      </c>
      <c r="D757"/>
      <c r="E757"/>
      <c r="H757" s="244" t="s">
        <v>555</v>
      </c>
      <c r="I757"/>
      <c r="J757" s="4"/>
      <c r="K757" s="6">
        <f>(K755/10)</f>
        <v>214.96</v>
      </c>
      <c r="AG757" s="244" t="s">
        <v>2346</v>
      </c>
    </row>
    <row r="758" spans="1:33" hidden="1">
      <c r="A758" s="358"/>
      <c r="B758" s="244" t="s">
        <v>788</v>
      </c>
      <c r="C758" s="8">
        <v>382</v>
      </c>
      <c r="D758"/>
      <c r="E758"/>
      <c r="I758"/>
      <c r="J758" s="4"/>
      <c r="K758" s="6" t="s">
        <v>2130</v>
      </c>
      <c r="N758" s="244" t="s">
        <v>2338</v>
      </c>
      <c r="O758" s="244" t="s">
        <v>596</v>
      </c>
      <c r="AG758" s="244" t="s">
        <v>2346</v>
      </c>
    </row>
    <row r="759" spans="1:33" hidden="1">
      <c r="A759" s="358"/>
      <c r="B759" s="244" t="s">
        <v>615</v>
      </c>
      <c r="C759" s="8">
        <v>505</v>
      </c>
      <c r="D759"/>
      <c r="E759"/>
      <c r="I759"/>
      <c r="J759" s="4"/>
      <c r="K759" s="34"/>
      <c r="O759" s="244" t="s">
        <v>2161</v>
      </c>
      <c r="R759" s="244" t="s">
        <v>995</v>
      </c>
      <c r="AG759" s="244" t="s">
        <v>2346</v>
      </c>
    </row>
    <row r="760" spans="1:33" hidden="1">
      <c r="A760" s="358"/>
      <c r="B760" s="244" t="s">
        <v>573</v>
      </c>
      <c r="C760" s="8">
        <v>140</v>
      </c>
      <c r="D760"/>
      <c r="E760"/>
      <c r="F760" s="354" t="s">
        <v>901</v>
      </c>
      <c r="G760" s="250" t="s">
        <v>2338</v>
      </c>
      <c r="H760" s="244" t="s">
        <v>724</v>
      </c>
      <c r="I760"/>
      <c r="J760" s="4"/>
      <c r="K760" s="34"/>
      <c r="O760" s="244" t="s">
        <v>2162</v>
      </c>
      <c r="AG760" s="244" t="s">
        <v>2346</v>
      </c>
    </row>
    <row r="761" spans="1:33" hidden="1">
      <c r="A761" s="358"/>
      <c r="B761" s="244" t="s">
        <v>853</v>
      </c>
      <c r="C761" s="8">
        <v>222</v>
      </c>
      <c r="D761"/>
      <c r="E761"/>
      <c r="H761" s="244" t="s">
        <v>727</v>
      </c>
      <c r="I761"/>
      <c r="J761" s="4"/>
      <c r="K761" s="34"/>
      <c r="O761" s="248" t="s">
        <v>1667</v>
      </c>
      <c r="AG761" s="244" t="s">
        <v>2346</v>
      </c>
    </row>
    <row r="762" spans="1:33" hidden="1">
      <c r="A762" s="358"/>
      <c r="B762" s="244" t="s">
        <v>741</v>
      </c>
      <c r="C762" s="8">
        <v>100</v>
      </c>
      <c r="D762"/>
      <c r="E762"/>
      <c r="H762" s="244" t="s">
        <v>279</v>
      </c>
      <c r="I762"/>
      <c r="J762" s="4"/>
      <c r="K762" s="34"/>
      <c r="N762" s="244" t="s">
        <v>234</v>
      </c>
      <c r="O762" s="244" t="s">
        <v>495</v>
      </c>
      <c r="P762" s="251">
        <f>(C271)</f>
        <v>160</v>
      </c>
      <c r="Q762" s="244" t="s">
        <v>234</v>
      </c>
      <c r="R762" s="251" t="e">
        <f>(#VALUE!*P762)</f>
        <v>#VALUE!</v>
      </c>
      <c r="AG762" s="244" t="s">
        <v>2346</v>
      </c>
    </row>
    <row r="763" spans="1:33" hidden="1">
      <c r="A763" s="358"/>
      <c r="B763" s="244" t="s">
        <v>496</v>
      </c>
      <c r="C763" s="8">
        <v>75</v>
      </c>
      <c r="D763"/>
      <c r="E763"/>
      <c r="H763" s="248" t="s">
        <v>1667</v>
      </c>
      <c r="I763"/>
      <c r="J763" s="4"/>
      <c r="K763" s="34"/>
      <c r="AG763" s="244" t="s">
        <v>2346</v>
      </c>
    </row>
    <row r="764" spans="1:33" hidden="1">
      <c r="A764" s="358"/>
      <c r="B764" s="244" t="s">
        <v>1203</v>
      </c>
      <c r="C764" s="8">
        <v>218</v>
      </c>
      <c r="D764"/>
      <c r="E764"/>
      <c r="H764" s="244" t="s">
        <v>1204</v>
      </c>
      <c r="I764"/>
      <c r="J764" s="4"/>
      <c r="K764" s="6">
        <f>(K695/2)</f>
        <v>123.27</v>
      </c>
      <c r="N764" s="244" t="s">
        <v>1205</v>
      </c>
      <c r="O764" s="244" t="s">
        <v>271</v>
      </c>
      <c r="P764" s="251">
        <f>(C16)</f>
        <v>150</v>
      </c>
      <c r="Q764" s="244" t="s">
        <v>1205</v>
      </c>
      <c r="R764" s="251" t="e">
        <f>(#VALUE!*P764)</f>
        <v>#VALUE!</v>
      </c>
      <c r="AG764" s="244" t="s">
        <v>2346</v>
      </c>
    </row>
    <row r="765" spans="1:33" hidden="1">
      <c r="A765" s="358"/>
      <c r="B765" s="244" t="s">
        <v>272</v>
      </c>
      <c r="C765" s="8">
        <v>1854</v>
      </c>
      <c r="D765"/>
      <c r="E765"/>
      <c r="H765" s="244" t="s">
        <v>273</v>
      </c>
      <c r="I765"/>
      <c r="J765" s="4"/>
      <c r="K765" s="6" t="s">
        <v>2130</v>
      </c>
      <c r="AG765" s="244" t="s">
        <v>2346</v>
      </c>
    </row>
    <row r="766" spans="1:33" hidden="1">
      <c r="C766"/>
      <c r="D766"/>
      <c r="E766"/>
      <c r="I766"/>
      <c r="J766" s="4"/>
      <c r="K766" s="34"/>
    </row>
    <row r="767" spans="1:33" hidden="1">
      <c r="A767" s="358"/>
      <c r="B767" s="244" t="s">
        <v>168</v>
      </c>
      <c r="C767" s="8">
        <v>51</v>
      </c>
      <c r="D767"/>
      <c r="E767"/>
      <c r="F767" s="354" t="s">
        <v>169</v>
      </c>
      <c r="G767" s="250" t="s">
        <v>2338</v>
      </c>
      <c r="H767" s="244" t="s">
        <v>170</v>
      </c>
      <c r="I767"/>
      <c r="J767" s="4"/>
      <c r="K767" s="34"/>
      <c r="O767" s="244" t="s">
        <v>1384</v>
      </c>
      <c r="P767" s="252" t="s">
        <v>448</v>
      </c>
      <c r="R767" s="251">
        <v>0.64</v>
      </c>
      <c r="AG767" s="244" t="s">
        <v>2346</v>
      </c>
    </row>
    <row r="768" spans="1:33" hidden="1">
      <c r="A768" s="358"/>
      <c r="B768" s="244" t="s">
        <v>1442</v>
      </c>
      <c r="C768" s="8">
        <v>915</v>
      </c>
      <c r="D768"/>
      <c r="E768"/>
      <c r="H768" s="244" t="s">
        <v>1443</v>
      </c>
      <c r="I768"/>
      <c r="J768" s="4"/>
      <c r="K768" s="34"/>
      <c r="R768" s="248" t="s">
        <v>1667</v>
      </c>
      <c r="AG768" s="244" t="s">
        <v>2346</v>
      </c>
    </row>
    <row r="769" spans="1:33" hidden="1">
      <c r="A769" s="358"/>
      <c r="B769" s="244" t="s">
        <v>135</v>
      </c>
      <c r="C769" s="8">
        <v>890</v>
      </c>
      <c r="D769"/>
      <c r="E769"/>
      <c r="H769" s="244" t="s">
        <v>136</v>
      </c>
      <c r="I769"/>
      <c r="J769" s="4"/>
      <c r="K769" s="34"/>
      <c r="O769" s="244" t="s">
        <v>2006</v>
      </c>
      <c r="R769" s="251" t="e">
        <f>SUM(R762:R767)</f>
        <v>#VALUE!</v>
      </c>
      <c r="AG769" s="244" t="s">
        <v>2346</v>
      </c>
    </row>
    <row r="770" spans="1:33" hidden="1">
      <c r="A770" s="358"/>
      <c r="B770" s="244" t="s">
        <v>2007</v>
      </c>
      <c r="C770" s="8">
        <v>5.15</v>
      </c>
      <c r="D770"/>
      <c r="E770"/>
      <c r="H770" s="248" t="s">
        <v>1667</v>
      </c>
      <c r="I770"/>
      <c r="J770" s="4"/>
      <c r="K770" s="34"/>
      <c r="R770" s="248" t="s">
        <v>1667</v>
      </c>
      <c r="AG770" s="244" t="s">
        <v>2346</v>
      </c>
    </row>
    <row r="771" spans="1:33" hidden="1">
      <c r="A771" s="358"/>
      <c r="B771" s="244" t="s">
        <v>1470</v>
      </c>
      <c r="C771" s="8">
        <v>43.3</v>
      </c>
      <c r="D771"/>
      <c r="E771"/>
      <c r="F771" s="363">
        <v>9</v>
      </c>
      <c r="G771" s="250" t="s">
        <v>884</v>
      </c>
      <c r="H771" s="244" t="s">
        <v>1471</v>
      </c>
      <c r="I771" s="8" t="e">
        <f>C73</f>
        <v>#REF!</v>
      </c>
      <c r="J771" s="2" t="s">
        <v>884</v>
      </c>
      <c r="K771" s="6" t="e">
        <f t="shared" ref="K771:K776" si="46">F771*I771</f>
        <v>#REF!</v>
      </c>
      <c r="O771" s="244" t="s">
        <v>1472</v>
      </c>
      <c r="R771" s="251" t="e">
        <f>(R769/0.4)</f>
        <v>#VALUE!</v>
      </c>
      <c r="AG771" s="244" t="s">
        <v>2346</v>
      </c>
    </row>
    <row r="772" spans="1:33" hidden="1">
      <c r="A772" s="358"/>
      <c r="B772" s="244" t="s">
        <v>83</v>
      </c>
      <c r="C772" s="8">
        <v>920</v>
      </c>
      <c r="D772"/>
      <c r="E772"/>
      <c r="F772" s="363">
        <v>4.3079999999999998</v>
      </c>
      <c r="G772" s="250" t="s">
        <v>876</v>
      </c>
      <c r="H772" s="244" t="s">
        <v>877</v>
      </c>
      <c r="I772" s="8">
        <f>C67</f>
        <v>3800</v>
      </c>
      <c r="J772" s="2" t="s">
        <v>876</v>
      </c>
      <c r="K772" s="6">
        <f t="shared" si="46"/>
        <v>16370.4</v>
      </c>
      <c r="R772" s="248" t="s">
        <v>2130</v>
      </c>
      <c r="AG772" s="244" t="s">
        <v>2346</v>
      </c>
    </row>
    <row r="773" spans="1:33" hidden="1">
      <c r="A773" s="358"/>
      <c r="B773" s="244" t="s">
        <v>84</v>
      </c>
      <c r="C773" s="8">
        <v>98</v>
      </c>
      <c r="D773"/>
      <c r="E773"/>
      <c r="F773" s="363">
        <v>4.5</v>
      </c>
      <c r="G773" s="250" t="s">
        <v>884</v>
      </c>
      <c r="H773" s="244" t="s">
        <v>885</v>
      </c>
      <c r="I773" s="8" t="e">
        <f>C78</f>
        <v>#REF!</v>
      </c>
      <c r="J773" s="2" t="s">
        <v>884</v>
      </c>
      <c r="K773" s="6" t="e">
        <f t="shared" si="46"/>
        <v>#REF!</v>
      </c>
      <c r="N773" s="244" t="s">
        <v>2338</v>
      </c>
      <c r="O773" s="244" t="s">
        <v>2188</v>
      </c>
      <c r="AG773" s="244" t="s">
        <v>2346</v>
      </c>
    </row>
    <row r="774" spans="1:33" hidden="1">
      <c r="A774" s="358"/>
      <c r="B774" s="244" t="s">
        <v>2189</v>
      </c>
      <c r="C774" s="8">
        <v>181</v>
      </c>
      <c r="D774"/>
      <c r="E774"/>
      <c r="F774" s="363">
        <v>3.5</v>
      </c>
      <c r="G774" s="250" t="s">
        <v>883</v>
      </c>
      <c r="H774" s="244" t="s">
        <v>1791</v>
      </c>
      <c r="I774" s="8">
        <f>C11</f>
        <v>135</v>
      </c>
      <c r="J774" s="2" t="s">
        <v>883</v>
      </c>
      <c r="K774" s="6">
        <f t="shared" si="46"/>
        <v>472.5</v>
      </c>
      <c r="O774" s="244" t="s">
        <v>719</v>
      </c>
      <c r="AG774" s="244" t="s">
        <v>2346</v>
      </c>
    </row>
    <row r="775" spans="1:33" hidden="1">
      <c r="A775" s="358"/>
      <c r="B775" s="244" t="s">
        <v>94</v>
      </c>
      <c r="C775" s="8">
        <v>1148.76</v>
      </c>
      <c r="D775"/>
      <c r="E775"/>
      <c r="F775" s="363">
        <v>21.2</v>
      </c>
      <c r="G775" s="250" t="s">
        <v>883</v>
      </c>
      <c r="H775" s="244" t="s">
        <v>1979</v>
      </c>
      <c r="I775" s="8">
        <f>C12</f>
        <v>95</v>
      </c>
      <c r="J775" s="2" t="s">
        <v>883</v>
      </c>
      <c r="K775" s="6">
        <f t="shared" si="46"/>
        <v>2014</v>
      </c>
      <c r="O775" s="244" t="s">
        <v>95</v>
      </c>
      <c r="AG775" s="244" t="s">
        <v>2346</v>
      </c>
    </row>
    <row r="776" spans="1:33" hidden="1">
      <c r="A776" s="358"/>
      <c r="B776" s="244" t="s">
        <v>1627</v>
      </c>
      <c r="C776" s="8">
        <v>967</v>
      </c>
      <c r="D776"/>
      <c r="E776"/>
      <c r="F776" s="363">
        <v>35.299999999999997</v>
      </c>
      <c r="G776" s="250" t="s">
        <v>883</v>
      </c>
      <c r="H776" s="244" t="s">
        <v>324</v>
      </c>
      <c r="I776" s="8">
        <f>C13</f>
        <v>85</v>
      </c>
      <c r="J776" s="2" t="s">
        <v>883</v>
      </c>
      <c r="K776" s="6">
        <f t="shared" si="46"/>
        <v>3000.5</v>
      </c>
      <c r="O776" s="248" t="s">
        <v>1667</v>
      </c>
      <c r="AG776" s="244" t="s">
        <v>2346</v>
      </c>
    </row>
    <row r="777" spans="1:33" hidden="1">
      <c r="A777" s="358"/>
      <c r="B777" s="244" t="s">
        <v>2131</v>
      </c>
      <c r="C777" s="8">
        <v>30</v>
      </c>
      <c r="D777"/>
      <c r="E777"/>
      <c r="F777" s="252" t="s">
        <v>448</v>
      </c>
      <c r="H777" s="244" t="s">
        <v>449</v>
      </c>
      <c r="I777"/>
      <c r="J777" s="2" t="s">
        <v>448</v>
      </c>
      <c r="K777" s="6">
        <v>0</v>
      </c>
      <c r="N777" s="252" t="s">
        <v>1981</v>
      </c>
      <c r="O777" s="244" t="s">
        <v>870</v>
      </c>
      <c r="AG777" s="244" t="s">
        <v>2346</v>
      </c>
    </row>
    <row r="778" spans="1:33" hidden="1">
      <c r="A778" s="358"/>
      <c r="B778" s="244" t="s">
        <v>1845</v>
      </c>
      <c r="C778" s="8">
        <v>2107</v>
      </c>
      <c r="D778"/>
      <c r="E778"/>
      <c r="I778"/>
      <c r="J778" s="4"/>
      <c r="K778" s="6" t="s">
        <v>1667</v>
      </c>
      <c r="O778" s="244" t="s">
        <v>1846</v>
      </c>
      <c r="AG778" s="244" t="s">
        <v>2346</v>
      </c>
    </row>
    <row r="779" spans="1:33" hidden="1">
      <c r="A779" s="358"/>
      <c r="B779" s="244" t="s">
        <v>1847</v>
      </c>
      <c r="C779" s="8">
        <v>650</v>
      </c>
      <c r="D779"/>
      <c r="E779"/>
      <c r="H779" s="354" t="s">
        <v>618</v>
      </c>
      <c r="I779"/>
      <c r="J779" s="4"/>
      <c r="K779" s="6" t="e">
        <f>SUM(K771:K777)</f>
        <v>#REF!</v>
      </c>
      <c r="N779" s="244" t="s">
        <v>267</v>
      </c>
      <c r="O779" s="244" t="s">
        <v>1848</v>
      </c>
      <c r="P779" s="251">
        <v>43</v>
      </c>
      <c r="R779" s="251" t="e">
        <f>(#VALUE!*P779)</f>
        <v>#VALUE!</v>
      </c>
      <c r="AG779" s="244" t="s">
        <v>2346</v>
      </c>
    </row>
    <row r="780" spans="1:33" hidden="1">
      <c r="A780" s="358"/>
      <c r="B780" s="244" t="s">
        <v>1342</v>
      </c>
      <c r="C780" s="57">
        <v>160</v>
      </c>
      <c r="D780"/>
      <c r="E780"/>
      <c r="I780"/>
      <c r="J780" s="4"/>
      <c r="K780" s="6" t="s">
        <v>2130</v>
      </c>
      <c r="O780" s="244" t="s">
        <v>1995</v>
      </c>
      <c r="AG780" s="244" t="s">
        <v>2346</v>
      </c>
    </row>
    <row r="781" spans="1:33" hidden="1">
      <c r="A781" s="358"/>
      <c r="B781" s="244" t="s">
        <v>1343</v>
      </c>
      <c r="C781" s="57">
        <v>110</v>
      </c>
      <c r="D781"/>
      <c r="E781"/>
      <c r="H781" s="244" t="s">
        <v>785</v>
      </c>
      <c r="I781"/>
      <c r="J781" s="4"/>
      <c r="K781" s="6" t="e">
        <f>K779/10</f>
        <v>#REF!</v>
      </c>
      <c r="O781" s="244" t="s">
        <v>1005</v>
      </c>
      <c r="AG781" s="244" t="s">
        <v>2346</v>
      </c>
    </row>
    <row r="782" spans="1:33" hidden="1">
      <c r="A782" s="358"/>
      <c r="C782"/>
      <c r="D782"/>
      <c r="E782"/>
      <c r="I782"/>
      <c r="J782" s="4"/>
      <c r="K782" s="34"/>
      <c r="N782" s="244" t="s">
        <v>611</v>
      </c>
      <c r="O782" s="244" t="s">
        <v>1006</v>
      </c>
      <c r="P782" s="251">
        <f>C271</f>
        <v>160</v>
      </c>
      <c r="R782" s="251" t="e">
        <f>(#VALUE!*P782)</f>
        <v>#VALUE!</v>
      </c>
      <c r="AG782" s="244" t="s">
        <v>2346</v>
      </c>
    </row>
    <row r="783" spans="1:33" hidden="1">
      <c r="A783" s="358"/>
      <c r="C783">
        <v>3.05</v>
      </c>
      <c r="D783"/>
      <c r="E783"/>
      <c r="F783" s="251">
        <v>1</v>
      </c>
      <c r="G783" s="250" t="s">
        <v>884</v>
      </c>
      <c r="H783" s="244" t="s">
        <v>50</v>
      </c>
      <c r="I783" s="8">
        <f>C25</f>
        <v>20.7</v>
      </c>
      <c r="J783" s="4"/>
      <c r="K783" s="6">
        <f>F783*I783</f>
        <v>20.7</v>
      </c>
      <c r="N783" s="244" t="s">
        <v>883</v>
      </c>
      <c r="O783" s="244" t="s">
        <v>155</v>
      </c>
      <c r="P783" s="251">
        <v>5</v>
      </c>
      <c r="R783" s="251" t="e">
        <f>(#VALUE!*P783)</f>
        <v>#VALUE!</v>
      </c>
      <c r="AG783" s="244" t="s">
        <v>2346</v>
      </c>
    </row>
    <row r="784" spans="1:33" hidden="1">
      <c r="A784" s="358"/>
      <c r="C784">
        <v>30</v>
      </c>
      <c r="D784"/>
      <c r="E784"/>
      <c r="I784"/>
      <c r="J784" s="4"/>
      <c r="K784" s="6" t="s">
        <v>1667</v>
      </c>
      <c r="N784" s="244" t="s">
        <v>883</v>
      </c>
      <c r="O784" s="244" t="s">
        <v>156</v>
      </c>
      <c r="P784" s="251">
        <v>10</v>
      </c>
      <c r="R784" s="251" t="e">
        <f>(#VALUE!*P784)</f>
        <v>#VALUE!</v>
      </c>
      <c r="AG784" s="244" t="s">
        <v>2346</v>
      </c>
    </row>
    <row r="785" spans="1:33" hidden="1">
      <c r="A785" s="358"/>
      <c r="C785">
        <v>35</v>
      </c>
      <c r="D785"/>
      <c r="E785"/>
      <c r="I785"/>
      <c r="J785" s="4"/>
      <c r="K785" s="6" t="e">
        <f>SUM(K781:K783)</f>
        <v>#REF!</v>
      </c>
      <c r="N785" s="244" t="s">
        <v>883</v>
      </c>
      <c r="O785" s="244" t="s">
        <v>1830</v>
      </c>
      <c r="P785" s="251">
        <v>8</v>
      </c>
      <c r="R785" s="251" t="e">
        <f>(#VALUE!*P785)</f>
        <v>#VALUE!</v>
      </c>
      <c r="AG785" s="244" t="s">
        <v>2346</v>
      </c>
    </row>
    <row r="786" spans="1:33" hidden="1">
      <c r="A786" s="358"/>
      <c r="C786">
        <v>125</v>
      </c>
      <c r="D786"/>
      <c r="E786"/>
      <c r="I786"/>
      <c r="J786" s="4"/>
      <c r="K786" s="6" t="s">
        <v>1667</v>
      </c>
      <c r="N786" s="244" t="s">
        <v>840</v>
      </c>
      <c r="O786" s="244" t="s">
        <v>1562</v>
      </c>
      <c r="P786" s="251">
        <v>13.66</v>
      </c>
      <c r="R786" s="251" t="e">
        <f>(#VALUE!*P786)</f>
        <v>#VALUE!</v>
      </c>
      <c r="AG786" s="244" t="s">
        <v>2346</v>
      </c>
    </row>
    <row r="787" spans="1:33" hidden="1">
      <c r="A787" s="358"/>
      <c r="B787" s="245" t="s">
        <v>3105</v>
      </c>
      <c r="C787" s="130">
        <v>162</v>
      </c>
      <c r="D787" s="130">
        <v>179</v>
      </c>
      <c r="E787"/>
      <c r="I787"/>
      <c r="J787" s="4"/>
      <c r="K787" s="6"/>
      <c r="N787" s="244"/>
      <c r="O787" s="244"/>
      <c r="P787" s="251"/>
      <c r="R787" s="251"/>
      <c r="AG787" s="244"/>
    </row>
    <row r="788" spans="1:33" hidden="1">
      <c r="A788" s="358"/>
      <c r="B788" s="245" t="s">
        <v>3106</v>
      </c>
      <c r="C788" s="213">
        <v>185</v>
      </c>
      <c r="D788"/>
      <c r="E788"/>
      <c r="H788" s="244" t="s">
        <v>388</v>
      </c>
      <c r="I788"/>
      <c r="J788" s="4"/>
      <c r="K788" s="6" t="e">
        <f>(K785+C22)</f>
        <v>#REF!</v>
      </c>
      <c r="N788" s="244" t="s">
        <v>611</v>
      </c>
      <c r="O788" s="244" t="s">
        <v>1563</v>
      </c>
      <c r="P788" s="251">
        <v>25.46</v>
      </c>
      <c r="R788" s="251" t="e">
        <f>(#VALUE!*P788)</f>
        <v>#VALUE!</v>
      </c>
      <c r="AG788" s="244" t="s">
        <v>2346</v>
      </c>
    </row>
    <row r="789" spans="1:33" hidden="1">
      <c r="A789" s="358"/>
      <c r="B789" s="245" t="s">
        <v>3107</v>
      </c>
      <c r="C789" s="213">
        <v>170</v>
      </c>
      <c r="D789"/>
      <c r="E789"/>
      <c r="H789" s="244" t="s">
        <v>390</v>
      </c>
      <c r="I789"/>
      <c r="J789" s="4"/>
      <c r="K789" s="6" t="e">
        <f>(K788+C23)</f>
        <v>#REF!</v>
      </c>
      <c r="N789" s="244" t="s">
        <v>883</v>
      </c>
      <c r="O789" s="244" t="s">
        <v>1377</v>
      </c>
      <c r="P789" s="251">
        <v>0.5</v>
      </c>
      <c r="R789" s="251" t="e">
        <f>(#VALUE!*P789)</f>
        <v>#VALUE!</v>
      </c>
      <c r="AG789" s="244" t="s">
        <v>2346</v>
      </c>
    </row>
    <row r="790" spans="1:33" hidden="1">
      <c r="A790" s="358"/>
      <c r="B790" s="245" t="s">
        <v>3108</v>
      </c>
      <c r="C790" s="213">
        <v>160</v>
      </c>
      <c r="D790"/>
      <c r="E790"/>
      <c r="H790" s="244" t="s">
        <v>2319</v>
      </c>
      <c r="I790"/>
      <c r="J790" s="4"/>
      <c r="K790" s="6" t="e">
        <f>(K789+C24)</f>
        <v>#REF!</v>
      </c>
      <c r="R790" s="251">
        <v>0.54</v>
      </c>
      <c r="AG790" s="244" t="s">
        <v>325</v>
      </c>
    </row>
    <row r="791" spans="1:33" hidden="1">
      <c r="A791" s="358"/>
      <c r="B791" s="185" t="s">
        <v>1343</v>
      </c>
      <c r="C791" s="213">
        <v>121</v>
      </c>
      <c r="D791"/>
      <c r="E791"/>
      <c r="H791" s="244" t="s">
        <v>382</v>
      </c>
      <c r="I791"/>
      <c r="J791" s="4"/>
      <c r="K791" s="6" t="e">
        <f>(K790+C24)</f>
        <v>#REF!</v>
      </c>
      <c r="R791" s="248" t="s">
        <v>1667</v>
      </c>
    </row>
    <row r="792" spans="1:33" hidden="1">
      <c r="A792" s="358"/>
      <c r="B792" s="185" t="s">
        <v>3109</v>
      </c>
      <c r="C792" s="130">
        <v>120</v>
      </c>
      <c r="D792"/>
      <c r="E792"/>
      <c r="H792" s="244" t="s">
        <v>1595</v>
      </c>
      <c r="I792"/>
      <c r="J792" s="4"/>
      <c r="K792" s="6" t="e">
        <f>(K791+C24)</f>
        <v>#REF!</v>
      </c>
      <c r="O792" s="354" t="s">
        <v>1378</v>
      </c>
      <c r="R792" s="251" t="e">
        <f>SUM(R779:R790)</f>
        <v>#VALUE!</v>
      </c>
    </row>
    <row r="793" spans="1:33" hidden="1">
      <c r="B793" s="185" t="s">
        <v>3110</v>
      </c>
      <c r="C793" s="130">
        <v>70</v>
      </c>
      <c r="D793"/>
      <c r="E793"/>
      <c r="F793" s="244" t="s">
        <v>995</v>
      </c>
      <c r="I793"/>
      <c r="J793" s="4"/>
      <c r="K793" s="34"/>
    </row>
    <row r="794" spans="1:33" hidden="1">
      <c r="A794" s="358"/>
      <c r="B794" s="185" t="s">
        <v>3111</v>
      </c>
      <c r="C794">
        <v>35</v>
      </c>
      <c r="D794"/>
      <c r="E794"/>
      <c r="F794" s="244" t="s">
        <v>995</v>
      </c>
      <c r="G794" s="250" t="s">
        <v>2338</v>
      </c>
      <c r="H794" s="354" t="s">
        <v>1379</v>
      </c>
      <c r="I794"/>
      <c r="J794" s="4"/>
      <c r="K794" s="34"/>
      <c r="R794" s="248" t="s">
        <v>1667</v>
      </c>
      <c r="AG794" s="244" t="s">
        <v>2346</v>
      </c>
    </row>
    <row r="795" spans="1:33" hidden="1">
      <c r="A795" s="358"/>
      <c r="B795" s="185" t="s">
        <v>3112</v>
      </c>
      <c r="C795">
        <v>90</v>
      </c>
      <c r="D795"/>
      <c r="E795"/>
      <c r="H795" s="248" t="s">
        <v>2130</v>
      </c>
      <c r="I795"/>
      <c r="J795" s="4"/>
      <c r="K795" s="34"/>
      <c r="AG795" s="244" t="s">
        <v>2346</v>
      </c>
    </row>
    <row r="796" spans="1:33" hidden="1">
      <c r="A796" s="358"/>
      <c r="B796" s="185" t="s">
        <v>3117</v>
      </c>
      <c r="C796" s="130">
        <v>140</v>
      </c>
      <c r="D796"/>
      <c r="E796"/>
      <c r="I796"/>
      <c r="J796" s="4"/>
      <c r="K796" s="34"/>
      <c r="N796" s="244" t="s">
        <v>519</v>
      </c>
      <c r="O796" s="244" t="s">
        <v>1380</v>
      </c>
      <c r="AG796" s="244" t="s">
        <v>2346</v>
      </c>
    </row>
    <row r="797" spans="1:33" ht="31.5" hidden="1">
      <c r="A797" s="377">
        <v>1</v>
      </c>
      <c r="B797" s="378" t="s">
        <v>3341</v>
      </c>
      <c r="C797"/>
      <c r="D797"/>
      <c r="E797"/>
      <c r="F797" s="354" t="s">
        <v>1381</v>
      </c>
      <c r="G797" s="250" t="s">
        <v>2338</v>
      </c>
      <c r="H797" s="244" t="s">
        <v>2106</v>
      </c>
      <c r="I797"/>
      <c r="J797" s="4"/>
      <c r="K797" s="34"/>
      <c r="O797" s="244" t="s">
        <v>1846</v>
      </c>
      <c r="AG797" s="244" t="s">
        <v>2346</v>
      </c>
    </row>
    <row r="798" spans="1:33" hidden="1">
      <c r="A798" s="377"/>
      <c r="B798" s="185" t="s">
        <v>3342</v>
      </c>
      <c r="C798" s="208">
        <v>11</v>
      </c>
      <c r="D798"/>
      <c r="E798"/>
      <c r="H798" s="244" t="s">
        <v>2107</v>
      </c>
      <c r="I798"/>
      <c r="J798" s="4"/>
      <c r="K798" s="34"/>
      <c r="N798" s="244" t="s">
        <v>267</v>
      </c>
      <c r="O798" s="244" t="s">
        <v>1848</v>
      </c>
      <c r="P798" s="251">
        <v>43</v>
      </c>
      <c r="R798" s="251" t="e">
        <f>(#VALUE!*P798)</f>
        <v>#VALUE!</v>
      </c>
      <c r="AG798" s="244" t="s">
        <v>2346</v>
      </c>
    </row>
    <row r="799" spans="1:33" hidden="1">
      <c r="A799" s="379"/>
      <c r="B799" s="185" t="s">
        <v>3343</v>
      </c>
      <c r="C799" s="208">
        <v>11</v>
      </c>
      <c r="D799"/>
      <c r="E799"/>
      <c r="H799" s="244" t="s">
        <v>2108</v>
      </c>
      <c r="I799"/>
      <c r="J799" s="4"/>
      <c r="K799" s="34"/>
      <c r="O799" s="244" t="s">
        <v>1995</v>
      </c>
      <c r="AG799" s="244" t="s">
        <v>2346</v>
      </c>
    </row>
    <row r="800" spans="1:33" hidden="1">
      <c r="A800" s="377"/>
      <c r="B800" s="185" t="s">
        <v>3344</v>
      </c>
      <c r="C800" s="208">
        <v>11</v>
      </c>
      <c r="D800"/>
      <c r="E800"/>
      <c r="H800" s="244" t="s">
        <v>907</v>
      </c>
      <c r="I800"/>
      <c r="J800" s="4"/>
      <c r="K800" s="34"/>
      <c r="O800" s="244" t="s">
        <v>1005</v>
      </c>
      <c r="AG800" s="244" t="s">
        <v>2346</v>
      </c>
    </row>
    <row r="801" spans="1:33" hidden="1">
      <c r="A801" s="379"/>
      <c r="B801" s="185" t="s">
        <v>3345</v>
      </c>
      <c r="C801" s="208">
        <v>11</v>
      </c>
      <c r="D801"/>
      <c r="E801"/>
      <c r="H801" s="244" t="s">
        <v>908</v>
      </c>
      <c r="I801"/>
      <c r="J801" s="4"/>
      <c r="K801" s="34"/>
      <c r="N801" s="244" t="s">
        <v>611</v>
      </c>
      <c r="O801" s="244" t="s">
        <v>1006</v>
      </c>
      <c r="P801" s="251">
        <f>C271</f>
        <v>160</v>
      </c>
      <c r="R801" s="251" t="e">
        <f t="shared" ref="R801:R807" si="47">(#VALUE!*P801)</f>
        <v>#VALUE!</v>
      </c>
      <c r="AG801" s="244" t="s">
        <v>2346</v>
      </c>
    </row>
    <row r="802" spans="1:33" hidden="1">
      <c r="A802" s="377"/>
      <c r="B802" s="185" t="s">
        <v>3346</v>
      </c>
      <c r="C802" s="208">
        <v>12</v>
      </c>
      <c r="D802"/>
      <c r="E802"/>
      <c r="H802" s="244" t="s">
        <v>1801</v>
      </c>
      <c r="I802"/>
      <c r="J802" s="4"/>
      <c r="K802" s="34"/>
      <c r="N802" s="244" t="s">
        <v>883</v>
      </c>
      <c r="O802" s="244" t="s">
        <v>155</v>
      </c>
      <c r="P802" s="251">
        <v>5</v>
      </c>
      <c r="R802" s="251" t="e">
        <f t="shared" si="47"/>
        <v>#VALUE!</v>
      </c>
      <c r="AG802" s="244" t="s">
        <v>2346</v>
      </c>
    </row>
    <row r="803" spans="1:33" hidden="1">
      <c r="A803" s="379"/>
      <c r="B803" s="185" t="s">
        <v>3347</v>
      </c>
      <c r="C803" s="34" t="s">
        <v>3348</v>
      </c>
      <c r="D803"/>
      <c r="E803"/>
      <c r="H803" s="244" t="s">
        <v>96</v>
      </c>
      <c r="I803"/>
      <c r="J803" s="4"/>
      <c r="K803" s="34"/>
      <c r="N803" s="244" t="s">
        <v>883</v>
      </c>
      <c r="O803" s="244" t="s">
        <v>156</v>
      </c>
      <c r="P803" s="251">
        <v>10</v>
      </c>
      <c r="R803" s="251" t="e">
        <f t="shared" si="47"/>
        <v>#VALUE!</v>
      </c>
      <c r="AG803" s="244" t="s">
        <v>2346</v>
      </c>
    </row>
    <row r="804" spans="1:33" hidden="1">
      <c r="A804" s="377"/>
      <c r="B804" s="185" t="s">
        <v>3349</v>
      </c>
      <c r="C804" s="130">
        <v>25</v>
      </c>
      <c r="D804"/>
      <c r="E804"/>
      <c r="H804" s="244" t="s">
        <v>97</v>
      </c>
      <c r="I804"/>
      <c r="J804" s="4"/>
      <c r="K804" s="34"/>
      <c r="N804" s="244" t="s">
        <v>883</v>
      </c>
      <c r="O804" s="244" t="s">
        <v>1830</v>
      </c>
      <c r="P804" s="251">
        <v>8</v>
      </c>
      <c r="R804" s="251" t="e">
        <f t="shared" si="47"/>
        <v>#VALUE!</v>
      </c>
      <c r="AG804" s="244" t="s">
        <v>2346</v>
      </c>
    </row>
    <row r="805" spans="1:33" hidden="1">
      <c r="A805" s="379"/>
      <c r="B805" s="185" t="s">
        <v>3350</v>
      </c>
      <c r="C805" s="34" t="s">
        <v>3348</v>
      </c>
      <c r="D805"/>
      <c r="E805"/>
      <c r="H805" s="244" t="s">
        <v>98</v>
      </c>
      <c r="I805"/>
      <c r="J805" s="4"/>
      <c r="K805" s="34"/>
      <c r="N805" s="244" t="s">
        <v>840</v>
      </c>
      <c r="O805" s="244" t="s">
        <v>1562</v>
      </c>
      <c r="P805" s="251">
        <v>13.66</v>
      </c>
      <c r="R805" s="251" t="e">
        <f t="shared" si="47"/>
        <v>#VALUE!</v>
      </c>
      <c r="AG805" s="244" t="s">
        <v>2346</v>
      </c>
    </row>
    <row r="806" spans="1:33" hidden="1">
      <c r="A806" s="377"/>
      <c r="B806" s="185" t="s">
        <v>3351</v>
      </c>
      <c r="C806" s="34" t="s">
        <v>3348</v>
      </c>
      <c r="D806"/>
      <c r="E806"/>
      <c r="H806" s="244" t="s">
        <v>99</v>
      </c>
      <c r="I806"/>
      <c r="J806" s="4"/>
      <c r="K806" s="34"/>
      <c r="N806" s="244" t="s">
        <v>611</v>
      </c>
      <c r="O806" s="244" t="s">
        <v>1563</v>
      </c>
      <c r="P806" s="251">
        <v>25.46</v>
      </c>
      <c r="R806" s="251" t="e">
        <f t="shared" si="47"/>
        <v>#VALUE!</v>
      </c>
      <c r="AG806" s="244" t="s">
        <v>2346</v>
      </c>
    </row>
    <row r="807" spans="1:33" hidden="1">
      <c r="A807" s="379"/>
      <c r="B807" s="185" t="s">
        <v>3352</v>
      </c>
      <c r="C807" s="34" t="s">
        <v>3348</v>
      </c>
      <c r="D807"/>
      <c r="E807"/>
      <c r="H807" s="244" t="s">
        <v>2128</v>
      </c>
      <c r="I807"/>
      <c r="J807" s="4"/>
      <c r="K807" s="34"/>
      <c r="N807" s="244" t="s">
        <v>883</v>
      </c>
      <c r="O807" s="244" t="s">
        <v>1377</v>
      </c>
      <c r="P807" s="251">
        <v>0.5</v>
      </c>
      <c r="R807" s="251" t="e">
        <f t="shared" si="47"/>
        <v>#VALUE!</v>
      </c>
      <c r="AG807" s="244" t="s">
        <v>2346</v>
      </c>
    </row>
    <row r="808" spans="1:33" ht="31.5" hidden="1">
      <c r="A808" s="377">
        <v>2</v>
      </c>
      <c r="B808" s="378" t="s">
        <v>3353</v>
      </c>
      <c r="C808"/>
      <c r="D808"/>
      <c r="E808"/>
      <c r="H808" s="244" t="s">
        <v>1057</v>
      </c>
      <c r="I808"/>
      <c r="J808" s="4"/>
      <c r="K808" s="34"/>
      <c r="R808" s="251">
        <v>0.7</v>
      </c>
      <c r="AG808" s="244" t="s">
        <v>2346</v>
      </c>
    </row>
    <row r="809" spans="1:33" hidden="1">
      <c r="A809" s="379"/>
      <c r="B809" s="185" t="s">
        <v>3354</v>
      </c>
      <c r="C809" s="208">
        <v>12.5</v>
      </c>
      <c r="D809"/>
      <c r="E809"/>
      <c r="H809" s="244" t="s">
        <v>1861</v>
      </c>
      <c r="I809"/>
      <c r="J809" s="4"/>
      <c r="K809" s="34"/>
      <c r="R809" s="248" t="s">
        <v>1667</v>
      </c>
      <c r="AG809" s="244" t="s">
        <v>2346</v>
      </c>
    </row>
    <row r="810" spans="1:33" hidden="1">
      <c r="A810" s="377">
        <v>3</v>
      </c>
      <c r="B810" s="185" t="s">
        <v>3355</v>
      </c>
      <c r="C810" s="130">
        <v>242</v>
      </c>
      <c r="D810"/>
      <c r="E810"/>
      <c r="H810" s="244" t="s">
        <v>1862</v>
      </c>
      <c r="I810"/>
      <c r="J810" s="4"/>
      <c r="K810" s="34"/>
      <c r="O810" s="354" t="s">
        <v>1378</v>
      </c>
      <c r="R810" s="251" t="e">
        <f>SUM(R798:R808)</f>
        <v>#VALUE!</v>
      </c>
      <c r="AG810" s="244" t="s">
        <v>2346</v>
      </c>
    </row>
    <row r="811" spans="1:33" hidden="1">
      <c r="A811" s="379" t="s">
        <v>3356</v>
      </c>
      <c r="B811" s="380" t="s">
        <v>3357</v>
      </c>
      <c r="C811"/>
      <c r="D811"/>
      <c r="E811"/>
      <c r="I811"/>
      <c r="J811" s="4"/>
      <c r="K811" s="34"/>
      <c r="R811" s="248" t="s">
        <v>1667</v>
      </c>
      <c r="AG811" s="244" t="s">
        <v>2346</v>
      </c>
    </row>
    <row r="812" spans="1:33" hidden="1">
      <c r="A812" s="377"/>
      <c r="B812" s="185" t="s">
        <v>2664</v>
      </c>
      <c r="C812" s="381">
        <v>75</v>
      </c>
      <c r="D812"/>
      <c r="E812"/>
      <c r="I812"/>
      <c r="J812" s="4"/>
      <c r="K812" s="34"/>
      <c r="R812" s="248"/>
      <c r="AG812" s="244"/>
    </row>
    <row r="813" spans="1:33" hidden="1">
      <c r="A813" s="379"/>
      <c r="B813" s="382" t="s">
        <v>2665</v>
      </c>
      <c r="C813" s="381">
        <v>80</v>
      </c>
      <c r="D813"/>
      <c r="E813"/>
      <c r="G813" s="250" t="s">
        <v>321</v>
      </c>
      <c r="H813" s="354" t="s">
        <v>1859</v>
      </c>
      <c r="I813"/>
      <c r="J813" s="4"/>
      <c r="K813" s="34"/>
      <c r="R813" s="248"/>
      <c r="AG813" s="244"/>
    </row>
    <row r="814" spans="1:33" ht="31.5" hidden="1">
      <c r="A814" s="377">
        <v>4</v>
      </c>
      <c r="B814" s="378" t="s">
        <v>2699</v>
      </c>
      <c r="C814"/>
      <c r="D814"/>
      <c r="E814"/>
      <c r="H814" s="354" t="s">
        <v>1864</v>
      </c>
      <c r="I814"/>
      <c r="J814" s="4"/>
      <c r="K814" s="34"/>
      <c r="R814" s="248"/>
      <c r="AG814" s="244"/>
    </row>
    <row r="815" spans="1:33" hidden="1">
      <c r="A815" s="379"/>
      <c r="B815" s="185" t="s">
        <v>2700</v>
      </c>
      <c r="C815" s="130">
        <v>42</v>
      </c>
      <c r="D815"/>
      <c r="E815"/>
      <c r="F815" s="373">
        <v>3.8800000000000001E-2</v>
      </c>
      <c r="G815" s="250" t="s">
        <v>884</v>
      </c>
      <c r="H815" s="244" t="s">
        <v>2146</v>
      </c>
      <c r="I815" s="8" t="e">
        <f>K781</f>
        <v>#REF!</v>
      </c>
      <c r="J815" s="2" t="s">
        <v>884</v>
      </c>
      <c r="K815" s="6" t="e">
        <f>F815*I815</f>
        <v>#REF!</v>
      </c>
      <c r="R815" s="248"/>
      <c r="AG815" s="244"/>
    </row>
    <row r="816" spans="1:33" hidden="1">
      <c r="A816" s="377"/>
      <c r="B816" s="185" t="s">
        <v>2701</v>
      </c>
      <c r="C816" s="130">
        <v>46</v>
      </c>
      <c r="D816"/>
      <c r="E816"/>
      <c r="F816" s="251">
        <v>5.01</v>
      </c>
      <c r="G816" s="250" t="s">
        <v>1730</v>
      </c>
      <c r="H816" s="244" t="s">
        <v>2147</v>
      </c>
      <c r="I816" s="8">
        <f>K1513</f>
        <v>33174.400000000001</v>
      </c>
      <c r="J816" s="2" t="s">
        <v>876</v>
      </c>
      <c r="K816" s="6">
        <f>F816*I816/1000</f>
        <v>166.2</v>
      </c>
      <c r="R816" s="248"/>
      <c r="AG816" s="244"/>
    </row>
    <row r="817" spans="1:33" hidden="1">
      <c r="A817" s="379"/>
      <c r="B817" s="185" t="s">
        <v>3194</v>
      </c>
      <c r="C817" s="130">
        <v>42</v>
      </c>
      <c r="D817"/>
      <c r="E817"/>
      <c r="F817" s="251">
        <v>3</v>
      </c>
      <c r="G817" s="250" t="s">
        <v>883</v>
      </c>
      <c r="H817" s="244" t="s">
        <v>1235</v>
      </c>
      <c r="I817" s="8">
        <v>16.5</v>
      </c>
      <c r="J817" s="2" t="s">
        <v>883</v>
      </c>
      <c r="K817" s="6">
        <f t="shared" ref="K817:K824" si="48">F817*I817</f>
        <v>49.5</v>
      </c>
      <c r="R817" s="248"/>
      <c r="AG817" s="244"/>
    </row>
    <row r="818" spans="1:33" ht="31.5" hidden="1">
      <c r="A818" s="377">
        <v>5</v>
      </c>
      <c r="B818" s="378" t="s">
        <v>3195</v>
      </c>
      <c r="C818"/>
      <c r="D818"/>
      <c r="E818"/>
      <c r="F818" s="251">
        <v>12</v>
      </c>
      <c r="G818" s="250" t="s">
        <v>883</v>
      </c>
      <c r="H818" s="244" t="s">
        <v>1236</v>
      </c>
      <c r="I818" s="8">
        <v>3.85</v>
      </c>
      <c r="J818" s="2" t="s">
        <v>883</v>
      </c>
      <c r="K818" s="6">
        <f t="shared" si="48"/>
        <v>46.2</v>
      </c>
      <c r="R818" s="248"/>
      <c r="AG818" s="244"/>
    </row>
    <row r="819" spans="1:33" hidden="1">
      <c r="A819" s="379"/>
      <c r="B819" s="185" t="s">
        <v>3196</v>
      </c>
      <c r="C819" s="130">
        <v>174</v>
      </c>
      <c r="D819"/>
      <c r="E819"/>
      <c r="F819" s="251">
        <v>2</v>
      </c>
      <c r="G819" s="250" t="s">
        <v>883</v>
      </c>
      <c r="H819" s="244" t="s">
        <v>1237</v>
      </c>
      <c r="I819" s="8">
        <v>5</v>
      </c>
      <c r="J819" s="2" t="s">
        <v>883</v>
      </c>
      <c r="K819" s="6">
        <f t="shared" si="48"/>
        <v>10</v>
      </c>
      <c r="R819" s="248"/>
      <c r="AG819" s="244"/>
    </row>
    <row r="820" spans="1:33" hidden="1">
      <c r="A820" s="377"/>
      <c r="B820" s="185" t="s">
        <v>3197</v>
      </c>
      <c r="C820" s="130">
        <v>182</v>
      </c>
      <c r="D820"/>
      <c r="E820"/>
      <c r="F820" s="251">
        <v>6</v>
      </c>
      <c r="G820" s="250" t="s">
        <v>883</v>
      </c>
      <c r="H820" s="244" t="s">
        <v>2300</v>
      </c>
      <c r="I820" s="8">
        <v>3.85</v>
      </c>
      <c r="J820" s="2" t="s">
        <v>883</v>
      </c>
      <c r="K820" s="6">
        <f t="shared" si="48"/>
        <v>23.1</v>
      </c>
      <c r="R820" s="248"/>
      <c r="AG820" s="244"/>
    </row>
    <row r="821" spans="1:33" hidden="1">
      <c r="A821" s="379"/>
      <c r="B821" s="185" t="s">
        <v>3198</v>
      </c>
      <c r="C821" s="130">
        <v>444</v>
      </c>
      <c r="D821"/>
      <c r="E821"/>
      <c r="F821" s="251">
        <v>1</v>
      </c>
      <c r="G821" s="250" t="s">
        <v>883</v>
      </c>
      <c r="H821" s="244" t="s">
        <v>1241</v>
      </c>
      <c r="I821" s="8">
        <f>C10</f>
        <v>150</v>
      </c>
      <c r="J821" s="2" t="s">
        <v>883</v>
      </c>
      <c r="K821" s="6">
        <f t="shared" si="48"/>
        <v>150</v>
      </c>
      <c r="R821" s="248"/>
      <c r="AG821" s="244"/>
    </row>
    <row r="822" spans="1:33" hidden="1">
      <c r="A822" s="377"/>
      <c r="B822" s="185" t="s">
        <v>3199</v>
      </c>
      <c r="C822" s="130">
        <v>626</v>
      </c>
      <c r="D822"/>
      <c r="E822"/>
      <c r="F822" s="251">
        <v>1</v>
      </c>
      <c r="G822" s="250" t="s">
        <v>883</v>
      </c>
      <c r="H822" s="244" t="s">
        <v>1242</v>
      </c>
      <c r="I822" s="8">
        <f>C12</f>
        <v>95</v>
      </c>
      <c r="J822" s="2" t="s">
        <v>883</v>
      </c>
      <c r="K822" s="6">
        <f t="shared" si="48"/>
        <v>95</v>
      </c>
      <c r="R822" s="248"/>
      <c r="AG822" s="244"/>
    </row>
    <row r="823" spans="1:33" ht="47.25" hidden="1">
      <c r="A823" s="379">
        <v>6</v>
      </c>
      <c r="B823" s="378" t="s">
        <v>3200</v>
      </c>
      <c r="C823"/>
      <c r="D823"/>
      <c r="E823"/>
      <c r="F823" s="251">
        <v>1</v>
      </c>
      <c r="G823" s="250" t="s">
        <v>883</v>
      </c>
      <c r="H823" s="244" t="s">
        <v>1243</v>
      </c>
      <c r="I823" s="8">
        <v>25</v>
      </c>
      <c r="J823" s="2" t="s">
        <v>883</v>
      </c>
      <c r="K823" s="6">
        <f t="shared" si="48"/>
        <v>25</v>
      </c>
      <c r="R823" s="248"/>
      <c r="AG823" s="244"/>
    </row>
    <row r="824" spans="1:33" hidden="1">
      <c r="A824" s="377"/>
      <c r="B824" s="185" t="s">
        <v>3201</v>
      </c>
      <c r="C824" s="34" t="s">
        <v>3348</v>
      </c>
      <c r="D824"/>
      <c r="E824"/>
      <c r="F824" s="251">
        <v>0.5</v>
      </c>
      <c r="G824" s="250" t="s">
        <v>883</v>
      </c>
      <c r="H824" s="244" t="s">
        <v>1244</v>
      </c>
      <c r="I824" s="8">
        <f>C13</f>
        <v>85</v>
      </c>
      <c r="J824" s="2" t="s">
        <v>883</v>
      </c>
      <c r="K824" s="6">
        <f t="shared" si="48"/>
        <v>42.5</v>
      </c>
      <c r="R824" s="248"/>
      <c r="AG824" s="244"/>
    </row>
    <row r="825" spans="1:33" hidden="1">
      <c r="A825" s="379"/>
      <c r="B825" s="185" t="s">
        <v>3202</v>
      </c>
      <c r="C825" s="130">
        <v>306</v>
      </c>
      <c r="D825"/>
      <c r="E825"/>
      <c r="G825" s="250" t="s">
        <v>448</v>
      </c>
      <c r="H825" s="244" t="s">
        <v>2213</v>
      </c>
      <c r="I825"/>
      <c r="J825" s="2" t="s">
        <v>448</v>
      </c>
      <c r="K825" s="6">
        <v>0.5</v>
      </c>
      <c r="R825" s="248"/>
      <c r="AG825" s="244"/>
    </row>
    <row r="826" spans="1:33" ht="31.5" hidden="1">
      <c r="A826" s="377"/>
      <c r="B826" s="383" t="s">
        <v>3203</v>
      </c>
      <c r="C826" s="130">
        <v>450</v>
      </c>
      <c r="D826"/>
      <c r="E826"/>
      <c r="I826"/>
      <c r="J826" s="4"/>
      <c r="K826" s="6" t="s">
        <v>1667</v>
      </c>
      <c r="R826" s="248"/>
      <c r="AG826" s="244"/>
    </row>
    <row r="827" spans="1:33" ht="47.25" hidden="1">
      <c r="A827" s="379">
        <v>7</v>
      </c>
      <c r="B827" s="378" t="s">
        <v>2679</v>
      </c>
      <c r="C827"/>
      <c r="D827"/>
      <c r="E827"/>
      <c r="H827" s="354" t="s">
        <v>286</v>
      </c>
      <c r="I827"/>
      <c r="J827" s="4"/>
      <c r="K827" s="6" t="e">
        <f>SUM(K815:K825)</f>
        <v>#REF!</v>
      </c>
      <c r="R827" s="248"/>
      <c r="AG827" s="244"/>
    </row>
    <row r="828" spans="1:33" hidden="1">
      <c r="A828" s="377"/>
      <c r="B828" s="185" t="s">
        <v>3202</v>
      </c>
      <c r="C828" s="130">
        <v>575</v>
      </c>
      <c r="D828"/>
      <c r="E828"/>
      <c r="I828"/>
      <c r="J828" s="4"/>
      <c r="K828" s="6" t="s">
        <v>1667</v>
      </c>
      <c r="R828" s="248"/>
      <c r="AG828" s="244"/>
    </row>
    <row r="829" spans="1:33" ht="31.5" hidden="1">
      <c r="A829" s="379"/>
      <c r="B829" s="383" t="s">
        <v>3203</v>
      </c>
      <c r="C829" s="130">
        <v>750</v>
      </c>
      <c r="D829"/>
      <c r="E829"/>
      <c r="I829"/>
      <c r="J829" s="4"/>
      <c r="K829" s="34"/>
      <c r="R829" s="248"/>
      <c r="AG829" s="244"/>
    </row>
    <row r="830" spans="1:33" ht="47.25" hidden="1">
      <c r="A830" s="377">
        <v>8</v>
      </c>
      <c r="B830" s="378" t="s">
        <v>2680</v>
      </c>
      <c r="C830"/>
      <c r="D830"/>
      <c r="E830"/>
      <c r="I830"/>
      <c r="J830" s="4"/>
      <c r="K830" s="34"/>
      <c r="R830" s="248"/>
      <c r="AG830" s="244"/>
    </row>
    <row r="831" spans="1:33" hidden="1">
      <c r="A831" s="379"/>
      <c r="B831" s="245" t="s">
        <v>3667</v>
      </c>
      <c r="C831" s="130">
        <v>850</v>
      </c>
      <c r="D831"/>
      <c r="E831"/>
      <c r="G831" s="250" t="s">
        <v>1981</v>
      </c>
      <c r="H831" s="354" t="s">
        <v>1863</v>
      </c>
      <c r="I831"/>
      <c r="J831" s="4"/>
      <c r="K831" s="34"/>
      <c r="R831" s="244" t="s">
        <v>995</v>
      </c>
      <c r="AG831" s="244" t="s">
        <v>2346</v>
      </c>
    </row>
    <row r="832" spans="1:33" hidden="1">
      <c r="A832" s="377"/>
      <c r="B832" s="245" t="s">
        <v>2690</v>
      </c>
      <c r="C832" s="130">
        <v>1050</v>
      </c>
      <c r="D832"/>
      <c r="E832"/>
      <c r="H832" s="354" t="s">
        <v>1864</v>
      </c>
      <c r="I832"/>
      <c r="J832" s="4"/>
      <c r="K832" s="34"/>
      <c r="N832" s="244" t="s">
        <v>321</v>
      </c>
      <c r="O832" s="244" t="s">
        <v>44</v>
      </c>
      <c r="AG832" s="244" t="s">
        <v>2346</v>
      </c>
    </row>
    <row r="833" spans="1:33" ht="69" hidden="1" customHeight="1">
      <c r="A833" s="379">
        <v>9</v>
      </c>
      <c r="B833" s="378" t="s">
        <v>2691</v>
      </c>
      <c r="C833"/>
      <c r="D833"/>
      <c r="E833"/>
      <c r="F833" s="373">
        <v>3.7600000000000001E-2</v>
      </c>
      <c r="G833" s="250" t="s">
        <v>884</v>
      </c>
      <c r="H833" s="244" t="s">
        <v>2146</v>
      </c>
      <c r="I833" s="8" t="e">
        <f>K781</f>
        <v>#REF!</v>
      </c>
      <c r="J833" s="2" t="s">
        <v>884</v>
      </c>
      <c r="K833" s="6" t="e">
        <f>F833*I833</f>
        <v>#REF!</v>
      </c>
      <c r="O833" s="244" t="s">
        <v>1846</v>
      </c>
      <c r="AG833" s="244" t="s">
        <v>2346</v>
      </c>
    </row>
    <row r="834" spans="1:33" hidden="1">
      <c r="A834" s="377"/>
      <c r="B834" s="245" t="s">
        <v>2692</v>
      </c>
      <c r="C834" s="34" t="s">
        <v>3348</v>
      </c>
      <c r="D834"/>
      <c r="E834"/>
      <c r="F834" s="251">
        <v>4.87</v>
      </c>
      <c r="G834" s="250" t="s">
        <v>1730</v>
      </c>
      <c r="H834" s="244" t="s">
        <v>2147</v>
      </c>
      <c r="I834" s="8">
        <f>K1513</f>
        <v>33174.400000000001</v>
      </c>
      <c r="J834" s="2" t="s">
        <v>876</v>
      </c>
      <c r="K834" s="6">
        <f>F834*I834/1000</f>
        <v>161.56</v>
      </c>
      <c r="N834" s="244" t="s">
        <v>267</v>
      </c>
      <c r="O834" s="244" t="s">
        <v>1848</v>
      </c>
      <c r="P834" s="251">
        <v>43</v>
      </c>
      <c r="R834" s="251" t="e">
        <f>(#VALUE!*P834)</f>
        <v>#VALUE!</v>
      </c>
      <c r="AG834" s="244" t="s">
        <v>2346</v>
      </c>
    </row>
    <row r="835" spans="1:33" hidden="1">
      <c r="A835" s="379"/>
      <c r="B835" s="185" t="s">
        <v>2693</v>
      </c>
      <c r="C835" s="381" t="s">
        <v>3348</v>
      </c>
      <c r="D835"/>
      <c r="E835"/>
      <c r="F835" s="251">
        <v>3</v>
      </c>
      <c r="G835" s="250" t="s">
        <v>883</v>
      </c>
      <c r="H835" s="244" t="s">
        <v>1235</v>
      </c>
      <c r="I835" s="8">
        <v>16.5</v>
      </c>
      <c r="J835" s="2" t="s">
        <v>883</v>
      </c>
      <c r="K835" s="6">
        <f t="shared" ref="K835:K841" si="49">F835*I835</f>
        <v>49.5</v>
      </c>
      <c r="O835" s="244" t="s">
        <v>1995</v>
      </c>
      <c r="AG835" s="244" t="s">
        <v>2346</v>
      </c>
    </row>
    <row r="836" spans="1:33" ht="70.5" hidden="1" customHeight="1">
      <c r="A836" s="377">
        <v>10</v>
      </c>
      <c r="B836" s="378" t="s">
        <v>3204</v>
      </c>
      <c r="C836"/>
      <c r="D836"/>
      <c r="E836"/>
      <c r="F836" s="251">
        <v>12</v>
      </c>
      <c r="G836" s="250" t="s">
        <v>883</v>
      </c>
      <c r="H836" s="244" t="s">
        <v>1236</v>
      </c>
      <c r="I836" s="8">
        <v>3.85</v>
      </c>
      <c r="J836" s="2" t="s">
        <v>883</v>
      </c>
      <c r="K836" s="6">
        <f t="shared" si="49"/>
        <v>46.2</v>
      </c>
      <c r="O836" s="244" t="s">
        <v>1005</v>
      </c>
      <c r="AG836" s="244" t="s">
        <v>2346</v>
      </c>
    </row>
    <row r="837" spans="1:33" hidden="1">
      <c r="A837" s="379"/>
      <c r="B837" s="185" t="s">
        <v>3205</v>
      </c>
      <c r="C837" s="130" t="s">
        <v>3348</v>
      </c>
      <c r="D837"/>
      <c r="E837"/>
      <c r="F837" s="251">
        <v>2</v>
      </c>
      <c r="G837" s="250" t="s">
        <v>883</v>
      </c>
      <c r="H837" s="244" t="s">
        <v>1237</v>
      </c>
      <c r="I837" s="8">
        <v>5</v>
      </c>
      <c r="J837" s="2" t="s">
        <v>883</v>
      </c>
      <c r="K837" s="6">
        <f t="shared" si="49"/>
        <v>10</v>
      </c>
      <c r="N837" s="244" t="s">
        <v>611</v>
      </c>
      <c r="O837" s="244" t="s">
        <v>1006</v>
      </c>
      <c r="P837" s="251">
        <f>C271</f>
        <v>160</v>
      </c>
      <c r="R837" s="251" t="e">
        <f>(#VALUE!*P837)</f>
        <v>#VALUE!</v>
      </c>
      <c r="AG837" s="244" t="s">
        <v>2346</v>
      </c>
    </row>
    <row r="838" spans="1:33" hidden="1">
      <c r="A838" s="377"/>
      <c r="B838" s="185" t="s">
        <v>2693</v>
      </c>
      <c r="C838" s="130" t="s">
        <v>3348</v>
      </c>
      <c r="D838"/>
      <c r="E838"/>
      <c r="F838" s="251">
        <v>6</v>
      </c>
      <c r="G838" s="250" t="s">
        <v>883</v>
      </c>
      <c r="H838" s="244" t="s">
        <v>2300</v>
      </c>
      <c r="I838" s="8">
        <v>3.85</v>
      </c>
      <c r="J838" s="2" t="s">
        <v>883</v>
      </c>
      <c r="K838" s="6">
        <f t="shared" si="49"/>
        <v>23.1</v>
      </c>
      <c r="N838" s="244" t="s">
        <v>883</v>
      </c>
      <c r="O838" s="244" t="s">
        <v>155</v>
      </c>
      <c r="P838" s="251">
        <v>5</v>
      </c>
      <c r="R838" s="251" t="e">
        <f>(#VALUE!*P838)</f>
        <v>#VALUE!</v>
      </c>
      <c r="AG838" s="244" t="s">
        <v>2346</v>
      </c>
    </row>
    <row r="839" spans="1:33" hidden="1">
      <c r="A839" s="379"/>
      <c r="B839" s="185" t="s">
        <v>3206</v>
      </c>
      <c r="C839" s="130" t="s">
        <v>3348</v>
      </c>
      <c r="D839"/>
      <c r="E839"/>
      <c r="F839" s="251">
        <v>1</v>
      </c>
      <c r="G839" s="250" t="s">
        <v>883</v>
      </c>
      <c r="H839" s="244" t="s">
        <v>1241</v>
      </c>
      <c r="I839" s="8">
        <f>C10</f>
        <v>150</v>
      </c>
      <c r="J839" s="2" t="s">
        <v>883</v>
      </c>
      <c r="K839" s="6">
        <f t="shared" si="49"/>
        <v>150</v>
      </c>
      <c r="N839" s="244" t="s">
        <v>883</v>
      </c>
      <c r="O839" s="244" t="s">
        <v>156</v>
      </c>
      <c r="P839" s="251">
        <v>10</v>
      </c>
      <c r="R839" s="251" t="e">
        <f>(#VALUE!*P839)</f>
        <v>#VALUE!</v>
      </c>
      <c r="AG839" s="244" t="s">
        <v>2346</v>
      </c>
    </row>
    <row r="840" spans="1:33" hidden="1">
      <c r="A840" s="377"/>
      <c r="B840" s="185" t="s">
        <v>3207</v>
      </c>
      <c r="C840" s="34" t="s">
        <v>3348</v>
      </c>
      <c r="D840"/>
      <c r="E840"/>
      <c r="F840" s="251">
        <v>1</v>
      </c>
      <c r="G840" s="250" t="s">
        <v>883</v>
      </c>
      <c r="H840" s="244" t="s">
        <v>1242</v>
      </c>
      <c r="I840" s="8">
        <f>C12</f>
        <v>95</v>
      </c>
      <c r="J840" s="2" t="s">
        <v>883</v>
      </c>
      <c r="K840" s="6">
        <f t="shared" si="49"/>
        <v>95</v>
      </c>
      <c r="N840" s="244" t="s">
        <v>883</v>
      </c>
      <c r="O840" s="244" t="s">
        <v>1830</v>
      </c>
      <c r="P840" s="251">
        <v>8</v>
      </c>
      <c r="R840" s="251" t="e">
        <f>(#VALUE!*P840)</f>
        <v>#VALUE!</v>
      </c>
      <c r="AG840" s="244" t="s">
        <v>2346</v>
      </c>
    </row>
    <row r="841" spans="1:33" hidden="1">
      <c r="A841" s="379"/>
      <c r="B841" s="185" t="s">
        <v>3208</v>
      </c>
      <c r="C841" s="130">
        <v>1459</v>
      </c>
      <c r="D841"/>
      <c r="E841"/>
      <c r="F841" s="251">
        <v>1</v>
      </c>
      <c r="G841" s="250" t="s">
        <v>883</v>
      </c>
      <c r="H841" s="244" t="s">
        <v>1243</v>
      </c>
      <c r="I841" s="8">
        <v>25</v>
      </c>
      <c r="J841" s="2" t="s">
        <v>883</v>
      </c>
      <c r="K841" s="6">
        <f t="shared" si="49"/>
        <v>25</v>
      </c>
      <c r="N841" s="244" t="s">
        <v>840</v>
      </c>
      <c r="O841" s="244" t="s">
        <v>1562</v>
      </c>
      <c r="P841" s="251">
        <v>13.66</v>
      </c>
      <c r="R841" s="251" t="e">
        <f>(#VALUE!*P841)</f>
        <v>#VALUE!</v>
      </c>
      <c r="AG841" s="244" t="s">
        <v>2346</v>
      </c>
    </row>
    <row r="842" spans="1:33" ht="33" hidden="1" customHeight="1">
      <c r="A842" s="379"/>
      <c r="B842" s="383" t="s">
        <v>3209</v>
      </c>
      <c r="C842" s="130">
        <v>1930</v>
      </c>
      <c r="D842"/>
      <c r="E842"/>
      <c r="F842" s="251"/>
      <c r="G842" s="250"/>
      <c r="H842" s="244"/>
      <c r="I842" s="8"/>
      <c r="J842" s="2"/>
      <c r="K842" s="6"/>
      <c r="N842" s="244"/>
      <c r="O842" s="244"/>
      <c r="P842" s="251"/>
      <c r="R842" s="251"/>
      <c r="AG842" s="244"/>
    </row>
    <row r="843" spans="1:33" ht="37.5" hidden="1" customHeight="1">
      <c r="A843" s="377"/>
      <c r="B843" s="384" t="s">
        <v>3006</v>
      </c>
      <c r="C843" s="130">
        <v>2630</v>
      </c>
      <c r="D843"/>
      <c r="E843"/>
      <c r="F843" s="251">
        <v>0.5</v>
      </c>
      <c r="G843" s="250" t="s">
        <v>883</v>
      </c>
      <c r="H843" s="244" t="s">
        <v>1244</v>
      </c>
      <c r="I843" s="8">
        <f>C13</f>
        <v>85</v>
      </c>
      <c r="J843" s="2" t="s">
        <v>883</v>
      </c>
      <c r="K843" s="6">
        <f>F843*I843</f>
        <v>42.5</v>
      </c>
      <c r="N843" s="244" t="s">
        <v>611</v>
      </c>
      <c r="O843" s="244" t="s">
        <v>1563</v>
      </c>
      <c r="P843" s="251">
        <v>25.46</v>
      </c>
      <c r="R843" s="251" t="e">
        <f>(#VALUE!*P843)</f>
        <v>#VALUE!</v>
      </c>
      <c r="AG843" s="244" t="s">
        <v>2346</v>
      </c>
    </row>
    <row r="844" spans="1:33" ht="70.5" hidden="1" customHeight="1">
      <c r="A844" s="379">
        <v>11</v>
      </c>
      <c r="B844" s="378" t="s">
        <v>2809</v>
      </c>
      <c r="C844"/>
      <c r="D844"/>
      <c r="E844"/>
      <c r="G844" s="250" t="s">
        <v>448</v>
      </c>
      <c r="H844" s="244" t="s">
        <v>2213</v>
      </c>
      <c r="I844"/>
      <c r="J844" s="2" t="s">
        <v>448</v>
      </c>
      <c r="K844" s="6">
        <v>0.5</v>
      </c>
      <c r="N844" s="244" t="s">
        <v>883</v>
      </c>
      <c r="O844" s="244" t="s">
        <v>1377</v>
      </c>
      <c r="P844" s="251">
        <v>0.5</v>
      </c>
      <c r="R844" s="251" t="e">
        <f>(#VALUE!*P844)</f>
        <v>#VALUE!</v>
      </c>
      <c r="AG844" s="244" t="s">
        <v>2346</v>
      </c>
    </row>
    <row r="845" spans="1:33" hidden="1">
      <c r="A845" s="377"/>
      <c r="B845" s="185" t="s">
        <v>2810</v>
      </c>
      <c r="C845" s="130">
        <v>642</v>
      </c>
      <c r="D845"/>
      <c r="E845"/>
      <c r="I845"/>
      <c r="J845" s="4"/>
      <c r="K845" s="6" t="s">
        <v>1667</v>
      </c>
      <c r="R845" s="251">
        <v>0.97</v>
      </c>
      <c r="AG845" s="244" t="s">
        <v>2346</v>
      </c>
    </row>
    <row r="846" spans="1:33" ht="70.5" hidden="1" customHeight="1">
      <c r="A846" s="379">
        <v>12</v>
      </c>
      <c r="B846" s="378" t="s">
        <v>2811</v>
      </c>
      <c r="C846"/>
      <c r="D846"/>
      <c r="E846"/>
      <c r="H846" s="354" t="s">
        <v>286</v>
      </c>
      <c r="I846"/>
      <c r="J846" s="4"/>
      <c r="K846" s="6" t="e">
        <f>SUM(K833:K844)</f>
        <v>#REF!</v>
      </c>
      <c r="R846" s="248" t="s">
        <v>1667</v>
      </c>
      <c r="AG846" s="244" t="s">
        <v>2346</v>
      </c>
    </row>
    <row r="847" spans="1:33" hidden="1">
      <c r="A847" s="377"/>
      <c r="B847" s="185" t="s">
        <v>2810</v>
      </c>
      <c r="C847" s="130">
        <v>864</v>
      </c>
      <c r="D847"/>
      <c r="E847"/>
      <c r="I847"/>
      <c r="J847" s="4"/>
      <c r="K847" s="6" t="s">
        <v>1667</v>
      </c>
      <c r="O847" s="354" t="s">
        <v>1378</v>
      </c>
      <c r="R847" s="251" t="e">
        <f>SUM(R834:R845)</f>
        <v>#VALUE!</v>
      </c>
      <c r="AG847" s="244" t="s">
        <v>2346</v>
      </c>
    </row>
    <row r="848" spans="1:33" ht="97.5" hidden="1" customHeight="1">
      <c r="A848" s="379">
        <v>13</v>
      </c>
      <c r="B848" s="378" t="s">
        <v>2812</v>
      </c>
      <c r="C848"/>
      <c r="D848"/>
      <c r="E848"/>
      <c r="F848" s="354"/>
      <c r="G848" s="250" t="s">
        <v>519</v>
      </c>
      <c r="H848" s="354" t="s">
        <v>566</v>
      </c>
      <c r="I848"/>
      <c r="J848" s="4"/>
      <c r="K848" s="34"/>
      <c r="R848" s="248" t="s">
        <v>1667</v>
      </c>
      <c r="AG848" s="244" t="s">
        <v>2346</v>
      </c>
    </row>
    <row r="849" spans="1:18" hidden="1">
      <c r="A849" s="377"/>
      <c r="B849" s="185" t="s">
        <v>2813</v>
      </c>
      <c r="C849" s="130">
        <v>3100</v>
      </c>
      <c r="D849"/>
      <c r="E849"/>
      <c r="H849" s="354" t="s">
        <v>1864</v>
      </c>
      <c r="I849"/>
      <c r="J849" s="4"/>
      <c r="K849" s="34"/>
    </row>
    <row r="850" spans="1:18" hidden="1">
      <c r="A850" s="379"/>
      <c r="B850" s="382" t="s">
        <v>2814</v>
      </c>
      <c r="C850" s="130">
        <v>3267</v>
      </c>
      <c r="D850"/>
      <c r="E850"/>
      <c r="F850" s="373">
        <v>3.5299999999999998E-2</v>
      </c>
      <c r="G850" s="250" t="s">
        <v>884</v>
      </c>
      <c r="H850" s="244" t="s">
        <v>2146</v>
      </c>
      <c r="I850" s="8" t="e">
        <f>K781</f>
        <v>#REF!</v>
      </c>
      <c r="J850" s="2" t="s">
        <v>884</v>
      </c>
      <c r="K850" s="6" t="e">
        <f>F850*I850</f>
        <v>#REF!</v>
      </c>
      <c r="M850" s="354" t="s">
        <v>1142</v>
      </c>
      <c r="N850" s="244" t="s">
        <v>2338</v>
      </c>
      <c r="O850" s="244" t="s">
        <v>1143</v>
      </c>
    </row>
    <row r="851" spans="1:18" ht="33" hidden="1" customHeight="1">
      <c r="A851" s="377"/>
      <c r="B851" s="384" t="s">
        <v>2815</v>
      </c>
      <c r="C851" s="130">
        <v>1790</v>
      </c>
      <c r="D851"/>
      <c r="E851"/>
      <c r="F851" s="251">
        <v>4.59</v>
      </c>
      <c r="G851" s="250" t="s">
        <v>1730</v>
      </c>
      <c r="H851" s="244" t="s">
        <v>2147</v>
      </c>
      <c r="I851" s="8">
        <f>K1513</f>
        <v>33174.400000000001</v>
      </c>
      <c r="J851" s="2" t="s">
        <v>876</v>
      </c>
      <c r="K851" s="6">
        <f>F851*I851/1000</f>
        <v>152.27000000000001</v>
      </c>
      <c r="O851" s="244" t="s">
        <v>582</v>
      </c>
    </row>
    <row r="852" spans="1:18" ht="33" hidden="1" customHeight="1">
      <c r="A852" s="379">
        <v>14</v>
      </c>
      <c r="B852" s="385" t="s">
        <v>3002</v>
      </c>
      <c r="C852"/>
      <c r="D852"/>
      <c r="E852"/>
      <c r="F852" s="251"/>
      <c r="G852" s="250"/>
      <c r="H852" s="244"/>
      <c r="I852" s="8"/>
      <c r="J852" s="2"/>
      <c r="K852" s="6"/>
      <c r="O852" s="244"/>
    </row>
    <row r="853" spans="1:18" hidden="1">
      <c r="A853" s="377"/>
      <c r="B853" s="382" t="s">
        <v>3003</v>
      </c>
      <c r="C853" s="34" t="s">
        <v>3348</v>
      </c>
      <c r="D853"/>
      <c r="E853"/>
      <c r="F853" s="251">
        <v>3</v>
      </c>
      <c r="G853" s="250" t="s">
        <v>883</v>
      </c>
      <c r="H853" s="244" t="s">
        <v>1235</v>
      </c>
      <c r="I853" s="8">
        <v>16.5</v>
      </c>
      <c r="J853" s="2" t="s">
        <v>883</v>
      </c>
      <c r="K853" s="6">
        <f t="shared" ref="K853:K860" si="50">F853*I853</f>
        <v>49.5</v>
      </c>
      <c r="O853" s="248" t="s">
        <v>1667</v>
      </c>
      <c r="P853" s="248" t="s">
        <v>1667</v>
      </c>
    </row>
    <row r="854" spans="1:18" hidden="1">
      <c r="A854" s="379"/>
      <c r="B854" s="245" t="s">
        <v>2588</v>
      </c>
      <c r="C854" s="34" t="s">
        <v>3348</v>
      </c>
      <c r="D854"/>
      <c r="E854"/>
      <c r="F854" s="251">
        <v>12</v>
      </c>
      <c r="G854" s="250" t="s">
        <v>883</v>
      </c>
      <c r="H854" s="244" t="s">
        <v>1236</v>
      </c>
      <c r="I854" s="8">
        <v>3.85</v>
      </c>
      <c r="J854" s="2" t="s">
        <v>883</v>
      </c>
      <c r="K854" s="6">
        <f t="shared" si="50"/>
        <v>46.2</v>
      </c>
      <c r="O854" s="244" t="s">
        <v>583</v>
      </c>
    </row>
    <row r="855" spans="1:18" hidden="1">
      <c r="A855" s="377"/>
      <c r="B855" s="245" t="s">
        <v>2589</v>
      </c>
      <c r="C855" s="34" t="s">
        <v>3348</v>
      </c>
      <c r="D855"/>
      <c r="E855"/>
      <c r="F855" s="251">
        <v>2</v>
      </c>
      <c r="G855" s="250" t="s">
        <v>883</v>
      </c>
      <c r="H855" s="251" t="str">
        <f>H837</f>
        <v>TOWER BOLT RECEIVER</v>
      </c>
      <c r="I855" s="8">
        <v>5</v>
      </c>
      <c r="J855" s="2" t="s">
        <v>883</v>
      </c>
      <c r="K855" s="6">
        <f t="shared" si="50"/>
        <v>10</v>
      </c>
      <c r="M855" s="251">
        <v>0.5</v>
      </c>
      <c r="N855" s="354" t="s">
        <v>781</v>
      </c>
      <c r="O855" s="244" t="s">
        <v>78</v>
      </c>
      <c r="P855" s="251">
        <f>C16</f>
        <v>150</v>
      </c>
      <c r="Q855" s="354" t="s">
        <v>1796</v>
      </c>
      <c r="R855" s="251">
        <f>(M855*P855)</f>
        <v>75</v>
      </c>
    </row>
    <row r="856" spans="1:18" ht="52.5" hidden="1" customHeight="1">
      <c r="A856" s="379">
        <v>15</v>
      </c>
      <c r="B856" s="385" t="s">
        <v>2590</v>
      </c>
      <c r="C856" s="34"/>
      <c r="D856"/>
      <c r="E856"/>
      <c r="F856" s="251">
        <v>6</v>
      </c>
      <c r="G856" s="250" t="s">
        <v>883</v>
      </c>
      <c r="H856" s="244" t="s">
        <v>2300</v>
      </c>
      <c r="I856" s="8">
        <v>3.85</v>
      </c>
      <c r="J856" s="2" t="s">
        <v>883</v>
      </c>
      <c r="K856" s="6">
        <f t="shared" si="50"/>
        <v>23.1</v>
      </c>
      <c r="M856" s="251">
        <v>0.25</v>
      </c>
      <c r="N856" s="354" t="s">
        <v>781</v>
      </c>
      <c r="O856" s="244" t="s">
        <v>893</v>
      </c>
      <c r="P856" s="251">
        <f>C13</f>
        <v>85</v>
      </c>
      <c r="Q856" s="354" t="s">
        <v>1796</v>
      </c>
      <c r="R856" s="251">
        <f>(M856*P856)</f>
        <v>21.25</v>
      </c>
    </row>
    <row r="857" spans="1:18" hidden="1">
      <c r="A857" s="377"/>
      <c r="B857" s="245" t="s">
        <v>2591</v>
      </c>
      <c r="C857" s="34" t="s">
        <v>3348</v>
      </c>
      <c r="D857"/>
      <c r="E857"/>
      <c r="F857" s="251">
        <v>1</v>
      </c>
      <c r="G857" s="250" t="s">
        <v>883</v>
      </c>
      <c r="H857" s="244" t="s">
        <v>1241</v>
      </c>
      <c r="I857" s="8">
        <f>C10</f>
        <v>150</v>
      </c>
      <c r="J857" s="2" t="s">
        <v>883</v>
      </c>
      <c r="K857" s="6">
        <f t="shared" si="50"/>
        <v>150</v>
      </c>
      <c r="R857" s="248" t="s">
        <v>1667</v>
      </c>
    </row>
    <row r="858" spans="1:18" hidden="1">
      <c r="A858" s="379"/>
      <c r="B858" s="245" t="s">
        <v>2592</v>
      </c>
      <c r="C858" s="34" t="s">
        <v>3348</v>
      </c>
      <c r="D858"/>
      <c r="E858"/>
      <c r="F858" s="251">
        <v>1</v>
      </c>
      <c r="G858" s="250" t="s">
        <v>883</v>
      </c>
      <c r="H858" s="244" t="s">
        <v>1242</v>
      </c>
      <c r="I858" s="8">
        <f>C12</f>
        <v>95</v>
      </c>
      <c r="J858" s="2" t="s">
        <v>883</v>
      </c>
      <c r="K858" s="6">
        <f t="shared" si="50"/>
        <v>95</v>
      </c>
      <c r="O858" s="354" t="s">
        <v>1209</v>
      </c>
      <c r="R858" s="251">
        <f>SUM(R855:R856)</f>
        <v>96.25</v>
      </c>
    </row>
    <row r="859" spans="1:18" hidden="1">
      <c r="A859" s="377"/>
      <c r="B859" s="382" t="s">
        <v>2593</v>
      </c>
      <c r="C859" s="34" t="s">
        <v>3348</v>
      </c>
      <c r="D859"/>
      <c r="E859"/>
      <c r="F859" s="251">
        <v>1</v>
      </c>
      <c r="G859" s="250" t="s">
        <v>883</v>
      </c>
      <c r="H859" s="251" t="str">
        <f>H841</f>
        <v>MOULDING CHARGES</v>
      </c>
      <c r="I859" s="8">
        <v>25</v>
      </c>
      <c r="J859" s="2" t="s">
        <v>883</v>
      </c>
      <c r="K859" s="6">
        <f t="shared" si="50"/>
        <v>25</v>
      </c>
      <c r="R859" s="248" t="s">
        <v>1667</v>
      </c>
    </row>
    <row r="860" spans="1:18" hidden="1">
      <c r="A860" s="379">
        <v>16</v>
      </c>
      <c r="B860" s="385" t="s">
        <v>2594</v>
      </c>
      <c r="C860"/>
      <c r="D860"/>
      <c r="E860"/>
      <c r="F860" s="251">
        <v>0.5</v>
      </c>
      <c r="G860" s="250" t="s">
        <v>883</v>
      </c>
      <c r="H860" s="244" t="s">
        <v>1244</v>
      </c>
      <c r="I860" s="8">
        <f>C13</f>
        <v>85</v>
      </c>
      <c r="J860" s="2" t="s">
        <v>883</v>
      </c>
      <c r="K860" s="6">
        <f t="shared" si="50"/>
        <v>42.5</v>
      </c>
      <c r="O860" s="354" t="s">
        <v>1210</v>
      </c>
      <c r="R860" s="251">
        <f>R858/0.0283</f>
        <v>3401.06</v>
      </c>
    </row>
    <row r="861" spans="1:18" hidden="1">
      <c r="A861" s="386"/>
      <c r="B861" s="185" t="s">
        <v>2502</v>
      </c>
      <c r="C861" s="130">
        <v>10</v>
      </c>
      <c r="D861"/>
      <c r="E861"/>
      <c r="G861" s="250" t="s">
        <v>448</v>
      </c>
      <c r="H861" s="244" t="s">
        <v>2213</v>
      </c>
      <c r="I861"/>
      <c r="J861" s="2" t="s">
        <v>448</v>
      </c>
      <c r="K861" s="6">
        <v>0.5</v>
      </c>
      <c r="R861" s="248" t="s">
        <v>1667</v>
      </c>
    </row>
    <row r="862" spans="1:18" hidden="1">
      <c r="A862" s="386"/>
      <c r="B862" s="185" t="s">
        <v>2503</v>
      </c>
      <c r="C862" s="130">
        <v>10</v>
      </c>
      <c r="D862"/>
      <c r="E862"/>
      <c r="I862"/>
      <c r="J862" s="4"/>
      <c r="K862" s="6" t="s">
        <v>1667</v>
      </c>
    </row>
    <row r="863" spans="1:18" ht="31.5" hidden="1">
      <c r="A863" s="379">
        <v>17</v>
      </c>
      <c r="B863" s="385" t="s">
        <v>2504</v>
      </c>
      <c r="C863"/>
      <c r="D863"/>
      <c r="E863"/>
      <c r="H863" s="354" t="s">
        <v>286</v>
      </c>
      <c r="I863"/>
      <c r="J863" s="4"/>
      <c r="K863" s="6" t="e">
        <f>SUM(K850:K861)</f>
        <v>#REF!</v>
      </c>
    </row>
    <row r="864" spans="1:18" hidden="1">
      <c r="A864" s="379"/>
      <c r="B864" s="245" t="s">
        <v>2505</v>
      </c>
      <c r="C864" s="130">
        <v>170</v>
      </c>
      <c r="D864"/>
      <c r="E864"/>
      <c r="I864"/>
      <c r="J864" s="4"/>
      <c r="K864" s="6" t="s">
        <v>1667</v>
      </c>
    </row>
    <row r="865" spans="1:33" hidden="1">
      <c r="A865" s="379"/>
      <c r="B865" s="185" t="s">
        <v>2506</v>
      </c>
      <c r="C865" s="130">
        <v>170</v>
      </c>
      <c r="D865"/>
      <c r="E865"/>
      <c r="I865"/>
      <c r="J865" s="4"/>
      <c r="K865" s="34"/>
    </row>
    <row r="866" spans="1:33" hidden="1">
      <c r="A866" s="379"/>
      <c r="B866" s="185" t="s">
        <v>3422</v>
      </c>
      <c r="C866" s="130">
        <v>295</v>
      </c>
      <c r="D866"/>
      <c r="E866"/>
      <c r="I866"/>
      <c r="J866" s="4"/>
      <c r="K866" s="34"/>
    </row>
    <row r="867" spans="1:33" ht="31.5" hidden="1">
      <c r="A867" s="379"/>
      <c r="B867" s="383" t="s">
        <v>3423</v>
      </c>
      <c r="C867" s="130">
        <v>240</v>
      </c>
      <c r="D867"/>
      <c r="E867"/>
      <c r="I867"/>
      <c r="J867" s="4"/>
      <c r="K867" s="34"/>
    </row>
    <row r="868" spans="1:33" ht="142.5" hidden="1" customHeight="1">
      <c r="A868" s="379"/>
      <c r="C868"/>
      <c r="D868"/>
      <c r="E868"/>
      <c r="F868" s="387">
        <v>21.3</v>
      </c>
      <c r="G868" s="250" t="s">
        <v>2338</v>
      </c>
      <c r="H868" s="388" t="s">
        <v>1808</v>
      </c>
      <c r="I868"/>
      <c r="J868" s="4"/>
      <c r="K868" s="34"/>
      <c r="AG868" s="244" t="s">
        <v>2346</v>
      </c>
    </row>
    <row r="869" spans="1:33" hidden="1">
      <c r="A869" s="379"/>
      <c r="B869" s="185" t="s">
        <v>3424</v>
      </c>
      <c r="C869" s="34" t="s">
        <v>3425</v>
      </c>
      <c r="D869"/>
      <c r="E869"/>
      <c r="H869" s="244" t="s">
        <v>2347</v>
      </c>
      <c r="I869"/>
      <c r="J869" s="4"/>
      <c r="K869" s="34"/>
      <c r="M869" s="251">
        <v>11.64</v>
      </c>
      <c r="N869" s="244" t="s">
        <v>840</v>
      </c>
      <c r="O869" s="244" t="s">
        <v>1562</v>
      </c>
      <c r="P869" s="251">
        <v>13.66</v>
      </c>
      <c r="R869" s="251">
        <f>(M869*P869)</f>
        <v>159</v>
      </c>
      <c r="AG869" s="244" t="s">
        <v>2346</v>
      </c>
    </row>
    <row r="870" spans="1:33" hidden="1">
      <c r="A870" s="379"/>
      <c r="B870" s="185" t="s">
        <v>3426</v>
      </c>
      <c r="C870" s="34" t="s">
        <v>3425</v>
      </c>
      <c r="D870"/>
      <c r="E870"/>
      <c r="H870" s="248" t="s">
        <v>1667</v>
      </c>
      <c r="I870"/>
      <c r="J870" s="4"/>
      <c r="K870" s="34"/>
      <c r="M870" s="374">
        <v>1.62</v>
      </c>
      <c r="N870" s="244" t="s">
        <v>611</v>
      </c>
      <c r="O870" s="244" t="s">
        <v>1563</v>
      </c>
      <c r="P870" s="251">
        <v>25.46</v>
      </c>
      <c r="R870" s="251">
        <f>(M870*P870)</f>
        <v>41.25</v>
      </c>
      <c r="AG870" s="244" t="s">
        <v>2346</v>
      </c>
    </row>
    <row r="871" spans="1:33" hidden="1">
      <c r="A871" s="379"/>
      <c r="B871" s="185" t="s">
        <v>3427</v>
      </c>
      <c r="C871" s="34" t="s">
        <v>3425</v>
      </c>
      <c r="D871"/>
      <c r="E871"/>
      <c r="I871"/>
      <c r="J871" s="4"/>
      <c r="K871" s="34"/>
      <c r="M871" s="251">
        <v>48</v>
      </c>
      <c r="N871" s="244" t="s">
        <v>883</v>
      </c>
      <c r="O871" s="244" t="s">
        <v>1377</v>
      </c>
      <c r="P871" s="251">
        <v>0.5</v>
      </c>
      <c r="R871" s="251">
        <f>(M871*P871)</f>
        <v>24</v>
      </c>
      <c r="AG871" s="244" t="s">
        <v>2346</v>
      </c>
    </row>
    <row r="872" spans="1:33" hidden="1">
      <c r="A872" s="379"/>
      <c r="B872" s="185" t="s">
        <v>3428</v>
      </c>
      <c r="C872" s="34" t="s">
        <v>3425</v>
      </c>
      <c r="D872"/>
      <c r="E872"/>
      <c r="H872" s="244" t="s">
        <v>2347</v>
      </c>
      <c r="I872"/>
      <c r="J872" s="2" t="s">
        <v>611</v>
      </c>
      <c r="K872" s="6">
        <v>1450</v>
      </c>
      <c r="R872" s="251">
        <v>0.23</v>
      </c>
      <c r="AG872" s="244" t="s">
        <v>2346</v>
      </c>
    </row>
    <row r="873" spans="1:33" hidden="1">
      <c r="A873" s="379">
        <v>18</v>
      </c>
      <c r="B873" s="380" t="s">
        <v>3429</v>
      </c>
      <c r="C873"/>
      <c r="D873"/>
      <c r="E873"/>
      <c r="F873" s="244" t="s">
        <v>995</v>
      </c>
      <c r="I873"/>
      <c r="J873" s="4"/>
      <c r="K873" s="34"/>
    </row>
    <row r="874" spans="1:33" hidden="1">
      <c r="A874" s="379"/>
      <c r="B874" s="185" t="s">
        <v>3430</v>
      </c>
      <c r="C874" s="130">
        <v>113</v>
      </c>
      <c r="D874"/>
      <c r="E874"/>
      <c r="H874" s="354" t="s">
        <v>2348</v>
      </c>
      <c r="I874"/>
      <c r="J874" s="4"/>
      <c r="K874" s="6" t="s">
        <v>2130</v>
      </c>
      <c r="R874" s="248" t="s">
        <v>1667</v>
      </c>
      <c r="AG874" s="244" t="s">
        <v>2346</v>
      </c>
    </row>
    <row r="875" spans="1:33" hidden="1">
      <c r="A875" s="379"/>
      <c r="B875" s="185" t="s">
        <v>3431</v>
      </c>
      <c r="C875" s="130">
        <v>135</v>
      </c>
      <c r="D875"/>
      <c r="E875"/>
      <c r="H875" s="354" t="s">
        <v>1428</v>
      </c>
      <c r="I875"/>
      <c r="J875" s="4"/>
      <c r="K875" s="34"/>
      <c r="O875" s="354" t="s">
        <v>1378</v>
      </c>
      <c r="R875" s="251">
        <f>SUM(R869:R872)</f>
        <v>224.48</v>
      </c>
      <c r="AG875" s="244" t="s">
        <v>2346</v>
      </c>
    </row>
    <row r="876" spans="1:33" hidden="1">
      <c r="A876" s="379"/>
      <c r="B876" s="185" t="s">
        <v>3432</v>
      </c>
      <c r="C876" s="130">
        <v>180</v>
      </c>
      <c r="D876"/>
      <c r="E876"/>
      <c r="F876" s="375">
        <v>21.2</v>
      </c>
      <c r="H876" s="254" t="s">
        <v>1809</v>
      </c>
      <c r="I876"/>
      <c r="J876" s="4"/>
      <c r="K876" s="34"/>
      <c r="AG876" s="244" t="s">
        <v>2346</v>
      </c>
    </row>
    <row r="877" spans="1:33" hidden="1">
      <c r="A877" s="379"/>
      <c r="B877" s="185" t="s">
        <v>3433</v>
      </c>
      <c r="C877" s="130">
        <v>248</v>
      </c>
      <c r="D877"/>
      <c r="E877"/>
      <c r="F877" s="375"/>
      <c r="H877" s="248" t="s">
        <v>1667</v>
      </c>
      <c r="I877"/>
      <c r="J877" s="4"/>
      <c r="K877" s="34"/>
      <c r="AG877" s="244"/>
    </row>
    <row r="878" spans="1:33" hidden="1">
      <c r="A878" s="379">
        <v>19</v>
      </c>
      <c r="B878" s="185" t="s">
        <v>3434</v>
      </c>
      <c r="C878" s="34" t="s">
        <v>3425</v>
      </c>
      <c r="D878"/>
      <c r="E878"/>
      <c r="G878" s="250" t="s">
        <v>160</v>
      </c>
      <c r="H878" s="244" t="s">
        <v>1429</v>
      </c>
      <c r="I878"/>
      <c r="J878" s="4"/>
      <c r="K878" s="6" t="s">
        <v>995</v>
      </c>
      <c r="AG878" s="244" t="s">
        <v>2346</v>
      </c>
    </row>
    <row r="879" spans="1:33" hidden="1">
      <c r="A879" s="379"/>
      <c r="B879" s="185" t="s">
        <v>3435</v>
      </c>
      <c r="C879" s="34" t="s">
        <v>3425</v>
      </c>
      <c r="D879"/>
      <c r="E879"/>
      <c r="H879" s="248" t="s">
        <v>1667</v>
      </c>
      <c r="I879"/>
      <c r="J879" s="4"/>
      <c r="K879" s="6" t="s">
        <v>995</v>
      </c>
      <c r="AG879" s="244" t="s">
        <v>2346</v>
      </c>
    </row>
    <row r="880" spans="1:33" hidden="1">
      <c r="A880" s="379">
        <v>20</v>
      </c>
      <c r="B880" s="185" t="s">
        <v>2816</v>
      </c>
      <c r="C880" s="34" t="s">
        <v>3425</v>
      </c>
      <c r="D880"/>
      <c r="E880"/>
      <c r="F880" s="251">
        <v>1</v>
      </c>
      <c r="G880" s="250" t="s">
        <v>884</v>
      </c>
      <c r="H880" s="244" t="s">
        <v>1649</v>
      </c>
      <c r="I880" s="8">
        <f>C30</f>
        <v>3035</v>
      </c>
      <c r="J880" s="2" t="s">
        <v>884</v>
      </c>
      <c r="K880" s="6">
        <f>(F880*I880)</f>
        <v>3035</v>
      </c>
      <c r="AG880" s="244" t="s">
        <v>2346</v>
      </c>
    </row>
    <row r="881" spans="1:33" hidden="1">
      <c r="A881" s="379">
        <v>21</v>
      </c>
      <c r="B881" s="185" t="s">
        <v>2817</v>
      </c>
      <c r="C881" s="381" t="s">
        <v>3425</v>
      </c>
      <c r="D881"/>
      <c r="E881"/>
      <c r="F881" s="251">
        <v>1</v>
      </c>
      <c r="G881" s="250" t="s">
        <v>884</v>
      </c>
      <c r="H881" s="244" t="s">
        <v>1429</v>
      </c>
      <c r="I881" s="8">
        <f>C88</f>
        <v>65420</v>
      </c>
      <c r="J881" s="2" t="s">
        <v>884</v>
      </c>
      <c r="K881" s="6">
        <f>(F881*I881)</f>
        <v>65420</v>
      </c>
      <c r="AG881" s="244" t="s">
        <v>2346</v>
      </c>
    </row>
    <row r="882" spans="1:33" hidden="1">
      <c r="A882" s="379">
        <v>22</v>
      </c>
      <c r="B882" s="185" t="s">
        <v>2818</v>
      </c>
      <c r="C882" s="381" t="s">
        <v>3425</v>
      </c>
      <c r="D882"/>
      <c r="E882"/>
      <c r="I882"/>
      <c r="J882" s="4"/>
      <c r="K882" s="6" t="s">
        <v>2130</v>
      </c>
      <c r="AG882" s="244" t="s">
        <v>2346</v>
      </c>
    </row>
    <row r="883" spans="1:33" hidden="1">
      <c r="A883" s="379">
        <v>23</v>
      </c>
      <c r="B883" s="380" t="s">
        <v>2819</v>
      </c>
      <c r="C883"/>
      <c r="D883"/>
      <c r="E883"/>
      <c r="H883" s="244" t="s">
        <v>1650</v>
      </c>
      <c r="I883"/>
      <c r="J883" s="4"/>
      <c r="K883" s="6">
        <f>SUM(K880:K881)</f>
        <v>68455</v>
      </c>
      <c r="AG883" s="244" t="s">
        <v>2346</v>
      </c>
    </row>
    <row r="884" spans="1:33" hidden="1">
      <c r="A884" s="379"/>
      <c r="B884" s="185" t="s">
        <v>2820</v>
      </c>
      <c r="C884" s="34" t="s">
        <v>3425</v>
      </c>
      <c r="D884"/>
      <c r="E884"/>
      <c r="I884"/>
      <c r="J884" s="4"/>
      <c r="K884" s="6" t="s">
        <v>2130</v>
      </c>
      <c r="AG884" s="244" t="s">
        <v>2346</v>
      </c>
    </row>
    <row r="885" spans="1:33" hidden="1">
      <c r="A885" s="379"/>
      <c r="B885" s="185" t="s">
        <v>2821</v>
      </c>
      <c r="C885" s="34" t="s">
        <v>3425</v>
      </c>
      <c r="D885"/>
      <c r="E885"/>
      <c r="G885" s="250" t="s">
        <v>1635</v>
      </c>
      <c r="H885" s="244" t="s">
        <v>1651</v>
      </c>
      <c r="I885"/>
      <c r="J885" s="4"/>
      <c r="K885" s="6" t="s">
        <v>995</v>
      </c>
      <c r="AG885" s="244" t="s">
        <v>2346</v>
      </c>
    </row>
    <row r="886" spans="1:33" hidden="1">
      <c r="A886" s="379">
        <v>24</v>
      </c>
      <c r="B886" s="380" t="s">
        <v>2822</v>
      </c>
      <c r="C886" s="130">
        <v>18</v>
      </c>
      <c r="D886"/>
      <c r="E886"/>
      <c r="H886" s="248" t="s">
        <v>1667</v>
      </c>
      <c r="I886"/>
      <c r="J886" s="4"/>
      <c r="K886" s="34"/>
      <c r="AG886" s="244" t="s">
        <v>2346</v>
      </c>
    </row>
    <row r="887" spans="1:33" ht="51" hidden="1" customHeight="1">
      <c r="A887" s="379">
        <v>25</v>
      </c>
      <c r="B887" s="384" t="s">
        <v>2823</v>
      </c>
      <c r="C887" s="130">
        <v>300</v>
      </c>
      <c r="D887"/>
      <c r="E887"/>
      <c r="F887" s="251">
        <v>1</v>
      </c>
      <c r="G887" s="250" t="s">
        <v>884</v>
      </c>
      <c r="H887" s="244" t="s">
        <v>1649</v>
      </c>
      <c r="I887" s="8">
        <f>C30</f>
        <v>3035</v>
      </c>
      <c r="J887" s="2" t="s">
        <v>884</v>
      </c>
      <c r="K887" s="6">
        <f>(F887*I887)</f>
        <v>3035</v>
      </c>
      <c r="AG887" s="244" t="s">
        <v>2346</v>
      </c>
    </row>
    <row r="888" spans="1:33" hidden="1">
      <c r="A888" s="379">
        <v>26</v>
      </c>
      <c r="B888" s="245" t="s">
        <v>2824</v>
      </c>
      <c r="C888" s="130">
        <v>15</v>
      </c>
      <c r="D888"/>
      <c r="E888"/>
      <c r="F888" s="251">
        <v>1</v>
      </c>
      <c r="G888" s="250" t="s">
        <v>884</v>
      </c>
      <c r="H888" s="244" t="s">
        <v>1429</v>
      </c>
      <c r="I888" s="8">
        <f>C89</f>
        <v>57165</v>
      </c>
      <c r="J888" s="2" t="s">
        <v>884</v>
      </c>
      <c r="K888" s="6">
        <f>(F888*I888)</f>
        <v>57165</v>
      </c>
      <c r="AG888" s="244" t="s">
        <v>2346</v>
      </c>
    </row>
    <row r="889" spans="1:33" ht="36" hidden="1" customHeight="1">
      <c r="A889" s="379">
        <v>27</v>
      </c>
      <c r="B889" s="384" t="s">
        <v>2825</v>
      </c>
      <c r="C889" s="130">
        <v>178</v>
      </c>
      <c r="D889"/>
      <c r="E889"/>
      <c r="I889"/>
      <c r="J889" s="4"/>
      <c r="K889" s="6" t="s">
        <v>2130</v>
      </c>
      <c r="AG889" s="244" t="s">
        <v>2346</v>
      </c>
    </row>
    <row r="890" spans="1:33" ht="41.25" hidden="1" customHeight="1">
      <c r="A890" s="379"/>
      <c r="B890" s="384" t="s">
        <v>2826</v>
      </c>
      <c r="C890" s="130">
        <v>1120</v>
      </c>
      <c r="D890"/>
      <c r="E890"/>
      <c r="H890" s="244" t="s">
        <v>1652</v>
      </c>
      <c r="I890"/>
      <c r="J890" s="4"/>
      <c r="K890" s="6">
        <f>SUM(K887:K888)</f>
        <v>60200</v>
      </c>
      <c r="AG890" s="244" t="s">
        <v>2346</v>
      </c>
    </row>
    <row r="891" spans="1:33" ht="39" hidden="1" customHeight="1">
      <c r="A891" s="379"/>
      <c r="B891" s="385" t="s">
        <v>2827</v>
      </c>
      <c r="C891"/>
      <c r="D891"/>
      <c r="E891"/>
      <c r="I891"/>
      <c r="J891" s="4"/>
      <c r="K891" s="6" t="s">
        <v>2130</v>
      </c>
      <c r="AG891" s="244" t="s">
        <v>2346</v>
      </c>
    </row>
    <row r="892" spans="1:33" hidden="1">
      <c r="A892" s="379"/>
      <c r="B892" s="384" t="s">
        <v>3618</v>
      </c>
      <c r="C892" s="34" t="s">
        <v>3425</v>
      </c>
      <c r="D892"/>
      <c r="E892"/>
      <c r="I892"/>
      <c r="J892" s="4"/>
      <c r="K892" s="34"/>
      <c r="AG892" s="244" t="s">
        <v>2346</v>
      </c>
    </row>
    <row r="893" spans="1:33" hidden="1">
      <c r="A893" s="379"/>
      <c r="B893" s="384" t="s">
        <v>2681</v>
      </c>
      <c r="C893" s="34" t="s">
        <v>3425</v>
      </c>
      <c r="D893"/>
      <c r="E893"/>
      <c r="F893" s="354" t="s">
        <v>567</v>
      </c>
      <c r="G893" s="250" t="s">
        <v>2338</v>
      </c>
      <c r="H893" s="244" t="s">
        <v>253</v>
      </c>
      <c r="I893"/>
      <c r="J893" s="4"/>
      <c r="K893" s="34"/>
      <c r="AG893" s="244" t="s">
        <v>2346</v>
      </c>
    </row>
    <row r="894" spans="1:33" hidden="1">
      <c r="A894" s="379"/>
      <c r="B894" s="384" t="s">
        <v>2682</v>
      </c>
      <c r="C894" s="34" t="s">
        <v>3425</v>
      </c>
      <c r="D894"/>
      <c r="E894"/>
      <c r="H894" s="244" t="s">
        <v>254</v>
      </c>
      <c r="I894"/>
      <c r="J894" s="4"/>
      <c r="K894" s="34"/>
      <c r="AG894" s="244" t="s">
        <v>2346</v>
      </c>
    </row>
    <row r="895" spans="1:33" ht="31.5" hidden="1">
      <c r="A895" s="379"/>
      <c r="B895" s="384" t="s">
        <v>2683</v>
      </c>
      <c r="C895" s="130">
        <v>120</v>
      </c>
      <c r="D895"/>
      <c r="E895"/>
      <c r="H895" s="244" t="s">
        <v>1533</v>
      </c>
      <c r="I895"/>
      <c r="J895" s="4"/>
      <c r="K895" s="34"/>
      <c r="AG895" s="244" t="s">
        <v>2346</v>
      </c>
    </row>
    <row r="896" spans="1:33" hidden="1">
      <c r="A896" s="379"/>
      <c r="B896" s="385" t="s">
        <v>2684</v>
      </c>
      <c r="C896"/>
      <c r="D896"/>
      <c r="E896"/>
      <c r="H896" s="248" t="s">
        <v>1667</v>
      </c>
      <c r="I896"/>
      <c r="J896" s="4"/>
      <c r="K896" s="34"/>
      <c r="AG896" s="244" t="s">
        <v>2346</v>
      </c>
    </row>
    <row r="897" spans="1:33" hidden="1">
      <c r="A897" s="379"/>
      <c r="B897" s="384" t="s">
        <v>2685</v>
      </c>
      <c r="C897" s="130">
        <v>45</v>
      </c>
      <c r="D897"/>
      <c r="E897"/>
      <c r="H897" s="244" t="s">
        <v>92</v>
      </c>
      <c r="I897"/>
      <c r="J897" s="4"/>
      <c r="K897" s="34"/>
    </row>
    <row r="898" spans="1:33" hidden="1">
      <c r="A898" s="379"/>
      <c r="B898" s="384" t="s">
        <v>2686</v>
      </c>
      <c r="C898" s="130">
        <v>18</v>
      </c>
      <c r="D898"/>
      <c r="E898"/>
      <c r="H898" s="244" t="s">
        <v>93</v>
      </c>
      <c r="I898"/>
      <c r="J898" s="4"/>
      <c r="K898" s="34"/>
    </row>
    <row r="899" spans="1:33" hidden="1">
      <c r="A899" s="379"/>
      <c r="B899" s="384" t="s">
        <v>2687</v>
      </c>
      <c r="C899" s="130">
        <v>450</v>
      </c>
      <c r="D899"/>
      <c r="E899"/>
      <c r="I899"/>
      <c r="J899" s="2" t="s">
        <v>1667</v>
      </c>
      <c r="K899" s="34"/>
    </row>
    <row r="900" spans="1:33" hidden="1">
      <c r="A900" s="379"/>
      <c r="B900" s="384" t="s">
        <v>2688</v>
      </c>
      <c r="C900" s="130">
        <v>650</v>
      </c>
      <c r="D900"/>
      <c r="E900"/>
      <c r="H900" s="244" t="s">
        <v>1222</v>
      </c>
      <c r="I900"/>
      <c r="J900" s="4"/>
      <c r="K900" s="34"/>
    </row>
    <row r="901" spans="1:33" ht="47.25" hidden="1">
      <c r="A901" s="379"/>
      <c r="B901" s="384" t="s">
        <v>2689</v>
      </c>
      <c r="C901" s="130">
        <v>5000</v>
      </c>
      <c r="D901"/>
      <c r="E901"/>
      <c r="H901" s="244" t="s">
        <v>2079</v>
      </c>
      <c r="I901"/>
      <c r="J901" s="4"/>
      <c r="K901" s="552">
        <v>2.4299999999999999E-2</v>
      </c>
    </row>
    <row r="902" spans="1:33" ht="63" hidden="1">
      <c r="A902" s="379"/>
      <c r="B902" s="384" t="s">
        <v>2710</v>
      </c>
      <c r="C902" s="130">
        <v>6750</v>
      </c>
      <c r="D902"/>
      <c r="E902"/>
      <c r="I902"/>
      <c r="J902" s="2" t="s">
        <v>995</v>
      </c>
      <c r="K902" s="6" t="s">
        <v>1667</v>
      </c>
    </row>
    <row r="903" spans="1:33" ht="47.25" hidden="1">
      <c r="A903" s="379"/>
      <c r="B903" s="384" t="s">
        <v>2585</v>
      </c>
      <c r="C903" s="130">
        <v>5800</v>
      </c>
      <c r="D903"/>
      <c r="E903"/>
      <c r="H903" s="244" t="s">
        <v>2080</v>
      </c>
      <c r="I903"/>
      <c r="J903" s="389" t="s">
        <v>995</v>
      </c>
      <c r="K903" s="552">
        <v>1.47E-2</v>
      </c>
    </row>
    <row r="904" spans="1:33" hidden="1">
      <c r="A904" s="379"/>
      <c r="B904" s="384" t="s">
        <v>2586</v>
      </c>
      <c r="C904"/>
      <c r="D904"/>
      <c r="E904"/>
      <c r="H904" s="244" t="s">
        <v>1849</v>
      </c>
      <c r="I904"/>
      <c r="J904" s="2" t="s">
        <v>995</v>
      </c>
      <c r="K904" s="552">
        <v>4.5999999999999999E-3</v>
      </c>
    </row>
    <row r="905" spans="1:33" ht="47.25" hidden="1">
      <c r="A905" s="379"/>
      <c r="B905" s="384" t="s">
        <v>2587</v>
      </c>
      <c r="C905"/>
      <c r="D905"/>
      <c r="E905"/>
      <c r="I905"/>
      <c r="J905" s="4"/>
      <c r="K905" s="6" t="s">
        <v>1667</v>
      </c>
    </row>
    <row r="906" spans="1:33" ht="47.25" hidden="1">
      <c r="A906" s="379"/>
      <c r="B906" s="384" t="s">
        <v>2587</v>
      </c>
      <c r="C906"/>
      <c r="D906"/>
      <c r="E906"/>
      <c r="I906"/>
      <c r="J906" s="4"/>
      <c r="K906" s="552">
        <v>1.9300000000000001E-2</v>
      </c>
    </row>
    <row r="907" spans="1:33" ht="47.25" hidden="1">
      <c r="A907" s="379"/>
      <c r="B907" s="384" t="s">
        <v>2600</v>
      </c>
      <c r="C907"/>
      <c r="D907"/>
      <c r="E907"/>
      <c r="I907"/>
      <c r="J907" s="4"/>
      <c r="K907" s="6" t="s">
        <v>1667</v>
      </c>
    </row>
    <row r="908" spans="1:33" hidden="1">
      <c r="A908" s="379"/>
      <c r="B908" s="384" t="s">
        <v>2601</v>
      </c>
      <c r="C908"/>
      <c r="D908"/>
      <c r="E908"/>
      <c r="I908"/>
      <c r="J908" s="4"/>
      <c r="K908" s="34"/>
    </row>
    <row r="909" spans="1:33" hidden="1">
      <c r="A909" s="379"/>
      <c r="B909" s="384" t="s">
        <v>2652</v>
      </c>
      <c r="C909"/>
      <c r="D909"/>
      <c r="E909"/>
      <c r="I909"/>
      <c r="J909" s="4"/>
      <c r="K909" s="34"/>
    </row>
    <row r="910" spans="1:33" hidden="1">
      <c r="A910" s="379"/>
      <c r="B910" s="384" t="s">
        <v>3636</v>
      </c>
      <c r="C910"/>
      <c r="D910"/>
      <c r="E910"/>
      <c r="F910" s="373">
        <v>1.14E-2</v>
      </c>
      <c r="G910" s="250" t="s">
        <v>884</v>
      </c>
      <c r="H910" s="244" t="s">
        <v>313</v>
      </c>
      <c r="I910" s="8">
        <f>C88</f>
        <v>65420</v>
      </c>
      <c r="J910" s="2" t="s">
        <v>884</v>
      </c>
      <c r="K910" s="6">
        <f>(F910*I910)</f>
        <v>745.79</v>
      </c>
      <c r="AG910" s="244" t="s">
        <v>2346</v>
      </c>
    </row>
    <row r="911" spans="1:33" hidden="1">
      <c r="A911" s="379"/>
      <c r="B911" s="384" t="s">
        <v>2666</v>
      </c>
      <c r="C911"/>
      <c r="D911"/>
      <c r="E911"/>
      <c r="F911" s="373">
        <v>2.4299999999999999E-2</v>
      </c>
      <c r="G911" s="250" t="s">
        <v>884</v>
      </c>
      <c r="H911" s="244" t="s">
        <v>314</v>
      </c>
      <c r="I911" s="8">
        <f>C89</f>
        <v>57165</v>
      </c>
      <c r="J911" s="2" t="s">
        <v>884</v>
      </c>
      <c r="K911" s="6">
        <f>(F911*I911)</f>
        <v>1389.11</v>
      </c>
      <c r="AG911" s="244" t="s">
        <v>2346</v>
      </c>
    </row>
    <row r="912" spans="1:33" hidden="1">
      <c r="A912" s="379"/>
      <c r="B912" s="384" t="s">
        <v>2667</v>
      </c>
      <c r="C912"/>
      <c r="D912"/>
      <c r="E912"/>
      <c r="F912" s="373">
        <v>1.9300000000000001E-2</v>
      </c>
      <c r="G912" s="250" t="s">
        <v>884</v>
      </c>
      <c r="H912" s="244" t="s">
        <v>315</v>
      </c>
      <c r="I912" s="8">
        <f>C90</f>
        <v>63870</v>
      </c>
      <c r="J912" s="2" t="s">
        <v>884</v>
      </c>
      <c r="K912" s="6">
        <f>(F912*I912)</f>
        <v>1232.69</v>
      </c>
      <c r="AG912" s="244" t="s">
        <v>2346</v>
      </c>
    </row>
    <row r="913" spans="1:33" hidden="1">
      <c r="A913" s="379"/>
      <c r="B913" s="384" t="s">
        <v>2668</v>
      </c>
      <c r="C913"/>
      <c r="D913"/>
      <c r="E913"/>
      <c r="F913" s="374"/>
      <c r="H913" s="244" t="s">
        <v>445</v>
      </c>
      <c r="I913" s="1" t="s">
        <v>995</v>
      </c>
      <c r="J913" s="4"/>
      <c r="K913" s="6" t="s">
        <v>995</v>
      </c>
      <c r="AG913" s="244" t="s">
        <v>2346</v>
      </c>
    </row>
    <row r="914" spans="1:33" hidden="1">
      <c r="A914" s="379"/>
      <c r="B914" s="384" t="s">
        <v>2669</v>
      </c>
      <c r="C914"/>
      <c r="D914"/>
      <c r="E914"/>
      <c r="F914" s="374">
        <v>1.823</v>
      </c>
      <c r="G914" s="250" t="s">
        <v>611</v>
      </c>
      <c r="H914" s="244" t="s">
        <v>446</v>
      </c>
      <c r="I914" s="8">
        <f>C31</f>
        <v>342</v>
      </c>
      <c r="J914" s="2" t="s">
        <v>611</v>
      </c>
      <c r="K914" s="6">
        <f t="shared" ref="K914:K920" si="51">(F914*I914)</f>
        <v>623.47</v>
      </c>
      <c r="AG914" s="244" t="s">
        <v>2346</v>
      </c>
    </row>
    <row r="915" spans="1:33" hidden="1">
      <c r="A915" s="379"/>
      <c r="B915" s="384" t="s">
        <v>2670</v>
      </c>
      <c r="C915"/>
      <c r="D915"/>
      <c r="E915"/>
      <c r="F915" s="251">
        <v>1</v>
      </c>
      <c r="G915" s="250" t="s">
        <v>781</v>
      </c>
      <c r="H915" s="244" t="s">
        <v>1526</v>
      </c>
      <c r="I915" s="8">
        <f>C576</f>
        <v>30</v>
      </c>
      <c r="J915" s="2" t="s">
        <v>883</v>
      </c>
      <c r="K915" s="6">
        <f t="shared" si="51"/>
        <v>30</v>
      </c>
      <c r="AG915" s="244" t="s">
        <v>2346</v>
      </c>
    </row>
    <row r="916" spans="1:33" ht="31.5" hidden="1">
      <c r="A916" s="379"/>
      <c r="B916" s="384" t="s">
        <v>2671</v>
      </c>
      <c r="C916"/>
      <c r="D916"/>
      <c r="E916"/>
      <c r="F916" s="251">
        <v>3</v>
      </c>
      <c r="G916" s="250" t="s">
        <v>883</v>
      </c>
      <c r="H916" s="244" t="s">
        <v>1527</v>
      </c>
      <c r="I916" s="8">
        <f>C278</f>
        <v>45</v>
      </c>
      <c r="J916" s="2" t="s">
        <v>883</v>
      </c>
      <c r="K916" s="6">
        <f t="shared" si="51"/>
        <v>135</v>
      </c>
      <c r="AG916" s="244" t="s">
        <v>2346</v>
      </c>
    </row>
    <row r="917" spans="1:33" ht="31.5" hidden="1">
      <c r="A917" s="379"/>
      <c r="B917" s="384" t="s">
        <v>2672</v>
      </c>
      <c r="C917"/>
      <c r="D917"/>
      <c r="E917"/>
      <c r="F917" s="251">
        <v>2</v>
      </c>
      <c r="G917" s="250" t="s">
        <v>883</v>
      </c>
      <c r="H917" s="244" t="s">
        <v>1528</v>
      </c>
      <c r="I917" s="8">
        <f>C283</f>
        <v>30</v>
      </c>
      <c r="J917" s="2" t="s">
        <v>883</v>
      </c>
      <c r="K917" s="6">
        <f t="shared" si="51"/>
        <v>60</v>
      </c>
      <c r="AG917" s="244" t="s">
        <v>2346</v>
      </c>
    </row>
    <row r="918" spans="1:33" ht="31.5" hidden="1">
      <c r="A918" s="379"/>
      <c r="B918" s="384" t="s">
        <v>2673</v>
      </c>
      <c r="C918"/>
      <c r="D918"/>
      <c r="E918"/>
      <c r="F918" s="251">
        <v>1</v>
      </c>
      <c r="G918" s="250" t="s">
        <v>883</v>
      </c>
      <c r="H918" s="244" t="s">
        <v>1529</v>
      </c>
      <c r="I918" s="8">
        <f>C285</f>
        <v>95</v>
      </c>
      <c r="J918" s="2" t="s">
        <v>883</v>
      </c>
      <c r="K918" s="6">
        <f t="shared" si="51"/>
        <v>95</v>
      </c>
      <c r="AG918" s="244" t="s">
        <v>2346</v>
      </c>
    </row>
    <row r="919" spans="1:33" hidden="1">
      <c r="A919" s="379"/>
      <c r="B919" s="384" t="s">
        <v>2674</v>
      </c>
      <c r="C919"/>
      <c r="D919"/>
      <c r="E919"/>
      <c r="F919" s="251">
        <v>1</v>
      </c>
      <c r="G919" s="250" t="s">
        <v>883</v>
      </c>
      <c r="H919" s="244" t="s">
        <v>1530</v>
      </c>
      <c r="I919" s="8">
        <f>C287</f>
        <v>8</v>
      </c>
      <c r="J919" s="2" t="s">
        <v>883</v>
      </c>
      <c r="K919" s="6">
        <f t="shared" si="51"/>
        <v>8</v>
      </c>
      <c r="AG919" s="244" t="s">
        <v>2346</v>
      </c>
    </row>
    <row r="920" spans="1:33" hidden="1">
      <c r="A920" s="379"/>
      <c r="B920" s="384" t="s">
        <v>2705</v>
      </c>
      <c r="C920"/>
      <c r="D920"/>
      <c r="E920"/>
      <c r="F920" s="251">
        <v>1</v>
      </c>
      <c r="G920" s="250" t="s">
        <v>883</v>
      </c>
      <c r="H920" s="244" t="s">
        <v>2058</v>
      </c>
      <c r="I920" s="8">
        <f>D576</f>
        <v>25</v>
      </c>
      <c r="J920" s="2" t="s">
        <v>883</v>
      </c>
      <c r="K920" s="6">
        <f t="shared" si="51"/>
        <v>25</v>
      </c>
      <c r="AG920" s="244" t="s">
        <v>2346</v>
      </c>
    </row>
    <row r="921" spans="1:33" hidden="1">
      <c r="A921" s="379"/>
      <c r="B921" s="384" t="s">
        <v>2706</v>
      </c>
      <c r="C921"/>
      <c r="D921"/>
      <c r="E921"/>
      <c r="I921"/>
      <c r="J921" s="4"/>
      <c r="K921" s="6" t="s">
        <v>1667</v>
      </c>
      <c r="AG921" s="244" t="s">
        <v>2346</v>
      </c>
    </row>
    <row r="922" spans="1:33" ht="31.5" hidden="1">
      <c r="A922" s="379"/>
      <c r="B922" s="384" t="s">
        <v>2707</v>
      </c>
      <c r="C922"/>
      <c r="D922"/>
      <c r="E922"/>
      <c r="H922" s="244" t="s">
        <v>1531</v>
      </c>
      <c r="I922"/>
      <c r="J922" s="4"/>
      <c r="K922" s="6">
        <f>SUM(K910:K920)</f>
        <v>4344.0600000000004</v>
      </c>
      <c r="AG922" s="244" t="s">
        <v>2346</v>
      </c>
    </row>
    <row r="923" spans="1:33" hidden="1">
      <c r="A923" s="379"/>
      <c r="B923" s="384" t="s">
        <v>3151</v>
      </c>
      <c r="C923"/>
      <c r="D923"/>
      <c r="E923"/>
      <c r="I923"/>
      <c r="J923" s="4"/>
      <c r="K923" s="6" t="s">
        <v>1667</v>
      </c>
      <c r="AG923" s="244" t="s">
        <v>2346</v>
      </c>
    </row>
    <row r="924" spans="1:33" hidden="1">
      <c r="A924" s="379"/>
      <c r="B924" s="384" t="s">
        <v>3152</v>
      </c>
      <c r="C924"/>
      <c r="D924"/>
      <c r="E924"/>
      <c r="H924" s="244" t="s">
        <v>555</v>
      </c>
      <c r="I924"/>
      <c r="J924" s="4"/>
      <c r="K924" s="6">
        <f>K922/F914</f>
        <v>2382.92</v>
      </c>
      <c r="AG924" s="244" t="s">
        <v>2346</v>
      </c>
    </row>
    <row r="925" spans="1:33" hidden="1">
      <c r="A925" s="379"/>
      <c r="B925" s="384" t="s">
        <v>3153</v>
      </c>
      <c r="C925"/>
      <c r="D925"/>
      <c r="E925"/>
      <c r="F925" s="244" t="s">
        <v>995</v>
      </c>
      <c r="I925"/>
      <c r="J925" s="4"/>
      <c r="K925" s="34"/>
    </row>
    <row r="926" spans="1:33" hidden="1">
      <c r="A926" s="379"/>
      <c r="B926" s="384" t="s">
        <v>3154</v>
      </c>
      <c r="C926"/>
      <c r="D926"/>
      <c r="E926"/>
      <c r="I926"/>
      <c r="J926" s="4"/>
      <c r="K926" s="6" t="s">
        <v>2130</v>
      </c>
      <c r="AG926" s="244" t="s">
        <v>2346</v>
      </c>
    </row>
    <row r="927" spans="1:33" hidden="1">
      <c r="A927" s="379"/>
      <c r="B927" s="384" t="s">
        <v>3155</v>
      </c>
      <c r="C927"/>
      <c r="D927"/>
      <c r="E927"/>
      <c r="I927"/>
      <c r="J927" s="4"/>
      <c r="K927" s="34"/>
    </row>
    <row r="928" spans="1:33" hidden="1">
      <c r="A928" s="379"/>
      <c r="B928" s="384" t="s">
        <v>3156</v>
      </c>
      <c r="C928"/>
      <c r="D928"/>
      <c r="E928"/>
      <c r="I928"/>
      <c r="J928" s="4"/>
      <c r="K928" s="34"/>
    </row>
    <row r="929" spans="1:33" hidden="1">
      <c r="A929" s="379"/>
      <c r="B929" s="384" t="s">
        <v>3157</v>
      </c>
      <c r="C929"/>
      <c r="D929"/>
      <c r="E929"/>
      <c r="F929" s="354" t="s">
        <v>1397</v>
      </c>
      <c r="G929" s="250" t="s">
        <v>2338</v>
      </c>
      <c r="H929" s="244" t="s">
        <v>253</v>
      </c>
      <c r="I929"/>
      <c r="J929" s="4"/>
      <c r="K929" s="34"/>
      <c r="AG929" s="244" t="s">
        <v>2346</v>
      </c>
    </row>
    <row r="930" spans="1:33" ht="16.5" hidden="1" customHeight="1">
      <c r="A930" s="379"/>
      <c r="B930" s="384" t="s">
        <v>3158</v>
      </c>
      <c r="C930"/>
      <c r="D930"/>
      <c r="E930"/>
      <c r="H930" s="244" t="s">
        <v>254</v>
      </c>
      <c r="I930"/>
      <c r="J930" s="4"/>
      <c r="K930" s="34"/>
      <c r="AG930" s="244" t="s">
        <v>2346</v>
      </c>
    </row>
    <row r="931" spans="1:33" ht="15.75" hidden="1" customHeight="1">
      <c r="A931" s="379"/>
      <c r="B931" s="384" t="s">
        <v>3159</v>
      </c>
      <c r="C931"/>
      <c r="D931"/>
      <c r="E931"/>
      <c r="H931" s="244" t="s">
        <v>1534</v>
      </c>
      <c r="I931"/>
      <c r="J931" s="4"/>
      <c r="K931" s="34"/>
      <c r="AG931" s="244" t="s">
        <v>2346</v>
      </c>
    </row>
    <row r="932" spans="1:33" hidden="1">
      <c r="A932" s="379"/>
      <c r="B932" s="384" t="s">
        <v>3160</v>
      </c>
      <c r="C932"/>
      <c r="D932"/>
      <c r="E932"/>
      <c r="H932" s="248" t="s">
        <v>1667</v>
      </c>
      <c r="I932"/>
      <c r="J932" s="4"/>
      <c r="K932" s="34"/>
      <c r="AG932" s="244" t="s">
        <v>2346</v>
      </c>
    </row>
    <row r="933" spans="1:33" hidden="1">
      <c r="A933" s="379"/>
      <c r="B933" s="384" t="s">
        <v>3161</v>
      </c>
      <c r="C933"/>
      <c r="D933"/>
      <c r="E933"/>
      <c r="I933"/>
      <c r="J933" s="4"/>
      <c r="K933" s="34"/>
    </row>
    <row r="934" spans="1:33" ht="20.25" hidden="1" customHeight="1">
      <c r="A934" s="379"/>
      <c r="B934" s="384" t="s">
        <v>3162</v>
      </c>
      <c r="C934"/>
      <c r="D934"/>
      <c r="E934"/>
      <c r="H934" s="244" t="s">
        <v>652</v>
      </c>
      <c r="I934"/>
      <c r="J934" s="4"/>
      <c r="K934" s="34"/>
    </row>
    <row r="935" spans="1:33" hidden="1">
      <c r="A935" s="379"/>
      <c r="B935" s="384" t="s">
        <v>2741</v>
      </c>
      <c r="C935"/>
      <c r="D935"/>
      <c r="E935"/>
      <c r="H935" s="244" t="s">
        <v>653</v>
      </c>
      <c r="I935"/>
      <c r="J935" s="4"/>
      <c r="K935" s="34"/>
    </row>
    <row r="936" spans="1:33" hidden="1">
      <c r="A936" s="379"/>
      <c r="B936" s="384" t="s">
        <v>2742</v>
      </c>
      <c r="C936"/>
      <c r="D936"/>
      <c r="E936"/>
      <c r="I936"/>
      <c r="J936" s="2" t="s">
        <v>1667</v>
      </c>
      <c r="K936" s="34"/>
    </row>
    <row r="937" spans="1:33" hidden="1">
      <c r="A937" s="379"/>
      <c r="B937" s="384" t="s">
        <v>2743</v>
      </c>
      <c r="C937"/>
      <c r="D937"/>
      <c r="E937"/>
      <c r="H937" s="244" t="s">
        <v>654</v>
      </c>
      <c r="I937"/>
      <c r="J937" s="4"/>
      <c r="K937" s="34"/>
    </row>
    <row r="938" spans="1:33" hidden="1">
      <c r="A938" s="379"/>
      <c r="B938" s="384" t="s">
        <v>2744</v>
      </c>
      <c r="C938"/>
      <c r="D938"/>
      <c r="E938"/>
      <c r="H938" s="244" t="s">
        <v>655</v>
      </c>
      <c r="I938"/>
      <c r="J938" s="4"/>
      <c r="K938" s="552">
        <v>2.1999999999999999E-2</v>
      </c>
    </row>
    <row r="939" spans="1:33" hidden="1">
      <c r="A939" s="379"/>
      <c r="B939" s="384" t="s">
        <v>2745</v>
      </c>
      <c r="C939"/>
      <c r="D939"/>
      <c r="E939"/>
      <c r="I939"/>
      <c r="J939" s="2" t="s">
        <v>995</v>
      </c>
      <c r="K939" s="6" t="s">
        <v>1667</v>
      </c>
    </row>
    <row r="940" spans="1:33" ht="31.5" hidden="1">
      <c r="A940" s="379"/>
      <c r="B940" s="384" t="s">
        <v>2808</v>
      </c>
      <c r="C940"/>
      <c r="D940"/>
      <c r="E940"/>
      <c r="H940" s="244" t="s">
        <v>874</v>
      </c>
      <c r="I940"/>
      <c r="J940" s="389" t="s">
        <v>995</v>
      </c>
      <c r="K940" s="552">
        <v>1.3100000000000001E-2</v>
      </c>
    </row>
    <row r="941" spans="1:33" ht="31.5" hidden="1">
      <c r="A941" s="379"/>
      <c r="B941" s="384" t="s">
        <v>3312</v>
      </c>
      <c r="C941"/>
      <c r="D941"/>
      <c r="E941"/>
      <c r="H941" s="244" t="s">
        <v>2227</v>
      </c>
      <c r="I941"/>
      <c r="J941" s="2" t="s">
        <v>995</v>
      </c>
      <c r="K941" s="552">
        <v>3.3999999999999998E-3</v>
      </c>
    </row>
    <row r="942" spans="1:33" ht="31.5" hidden="1">
      <c r="A942" s="379"/>
      <c r="B942" s="384" t="s">
        <v>3130</v>
      </c>
      <c r="C942"/>
      <c r="D942"/>
      <c r="E942"/>
      <c r="I942"/>
      <c r="J942" s="4"/>
      <c r="K942" s="6" t="s">
        <v>1667</v>
      </c>
    </row>
    <row r="943" spans="1:33" ht="31.5" hidden="1">
      <c r="A943" s="379"/>
      <c r="B943" s="384" t="s">
        <v>3131</v>
      </c>
      <c r="C943"/>
      <c r="D943"/>
      <c r="E943"/>
      <c r="I943"/>
      <c r="J943" s="4"/>
      <c r="K943" s="552">
        <v>1.6500000000000001E-2</v>
      </c>
    </row>
    <row r="944" spans="1:33" hidden="1">
      <c r="A944" s="379"/>
      <c r="B944" s="384" t="s">
        <v>3132</v>
      </c>
      <c r="C944"/>
      <c r="D944"/>
      <c r="E944"/>
      <c r="I944"/>
      <c r="J944" s="4"/>
      <c r="K944" s="6" t="s">
        <v>1667</v>
      </c>
    </row>
    <row r="945" spans="1:33" hidden="1">
      <c r="A945" s="379"/>
      <c r="B945" s="384" t="s">
        <v>3133</v>
      </c>
      <c r="C945"/>
      <c r="D945"/>
      <c r="E945"/>
      <c r="F945" s="373">
        <v>1.15E-2</v>
      </c>
      <c r="G945" s="250" t="s">
        <v>884</v>
      </c>
      <c r="H945" s="244" t="s">
        <v>313</v>
      </c>
      <c r="I945" s="8">
        <f>C88</f>
        <v>65420</v>
      </c>
      <c r="J945" s="2" t="s">
        <v>884</v>
      </c>
      <c r="K945" s="6">
        <f>(F945*I945)</f>
        <v>752.33</v>
      </c>
      <c r="AG945" s="244" t="s">
        <v>2346</v>
      </c>
    </row>
    <row r="946" spans="1:33" hidden="1">
      <c r="A946" s="379"/>
      <c r="B946" s="384" t="s">
        <v>3134</v>
      </c>
      <c r="C946"/>
      <c r="D946"/>
      <c r="E946"/>
      <c r="F946" s="373">
        <v>2.1999999999999999E-2</v>
      </c>
      <c r="G946" s="250" t="s">
        <v>884</v>
      </c>
      <c r="H946" s="244" t="s">
        <v>314</v>
      </c>
      <c r="I946" s="8">
        <f>C89</f>
        <v>57165</v>
      </c>
      <c r="J946" s="2" t="s">
        <v>884</v>
      </c>
      <c r="K946" s="6">
        <f>(F946*I946)</f>
        <v>1257.6300000000001</v>
      </c>
      <c r="AG946" s="244" t="s">
        <v>2346</v>
      </c>
    </row>
    <row r="947" spans="1:33" hidden="1">
      <c r="A947" s="379"/>
      <c r="B947" s="384" t="s">
        <v>3135</v>
      </c>
      <c r="C947"/>
      <c r="D947"/>
      <c r="E947"/>
      <c r="F947" s="373">
        <v>1.6500000000000001E-2</v>
      </c>
      <c r="G947" s="250" t="s">
        <v>884</v>
      </c>
      <c r="H947" s="244" t="s">
        <v>315</v>
      </c>
      <c r="I947" s="8">
        <f>C90</f>
        <v>63870</v>
      </c>
      <c r="J947" s="2" t="s">
        <v>884</v>
      </c>
      <c r="K947" s="6">
        <f>(F947*I947)</f>
        <v>1053.8599999999999</v>
      </c>
      <c r="AG947" s="244" t="s">
        <v>2346</v>
      </c>
    </row>
    <row r="948" spans="1:33" ht="31.5" hidden="1">
      <c r="A948" s="379"/>
      <c r="B948" s="384" t="s">
        <v>2529</v>
      </c>
      <c r="C948"/>
      <c r="D948"/>
      <c r="E948"/>
      <c r="F948" s="373"/>
      <c r="H948" s="244" t="s">
        <v>445</v>
      </c>
      <c r="I948" s="1" t="s">
        <v>995</v>
      </c>
      <c r="J948" s="4"/>
      <c r="K948" s="6" t="s">
        <v>995</v>
      </c>
      <c r="AG948" s="244" t="s">
        <v>2346</v>
      </c>
    </row>
    <row r="949" spans="1:33" ht="31.5" hidden="1">
      <c r="A949" s="379"/>
      <c r="B949" s="384" t="s">
        <v>2530</v>
      </c>
      <c r="C949"/>
      <c r="D949"/>
      <c r="E949"/>
      <c r="F949" s="373">
        <v>1.64</v>
      </c>
      <c r="G949" s="250" t="s">
        <v>611</v>
      </c>
      <c r="H949" s="244" t="s">
        <v>446</v>
      </c>
      <c r="I949" s="8">
        <f>C31</f>
        <v>342</v>
      </c>
      <c r="J949" s="2" t="s">
        <v>611</v>
      </c>
      <c r="K949" s="6">
        <f t="shared" ref="K949:K955" si="52">(F949*I949)</f>
        <v>560.88</v>
      </c>
      <c r="AG949" s="244" t="s">
        <v>2346</v>
      </c>
    </row>
    <row r="950" spans="1:33" ht="31.5" hidden="1">
      <c r="A950" s="379"/>
      <c r="B950" s="384" t="s">
        <v>3313</v>
      </c>
      <c r="C950"/>
      <c r="D950"/>
      <c r="E950"/>
      <c r="F950" s="251">
        <v>1</v>
      </c>
      <c r="G950" s="250" t="s">
        <v>781</v>
      </c>
      <c r="H950" s="244" t="s">
        <v>1526</v>
      </c>
      <c r="I950" s="8">
        <f>C576</f>
        <v>30</v>
      </c>
      <c r="J950" s="2" t="s">
        <v>883</v>
      </c>
      <c r="K950" s="6">
        <f t="shared" si="52"/>
        <v>30</v>
      </c>
      <c r="AG950" s="244" t="s">
        <v>2346</v>
      </c>
    </row>
    <row r="951" spans="1:33" ht="31.5" hidden="1">
      <c r="A951" s="379"/>
      <c r="B951" s="384" t="s">
        <v>3314</v>
      </c>
      <c r="C951"/>
      <c r="D951"/>
      <c r="E951"/>
      <c r="F951" s="251">
        <v>3</v>
      </c>
      <c r="G951" s="250" t="s">
        <v>883</v>
      </c>
      <c r="H951" s="244" t="s">
        <v>1527</v>
      </c>
      <c r="I951" s="8">
        <f>C278</f>
        <v>45</v>
      </c>
      <c r="J951" s="2" t="s">
        <v>883</v>
      </c>
      <c r="K951" s="6">
        <f t="shared" si="52"/>
        <v>135</v>
      </c>
      <c r="AG951" s="244" t="s">
        <v>2346</v>
      </c>
    </row>
    <row r="952" spans="1:33" ht="31.5" hidden="1">
      <c r="A952" s="379"/>
      <c r="B952" s="384" t="s">
        <v>3324</v>
      </c>
      <c r="C952"/>
      <c r="D952"/>
      <c r="E952"/>
      <c r="F952" s="251">
        <v>2</v>
      </c>
      <c r="G952" s="250" t="s">
        <v>883</v>
      </c>
      <c r="H952" s="244" t="s">
        <v>1528</v>
      </c>
      <c r="I952" s="8">
        <f>C283</f>
        <v>30</v>
      </c>
      <c r="J952" s="2" t="s">
        <v>883</v>
      </c>
      <c r="K952" s="6">
        <f t="shared" si="52"/>
        <v>60</v>
      </c>
      <c r="AG952" s="244" t="s">
        <v>325</v>
      </c>
    </row>
    <row r="953" spans="1:33" ht="31.5" hidden="1">
      <c r="A953" s="379"/>
      <c r="B953" s="384" t="s">
        <v>3325</v>
      </c>
      <c r="C953"/>
      <c r="D953"/>
      <c r="E953"/>
      <c r="F953" s="251">
        <v>1</v>
      </c>
      <c r="G953" s="250" t="s">
        <v>883</v>
      </c>
      <c r="H953" s="244" t="s">
        <v>1529</v>
      </c>
      <c r="I953" s="8">
        <f>C285</f>
        <v>95</v>
      </c>
      <c r="J953" s="2" t="s">
        <v>883</v>
      </c>
      <c r="K953" s="6">
        <f t="shared" si="52"/>
        <v>95</v>
      </c>
    </row>
    <row r="954" spans="1:33" ht="31.5" hidden="1">
      <c r="A954" s="379"/>
      <c r="B954" s="384" t="s">
        <v>3326</v>
      </c>
      <c r="C954"/>
      <c r="D954"/>
      <c r="E954"/>
      <c r="F954" s="251">
        <v>1</v>
      </c>
      <c r="G954" s="250" t="s">
        <v>883</v>
      </c>
      <c r="H954" s="244" t="s">
        <v>1530</v>
      </c>
      <c r="I954" s="8">
        <f>C287</f>
        <v>8</v>
      </c>
      <c r="J954" s="2" t="s">
        <v>883</v>
      </c>
      <c r="K954" s="6">
        <f t="shared" si="52"/>
        <v>8</v>
      </c>
    </row>
    <row r="955" spans="1:33" ht="31.5" hidden="1">
      <c r="A955" s="379"/>
      <c r="B955" s="384" t="s">
        <v>3327</v>
      </c>
      <c r="C955"/>
      <c r="D955"/>
      <c r="E955"/>
      <c r="F955" s="251">
        <v>1</v>
      </c>
      <c r="G955" s="250" t="s">
        <v>883</v>
      </c>
      <c r="H955" s="244" t="s">
        <v>2058</v>
      </c>
      <c r="I955" s="8">
        <f>D576</f>
        <v>25</v>
      </c>
      <c r="J955" s="2" t="s">
        <v>883</v>
      </c>
      <c r="K955" s="6">
        <f t="shared" si="52"/>
        <v>25</v>
      </c>
      <c r="AG955" s="244" t="s">
        <v>2346</v>
      </c>
    </row>
    <row r="956" spans="1:33" ht="31.5" hidden="1">
      <c r="A956" s="379"/>
      <c r="B956" s="384" t="s">
        <v>3328</v>
      </c>
      <c r="C956"/>
      <c r="D956"/>
      <c r="E956"/>
      <c r="I956"/>
      <c r="J956" s="4"/>
      <c r="K956" s="6" t="s">
        <v>1667</v>
      </c>
      <c r="AG956" s="244" t="s">
        <v>2346</v>
      </c>
    </row>
    <row r="957" spans="1:33" ht="31.5" hidden="1">
      <c r="A957" s="379"/>
      <c r="B957" s="384" t="s">
        <v>3329</v>
      </c>
      <c r="C957"/>
      <c r="D957"/>
      <c r="E957"/>
      <c r="H957" s="244" t="s">
        <v>2228</v>
      </c>
      <c r="I957"/>
      <c r="J957" s="4"/>
      <c r="K957" s="6">
        <f>SUM(K945:K955)</f>
        <v>3977.7</v>
      </c>
      <c r="AG957" s="244" t="s">
        <v>2346</v>
      </c>
    </row>
    <row r="958" spans="1:33" ht="31.5" hidden="1">
      <c r="A958" s="379"/>
      <c r="B958" s="384" t="s">
        <v>3330</v>
      </c>
      <c r="C958"/>
      <c r="D958"/>
      <c r="E958"/>
      <c r="I958"/>
      <c r="J958" s="4"/>
      <c r="K958" s="6" t="s">
        <v>1667</v>
      </c>
      <c r="AG958" s="244" t="s">
        <v>2346</v>
      </c>
    </row>
    <row r="959" spans="1:33" ht="31.5" hidden="1">
      <c r="A959" s="379"/>
      <c r="B959" s="384" t="s">
        <v>3386</v>
      </c>
      <c r="C959"/>
      <c r="D959"/>
      <c r="E959"/>
      <c r="H959" s="244" t="s">
        <v>555</v>
      </c>
      <c r="I959"/>
      <c r="J959" s="4"/>
      <c r="K959" s="6">
        <f>K957/F949</f>
        <v>2425.4299999999998</v>
      </c>
      <c r="AG959" s="244" t="s">
        <v>2346</v>
      </c>
    </row>
    <row r="960" spans="1:33" ht="31.5" hidden="1">
      <c r="A960" s="379"/>
      <c r="B960" s="384" t="s">
        <v>3387</v>
      </c>
      <c r="C960"/>
      <c r="D960"/>
      <c r="E960"/>
      <c r="I960"/>
      <c r="J960" s="4"/>
      <c r="K960" s="6" t="s">
        <v>2130</v>
      </c>
      <c r="AG960" s="244" t="s">
        <v>2346</v>
      </c>
    </row>
    <row r="961" spans="1:11" ht="31.5" hidden="1">
      <c r="A961" s="379"/>
      <c r="B961" s="384" t="s">
        <v>3388</v>
      </c>
      <c r="C961"/>
      <c r="D961"/>
      <c r="E961"/>
      <c r="F961" s="354" t="s">
        <v>1396</v>
      </c>
      <c r="G961" s="250" t="s">
        <v>2338</v>
      </c>
      <c r="H961" s="244" t="s">
        <v>253</v>
      </c>
      <c r="I961"/>
      <c r="J961" s="4"/>
      <c r="K961" s="34"/>
    </row>
    <row r="962" spans="1:11" ht="31.5" hidden="1">
      <c r="A962" s="379"/>
      <c r="B962" s="384" t="s">
        <v>3125</v>
      </c>
      <c r="C962"/>
      <c r="D962"/>
      <c r="E962"/>
      <c r="H962" s="244" t="s">
        <v>254</v>
      </c>
      <c r="I962"/>
      <c r="J962" s="4"/>
      <c r="K962" s="34"/>
    </row>
    <row r="963" spans="1:11" hidden="1">
      <c r="A963" s="379"/>
      <c r="B963" s="384" t="s">
        <v>3126</v>
      </c>
      <c r="C963"/>
      <c r="D963"/>
      <c r="E963"/>
      <c r="H963" s="244" t="s">
        <v>1535</v>
      </c>
      <c r="I963"/>
      <c r="J963" s="4"/>
      <c r="K963" s="34"/>
    </row>
    <row r="964" spans="1:11" hidden="1">
      <c r="A964" s="379"/>
      <c r="B964" s="384" t="s">
        <v>3127</v>
      </c>
      <c r="C964"/>
      <c r="D964"/>
      <c r="E964"/>
      <c r="H964" s="248" t="s">
        <v>1667</v>
      </c>
      <c r="I964"/>
      <c r="J964" s="4"/>
      <c r="K964" s="34"/>
    </row>
    <row r="965" spans="1:11" hidden="1">
      <c r="A965" s="379"/>
      <c r="B965" s="384" t="s">
        <v>3128</v>
      </c>
      <c r="C965"/>
      <c r="D965"/>
      <c r="E965"/>
      <c r="H965" s="244" t="s">
        <v>2229</v>
      </c>
      <c r="I965"/>
      <c r="J965" s="4"/>
      <c r="K965" s="34"/>
    </row>
    <row r="966" spans="1:11" hidden="1">
      <c r="A966" s="379"/>
      <c r="B966" s="384" t="s">
        <v>3129</v>
      </c>
      <c r="C966"/>
      <c r="D966"/>
      <c r="E966"/>
      <c r="H966" s="244" t="s">
        <v>93</v>
      </c>
      <c r="I966"/>
      <c r="J966" s="4"/>
      <c r="K966" s="34"/>
    </row>
    <row r="967" spans="1:11" hidden="1">
      <c r="A967" s="379"/>
      <c r="B967" s="384" t="s">
        <v>3359</v>
      </c>
      <c r="C967"/>
      <c r="D967"/>
      <c r="E967"/>
      <c r="I967"/>
      <c r="J967" s="2" t="s">
        <v>1667</v>
      </c>
      <c r="K967" s="34"/>
    </row>
    <row r="968" spans="1:11" hidden="1">
      <c r="A968" s="379"/>
      <c r="B968" s="384" t="s">
        <v>3360</v>
      </c>
      <c r="C968"/>
      <c r="D968"/>
      <c r="E968"/>
      <c r="H968" s="244" t="s">
        <v>2230</v>
      </c>
      <c r="I968"/>
      <c r="J968" s="4"/>
      <c r="K968" s="34"/>
    </row>
    <row r="969" spans="1:11" hidden="1">
      <c r="A969" s="379"/>
      <c r="B969" s="384" t="s">
        <v>3361</v>
      </c>
      <c r="C969"/>
      <c r="D969"/>
      <c r="E969"/>
      <c r="H969" s="244" t="s">
        <v>459</v>
      </c>
      <c r="I969"/>
      <c r="J969" s="4"/>
      <c r="K969" s="552">
        <v>1.1900000000000001E-2</v>
      </c>
    </row>
    <row r="970" spans="1:11" ht="31.5" hidden="1">
      <c r="A970" s="379"/>
      <c r="B970" s="384" t="s">
        <v>3362</v>
      </c>
      <c r="C970"/>
      <c r="D970"/>
      <c r="E970"/>
      <c r="I970"/>
      <c r="J970" s="2" t="s">
        <v>995</v>
      </c>
      <c r="K970" s="6" t="s">
        <v>1667</v>
      </c>
    </row>
    <row r="971" spans="1:11" ht="31.5" hidden="1">
      <c r="A971" s="379"/>
      <c r="B971" s="384" t="s">
        <v>2894</v>
      </c>
      <c r="C971"/>
      <c r="D971"/>
      <c r="E971"/>
      <c r="H971" s="244" t="s">
        <v>460</v>
      </c>
      <c r="I971"/>
      <c r="J971" s="389" t="s">
        <v>995</v>
      </c>
      <c r="K971" s="552">
        <v>1.18E-2</v>
      </c>
    </row>
    <row r="972" spans="1:11" ht="31.5" hidden="1">
      <c r="A972" s="379"/>
      <c r="B972" s="384" t="s">
        <v>2895</v>
      </c>
      <c r="C972"/>
      <c r="D972"/>
      <c r="E972"/>
      <c r="H972" s="244" t="s">
        <v>246</v>
      </c>
      <c r="I972"/>
      <c r="J972" s="2" t="s">
        <v>995</v>
      </c>
      <c r="K972" s="552" t="s">
        <v>1667</v>
      </c>
    </row>
    <row r="973" spans="1:11" hidden="1">
      <c r="A973" s="379"/>
      <c r="B973" s="384" t="s">
        <v>3284</v>
      </c>
      <c r="C973"/>
      <c r="D973"/>
      <c r="E973"/>
      <c r="I973"/>
      <c r="J973" s="4"/>
      <c r="K973" s="34"/>
    </row>
    <row r="974" spans="1:11" hidden="1">
      <c r="A974" s="379"/>
      <c r="B974" s="384" t="s">
        <v>3285</v>
      </c>
      <c r="C974"/>
      <c r="D974"/>
      <c r="E974"/>
      <c r="F974" s="373">
        <v>1.14E-2</v>
      </c>
      <c r="G974" s="250" t="s">
        <v>884</v>
      </c>
      <c r="H974" s="244" t="s">
        <v>313</v>
      </c>
      <c r="I974" s="8">
        <f>C88</f>
        <v>65420</v>
      </c>
      <c r="J974" s="2" t="s">
        <v>884</v>
      </c>
      <c r="K974" s="6">
        <f>(F974*I974)</f>
        <v>745.79</v>
      </c>
    </row>
    <row r="975" spans="1:11" hidden="1">
      <c r="A975" s="379"/>
      <c r="B975" s="384" t="s">
        <v>3286</v>
      </c>
      <c r="C975"/>
      <c r="D975"/>
      <c r="E975"/>
      <c r="F975" s="373">
        <v>1.1900000000000001E-2</v>
      </c>
      <c r="G975" s="250" t="s">
        <v>884</v>
      </c>
      <c r="H975" s="244" t="s">
        <v>314</v>
      </c>
      <c r="I975" s="8">
        <f>C89</f>
        <v>57165</v>
      </c>
      <c r="J975" s="2" t="s">
        <v>884</v>
      </c>
      <c r="K975" s="6">
        <f>(F975*I975)</f>
        <v>680.26</v>
      </c>
    </row>
    <row r="976" spans="1:11" hidden="1">
      <c r="A976" s="379"/>
      <c r="B976" s="384" t="s">
        <v>3551</v>
      </c>
      <c r="C976"/>
      <c r="D976"/>
      <c r="E976"/>
      <c r="F976" s="373">
        <v>1.18E-2</v>
      </c>
      <c r="G976" s="250" t="s">
        <v>884</v>
      </c>
      <c r="H976" s="244" t="s">
        <v>315</v>
      </c>
      <c r="I976" s="8">
        <f>C90</f>
        <v>63870</v>
      </c>
      <c r="J976" s="2" t="s">
        <v>884</v>
      </c>
      <c r="K976" s="6">
        <f>(F976*I976)</f>
        <v>753.67</v>
      </c>
    </row>
    <row r="977" spans="1:33" hidden="1">
      <c r="A977" s="379"/>
      <c r="B977" s="384" t="s">
        <v>3552</v>
      </c>
      <c r="C977"/>
      <c r="D977"/>
      <c r="E977"/>
      <c r="F977" s="373"/>
      <c r="H977" s="244" t="s">
        <v>445</v>
      </c>
      <c r="I977" s="1" t="s">
        <v>995</v>
      </c>
      <c r="J977" s="4"/>
      <c r="K977" s="6" t="s">
        <v>995</v>
      </c>
    </row>
    <row r="978" spans="1:33" hidden="1">
      <c r="A978" s="379"/>
      <c r="B978" s="384" t="s">
        <v>2454</v>
      </c>
      <c r="C978"/>
      <c r="D978"/>
      <c r="E978"/>
      <c r="F978" s="373">
        <v>1.2150000000000001</v>
      </c>
      <c r="G978" s="250" t="s">
        <v>611</v>
      </c>
      <c r="H978" s="244" t="s">
        <v>446</v>
      </c>
      <c r="I978" s="8">
        <f>C31</f>
        <v>342</v>
      </c>
      <c r="J978" s="2" t="s">
        <v>611</v>
      </c>
      <c r="K978" s="6">
        <f t="shared" ref="K978:K984" si="53">(F978*I978)</f>
        <v>415.53</v>
      </c>
    </row>
    <row r="979" spans="1:33" hidden="1">
      <c r="A979" s="379"/>
      <c r="B979" s="384" t="s">
        <v>2455</v>
      </c>
      <c r="C979"/>
      <c r="D979"/>
      <c r="E979"/>
      <c r="F979" s="251">
        <v>1</v>
      </c>
      <c r="G979" s="250" t="s">
        <v>781</v>
      </c>
      <c r="H979" s="244" t="s">
        <v>1526</v>
      </c>
      <c r="I979" s="8">
        <f>C576</f>
        <v>30</v>
      </c>
      <c r="J979" s="2" t="s">
        <v>883</v>
      </c>
      <c r="K979" s="6">
        <f t="shared" si="53"/>
        <v>30</v>
      </c>
    </row>
    <row r="980" spans="1:33" hidden="1">
      <c r="A980" s="379"/>
      <c r="B980" s="384" t="s">
        <v>2456</v>
      </c>
      <c r="C980"/>
      <c r="D980"/>
      <c r="E980"/>
      <c r="F980" s="251">
        <v>3</v>
      </c>
      <c r="G980" s="250" t="s">
        <v>883</v>
      </c>
      <c r="H980" s="244" t="s">
        <v>1527</v>
      </c>
      <c r="I980" s="8">
        <f>C278</f>
        <v>45</v>
      </c>
      <c r="J980" s="2" t="s">
        <v>883</v>
      </c>
      <c r="K980" s="6">
        <f t="shared" si="53"/>
        <v>135</v>
      </c>
    </row>
    <row r="981" spans="1:33" hidden="1">
      <c r="A981" s="379"/>
      <c r="B981" s="384" t="s">
        <v>2457</v>
      </c>
      <c r="C981"/>
      <c r="D981"/>
      <c r="E981"/>
      <c r="F981" s="251">
        <v>2</v>
      </c>
      <c r="G981" s="250" t="s">
        <v>883</v>
      </c>
      <c r="H981" s="244" t="s">
        <v>1528</v>
      </c>
      <c r="I981" s="8">
        <f>C283</f>
        <v>30</v>
      </c>
      <c r="J981" s="2" t="s">
        <v>883</v>
      </c>
      <c r="K981" s="6">
        <f t="shared" si="53"/>
        <v>60</v>
      </c>
    </row>
    <row r="982" spans="1:33" hidden="1">
      <c r="A982" s="379"/>
      <c r="B982" s="384" t="s">
        <v>3061</v>
      </c>
      <c r="C982"/>
      <c r="D982"/>
      <c r="E982"/>
      <c r="F982" s="251">
        <v>1</v>
      </c>
      <c r="G982" s="250" t="s">
        <v>883</v>
      </c>
      <c r="H982" s="244" t="s">
        <v>1529</v>
      </c>
      <c r="I982" s="8">
        <f>C285</f>
        <v>95</v>
      </c>
      <c r="J982" s="2" t="s">
        <v>883</v>
      </c>
      <c r="K982" s="6">
        <f t="shared" si="53"/>
        <v>95</v>
      </c>
    </row>
    <row r="983" spans="1:33" ht="31.5" hidden="1">
      <c r="A983" s="379"/>
      <c r="B983" s="384" t="s">
        <v>3062</v>
      </c>
      <c r="C983"/>
      <c r="D983"/>
      <c r="E983"/>
      <c r="F983" s="251">
        <v>1</v>
      </c>
      <c r="G983" s="250" t="s">
        <v>883</v>
      </c>
      <c r="H983" s="244" t="s">
        <v>1530</v>
      </c>
      <c r="I983" s="8">
        <f>C287</f>
        <v>8</v>
      </c>
      <c r="J983" s="2" t="s">
        <v>883</v>
      </c>
      <c r="K983" s="6">
        <f t="shared" si="53"/>
        <v>8</v>
      </c>
    </row>
    <row r="984" spans="1:33" hidden="1">
      <c r="A984" s="379"/>
      <c r="B984" s="384" t="s">
        <v>3072</v>
      </c>
      <c r="C984"/>
      <c r="D984"/>
      <c r="E984"/>
      <c r="F984" s="251">
        <v>1</v>
      </c>
      <c r="G984" s="250" t="s">
        <v>883</v>
      </c>
      <c r="H984" s="244" t="s">
        <v>2058</v>
      </c>
      <c r="I984" s="8">
        <f>D576</f>
        <v>25</v>
      </c>
      <c r="J984" s="2" t="s">
        <v>883</v>
      </c>
      <c r="K984" s="6">
        <f t="shared" si="53"/>
        <v>25</v>
      </c>
    </row>
    <row r="985" spans="1:33" hidden="1">
      <c r="A985" s="379"/>
      <c r="B985" s="384" t="s">
        <v>3073</v>
      </c>
      <c r="C985"/>
      <c r="D985"/>
      <c r="E985"/>
      <c r="I985"/>
      <c r="J985" s="4"/>
      <c r="K985" s="6" t="s">
        <v>1667</v>
      </c>
    </row>
    <row r="986" spans="1:33" hidden="1">
      <c r="A986" s="379"/>
      <c r="B986" s="384" t="s">
        <v>3638</v>
      </c>
      <c r="C986"/>
      <c r="D986"/>
      <c r="E986"/>
      <c r="H986" s="244" t="s">
        <v>461</v>
      </c>
      <c r="I986"/>
      <c r="J986" s="4"/>
      <c r="K986" s="6">
        <f>SUM(K974:K984)</f>
        <v>2948.25</v>
      </c>
    </row>
    <row r="987" spans="1:33" hidden="1">
      <c r="A987" s="379"/>
      <c r="B987" s="384" t="s">
        <v>3639</v>
      </c>
      <c r="C987"/>
      <c r="D987"/>
      <c r="E987"/>
      <c r="I987"/>
      <c r="J987" s="4"/>
      <c r="K987" s="6" t="s">
        <v>1667</v>
      </c>
    </row>
    <row r="988" spans="1:33" hidden="1">
      <c r="A988" s="379"/>
      <c r="B988" s="384" t="s">
        <v>3640</v>
      </c>
      <c r="C988"/>
      <c r="D988"/>
      <c r="E988"/>
      <c r="H988" s="244" t="s">
        <v>555</v>
      </c>
      <c r="I988"/>
      <c r="J988" s="4"/>
      <c r="K988" s="6">
        <f>K986/F978</f>
        <v>2426.54</v>
      </c>
    </row>
    <row r="989" spans="1:33" ht="31.5" hidden="1">
      <c r="A989" s="379"/>
      <c r="B989" s="384" t="s">
        <v>3389</v>
      </c>
      <c r="C989"/>
      <c r="D989"/>
      <c r="E989"/>
      <c r="I989"/>
      <c r="J989" s="4"/>
      <c r="K989" s="6" t="s">
        <v>2130</v>
      </c>
    </row>
    <row r="990" spans="1:33" hidden="1">
      <c r="A990" s="379"/>
      <c r="B990" s="384" t="s">
        <v>3390</v>
      </c>
      <c r="C990"/>
      <c r="D990"/>
      <c r="E990"/>
      <c r="I990"/>
      <c r="J990" s="4"/>
      <c r="K990" s="34"/>
    </row>
    <row r="991" spans="1:33" hidden="1">
      <c r="A991" s="379"/>
      <c r="B991" s="384" t="s">
        <v>3391</v>
      </c>
      <c r="C991"/>
      <c r="D991"/>
      <c r="E991"/>
      <c r="F991" s="354" t="s">
        <v>462</v>
      </c>
      <c r="G991" s="250" t="s">
        <v>2338</v>
      </c>
      <c r="H991" s="244" t="s">
        <v>2253</v>
      </c>
      <c r="I991"/>
      <c r="J991" s="4"/>
      <c r="K991" s="34"/>
      <c r="AG991" s="244" t="s">
        <v>2346</v>
      </c>
    </row>
    <row r="992" spans="1:33" hidden="1">
      <c r="A992" s="379"/>
      <c r="B992" s="384" t="s">
        <v>3392</v>
      </c>
      <c r="C992"/>
      <c r="D992"/>
      <c r="E992"/>
      <c r="H992" s="244" t="s">
        <v>2255</v>
      </c>
      <c r="I992"/>
      <c r="J992" s="4"/>
      <c r="K992" s="34"/>
      <c r="AG992" s="244" t="s">
        <v>2346</v>
      </c>
    </row>
    <row r="993" spans="1:33" hidden="1">
      <c r="A993" s="379"/>
      <c r="B993" s="384" t="s">
        <v>3393</v>
      </c>
      <c r="C993"/>
      <c r="D993"/>
      <c r="E993"/>
      <c r="H993" s="244" t="s">
        <v>2256</v>
      </c>
      <c r="I993"/>
      <c r="J993" s="4"/>
      <c r="K993" s="34"/>
      <c r="AG993" s="244" t="s">
        <v>2346</v>
      </c>
    </row>
    <row r="994" spans="1:33" hidden="1">
      <c r="A994" s="379"/>
      <c r="B994" s="384" t="s">
        <v>3394</v>
      </c>
      <c r="C994"/>
      <c r="D994"/>
      <c r="E994"/>
      <c r="H994" s="244" t="s">
        <v>2257</v>
      </c>
      <c r="I994"/>
      <c r="J994" s="4"/>
      <c r="K994" s="34"/>
      <c r="AG994" s="244" t="s">
        <v>2346</v>
      </c>
    </row>
    <row r="995" spans="1:33" hidden="1">
      <c r="A995" s="379"/>
      <c r="B995" s="384" t="s">
        <v>3395</v>
      </c>
      <c r="C995"/>
      <c r="D995"/>
      <c r="E995"/>
      <c r="H995" s="244" t="s">
        <v>2258</v>
      </c>
      <c r="I995"/>
      <c r="J995" s="4"/>
      <c r="K995" s="34"/>
      <c r="AG995" s="244" t="s">
        <v>2346</v>
      </c>
    </row>
    <row r="996" spans="1:33" hidden="1">
      <c r="A996" s="379"/>
      <c r="B996" s="384" t="s">
        <v>2713</v>
      </c>
      <c r="C996"/>
      <c r="D996"/>
      <c r="E996"/>
      <c r="H996" s="244" t="s">
        <v>2259</v>
      </c>
      <c r="I996"/>
      <c r="J996" s="4"/>
      <c r="K996" s="34"/>
      <c r="AG996" s="244" t="s">
        <v>2346</v>
      </c>
    </row>
    <row r="997" spans="1:33" hidden="1">
      <c r="A997" s="379"/>
      <c r="B997" s="384" t="s">
        <v>2714</v>
      </c>
      <c r="C997"/>
      <c r="D997"/>
      <c r="E997"/>
      <c r="H997" s="248" t="s">
        <v>1667</v>
      </c>
      <c r="I997"/>
      <c r="J997" s="4"/>
      <c r="K997" s="34"/>
      <c r="AG997" s="244" t="s">
        <v>2346</v>
      </c>
    </row>
    <row r="998" spans="1:33" hidden="1">
      <c r="A998" s="379"/>
      <c r="B998" s="384" t="s">
        <v>2715</v>
      </c>
      <c r="C998"/>
      <c r="D998"/>
      <c r="E998"/>
      <c r="H998" s="244" t="s">
        <v>652</v>
      </c>
      <c r="I998"/>
      <c r="J998" s="4"/>
      <c r="K998" s="34"/>
      <c r="AG998" s="244" t="s">
        <v>2346</v>
      </c>
    </row>
    <row r="999" spans="1:33" ht="31.5" hidden="1">
      <c r="A999" s="379"/>
      <c r="B999" s="384" t="s">
        <v>2716</v>
      </c>
      <c r="C999"/>
      <c r="D999"/>
      <c r="E999"/>
      <c r="H999" s="244" t="s">
        <v>2260</v>
      </c>
      <c r="I999"/>
      <c r="J999" s="4"/>
      <c r="K999" s="34"/>
      <c r="AG999" s="244" t="s">
        <v>2346</v>
      </c>
    </row>
    <row r="1000" spans="1:33" ht="31.5" hidden="1">
      <c r="A1000" s="379"/>
      <c r="B1000" s="384" t="s">
        <v>2717</v>
      </c>
      <c r="C1000"/>
      <c r="D1000"/>
      <c r="E1000"/>
      <c r="I1000"/>
      <c r="J1000" s="2" t="s">
        <v>1667</v>
      </c>
      <c r="K1000" s="34"/>
      <c r="AG1000" s="244" t="s">
        <v>2346</v>
      </c>
    </row>
    <row r="1001" spans="1:33" ht="31.5" hidden="1">
      <c r="A1001" s="379"/>
      <c r="B1001" s="384" t="s">
        <v>2718</v>
      </c>
      <c r="C1001"/>
      <c r="D1001"/>
      <c r="E1001"/>
      <c r="H1001" s="244" t="s">
        <v>2261</v>
      </c>
      <c r="I1001"/>
      <c r="J1001" s="4"/>
      <c r="K1001" s="34"/>
      <c r="AG1001" s="244" t="s">
        <v>2346</v>
      </c>
    </row>
    <row r="1002" spans="1:33" ht="47.25" hidden="1">
      <c r="A1002" s="379"/>
      <c r="B1002" s="384" t="s">
        <v>2719</v>
      </c>
      <c r="C1002"/>
      <c r="D1002"/>
      <c r="E1002"/>
      <c r="H1002" s="244" t="s">
        <v>995</v>
      </c>
      <c r="I1002" s="1" t="s">
        <v>995</v>
      </c>
      <c r="J1002" s="4"/>
      <c r="K1002" s="552" t="s">
        <v>995</v>
      </c>
      <c r="AG1002" s="244" t="s">
        <v>2346</v>
      </c>
    </row>
    <row r="1003" spans="1:33" hidden="1">
      <c r="A1003" s="379"/>
      <c r="B1003" s="384" t="s">
        <v>2720</v>
      </c>
      <c r="C1003"/>
      <c r="D1003"/>
      <c r="E1003"/>
      <c r="I1003"/>
      <c r="J1003" s="2" t="s">
        <v>995</v>
      </c>
      <c r="K1003" s="6" t="s">
        <v>995</v>
      </c>
      <c r="AG1003" s="244" t="s">
        <v>2346</v>
      </c>
    </row>
    <row r="1004" spans="1:33" hidden="1">
      <c r="A1004" s="379"/>
      <c r="B1004" s="384" t="s">
        <v>2721</v>
      </c>
      <c r="C1004"/>
      <c r="D1004"/>
      <c r="E1004"/>
      <c r="H1004" s="244" t="s">
        <v>2184</v>
      </c>
      <c r="I1004"/>
      <c r="J1004" s="389" t="s">
        <v>995</v>
      </c>
      <c r="K1004" s="552" t="s">
        <v>995</v>
      </c>
      <c r="AG1004" s="244" t="s">
        <v>2346</v>
      </c>
    </row>
    <row r="1005" spans="1:33" hidden="1">
      <c r="A1005" s="379"/>
      <c r="B1005" s="384" t="s">
        <v>2702</v>
      </c>
      <c r="C1005"/>
      <c r="D1005"/>
      <c r="E1005"/>
      <c r="H1005" s="244" t="s">
        <v>115</v>
      </c>
      <c r="I1005"/>
      <c r="J1005" s="4"/>
      <c r="K1005" s="552" t="s">
        <v>1823</v>
      </c>
      <c r="AG1005" s="244" t="s">
        <v>2346</v>
      </c>
    </row>
    <row r="1006" spans="1:33" hidden="1">
      <c r="A1006" s="379"/>
      <c r="B1006" s="384" t="s">
        <v>2703</v>
      </c>
      <c r="C1006"/>
      <c r="D1006"/>
      <c r="E1006"/>
      <c r="I1006"/>
      <c r="J1006" s="4"/>
      <c r="K1006" s="6" t="s">
        <v>995</v>
      </c>
      <c r="AG1006" s="244" t="s">
        <v>2346</v>
      </c>
    </row>
    <row r="1007" spans="1:33" hidden="1">
      <c r="A1007" s="379"/>
      <c r="B1007" s="384" t="s">
        <v>2704</v>
      </c>
      <c r="C1007"/>
      <c r="D1007"/>
      <c r="E1007"/>
      <c r="I1007"/>
      <c r="J1007" s="4"/>
      <c r="K1007" s="552" t="s">
        <v>995</v>
      </c>
      <c r="AG1007" s="244" t="s">
        <v>2346</v>
      </c>
    </row>
    <row r="1008" spans="1:33" hidden="1">
      <c r="A1008" s="379"/>
      <c r="B1008" s="384" t="s">
        <v>3163</v>
      </c>
      <c r="C1008"/>
      <c r="D1008"/>
      <c r="E1008"/>
      <c r="I1008"/>
      <c r="J1008" s="4"/>
      <c r="K1008" s="6" t="s">
        <v>995</v>
      </c>
      <c r="AG1008" s="244" t="s">
        <v>2346</v>
      </c>
    </row>
    <row r="1009" spans="1:33" hidden="1">
      <c r="A1009" s="379"/>
      <c r="B1009" s="384" t="s">
        <v>3164</v>
      </c>
      <c r="C1009"/>
      <c r="D1009"/>
      <c r="E1009"/>
      <c r="F1009" s="354" t="s">
        <v>1536</v>
      </c>
      <c r="G1009" s="250"/>
      <c r="H1009" s="244" t="s">
        <v>728</v>
      </c>
      <c r="I1009"/>
      <c r="J1009" s="4"/>
      <c r="K1009" s="6" t="s">
        <v>995</v>
      </c>
      <c r="AG1009" s="244" t="s">
        <v>2346</v>
      </c>
    </row>
    <row r="1010" spans="1:33" hidden="1">
      <c r="A1010" s="379"/>
      <c r="B1010" s="384" t="s">
        <v>3165</v>
      </c>
      <c r="C1010"/>
      <c r="D1010"/>
      <c r="E1010"/>
      <c r="H1010" s="248" t="s">
        <v>1667</v>
      </c>
      <c r="I1010"/>
      <c r="J1010" s="4"/>
      <c r="K1010" s="34"/>
      <c r="AG1010" s="244" t="s">
        <v>2346</v>
      </c>
    </row>
    <row r="1011" spans="1:33" hidden="1">
      <c r="A1011" s="386"/>
      <c r="B1011" s="384" t="s">
        <v>3166</v>
      </c>
      <c r="C1011"/>
      <c r="D1011"/>
      <c r="E1011"/>
      <c r="F1011" s="390">
        <v>1.153E-2</v>
      </c>
      <c r="G1011" s="250" t="s">
        <v>884</v>
      </c>
      <c r="H1011" s="244" t="s">
        <v>702</v>
      </c>
      <c r="I1011" s="8">
        <f>C88</f>
        <v>65420</v>
      </c>
      <c r="J1011" s="2" t="s">
        <v>884</v>
      </c>
      <c r="K1011" s="6">
        <f t="shared" ref="K1011:K1020" si="54">(F1011*I1011)</f>
        <v>754.29</v>
      </c>
      <c r="AG1011" s="244" t="s">
        <v>2346</v>
      </c>
    </row>
    <row r="1012" spans="1:33" hidden="1">
      <c r="A1012" s="386"/>
      <c r="B1012" s="384" t="s">
        <v>3167</v>
      </c>
      <c r="C1012"/>
      <c r="D1012"/>
      <c r="E1012"/>
      <c r="F1012" s="390">
        <v>1.35E-2</v>
      </c>
      <c r="G1012" s="250" t="s">
        <v>884</v>
      </c>
      <c r="H1012" s="244" t="s">
        <v>703</v>
      </c>
      <c r="I1012" s="8">
        <f>C89</f>
        <v>57165</v>
      </c>
      <c r="J1012" s="2" t="s">
        <v>884</v>
      </c>
      <c r="K1012" s="6">
        <f t="shared" si="54"/>
        <v>771.73</v>
      </c>
      <c r="AG1012" s="244" t="s">
        <v>2346</v>
      </c>
    </row>
    <row r="1013" spans="1:33" hidden="1">
      <c r="A1013" s="386"/>
      <c r="B1013" s="384" t="s">
        <v>3168</v>
      </c>
      <c r="C1013"/>
      <c r="D1013"/>
      <c r="E1013"/>
      <c r="F1013" s="390">
        <v>1.016</v>
      </c>
      <c r="G1013" s="250" t="s">
        <v>611</v>
      </c>
      <c r="H1013" s="244" t="s">
        <v>2163</v>
      </c>
      <c r="I1013" s="8">
        <f>C753</f>
        <v>381.37</v>
      </c>
      <c r="J1013" s="2" t="s">
        <v>611</v>
      </c>
      <c r="K1013" s="6">
        <f t="shared" si="54"/>
        <v>387.47</v>
      </c>
      <c r="AG1013" s="244" t="s">
        <v>2346</v>
      </c>
    </row>
    <row r="1014" spans="1:33" hidden="1">
      <c r="A1014" s="386"/>
      <c r="B1014" s="384" t="s">
        <v>3169</v>
      </c>
      <c r="C1014"/>
      <c r="D1014"/>
      <c r="E1014"/>
      <c r="F1014" s="390">
        <v>1.64</v>
      </c>
      <c r="G1014" s="250" t="s">
        <v>611</v>
      </c>
      <c r="H1014" s="244" t="s">
        <v>2164</v>
      </c>
      <c r="I1014" s="8">
        <f>D30</f>
        <v>287</v>
      </c>
      <c r="J1014" s="2" t="s">
        <v>611</v>
      </c>
      <c r="K1014" s="6">
        <f t="shared" si="54"/>
        <v>470.68</v>
      </c>
      <c r="AG1014" s="244" t="s">
        <v>2346</v>
      </c>
    </row>
    <row r="1015" spans="1:33" hidden="1">
      <c r="A1015" s="386"/>
      <c r="B1015" s="384" t="s">
        <v>2735</v>
      </c>
      <c r="C1015"/>
      <c r="D1015"/>
      <c r="E1015"/>
      <c r="F1015" s="251">
        <v>2</v>
      </c>
      <c r="G1015" s="250" t="s">
        <v>883</v>
      </c>
      <c r="H1015" s="244" t="s">
        <v>2165</v>
      </c>
      <c r="I1015" s="8">
        <f>C283</f>
        <v>30</v>
      </c>
      <c r="J1015" s="2" t="s">
        <v>883</v>
      </c>
      <c r="K1015" s="6">
        <f t="shared" si="54"/>
        <v>60</v>
      </c>
      <c r="AG1015" s="244" t="s">
        <v>2346</v>
      </c>
    </row>
    <row r="1016" spans="1:33" hidden="1">
      <c r="A1016" s="386"/>
      <c r="B1016" s="384" t="s">
        <v>2736</v>
      </c>
      <c r="C1016"/>
      <c r="D1016"/>
      <c r="E1016"/>
      <c r="F1016" s="251">
        <v>3</v>
      </c>
      <c r="G1016" s="250" t="s">
        <v>883</v>
      </c>
      <c r="H1016" s="244" t="s">
        <v>1579</v>
      </c>
      <c r="I1016" s="8">
        <f>C278</f>
        <v>45</v>
      </c>
      <c r="J1016" s="2" t="s">
        <v>883</v>
      </c>
      <c r="K1016" s="6">
        <f t="shared" si="54"/>
        <v>135</v>
      </c>
      <c r="AG1016" s="244" t="s">
        <v>2346</v>
      </c>
    </row>
    <row r="1017" spans="1:33" hidden="1">
      <c r="A1017" s="386"/>
      <c r="B1017" s="384" t="s">
        <v>2737</v>
      </c>
      <c r="C1017"/>
      <c r="D1017"/>
      <c r="E1017"/>
      <c r="F1017" s="251">
        <v>1</v>
      </c>
      <c r="G1017" s="250" t="s">
        <v>883</v>
      </c>
      <c r="H1017" s="244" t="s">
        <v>2055</v>
      </c>
      <c r="I1017" s="8">
        <f>C285</f>
        <v>95</v>
      </c>
      <c r="J1017" s="2" t="s">
        <v>883</v>
      </c>
      <c r="K1017" s="6">
        <f t="shared" si="54"/>
        <v>95</v>
      </c>
      <c r="AG1017" s="244" t="s">
        <v>2346</v>
      </c>
    </row>
    <row r="1018" spans="1:33" hidden="1">
      <c r="A1018" s="386"/>
      <c r="B1018" s="384" t="s">
        <v>2738</v>
      </c>
      <c r="C1018"/>
      <c r="D1018"/>
      <c r="E1018"/>
      <c r="F1018" s="251">
        <v>1</v>
      </c>
      <c r="G1018" s="250" t="s">
        <v>883</v>
      </c>
      <c r="H1018" s="244" t="s">
        <v>2056</v>
      </c>
      <c r="I1018" s="8">
        <f>C287</f>
        <v>8</v>
      </c>
      <c r="J1018" s="2" t="s">
        <v>883</v>
      </c>
      <c r="K1018" s="6">
        <f t="shared" si="54"/>
        <v>8</v>
      </c>
      <c r="AG1018" s="244" t="s">
        <v>2346</v>
      </c>
    </row>
    <row r="1019" spans="1:33" hidden="1">
      <c r="A1019" s="386"/>
      <c r="B1019" s="384" t="s">
        <v>2940</v>
      </c>
      <c r="C1019"/>
      <c r="D1019"/>
      <c r="E1019"/>
      <c r="F1019" s="251">
        <v>1</v>
      </c>
      <c r="G1019" s="250" t="s">
        <v>883</v>
      </c>
      <c r="H1019" s="244" t="s">
        <v>2057</v>
      </c>
      <c r="I1019" s="8">
        <f>C576</f>
        <v>30</v>
      </c>
      <c r="J1019" s="2" t="s">
        <v>883</v>
      </c>
      <c r="K1019" s="6">
        <f t="shared" si="54"/>
        <v>30</v>
      </c>
      <c r="AG1019" s="244" t="s">
        <v>2346</v>
      </c>
    </row>
    <row r="1020" spans="1:33" hidden="1">
      <c r="A1020" s="386"/>
      <c r="B1020" s="384" t="s">
        <v>2941</v>
      </c>
      <c r="C1020"/>
      <c r="D1020"/>
      <c r="E1020"/>
      <c r="F1020" s="251">
        <v>1</v>
      </c>
      <c r="G1020" s="250" t="s">
        <v>883</v>
      </c>
      <c r="H1020" s="244" t="s">
        <v>2058</v>
      </c>
      <c r="I1020" s="8">
        <f>D576</f>
        <v>25</v>
      </c>
      <c r="J1020" s="2" t="s">
        <v>883</v>
      </c>
      <c r="K1020" s="6">
        <f t="shared" si="54"/>
        <v>25</v>
      </c>
      <c r="AG1020" s="244" t="s">
        <v>2346</v>
      </c>
    </row>
    <row r="1021" spans="1:33" hidden="1">
      <c r="A1021" s="386"/>
      <c r="B1021" s="384" t="s">
        <v>2942</v>
      </c>
      <c r="C1021"/>
      <c r="D1021"/>
      <c r="E1021"/>
      <c r="I1021"/>
      <c r="J1021" s="4"/>
      <c r="K1021" s="6" t="s">
        <v>1667</v>
      </c>
      <c r="AG1021" s="244" t="s">
        <v>2346</v>
      </c>
    </row>
    <row r="1022" spans="1:33" hidden="1">
      <c r="A1022" s="386"/>
      <c r="B1022" s="384" t="s">
        <v>2943</v>
      </c>
      <c r="C1022"/>
      <c r="D1022"/>
      <c r="E1022"/>
      <c r="H1022" s="354" t="s">
        <v>1580</v>
      </c>
      <c r="I1022"/>
      <c r="J1022" s="4"/>
      <c r="K1022" s="6">
        <f>SUM(K1011:K1020)</f>
        <v>2737.17</v>
      </c>
      <c r="AG1022" s="244" t="s">
        <v>2346</v>
      </c>
    </row>
    <row r="1023" spans="1:33" ht="31.5" hidden="1">
      <c r="A1023" s="386"/>
      <c r="B1023" s="384" t="s">
        <v>2944</v>
      </c>
      <c r="C1023"/>
      <c r="D1023"/>
      <c r="E1023"/>
      <c r="G1023" s="250" t="s">
        <v>995</v>
      </c>
      <c r="I1023"/>
      <c r="J1023" s="4"/>
      <c r="K1023" s="6" t="s">
        <v>1667</v>
      </c>
      <c r="AG1023" s="244" t="s">
        <v>2346</v>
      </c>
    </row>
    <row r="1024" spans="1:33" hidden="1">
      <c r="A1024" s="386"/>
      <c r="B1024" s="384" t="s">
        <v>2945</v>
      </c>
      <c r="C1024"/>
      <c r="D1024"/>
      <c r="E1024"/>
      <c r="H1024" s="354" t="s">
        <v>555</v>
      </c>
      <c r="I1024"/>
      <c r="J1024" s="4"/>
      <c r="K1024" s="6">
        <f>K1022/F1014</f>
        <v>1669.01</v>
      </c>
      <c r="AG1024" s="244" t="s">
        <v>2346</v>
      </c>
    </row>
    <row r="1025" spans="1:33" hidden="1">
      <c r="A1025" s="386"/>
      <c r="B1025" s="384" t="s">
        <v>3622</v>
      </c>
      <c r="C1025"/>
      <c r="D1025"/>
      <c r="E1025"/>
      <c r="I1025"/>
      <c r="J1025" s="4"/>
      <c r="K1025" s="6" t="s">
        <v>2130</v>
      </c>
      <c r="AG1025" s="244" t="s">
        <v>2346</v>
      </c>
    </row>
    <row r="1026" spans="1:33" hidden="1">
      <c r="A1026" s="386"/>
      <c r="B1026" s="384" t="s">
        <v>3623</v>
      </c>
      <c r="C1026"/>
      <c r="D1026"/>
      <c r="E1026"/>
      <c r="F1026" s="354" t="s">
        <v>1653</v>
      </c>
      <c r="H1026" s="244" t="s">
        <v>1400</v>
      </c>
      <c r="I1026"/>
      <c r="J1026" s="4"/>
      <c r="K1026" s="34"/>
    </row>
    <row r="1027" spans="1:33" hidden="1">
      <c r="A1027" s="386"/>
      <c r="B1027" s="384" t="s">
        <v>3624</v>
      </c>
      <c r="C1027"/>
      <c r="D1027"/>
      <c r="E1027"/>
      <c r="H1027" s="244" t="s">
        <v>1401</v>
      </c>
      <c r="I1027"/>
      <c r="J1027" s="4"/>
      <c r="K1027" s="34"/>
    </row>
    <row r="1028" spans="1:33" hidden="1">
      <c r="A1028" s="386"/>
      <c r="B1028" s="384" t="s">
        <v>3625</v>
      </c>
      <c r="C1028"/>
      <c r="D1028"/>
      <c r="E1028"/>
      <c r="H1028" s="248" t="s">
        <v>1667</v>
      </c>
      <c r="I1028"/>
      <c r="J1028" s="4"/>
      <c r="K1028" s="34"/>
    </row>
    <row r="1029" spans="1:33" hidden="1">
      <c r="A1029" s="386"/>
      <c r="B1029" s="384" t="s">
        <v>3626</v>
      </c>
      <c r="C1029"/>
      <c r="D1029"/>
      <c r="E1029"/>
      <c r="F1029" s="390">
        <v>6.6499999999999997E-3</v>
      </c>
      <c r="G1029" s="250" t="s">
        <v>1402</v>
      </c>
      <c r="H1029" s="244" t="s">
        <v>1403</v>
      </c>
      <c r="I1029" s="8">
        <f>C89</f>
        <v>57165</v>
      </c>
      <c r="J1029" s="2" t="s">
        <v>884</v>
      </c>
      <c r="K1029" s="6">
        <f t="shared" ref="K1029:K1035" si="55">(F1029*I1029)</f>
        <v>380.15</v>
      </c>
    </row>
    <row r="1030" spans="1:33" hidden="1">
      <c r="A1030" s="386"/>
      <c r="B1030" s="384" t="s">
        <v>3628</v>
      </c>
      <c r="C1030"/>
      <c r="D1030"/>
      <c r="E1030"/>
      <c r="F1030" s="390">
        <v>0.32346000000000003</v>
      </c>
      <c r="G1030" s="250" t="s">
        <v>611</v>
      </c>
      <c r="H1030" s="244" t="s">
        <v>3629</v>
      </c>
      <c r="I1030" s="8">
        <f>C271</f>
        <v>160</v>
      </c>
      <c r="J1030" s="2" t="s">
        <v>884</v>
      </c>
      <c r="K1030" s="6">
        <f t="shared" si="55"/>
        <v>51.75</v>
      </c>
    </row>
    <row r="1031" spans="1:33" ht="31.5" hidden="1">
      <c r="A1031" s="386"/>
      <c r="B1031" s="384" t="s">
        <v>3630</v>
      </c>
      <c r="C1031"/>
      <c r="D1031"/>
      <c r="E1031"/>
      <c r="F1031" s="390">
        <v>0.47660000000000002</v>
      </c>
      <c r="G1031" s="250" t="s">
        <v>611</v>
      </c>
      <c r="H1031" s="244" t="s">
        <v>2164</v>
      </c>
      <c r="I1031" s="8">
        <f>D31</f>
        <v>320</v>
      </c>
      <c r="J1031" s="2" t="s">
        <v>611</v>
      </c>
      <c r="K1031" s="6">
        <f t="shared" si="55"/>
        <v>152.51</v>
      </c>
    </row>
    <row r="1032" spans="1:33" ht="21.75" hidden="1" customHeight="1">
      <c r="A1032" s="386"/>
      <c r="B1032" s="384" t="s">
        <v>3631</v>
      </c>
      <c r="C1032"/>
      <c r="D1032"/>
      <c r="E1032"/>
      <c r="F1032" s="251">
        <v>3</v>
      </c>
      <c r="G1032" s="250" t="s">
        <v>883</v>
      </c>
      <c r="H1032" s="244" t="s">
        <v>1404</v>
      </c>
      <c r="I1032" s="8">
        <f>C281</f>
        <v>25</v>
      </c>
      <c r="J1032" s="2" t="s">
        <v>883</v>
      </c>
      <c r="K1032" s="6">
        <f t="shared" si="55"/>
        <v>75</v>
      </c>
    </row>
    <row r="1033" spans="1:33" ht="20.25" hidden="1" customHeight="1">
      <c r="A1033" s="384"/>
      <c r="B1033" s="384" t="s">
        <v>3122</v>
      </c>
      <c r="C1033"/>
      <c r="D1033"/>
      <c r="E1033"/>
      <c r="F1033" s="251">
        <v>2</v>
      </c>
      <c r="G1033" s="250" t="s">
        <v>883</v>
      </c>
      <c r="H1033" s="244" t="s">
        <v>2180</v>
      </c>
      <c r="I1033" s="8">
        <f>C284</f>
        <v>20</v>
      </c>
      <c r="J1033" s="2" t="s">
        <v>883</v>
      </c>
      <c r="K1033" s="6">
        <f t="shared" si="55"/>
        <v>40</v>
      </c>
    </row>
    <row r="1034" spans="1:33" ht="19.5" hidden="1" customHeight="1">
      <c r="A1034" s="386"/>
      <c r="B1034" s="384" t="s">
        <v>2892</v>
      </c>
      <c r="C1034"/>
      <c r="D1034"/>
      <c r="E1034"/>
      <c r="F1034" s="251">
        <v>1</v>
      </c>
      <c r="G1034" s="250" t="s">
        <v>883</v>
      </c>
      <c r="H1034" s="244" t="s">
        <v>2181</v>
      </c>
      <c r="I1034" s="8">
        <f>C303</f>
        <v>8</v>
      </c>
      <c r="J1034" s="2" t="s">
        <v>883</v>
      </c>
      <c r="K1034" s="6">
        <f t="shared" si="55"/>
        <v>8</v>
      </c>
    </row>
    <row r="1035" spans="1:33" ht="18.75" hidden="1" customHeight="1">
      <c r="A1035" s="386"/>
      <c r="B1035" s="384" t="s">
        <v>2893</v>
      </c>
      <c r="C1035"/>
      <c r="D1035"/>
      <c r="E1035"/>
      <c r="F1035" s="251">
        <v>1</v>
      </c>
      <c r="G1035" s="250" t="s">
        <v>883</v>
      </c>
      <c r="H1035" s="244" t="s">
        <v>2182</v>
      </c>
      <c r="I1035" s="8">
        <f>C291</f>
        <v>15.6</v>
      </c>
      <c r="J1035" s="2" t="s">
        <v>883</v>
      </c>
      <c r="K1035" s="6">
        <f t="shared" si="55"/>
        <v>15.6</v>
      </c>
    </row>
    <row r="1036" spans="1:33" ht="18" hidden="1" customHeight="1">
      <c r="A1036" s="386"/>
      <c r="B1036" s="384" t="s">
        <v>3124</v>
      </c>
      <c r="C1036"/>
      <c r="D1036"/>
      <c r="E1036"/>
      <c r="I1036"/>
      <c r="J1036" s="4"/>
      <c r="K1036" s="6" t="s">
        <v>1667</v>
      </c>
    </row>
    <row r="1037" spans="1:33" ht="20.25" hidden="1" customHeight="1">
      <c r="A1037" s="386"/>
      <c r="B1037" s="384" t="s">
        <v>2658</v>
      </c>
      <c r="C1037"/>
      <c r="D1037"/>
      <c r="E1037"/>
      <c r="H1037" s="354" t="s">
        <v>2183</v>
      </c>
      <c r="I1037"/>
      <c r="J1037" s="4"/>
      <c r="K1037" s="6">
        <f>SUM(K1025:K1035)</f>
        <v>723.01</v>
      </c>
    </row>
    <row r="1038" spans="1:33" ht="21.75" hidden="1" customHeight="1">
      <c r="A1038" s="386"/>
      <c r="B1038" s="384" t="s">
        <v>2659</v>
      </c>
      <c r="C1038"/>
      <c r="D1038"/>
      <c r="E1038"/>
      <c r="I1038"/>
      <c r="J1038" s="4"/>
      <c r="K1038" s="6" t="s">
        <v>1667</v>
      </c>
    </row>
    <row r="1039" spans="1:33" ht="24" hidden="1" customHeight="1">
      <c r="A1039" s="386"/>
      <c r="B1039" s="384" t="s">
        <v>2659</v>
      </c>
      <c r="C1039"/>
      <c r="D1039"/>
      <c r="E1039"/>
      <c r="H1039" s="354" t="s">
        <v>555</v>
      </c>
      <c r="I1039" s="1" t="s">
        <v>995</v>
      </c>
      <c r="J1039" s="4"/>
      <c r="K1039" s="6">
        <f>K1037/F1031</f>
        <v>1517.02</v>
      </c>
    </row>
    <row r="1040" spans="1:33" ht="31.5" hidden="1">
      <c r="A1040" s="386"/>
      <c r="B1040" s="384" t="s">
        <v>2660</v>
      </c>
      <c r="C1040"/>
      <c r="D1040"/>
      <c r="E1040"/>
      <c r="I1040"/>
      <c r="J1040" s="4"/>
      <c r="K1040" s="6" t="s">
        <v>2130</v>
      </c>
    </row>
    <row r="1041" spans="1:11" ht="31.5" hidden="1">
      <c r="A1041" s="386"/>
      <c r="B1041" s="384" t="s">
        <v>2661</v>
      </c>
      <c r="C1041"/>
      <c r="D1041"/>
      <c r="E1041"/>
      <c r="F1041" s="354" t="s">
        <v>1698</v>
      </c>
      <c r="G1041" s="250" t="s">
        <v>2338</v>
      </c>
      <c r="H1041" s="244" t="s">
        <v>1400</v>
      </c>
      <c r="I1041"/>
      <c r="J1041" s="4"/>
      <c r="K1041" s="34"/>
    </row>
    <row r="1042" spans="1:11" hidden="1">
      <c r="A1042" s="386"/>
      <c r="H1042" s="244" t="s">
        <v>717</v>
      </c>
      <c r="I1042"/>
      <c r="J1042" s="4"/>
      <c r="K1042" s="34"/>
    </row>
    <row r="1043" spans="1:11" hidden="1">
      <c r="A1043" s="386"/>
      <c r="H1043" s="248" t="s">
        <v>1667</v>
      </c>
      <c r="I1043"/>
      <c r="J1043" s="4"/>
      <c r="K1043" s="34"/>
    </row>
    <row r="1044" spans="1:11" hidden="1">
      <c r="A1044" s="386"/>
      <c r="F1044" s="390">
        <v>5.4000000000000003E-3</v>
      </c>
      <c r="G1044" s="250" t="s">
        <v>1402</v>
      </c>
      <c r="H1044" s="244" t="s">
        <v>1403</v>
      </c>
      <c r="I1044" s="8">
        <f>C89</f>
        <v>57165</v>
      </c>
      <c r="J1044" s="2" t="s">
        <v>884</v>
      </c>
      <c r="K1044" s="6">
        <f t="shared" ref="K1044:K1050" si="56">(F1044*I1044)</f>
        <v>308.69</v>
      </c>
    </row>
    <row r="1045" spans="1:11" hidden="1">
      <c r="A1045" s="386"/>
      <c r="F1045" s="390">
        <v>0.23871000000000001</v>
      </c>
      <c r="G1045" s="250" t="s">
        <v>611</v>
      </c>
      <c r="H1045" s="244" t="s">
        <v>3629</v>
      </c>
      <c r="I1045" s="8">
        <f>C271</f>
        <v>160</v>
      </c>
      <c r="J1045" s="2" t="s">
        <v>884</v>
      </c>
      <c r="K1045" s="6">
        <f t="shared" si="56"/>
        <v>38.19</v>
      </c>
    </row>
    <row r="1046" spans="1:11" hidden="1">
      <c r="A1046" s="386"/>
      <c r="F1046" s="390">
        <v>0.36199999999999999</v>
      </c>
      <c r="G1046" s="250" t="s">
        <v>611</v>
      </c>
      <c r="H1046" s="244" t="s">
        <v>2164</v>
      </c>
      <c r="I1046" s="8">
        <f>D31</f>
        <v>320</v>
      </c>
      <c r="J1046" s="2" t="s">
        <v>611</v>
      </c>
      <c r="K1046" s="6">
        <f t="shared" si="56"/>
        <v>115.84</v>
      </c>
    </row>
    <row r="1047" spans="1:11" hidden="1">
      <c r="A1047" s="386"/>
      <c r="F1047" s="251">
        <v>3</v>
      </c>
      <c r="G1047" s="250" t="s">
        <v>883</v>
      </c>
      <c r="H1047" s="244" t="s">
        <v>1404</v>
      </c>
      <c r="I1047" s="8">
        <f>C281</f>
        <v>25</v>
      </c>
      <c r="J1047" s="2" t="s">
        <v>883</v>
      </c>
      <c r="K1047" s="6">
        <f t="shared" si="56"/>
        <v>75</v>
      </c>
    </row>
    <row r="1048" spans="1:11" hidden="1">
      <c r="A1048" s="386"/>
      <c r="F1048" s="251">
        <v>2</v>
      </c>
      <c r="G1048" s="250" t="s">
        <v>883</v>
      </c>
      <c r="H1048" s="244" t="s">
        <v>2180</v>
      </c>
      <c r="I1048" s="8">
        <f>C284</f>
        <v>20</v>
      </c>
      <c r="J1048" s="2" t="s">
        <v>883</v>
      </c>
      <c r="K1048" s="6">
        <f t="shared" si="56"/>
        <v>40</v>
      </c>
    </row>
    <row r="1049" spans="1:11" hidden="1">
      <c r="A1049" s="386"/>
      <c r="F1049" s="251">
        <v>1</v>
      </c>
      <c r="G1049" s="250" t="s">
        <v>883</v>
      </c>
      <c r="H1049" s="244" t="s">
        <v>2181</v>
      </c>
      <c r="I1049" s="8">
        <f>C303</f>
        <v>8</v>
      </c>
      <c r="J1049" s="2" t="s">
        <v>883</v>
      </c>
      <c r="K1049" s="6">
        <f t="shared" si="56"/>
        <v>8</v>
      </c>
    </row>
    <row r="1050" spans="1:11" hidden="1">
      <c r="A1050" s="386"/>
      <c r="F1050" s="251">
        <v>1</v>
      </c>
      <c r="G1050" s="250" t="s">
        <v>883</v>
      </c>
      <c r="H1050" s="244" t="s">
        <v>2182</v>
      </c>
      <c r="I1050" s="8">
        <f>C291</f>
        <v>15.6</v>
      </c>
      <c r="J1050" s="2" t="s">
        <v>883</v>
      </c>
      <c r="K1050" s="6">
        <f t="shared" si="56"/>
        <v>15.6</v>
      </c>
    </row>
    <row r="1051" spans="1:11" hidden="1">
      <c r="A1051" s="386"/>
      <c r="I1051"/>
      <c r="J1051" s="4"/>
      <c r="K1051" s="6" t="s">
        <v>1667</v>
      </c>
    </row>
    <row r="1052" spans="1:11" hidden="1">
      <c r="A1052" s="386"/>
      <c r="H1052" s="354" t="s">
        <v>905</v>
      </c>
      <c r="I1052"/>
      <c r="J1052" s="4"/>
      <c r="K1052" s="6">
        <f>SUM(K1040:K1050)</f>
        <v>601.32000000000005</v>
      </c>
    </row>
    <row r="1053" spans="1:11" hidden="1">
      <c r="A1053" s="386"/>
      <c r="I1053"/>
      <c r="J1053" s="4"/>
      <c r="K1053" s="6" t="s">
        <v>1667</v>
      </c>
    </row>
    <row r="1054" spans="1:11" hidden="1">
      <c r="A1054" s="386"/>
      <c r="H1054" s="354" t="s">
        <v>555</v>
      </c>
      <c r="I1054" s="1" t="s">
        <v>995</v>
      </c>
      <c r="J1054" s="4"/>
      <c r="K1054" s="6">
        <f>K1052/F1046</f>
        <v>1661.1</v>
      </c>
    </row>
    <row r="1055" spans="1:11" hidden="1">
      <c r="A1055" s="386"/>
      <c r="I1055"/>
      <c r="J1055" s="4"/>
      <c r="K1055" s="6" t="s">
        <v>2130</v>
      </c>
    </row>
    <row r="1056" spans="1:11" hidden="1">
      <c r="A1056" s="386"/>
      <c r="F1056" s="354" t="s">
        <v>1699</v>
      </c>
      <c r="G1056" s="250" t="s">
        <v>2338</v>
      </c>
      <c r="H1056" s="244" t="s">
        <v>906</v>
      </c>
      <c r="I1056"/>
      <c r="J1056" s="4"/>
      <c r="K1056" s="34"/>
    </row>
    <row r="1057" spans="1:11" hidden="1">
      <c r="A1057" s="386"/>
      <c r="H1057" s="244" t="s">
        <v>2067</v>
      </c>
      <c r="I1057"/>
      <c r="J1057" s="4"/>
      <c r="K1057" s="34"/>
    </row>
    <row r="1058" spans="1:11" hidden="1">
      <c r="A1058" s="386"/>
      <c r="H1058" s="248" t="s">
        <v>1667</v>
      </c>
      <c r="I1058"/>
      <c r="J1058" s="4"/>
      <c r="K1058" s="34"/>
    </row>
    <row r="1059" spans="1:11" hidden="1">
      <c r="A1059" s="386"/>
      <c r="F1059" s="390">
        <v>5.3E-3</v>
      </c>
      <c r="G1059" s="250" t="s">
        <v>1402</v>
      </c>
      <c r="H1059" s="244" t="s">
        <v>1403</v>
      </c>
      <c r="I1059" s="8">
        <f>C89</f>
        <v>57165</v>
      </c>
      <c r="J1059" s="2" t="s">
        <v>884</v>
      </c>
      <c r="K1059" s="6">
        <f t="shared" ref="K1059:K1064" si="57">(F1059*I1059)</f>
        <v>302.97000000000003</v>
      </c>
    </row>
    <row r="1060" spans="1:11" hidden="1">
      <c r="A1060" s="386"/>
      <c r="F1060" s="390">
        <v>0.27450000000000002</v>
      </c>
      <c r="G1060" s="250" t="s">
        <v>611</v>
      </c>
      <c r="H1060" s="244" t="s">
        <v>3629</v>
      </c>
      <c r="I1060" s="8">
        <f>C271</f>
        <v>160</v>
      </c>
      <c r="J1060" s="2" t="s">
        <v>884</v>
      </c>
      <c r="K1060" s="6">
        <f t="shared" si="57"/>
        <v>43.92</v>
      </c>
    </row>
    <row r="1061" spans="1:11" hidden="1">
      <c r="A1061" s="386"/>
      <c r="F1061" s="390">
        <v>0.4</v>
      </c>
      <c r="G1061" s="250" t="s">
        <v>611</v>
      </c>
      <c r="H1061" s="244" t="s">
        <v>2164</v>
      </c>
      <c r="I1061" s="8">
        <f>D32</f>
        <v>267</v>
      </c>
      <c r="J1061" s="2" t="s">
        <v>611</v>
      </c>
      <c r="K1061" s="6">
        <f t="shared" si="57"/>
        <v>106.8</v>
      </c>
    </row>
    <row r="1062" spans="1:11" hidden="1">
      <c r="A1062" s="386"/>
      <c r="F1062" s="251">
        <v>2</v>
      </c>
      <c r="G1062" s="250" t="s">
        <v>2068</v>
      </c>
      <c r="H1062" s="244" t="s">
        <v>2069</v>
      </c>
      <c r="I1062" s="8">
        <f>C304</f>
        <v>8.5</v>
      </c>
      <c r="J1062" s="2" t="s">
        <v>2068</v>
      </c>
      <c r="K1062" s="6">
        <f t="shared" si="57"/>
        <v>17</v>
      </c>
    </row>
    <row r="1063" spans="1:11" hidden="1">
      <c r="A1063" s="386"/>
      <c r="F1063" s="251">
        <v>1</v>
      </c>
      <c r="G1063" s="250" t="s">
        <v>883</v>
      </c>
      <c r="H1063" s="244" t="s">
        <v>2070</v>
      </c>
      <c r="I1063" s="8">
        <f>C292</f>
        <v>12.6</v>
      </c>
      <c r="J1063" s="2" t="s">
        <v>883</v>
      </c>
      <c r="K1063" s="6">
        <f t="shared" si="57"/>
        <v>12.6</v>
      </c>
    </row>
    <row r="1064" spans="1:11" hidden="1">
      <c r="A1064" s="386"/>
      <c r="F1064" s="251">
        <v>1</v>
      </c>
      <c r="G1064" s="250" t="s">
        <v>883</v>
      </c>
      <c r="H1064" s="244" t="s">
        <v>2071</v>
      </c>
      <c r="I1064" s="8">
        <f>C290</f>
        <v>20.6</v>
      </c>
      <c r="J1064" s="2" t="s">
        <v>883</v>
      </c>
      <c r="K1064" s="6">
        <f t="shared" si="57"/>
        <v>20.6</v>
      </c>
    </row>
    <row r="1065" spans="1:11" hidden="1">
      <c r="A1065" s="386"/>
      <c r="I1065"/>
      <c r="J1065" s="4"/>
      <c r="K1065" s="6" t="s">
        <v>1667</v>
      </c>
    </row>
    <row r="1066" spans="1:11" hidden="1">
      <c r="A1066" s="386"/>
      <c r="H1066" s="354" t="s">
        <v>905</v>
      </c>
      <c r="I1066"/>
      <c r="J1066" s="4"/>
      <c r="K1066" s="6">
        <f>SUM(K1055:K1064)</f>
        <v>503.89</v>
      </c>
    </row>
    <row r="1067" spans="1:11" hidden="1">
      <c r="A1067" s="386"/>
      <c r="I1067"/>
      <c r="J1067" s="4"/>
      <c r="K1067" s="6" t="s">
        <v>1667</v>
      </c>
    </row>
    <row r="1068" spans="1:11" hidden="1">
      <c r="A1068" s="386"/>
      <c r="H1068" s="354" t="s">
        <v>555</v>
      </c>
      <c r="I1068" s="1" t="s">
        <v>995</v>
      </c>
      <c r="J1068" s="4"/>
      <c r="K1068" s="6">
        <f>K1066/F1061</f>
        <v>1259.73</v>
      </c>
    </row>
    <row r="1069" spans="1:11" hidden="1">
      <c r="A1069" s="386"/>
      <c r="F1069" s="244" t="s">
        <v>995</v>
      </c>
      <c r="I1069"/>
      <c r="J1069" s="4"/>
      <c r="K1069" s="34"/>
    </row>
    <row r="1070" spans="1:11" hidden="1">
      <c r="A1070" s="386"/>
      <c r="I1070"/>
      <c r="J1070" s="4"/>
      <c r="K1070" s="6" t="s">
        <v>2130</v>
      </c>
    </row>
    <row r="1071" spans="1:11" hidden="1">
      <c r="A1071" s="386"/>
      <c r="F1071" s="364">
        <v>22.3</v>
      </c>
      <c r="H1071" s="244" t="s">
        <v>2072</v>
      </c>
      <c r="I1071"/>
      <c r="J1071" s="4"/>
      <c r="K1071" s="34"/>
    </row>
    <row r="1072" spans="1:11" hidden="1">
      <c r="A1072" s="386"/>
      <c r="H1072" s="248" t="s">
        <v>1667</v>
      </c>
      <c r="I1072" s="5" t="s">
        <v>1667</v>
      </c>
      <c r="J1072" s="2" t="s">
        <v>1667</v>
      </c>
      <c r="K1072" s="34"/>
    </row>
    <row r="1073" spans="1:12" hidden="1">
      <c r="A1073" s="386"/>
      <c r="I1073"/>
      <c r="J1073" s="4"/>
      <c r="K1073" s="34"/>
    </row>
    <row r="1074" spans="1:12" hidden="1">
      <c r="A1074" s="386"/>
      <c r="H1074" s="244" t="s">
        <v>2073</v>
      </c>
      <c r="I1074"/>
      <c r="J1074" s="4"/>
      <c r="K1074" s="34"/>
    </row>
    <row r="1075" spans="1:12" hidden="1">
      <c r="A1075" s="386"/>
      <c r="H1075" s="244" t="s">
        <v>2074</v>
      </c>
      <c r="I1075"/>
      <c r="J1075" s="4"/>
      <c r="K1075" s="34"/>
    </row>
    <row r="1076" spans="1:12" hidden="1">
      <c r="A1076" s="386"/>
      <c r="H1076" s="244" t="s">
        <v>454</v>
      </c>
      <c r="I1076"/>
      <c r="J1076" s="4"/>
      <c r="K1076" s="34"/>
    </row>
    <row r="1077" spans="1:12" hidden="1">
      <c r="A1077" s="386"/>
      <c r="H1077" s="244" t="s">
        <v>455</v>
      </c>
      <c r="I1077"/>
      <c r="J1077" s="4"/>
      <c r="K1077" s="34"/>
    </row>
    <row r="1078" spans="1:12" hidden="1">
      <c r="A1078" s="386"/>
      <c r="H1078" s="244" t="s">
        <v>456</v>
      </c>
      <c r="I1078"/>
      <c r="J1078" s="4"/>
      <c r="K1078" s="34"/>
      <c r="L1078" s="244" t="s">
        <v>995</v>
      </c>
    </row>
    <row r="1079" spans="1:12" hidden="1">
      <c r="A1079" s="386"/>
      <c r="I1079"/>
      <c r="J1079" s="2" t="s">
        <v>995</v>
      </c>
      <c r="K1079" s="552">
        <v>3.32E-2</v>
      </c>
    </row>
    <row r="1080" spans="1:12" hidden="1">
      <c r="A1080" s="386"/>
      <c r="H1080" s="244" t="s">
        <v>2231</v>
      </c>
      <c r="I1080"/>
      <c r="J1080" s="389" t="s">
        <v>995</v>
      </c>
      <c r="K1080" s="552" t="s">
        <v>995</v>
      </c>
    </row>
    <row r="1081" spans="1:12" hidden="1">
      <c r="A1081" s="386"/>
      <c r="H1081" s="244" t="s">
        <v>1907</v>
      </c>
      <c r="I1081"/>
      <c r="J1081" s="4"/>
      <c r="K1081" s="552" t="s">
        <v>995</v>
      </c>
    </row>
    <row r="1082" spans="1:12" hidden="1">
      <c r="A1082" s="386"/>
      <c r="I1082"/>
      <c r="J1082" s="4"/>
      <c r="K1082" s="34"/>
    </row>
    <row r="1083" spans="1:12" hidden="1">
      <c r="A1083" s="386"/>
      <c r="F1083" s="390">
        <v>1.18E-2</v>
      </c>
      <c r="G1083" s="250" t="s">
        <v>884</v>
      </c>
      <c r="H1083" s="244" t="s">
        <v>702</v>
      </c>
      <c r="I1083" s="8">
        <f>C88</f>
        <v>65420</v>
      </c>
      <c r="J1083" s="2" t="s">
        <v>884</v>
      </c>
      <c r="K1083" s="6">
        <f t="shared" ref="K1083:K1092" si="58">(F1083*I1083)</f>
        <v>771.96</v>
      </c>
    </row>
    <row r="1084" spans="1:12" hidden="1">
      <c r="A1084" s="386"/>
      <c r="F1084" s="390">
        <v>3.32E-2</v>
      </c>
      <c r="G1084" s="250" t="s">
        <v>884</v>
      </c>
      <c r="H1084" s="244" t="s">
        <v>703</v>
      </c>
      <c r="I1084" s="8">
        <f>C89</f>
        <v>57165</v>
      </c>
      <c r="J1084" s="2" t="s">
        <v>884</v>
      </c>
      <c r="K1084" s="6">
        <f t="shared" si="58"/>
        <v>1897.88</v>
      </c>
    </row>
    <row r="1085" spans="1:12" hidden="1">
      <c r="A1085" s="386"/>
      <c r="F1085" s="390">
        <v>1.8550000000000001E-2</v>
      </c>
      <c r="G1085" s="250" t="s">
        <v>884</v>
      </c>
      <c r="H1085" s="244" t="s">
        <v>902</v>
      </c>
      <c r="I1085" s="8">
        <f>C30</f>
        <v>3035</v>
      </c>
      <c r="J1085" s="2" t="s">
        <v>884</v>
      </c>
      <c r="K1085" s="6">
        <f t="shared" si="58"/>
        <v>56.3</v>
      </c>
    </row>
    <row r="1086" spans="1:12" hidden="1">
      <c r="A1086" s="386"/>
      <c r="F1086" s="390">
        <v>1.46</v>
      </c>
      <c r="G1086" s="250" t="s">
        <v>611</v>
      </c>
      <c r="H1086" s="244" t="s">
        <v>903</v>
      </c>
      <c r="I1086" s="8">
        <v>385.89</v>
      </c>
      <c r="J1086" s="2" t="s">
        <v>611</v>
      </c>
      <c r="K1086" s="6">
        <f t="shared" si="58"/>
        <v>563.4</v>
      </c>
    </row>
    <row r="1087" spans="1:12" hidden="1">
      <c r="A1087" s="386"/>
      <c r="F1087" s="390">
        <v>2.0499999999999998</v>
      </c>
      <c r="G1087" s="250" t="s">
        <v>611</v>
      </c>
      <c r="H1087" s="244" t="s">
        <v>1568</v>
      </c>
      <c r="I1087" s="8">
        <f>D30</f>
        <v>287</v>
      </c>
      <c r="J1087" s="2" t="s">
        <v>611</v>
      </c>
      <c r="K1087" s="6">
        <f t="shared" si="58"/>
        <v>588.35</v>
      </c>
    </row>
    <row r="1088" spans="1:12" hidden="1">
      <c r="A1088" s="386"/>
      <c r="F1088" s="251">
        <v>2</v>
      </c>
      <c r="G1088" s="250" t="s">
        <v>883</v>
      </c>
      <c r="H1088" s="244" t="s">
        <v>1569</v>
      </c>
      <c r="I1088" s="8">
        <v>7.5</v>
      </c>
      <c r="J1088" s="2" t="s">
        <v>883</v>
      </c>
      <c r="K1088" s="6">
        <f t="shared" si="58"/>
        <v>15</v>
      </c>
    </row>
    <row r="1089" spans="1:11" hidden="1">
      <c r="A1089" s="386"/>
      <c r="F1089" s="251">
        <v>6</v>
      </c>
      <c r="G1089" s="250" t="s">
        <v>883</v>
      </c>
      <c r="H1089" s="244" t="s">
        <v>1404</v>
      </c>
      <c r="I1089" s="8">
        <f>C281</f>
        <v>25</v>
      </c>
      <c r="J1089" s="2" t="s">
        <v>883</v>
      </c>
      <c r="K1089" s="6">
        <f t="shared" si="58"/>
        <v>150</v>
      </c>
    </row>
    <row r="1090" spans="1:11" hidden="1">
      <c r="A1090" s="386"/>
      <c r="F1090" s="251">
        <v>2</v>
      </c>
      <c r="G1090" s="250" t="s">
        <v>883</v>
      </c>
      <c r="H1090" s="244" t="s">
        <v>2531</v>
      </c>
      <c r="I1090" s="8">
        <v>50</v>
      </c>
      <c r="J1090" s="2" t="s">
        <v>883</v>
      </c>
      <c r="K1090" s="6">
        <f t="shared" si="58"/>
        <v>100</v>
      </c>
    </row>
    <row r="1091" spans="1:11" hidden="1">
      <c r="A1091" s="386"/>
      <c r="F1091" s="251">
        <v>1</v>
      </c>
      <c r="G1091" s="250" t="s">
        <v>883</v>
      </c>
      <c r="H1091" s="244" t="s">
        <v>1477</v>
      </c>
      <c r="I1091" s="8">
        <v>50</v>
      </c>
      <c r="J1091" s="2" t="s">
        <v>883</v>
      </c>
      <c r="K1091" s="6">
        <f t="shared" si="58"/>
        <v>50</v>
      </c>
    </row>
    <row r="1092" spans="1:11" hidden="1">
      <c r="A1092" s="386"/>
      <c r="F1092" s="251">
        <v>2.52</v>
      </c>
      <c r="G1092" s="250" t="s">
        <v>611</v>
      </c>
      <c r="H1092" s="244" t="s">
        <v>1792</v>
      </c>
      <c r="I1092" s="8">
        <f>K1122</f>
        <v>51.25</v>
      </c>
      <c r="J1092" s="2" t="s">
        <v>611</v>
      </c>
      <c r="K1092" s="6">
        <f t="shared" si="58"/>
        <v>129.15</v>
      </c>
    </row>
    <row r="1093" spans="1:11" hidden="1">
      <c r="A1093" s="386"/>
      <c r="H1093" s="244" t="s">
        <v>1474</v>
      </c>
      <c r="I1093" s="2" t="s">
        <v>448</v>
      </c>
      <c r="J1093" s="4"/>
      <c r="K1093" s="6">
        <v>0.21</v>
      </c>
    </row>
    <row r="1094" spans="1:11" hidden="1">
      <c r="A1094" s="386"/>
      <c r="I1094"/>
      <c r="J1094" s="4"/>
      <c r="K1094" s="6" t="s">
        <v>1667</v>
      </c>
    </row>
    <row r="1095" spans="1:11" hidden="1">
      <c r="A1095" s="386"/>
      <c r="H1095" s="354" t="s">
        <v>1475</v>
      </c>
      <c r="I1095"/>
      <c r="J1095" s="4"/>
      <c r="K1095" s="6">
        <f>SUM(K1083:K1093)</f>
        <v>4322.25</v>
      </c>
    </row>
    <row r="1096" spans="1:11" hidden="1">
      <c r="A1096" s="386"/>
      <c r="G1096" s="250" t="s">
        <v>995</v>
      </c>
      <c r="I1096"/>
      <c r="J1096" s="4"/>
      <c r="K1096" s="6" t="s">
        <v>1667</v>
      </c>
    </row>
    <row r="1097" spans="1:11" hidden="1">
      <c r="A1097" s="386"/>
      <c r="H1097" s="354" t="s">
        <v>555</v>
      </c>
      <c r="I1097"/>
      <c r="J1097" s="4"/>
      <c r="K1097" s="6">
        <f>K1095/2.52</f>
        <v>1715.18</v>
      </c>
    </row>
    <row r="1098" spans="1:11" hidden="1">
      <c r="A1098" s="386"/>
      <c r="I1098"/>
      <c r="J1098" s="4"/>
      <c r="K1098" s="6" t="s">
        <v>2130</v>
      </c>
    </row>
    <row r="1099" spans="1:11" hidden="1">
      <c r="A1099" s="386"/>
      <c r="G1099" s="250" t="s">
        <v>2338</v>
      </c>
      <c r="H1099" s="244" t="s">
        <v>183</v>
      </c>
      <c r="I1099"/>
      <c r="J1099" s="4"/>
      <c r="K1099" s="34"/>
    </row>
    <row r="1100" spans="1:11" hidden="1">
      <c r="A1100" s="386"/>
      <c r="H1100" s="248" t="s">
        <v>1667</v>
      </c>
      <c r="I1100" s="5" t="s">
        <v>1667</v>
      </c>
      <c r="J1100" s="4"/>
      <c r="K1100" s="34"/>
    </row>
    <row r="1101" spans="1:11" hidden="1">
      <c r="A1101" s="386"/>
      <c r="F1101" s="251">
        <v>0.77</v>
      </c>
      <c r="G1101" s="250" t="s">
        <v>184</v>
      </c>
      <c r="H1101" s="244" t="s">
        <v>185</v>
      </c>
      <c r="I1101" s="8">
        <f>C193</f>
        <v>210</v>
      </c>
      <c r="J1101" s="2" t="s">
        <v>184</v>
      </c>
      <c r="K1101" s="6">
        <f>(F1101*I1101)</f>
        <v>161.69999999999999</v>
      </c>
    </row>
    <row r="1102" spans="1:11" hidden="1">
      <c r="A1102" s="386"/>
      <c r="F1102" s="251">
        <v>0.61</v>
      </c>
      <c r="G1102" s="250" t="s">
        <v>184</v>
      </c>
      <c r="H1102" s="244" t="s">
        <v>186</v>
      </c>
      <c r="I1102" s="8">
        <f>C192</f>
        <v>25</v>
      </c>
      <c r="J1102" s="2" t="s">
        <v>184</v>
      </c>
      <c r="K1102" s="6">
        <f>(F1102*I1102)</f>
        <v>15.25</v>
      </c>
    </row>
    <row r="1103" spans="1:11" hidden="1">
      <c r="A1103" s="386"/>
      <c r="F1103" s="251">
        <v>0.7</v>
      </c>
      <c r="G1103" s="250" t="s">
        <v>563</v>
      </c>
      <c r="H1103" s="244" t="s">
        <v>1576</v>
      </c>
      <c r="I1103" s="8">
        <f>C14</f>
        <v>120</v>
      </c>
      <c r="J1103" s="2" t="s">
        <v>1796</v>
      </c>
      <c r="K1103" s="6">
        <f>(F1103*I1103)</f>
        <v>84</v>
      </c>
    </row>
    <row r="1104" spans="1:11" hidden="1">
      <c r="A1104" s="386"/>
      <c r="F1104" s="251">
        <v>0.7</v>
      </c>
      <c r="G1104" s="250" t="s">
        <v>563</v>
      </c>
      <c r="H1104" s="244" t="s">
        <v>893</v>
      </c>
      <c r="I1104" s="8">
        <f>C12</f>
        <v>95</v>
      </c>
      <c r="J1104" s="2" t="s">
        <v>1796</v>
      </c>
      <c r="K1104" s="6">
        <f>(F1104*I1104)</f>
        <v>66.5</v>
      </c>
    </row>
    <row r="1105" spans="1:11" hidden="1">
      <c r="A1105" s="386"/>
      <c r="G1105" s="250" t="s">
        <v>448</v>
      </c>
      <c r="H1105" s="244" t="s">
        <v>1231</v>
      </c>
      <c r="I1105"/>
      <c r="J1105" s="2" t="s">
        <v>448</v>
      </c>
      <c r="K1105" s="6">
        <v>1.5</v>
      </c>
    </row>
    <row r="1106" spans="1:11" hidden="1">
      <c r="A1106" s="386"/>
      <c r="I1106"/>
      <c r="J1106" s="4"/>
      <c r="K1106" s="6" t="s">
        <v>1667</v>
      </c>
    </row>
    <row r="1107" spans="1:11" hidden="1">
      <c r="A1107" s="386"/>
      <c r="H1107" s="354" t="s">
        <v>1502</v>
      </c>
      <c r="I1107"/>
      <c r="J1107" s="4"/>
      <c r="K1107" s="6">
        <f>SUM(K1101:K1105)</f>
        <v>328.95</v>
      </c>
    </row>
    <row r="1108" spans="1:11" hidden="1">
      <c r="A1108" s="386"/>
      <c r="I1108"/>
      <c r="J1108" s="4"/>
      <c r="K1108" s="6" t="s">
        <v>1667</v>
      </c>
    </row>
    <row r="1109" spans="1:11" hidden="1">
      <c r="A1109" s="386"/>
      <c r="H1109" s="354" t="s">
        <v>555</v>
      </c>
      <c r="I1109"/>
      <c r="J1109" s="4"/>
      <c r="K1109" s="6">
        <f>(K1107/10)</f>
        <v>32.9</v>
      </c>
    </row>
    <row r="1110" spans="1:11" hidden="1">
      <c r="A1110" s="386"/>
      <c r="I1110"/>
      <c r="J1110" s="4"/>
      <c r="K1110" s="6" t="s">
        <v>2130</v>
      </c>
    </row>
    <row r="1111" spans="1:11" hidden="1">
      <c r="A1111" s="386"/>
      <c r="I1111"/>
      <c r="J1111" s="4"/>
      <c r="K1111" s="34"/>
    </row>
    <row r="1112" spans="1:11" hidden="1">
      <c r="A1112" s="386"/>
      <c r="F1112" s="244" t="s">
        <v>995</v>
      </c>
      <c r="G1112" s="250" t="s">
        <v>2338</v>
      </c>
      <c r="H1112" s="244" t="s">
        <v>1503</v>
      </c>
      <c r="I1112"/>
      <c r="J1112" s="4"/>
      <c r="K1112" s="34"/>
    </row>
    <row r="1113" spans="1:11" hidden="1">
      <c r="A1113" s="386"/>
      <c r="H1113" s="248" t="s">
        <v>1667</v>
      </c>
      <c r="I1113" s="5" t="s">
        <v>1667</v>
      </c>
      <c r="J1113" s="4"/>
      <c r="K1113" s="34"/>
    </row>
    <row r="1114" spans="1:11" hidden="1">
      <c r="A1114" s="386"/>
      <c r="F1114" s="251">
        <v>1.2</v>
      </c>
      <c r="G1114" s="250" t="s">
        <v>184</v>
      </c>
      <c r="H1114" s="244" t="s">
        <v>185</v>
      </c>
      <c r="I1114" s="8">
        <f>C193</f>
        <v>210</v>
      </c>
      <c r="J1114" s="2" t="s">
        <v>184</v>
      </c>
      <c r="K1114" s="6">
        <f>(F1114*I1114)</f>
        <v>252</v>
      </c>
    </row>
    <row r="1115" spans="1:11" hidden="1">
      <c r="A1115" s="386"/>
      <c r="F1115" s="251">
        <v>0.9</v>
      </c>
      <c r="G1115" s="250" t="s">
        <v>184</v>
      </c>
      <c r="H1115" s="244" t="s">
        <v>186</v>
      </c>
      <c r="I1115" s="8">
        <f>C192</f>
        <v>25</v>
      </c>
      <c r="J1115" s="2" t="s">
        <v>184</v>
      </c>
      <c r="K1115" s="6">
        <f>(F1115*I1115)</f>
        <v>22.5</v>
      </c>
    </row>
    <row r="1116" spans="1:11" hidden="1">
      <c r="A1116" s="386"/>
      <c r="F1116" s="251">
        <v>1.1000000000000001</v>
      </c>
      <c r="G1116" s="250" t="s">
        <v>563</v>
      </c>
      <c r="H1116" s="244" t="s">
        <v>1576</v>
      </c>
      <c r="I1116" s="8">
        <f>C14</f>
        <v>120</v>
      </c>
      <c r="J1116" s="2" t="s">
        <v>1796</v>
      </c>
      <c r="K1116" s="6">
        <f>(F1116*I1116)</f>
        <v>132</v>
      </c>
    </row>
    <row r="1117" spans="1:11" hidden="1">
      <c r="A1117" s="386"/>
      <c r="F1117" s="251">
        <v>1.1000000000000001</v>
      </c>
      <c r="G1117" s="250" t="s">
        <v>563</v>
      </c>
      <c r="H1117" s="244" t="s">
        <v>893</v>
      </c>
      <c r="I1117" s="8">
        <f>C12</f>
        <v>95</v>
      </c>
      <c r="J1117" s="2" t="s">
        <v>1796</v>
      </c>
      <c r="K1117" s="6">
        <f>(F1117*I1117)</f>
        <v>104.5</v>
      </c>
    </row>
    <row r="1118" spans="1:11" hidden="1">
      <c r="A1118" s="386"/>
      <c r="G1118" s="250" t="s">
        <v>448</v>
      </c>
      <c r="H1118" s="244" t="s">
        <v>1231</v>
      </c>
      <c r="I1118"/>
      <c r="J1118" s="2" t="s">
        <v>448</v>
      </c>
      <c r="K1118" s="6">
        <v>1.5</v>
      </c>
    </row>
    <row r="1119" spans="1:11" hidden="1">
      <c r="A1119" s="386"/>
      <c r="I1119"/>
      <c r="J1119" s="4"/>
      <c r="K1119" s="6" t="s">
        <v>1667</v>
      </c>
    </row>
    <row r="1120" spans="1:11" hidden="1">
      <c r="A1120" s="386"/>
      <c r="H1120" s="354" t="s">
        <v>1502</v>
      </c>
      <c r="I1120"/>
      <c r="J1120" s="4"/>
      <c r="K1120" s="6">
        <f>SUM(K1114:K1118)</f>
        <v>512.5</v>
      </c>
    </row>
    <row r="1121" spans="1:33" hidden="1">
      <c r="A1121" s="386"/>
      <c r="I1121"/>
      <c r="J1121" s="4"/>
      <c r="K1121" s="6" t="s">
        <v>1667</v>
      </c>
    </row>
    <row r="1122" spans="1:33" hidden="1">
      <c r="A1122" s="386"/>
      <c r="H1122" s="354" t="s">
        <v>555</v>
      </c>
      <c r="I1122"/>
      <c r="J1122" s="4"/>
      <c r="K1122" s="6">
        <f>(K1120/10)</f>
        <v>51.25</v>
      </c>
    </row>
    <row r="1123" spans="1:33" hidden="1">
      <c r="A1123" s="386"/>
      <c r="I1123"/>
      <c r="J1123" s="4"/>
      <c r="K1123" s="6" t="s">
        <v>2130</v>
      </c>
    </row>
    <row r="1124" spans="1:33" hidden="1">
      <c r="A1124" s="386"/>
      <c r="I1124"/>
      <c r="J1124" s="4"/>
      <c r="K1124" s="34"/>
    </row>
    <row r="1125" spans="1:33" hidden="1">
      <c r="A1125" s="386"/>
      <c r="F1125" s="375">
        <v>23.3</v>
      </c>
      <c r="H1125" s="245" t="s">
        <v>2375</v>
      </c>
      <c r="I1125"/>
      <c r="J1125" s="4"/>
      <c r="K1125" s="34">
        <v>35</v>
      </c>
    </row>
    <row r="1126" spans="1:33" hidden="1">
      <c r="A1126" s="386"/>
      <c r="I1126"/>
      <c r="J1126" s="4"/>
      <c r="K1126" s="34"/>
    </row>
    <row r="1127" spans="1:33" hidden="1">
      <c r="A1127" s="386"/>
      <c r="I1127"/>
      <c r="J1127" s="4"/>
      <c r="K1127" s="34"/>
    </row>
    <row r="1128" spans="1:33" hidden="1">
      <c r="A1128" s="386"/>
      <c r="F1128" s="354" t="s">
        <v>1504</v>
      </c>
      <c r="G1128" s="250" t="s">
        <v>2338</v>
      </c>
      <c r="H1128" s="244" t="s">
        <v>2523</v>
      </c>
      <c r="I1128"/>
      <c r="J1128" s="4"/>
      <c r="K1128" s="34"/>
      <c r="AG1128" s="244" t="s">
        <v>2346</v>
      </c>
    </row>
    <row r="1129" spans="1:33" hidden="1">
      <c r="A1129" s="386"/>
      <c r="H1129" s="244" t="s">
        <v>1505</v>
      </c>
      <c r="I1129"/>
      <c r="J1129" s="4"/>
      <c r="K1129" s="34"/>
      <c r="AG1129" s="244" t="s">
        <v>2346</v>
      </c>
    </row>
    <row r="1130" spans="1:33" hidden="1">
      <c r="A1130" s="386"/>
      <c r="H1130" s="248" t="s">
        <v>1667</v>
      </c>
      <c r="I1130" s="5" t="s">
        <v>1667</v>
      </c>
      <c r="J1130" s="4"/>
      <c r="K1130" s="34"/>
      <c r="AG1130" s="244" t="s">
        <v>2346</v>
      </c>
    </row>
    <row r="1131" spans="1:33" hidden="1">
      <c r="A1131" s="386"/>
      <c r="F1131" s="374">
        <v>0.53339999999999999</v>
      </c>
      <c r="G1131" s="250" t="s">
        <v>2371</v>
      </c>
      <c r="H1131" s="244" t="s">
        <v>2524</v>
      </c>
      <c r="I1131" s="8">
        <f>C271</f>
        <v>160</v>
      </c>
      <c r="J1131" s="2" t="s">
        <v>2371</v>
      </c>
      <c r="K1131" s="6">
        <f>(F1131*I1131)</f>
        <v>85.34</v>
      </c>
      <c r="AG1131" s="244" t="s">
        <v>2346</v>
      </c>
    </row>
    <row r="1132" spans="1:33" hidden="1">
      <c r="A1132" s="386"/>
      <c r="F1132" s="251">
        <v>4.24</v>
      </c>
      <c r="G1132" s="250" t="s">
        <v>840</v>
      </c>
      <c r="H1132" s="244" t="s">
        <v>713</v>
      </c>
      <c r="I1132" s="8">
        <v>13.66</v>
      </c>
      <c r="J1132" s="2" t="s">
        <v>840</v>
      </c>
      <c r="K1132" s="6">
        <f>(F1132*I1132)</f>
        <v>57.92</v>
      </c>
      <c r="AG1132" s="244" t="s">
        <v>2346</v>
      </c>
    </row>
    <row r="1133" spans="1:33" hidden="1">
      <c r="A1133" s="386"/>
      <c r="F1133" s="251">
        <v>16</v>
      </c>
      <c r="G1133" s="250" t="s">
        <v>563</v>
      </c>
      <c r="H1133" s="244" t="s">
        <v>714</v>
      </c>
      <c r="I1133" s="8">
        <v>0.5</v>
      </c>
      <c r="J1133" s="2" t="s">
        <v>1458</v>
      </c>
      <c r="K1133" s="6">
        <f>(F1133*I1133)</f>
        <v>8</v>
      </c>
      <c r="AG1133" s="244" t="s">
        <v>325</v>
      </c>
    </row>
    <row r="1134" spans="1:33" hidden="1">
      <c r="A1134" s="386"/>
      <c r="F1134" s="374">
        <v>0.53339999999999999</v>
      </c>
      <c r="G1134" s="250" t="s">
        <v>2371</v>
      </c>
      <c r="H1134" s="244" t="s">
        <v>715</v>
      </c>
      <c r="I1134" s="8">
        <f>0.25/1.08*D16</f>
        <v>31.25</v>
      </c>
      <c r="J1134" s="2" t="s">
        <v>2371</v>
      </c>
      <c r="K1134" s="6">
        <f>(F1134*I1134)</f>
        <v>16.670000000000002</v>
      </c>
    </row>
    <row r="1135" spans="1:33" hidden="1">
      <c r="A1135" s="386"/>
      <c r="G1135" s="250" t="s">
        <v>448</v>
      </c>
      <c r="H1135" s="244" t="s">
        <v>2359</v>
      </c>
      <c r="I1135"/>
      <c r="J1135" s="2" t="s">
        <v>448</v>
      </c>
      <c r="K1135" s="6">
        <v>0</v>
      </c>
    </row>
    <row r="1136" spans="1:33" hidden="1">
      <c r="A1136" s="386"/>
      <c r="H1136" s="244" t="s">
        <v>2360</v>
      </c>
      <c r="I1136"/>
      <c r="J1136" s="4"/>
      <c r="K1136" s="34"/>
      <c r="AG1136" s="244" t="s">
        <v>2346</v>
      </c>
    </row>
    <row r="1137" spans="1:33" hidden="1">
      <c r="A1137" s="386"/>
      <c r="I1137"/>
      <c r="J1137" s="4"/>
      <c r="K1137" s="6" t="s">
        <v>1667</v>
      </c>
      <c r="AG1137" s="244" t="s">
        <v>2346</v>
      </c>
    </row>
    <row r="1138" spans="1:33" hidden="1">
      <c r="A1138" s="386"/>
      <c r="H1138" s="354" t="s">
        <v>1778</v>
      </c>
      <c r="I1138"/>
      <c r="J1138" s="4"/>
      <c r="K1138" s="6">
        <f>SUM(K1131:K1135)</f>
        <v>167.93</v>
      </c>
      <c r="AG1138" s="244" t="s">
        <v>2346</v>
      </c>
    </row>
    <row r="1139" spans="1:33" hidden="1">
      <c r="A1139" s="386"/>
      <c r="I1139"/>
      <c r="J1139" s="4"/>
      <c r="K1139" s="6" t="s">
        <v>1667</v>
      </c>
      <c r="AG1139" s="244" t="s">
        <v>2346</v>
      </c>
    </row>
    <row r="1140" spans="1:33" hidden="1">
      <c r="A1140" s="386"/>
      <c r="H1140" s="354" t="s">
        <v>1779</v>
      </c>
      <c r="I1140"/>
      <c r="J1140" s="4"/>
      <c r="K1140" s="6">
        <f>ROUND(K1138/0.5334,1)</f>
        <v>314.8</v>
      </c>
      <c r="AG1140" s="244" t="s">
        <v>2346</v>
      </c>
    </row>
    <row r="1141" spans="1:33" hidden="1">
      <c r="A1141" s="386"/>
      <c r="F1141" s="244" t="s">
        <v>995</v>
      </c>
      <c r="I1141"/>
      <c r="J1141" s="4"/>
      <c r="K1141" s="6" t="s">
        <v>2130</v>
      </c>
    </row>
    <row r="1142" spans="1:33" hidden="1">
      <c r="A1142" s="386"/>
      <c r="F1142" s="244" t="s">
        <v>995</v>
      </c>
      <c r="G1142" s="250" t="s">
        <v>995</v>
      </c>
      <c r="H1142" s="244" t="s">
        <v>995</v>
      </c>
      <c r="I1142"/>
      <c r="J1142" s="4"/>
      <c r="K1142" s="34"/>
    </row>
    <row r="1143" spans="1:33" hidden="1">
      <c r="A1143" s="386"/>
      <c r="F1143" s="354" t="s">
        <v>1878</v>
      </c>
      <c r="G1143" s="250" t="s">
        <v>2338</v>
      </c>
      <c r="H1143" s="244" t="s">
        <v>1555</v>
      </c>
      <c r="I1143"/>
      <c r="J1143" s="4"/>
      <c r="K1143" s="34"/>
      <c r="AG1143" s="244" t="s">
        <v>2346</v>
      </c>
    </row>
    <row r="1144" spans="1:33" hidden="1">
      <c r="A1144" s="386"/>
      <c r="H1144" s="244" t="s">
        <v>1556</v>
      </c>
      <c r="I1144"/>
      <c r="J1144" s="4"/>
      <c r="K1144" s="34"/>
      <c r="AG1144" s="244" t="s">
        <v>2346</v>
      </c>
    </row>
    <row r="1145" spans="1:33" hidden="1">
      <c r="A1145" s="386"/>
      <c r="H1145" s="248" t="s">
        <v>1667</v>
      </c>
      <c r="I1145"/>
      <c r="J1145" s="4"/>
      <c r="K1145" s="34"/>
      <c r="AG1145" s="244" t="s">
        <v>2346</v>
      </c>
    </row>
    <row r="1146" spans="1:33" hidden="1">
      <c r="A1146" s="386"/>
      <c r="F1146" s="251">
        <v>1</v>
      </c>
      <c r="G1146" s="250" t="s">
        <v>1730</v>
      </c>
      <c r="H1146" s="244" t="s">
        <v>2525</v>
      </c>
      <c r="I1146" s="8">
        <f>(C638)</f>
        <v>37</v>
      </c>
      <c r="J1146" s="2" t="s">
        <v>1730</v>
      </c>
      <c r="K1146" s="6">
        <f>(F1146*I1146)</f>
        <v>37</v>
      </c>
      <c r="AG1146" s="244" t="s">
        <v>2346</v>
      </c>
    </row>
    <row r="1147" spans="1:33" hidden="1">
      <c r="A1147" s="386"/>
      <c r="I1147"/>
      <c r="J1147" s="4"/>
      <c r="K1147" s="6" t="s">
        <v>2130</v>
      </c>
      <c r="AG1147" s="244" t="s">
        <v>2346</v>
      </c>
    </row>
    <row r="1148" spans="1:33" hidden="1">
      <c r="A1148" s="386"/>
      <c r="I1148"/>
      <c r="J1148" s="4"/>
      <c r="K1148" s="34"/>
      <c r="AG1148" s="244" t="s">
        <v>2346</v>
      </c>
    </row>
    <row r="1149" spans="1:33" hidden="1">
      <c r="A1149" s="386"/>
      <c r="F1149" s="354" t="s">
        <v>444</v>
      </c>
      <c r="G1149" s="250" t="s">
        <v>2338</v>
      </c>
      <c r="H1149" s="244" t="s">
        <v>260</v>
      </c>
      <c r="I1149" s="1" t="s">
        <v>995</v>
      </c>
      <c r="J1149" s="2" t="s">
        <v>1796</v>
      </c>
      <c r="K1149" s="6">
        <v>3.7</v>
      </c>
      <c r="AG1149" s="244" t="s">
        <v>2346</v>
      </c>
    </row>
    <row r="1150" spans="1:33" hidden="1">
      <c r="A1150" s="386"/>
      <c r="H1150" s="244" t="s">
        <v>261</v>
      </c>
      <c r="I1150"/>
      <c r="J1150" s="4"/>
      <c r="K1150" s="6" t="s">
        <v>2130</v>
      </c>
      <c r="AG1150" s="244" t="s">
        <v>2346</v>
      </c>
    </row>
    <row r="1151" spans="1:33" hidden="1">
      <c r="A1151" s="386"/>
      <c r="I1151"/>
      <c r="J1151" s="4"/>
      <c r="K1151" s="34"/>
      <c r="AG1151" s="244" t="s">
        <v>2346</v>
      </c>
    </row>
    <row r="1152" spans="1:33" hidden="1">
      <c r="A1152" s="386"/>
      <c r="F1152" s="354" t="s">
        <v>230</v>
      </c>
      <c r="G1152" s="250" t="s">
        <v>2338</v>
      </c>
      <c r="H1152" s="244" t="s">
        <v>1998</v>
      </c>
      <c r="I1152"/>
      <c r="J1152" s="4"/>
      <c r="K1152" s="34"/>
      <c r="AG1152" s="244" t="s">
        <v>2346</v>
      </c>
    </row>
    <row r="1153" spans="1:33" hidden="1">
      <c r="A1153" s="386"/>
      <c r="H1153" s="244" t="s">
        <v>948</v>
      </c>
      <c r="I1153"/>
      <c r="J1153" s="4"/>
      <c r="K1153" s="34"/>
      <c r="AG1153" s="244" t="s">
        <v>2346</v>
      </c>
    </row>
    <row r="1154" spans="1:33" hidden="1">
      <c r="A1154" s="386"/>
      <c r="H1154" s="248" t="s">
        <v>1667</v>
      </c>
      <c r="I1154"/>
      <c r="J1154" s="4"/>
      <c r="K1154" s="34"/>
      <c r="AG1154" s="244" t="s">
        <v>2346</v>
      </c>
    </row>
    <row r="1155" spans="1:33" hidden="1">
      <c r="A1155" s="386"/>
      <c r="F1155" s="251">
        <v>0.22</v>
      </c>
      <c r="G1155" s="250" t="s">
        <v>884</v>
      </c>
      <c r="H1155" s="244" t="s">
        <v>1364</v>
      </c>
      <c r="I1155" s="8" t="e">
        <f>(K40)</f>
        <v>#REF!</v>
      </c>
      <c r="J1155" s="2" t="s">
        <v>884</v>
      </c>
      <c r="K1155" s="6" t="e">
        <f>(F1155*I1155)</f>
        <v>#REF!</v>
      </c>
      <c r="AG1155" s="244" t="s">
        <v>2346</v>
      </c>
    </row>
    <row r="1156" spans="1:33" hidden="1">
      <c r="A1156" s="386"/>
      <c r="F1156" s="251">
        <v>2.2000000000000002</v>
      </c>
      <c r="G1156" s="250" t="s">
        <v>781</v>
      </c>
      <c r="H1156" s="244" t="s">
        <v>2082</v>
      </c>
      <c r="I1156" s="8">
        <f>(C10)</f>
        <v>150</v>
      </c>
      <c r="J1156" s="2" t="s">
        <v>781</v>
      </c>
      <c r="K1156" s="6">
        <f>(F1156*I1156)</f>
        <v>330</v>
      </c>
      <c r="AG1156" s="244" t="s">
        <v>2346</v>
      </c>
    </row>
    <row r="1157" spans="1:33" hidden="1">
      <c r="A1157" s="386"/>
      <c r="F1157" s="251">
        <v>0.5</v>
      </c>
      <c r="G1157" s="250" t="s">
        <v>781</v>
      </c>
      <c r="H1157" s="244" t="s">
        <v>949</v>
      </c>
      <c r="I1157" s="8">
        <f>(C12)</f>
        <v>95</v>
      </c>
      <c r="J1157" s="2" t="s">
        <v>781</v>
      </c>
      <c r="K1157" s="6">
        <f>(F1157*I1157)</f>
        <v>47.5</v>
      </c>
      <c r="AG1157" s="244" t="s">
        <v>2346</v>
      </c>
    </row>
    <row r="1158" spans="1:33" hidden="1">
      <c r="A1158" s="386"/>
      <c r="F1158" s="251">
        <v>3.2</v>
      </c>
      <c r="G1158" s="250" t="s">
        <v>781</v>
      </c>
      <c r="H1158" s="244" t="s">
        <v>324</v>
      </c>
      <c r="I1158" s="8">
        <f>(C13)</f>
        <v>85</v>
      </c>
      <c r="J1158" s="2" t="s">
        <v>781</v>
      </c>
      <c r="K1158" s="6">
        <f>(F1158*I1158)</f>
        <v>272</v>
      </c>
      <c r="AG1158" s="244" t="s">
        <v>2346</v>
      </c>
    </row>
    <row r="1159" spans="1:33" hidden="1">
      <c r="A1159" s="386"/>
      <c r="G1159" s="250" t="s">
        <v>448</v>
      </c>
      <c r="H1159" s="244" t="s">
        <v>449</v>
      </c>
      <c r="I1159" s="1" t="s">
        <v>995</v>
      </c>
      <c r="J1159" s="2" t="s">
        <v>448</v>
      </c>
      <c r="K1159" s="6">
        <v>0</v>
      </c>
      <c r="AG1159" s="244" t="s">
        <v>2346</v>
      </c>
    </row>
    <row r="1160" spans="1:33" hidden="1">
      <c r="A1160" s="386"/>
      <c r="I1160"/>
      <c r="J1160" s="4"/>
      <c r="K1160" s="6" t="s">
        <v>1667</v>
      </c>
      <c r="AG1160" s="244" t="s">
        <v>2346</v>
      </c>
    </row>
    <row r="1161" spans="1:33" hidden="1">
      <c r="A1161" s="386"/>
      <c r="H1161" s="244" t="s">
        <v>440</v>
      </c>
      <c r="I1161"/>
      <c r="J1161" s="4"/>
      <c r="K1161" s="6" t="e">
        <f>SUM(K1155:K1159)</f>
        <v>#REF!</v>
      </c>
      <c r="AG1161" s="244" t="s">
        <v>2346</v>
      </c>
    </row>
    <row r="1162" spans="1:33" hidden="1">
      <c r="A1162" s="386"/>
      <c r="I1162"/>
      <c r="J1162" s="4"/>
      <c r="K1162" s="6" t="s">
        <v>1667</v>
      </c>
      <c r="AG1162" s="244" t="s">
        <v>2346</v>
      </c>
    </row>
    <row r="1163" spans="1:33" hidden="1">
      <c r="A1163" s="386"/>
      <c r="H1163" s="244" t="s">
        <v>555</v>
      </c>
      <c r="I1163"/>
      <c r="J1163" s="4"/>
      <c r="K1163" s="6" t="e">
        <f>(K1161/10)</f>
        <v>#REF!</v>
      </c>
      <c r="AG1163" s="244" t="s">
        <v>2346</v>
      </c>
    </row>
    <row r="1164" spans="1:33" hidden="1">
      <c r="A1164" s="386"/>
      <c r="I1164"/>
      <c r="J1164" s="4"/>
      <c r="K1164" s="6" t="s">
        <v>2130</v>
      </c>
      <c r="AG1164" s="244" t="s">
        <v>2346</v>
      </c>
    </row>
    <row r="1165" spans="1:33" hidden="1">
      <c r="A1165" s="386"/>
      <c r="F1165" s="354" t="s">
        <v>950</v>
      </c>
      <c r="G1165" s="250" t="s">
        <v>2338</v>
      </c>
      <c r="H1165" s="244" t="s">
        <v>1921</v>
      </c>
      <c r="I1165"/>
      <c r="J1165" s="4"/>
      <c r="K1165" s="34"/>
      <c r="AG1165" s="244" t="s">
        <v>2346</v>
      </c>
    </row>
    <row r="1166" spans="1:33" hidden="1">
      <c r="A1166" s="386"/>
      <c r="H1166" s="244" t="s">
        <v>1949</v>
      </c>
      <c r="I1166"/>
      <c r="J1166" s="4"/>
      <c r="K1166" s="34"/>
      <c r="AG1166" s="244" t="s">
        <v>2346</v>
      </c>
    </row>
    <row r="1167" spans="1:33" hidden="1">
      <c r="A1167" s="386"/>
      <c r="H1167" s="248" t="s">
        <v>1667</v>
      </c>
      <c r="I1167"/>
      <c r="J1167" s="4"/>
      <c r="K1167" s="34"/>
      <c r="AG1167" s="244" t="s">
        <v>2346</v>
      </c>
    </row>
    <row r="1168" spans="1:33" hidden="1">
      <c r="A1168" s="386"/>
      <c r="F1168" s="251">
        <v>160</v>
      </c>
      <c r="G1168" s="250" t="s">
        <v>1950</v>
      </c>
      <c r="H1168" s="244" t="s">
        <v>1951</v>
      </c>
      <c r="I1168" s="8">
        <f>(C136)</f>
        <v>8240</v>
      </c>
      <c r="J1168" s="2" t="s">
        <v>1544</v>
      </c>
      <c r="K1168" s="6">
        <f>(F1168*I1168)/1000</f>
        <v>1318.4</v>
      </c>
      <c r="AG1168" s="244" t="s">
        <v>325</v>
      </c>
    </row>
    <row r="1169" spans="1:33" hidden="1">
      <c r="A1169" s="386"/>
      <c r="H1169" s="244" t="s">
        <v>1952</v>
      </c>
      <c r="I1169" s="1" t="s">
        <v>995</v>
      </c>
      <c r="J1169" s="4"/>
      <c r="K1169" s="6" t="s">
        <v>995</v>
      </c>
    </row>
    <row r="1170" spans="1:33" hidden="1">
      <c r="A1170" s="386"/>
      <c r="F1170" s="251">
        <v>0.21</v>
      </c>
      <c r="G1170" s="250" t="s">
        <v>884</v>
      </c>
      <c r="H1170" s="244" t="s">
        <v>1953</v>
      </c>
      <c r="I1170" s="8" t="e">
        <f>(K32)</f>
        <v>#REF!</v>
      </c>
      <c r="J1170" s="2" t="s">
        <v>884</v>
      </c>
      <c r="K1170" s="6" t="e">
        <f>(F1170*I1170)</f>
        <v>#REF!</v>
      </c>
    </row>
    <row r="1171" spans="1:33" hidden="1">
      <c r="A1171" s="386"/>
      <c r="H1171" s="244" t="s">
        <v>1954</v>
      </c>
      <c r="I1171" s="1" t="s">
        <v>995</v>
      </c>
      <c r="J1171" s="4"/>
      <c r="K1171" s="6" t="s">
        <v>995</v>
      </c>
      <c r="AG1171" s="244" t="s">
        <v>2346</v>
      </c>
    </row>
    <row r="1172" spans="1:33" hidden="1">
      <c r="A1172" s="386"/>
      <c r="F1172" s="251">
        <v>1.1000000000000001</v>
      </c>
      <c r="G1172" s="250" t="s">
        <v>781</v>
      </c>
      <c r="H1172" s="244" t="s">
        <v>2082</v>
      </c>
      <c r="I1172" s="8">
        <f>(C10)</f>
        <v>150</v>
      </c>
      <c r="J1172" s="2" t="s">
        <v>781</v>
      </c>
      <c r="K1172" s="6">
        <f>(F1172*I1172)</f>
        <v>165</v>
      </c>
      <c r="AG1172" s="244" t="s">
        <v>2346</v>
      </c>
    </row>
    <row r="1173" spans="1:33" hidden="1">
      <c r="A1173" s="386"/>
      <c r="F1173" s="251">
        <v>1.1000000000000001</v>
      </c>
      <c r="G1173" s="250" t="s">
        <v>781</v>
      </c>
      <c r="H1173" s="244" t="s">
        <v>1791</v>
      </c>
      <c r="I1173" s="8">
        <f>(C11)</f>
        <v>135</v>
      </c>
      <c r="J1173" s="2" t="s">
        <v>781</v>
      </c>
      <c r="K1173" s="6">
        <f>(F1173*I1173)</f>
        <v>148.5</v>
      </c>
      <c r="AG1173" s="244" t="s">
        <v>2346</v>
      </c>
    </row>
    <row r="1174" spans="1:33" hidden="1">
      <c r="A1174" s="386"/>
      <c r="F1174" s="251">
        <v>2.2000000000000002</v>
      </c>
      <c r="G1174" s="250" t="s">
        <v>781</v>
      </c>
      <c r="H1174" s="244" t="s">
        <v>1979</v>
      </c>
      <c r="I1174" s="8">
        <f>(C12)</f>
        <v>95</v>
      </c>
      <c r="J1174" s="2" t="s">
        <v>781</v>
      </c>
      <c r="K1174" s="6">
        <f>(F1174*I1174)</f>
        <v>209</v>
      </c>
      <c r="AG1174" s="244" t="s">
        <v>2346</v>
      </c>
    </row>
    <row r="1175" spans="1:33" hidden="1">
      <c r="A1175" s="386"/>
      <c r="F1175" s="251">
        <v>2.2000000000000002</v>
      </c>
      <c r="G1175" s="250" t="s">
        <v>781</v>
      </c>
      <c r="H1175" s="244" t="s">
        <v>324</v>
      </c>
      <c r="I1175" s="8">
        <f>(C13)</f>
        <v>85</v>
      </c>
      <c r="J1175" s="2" t="s">
        <v>781</v>
      </c>
      <c r="K1175" s="6">
        <f>(F1175*I1175)</f>
        <v>187</v>
      </c>
      <c r="AG1175" s="244" t="s">
        <v>2346</v>
      </c>
    </row>
    <row r="1176" spans="1:33" hidden="1">
      <c r="A1176" s="386"/>
      <c r="F1176" s="363">
        <v>22</v>
      </c>
      <c r="G1176" s="250" t="s">
        <v>1730</v>
      </c>
      <c r="H1176" s="244" t="s">
        <v>877</v>
      </c>
      <c r="I1176" s="8">
        <f>(C67)</f>
        <v>3800</v>
      </c>
      <c r="J1176" s="2" t="s">
        <v>876</v>
      </c>
      <c r="K1176" s="6">
        <f>(F1176*I1176)/1000</f>
        <v>83.6</v>
      </c>
      <c r="AG1176" s="244" t="s">
        <v>2346</v>
      </c>
    </row>
    <row r="1177" spans="1:33" hidden="1">
      <c r="A1177" s="386"/>
      <c r="F1177" s="251">
        <v>1.6</v>
      </c>
      <c r="G1177" s="250" t="s">
        <v>781</v>
      </c>
      <c r="H1177" s="244" t="s">
        <v>1791</v>
      </c>
      <c r="I1177" s="8">
        <f>(C11)</f>
        <v>135</v>
      </c>
      <c r="J1177" s="2" t="s">
        <v>781</v>
      </c>
      <c r="K1177" s="6">
        <f>(F1177*I1177)</f>
        <v>216</v>
      </c>
      <c r="AG1177" s="244" t="s">
        <v>2346</v>
      </c>
    </row>
    <row r="1178" spans="1:33" hidden="1">
      <c r="A1178" s="386"/>
      <c r="F1178" s="251">
        <v>0.5</v>
      </c>
      <c r="G1178" s="250" t="s">
        <v>781</v>
      </c>
      <c r="H1178" s="244" t="s">
        <v>1979</v>
      </c>
      <c r="I1178" s="8">
        <f>(C12)</f>
        <v>95</v>
      </c>
      <c r="J1178" s="2" t="s">
        <v>781</v>
      </c>
      <c r="K1178" s="6">
        <f>(F1178*I1178)</f>
        <v>47.5</v>
      </c>
      <c r="AG1178" s="244" t="s">
        <v>2346</v>
      </c>
    </row>
    <row r="1179" spans="1:33" hidden="1">
      <c r="A1179" s="386"/>
      <c r="F1179" s="251">
        <v>1.1000000000000001</v>
      </c>
      <c r="G1179" s="250" t="s">
        <v>781</v>
      </c>
      <c r="H1179" s="244" t="s">
        <v>324</v>
      </c>
      <c r="I1179" s="8">
        <f>(C13)</f>
        <v>85</v>
      </c>
      <c r="J1179" s="2" t="s">
        <v>781</v>
      </c>
      <c r="K1179" s="6">
        <f>(F1179*I1179)</f>
        <v>93.5</v>
      </c>
      <c r="AG1179" s="244" t="s">
        <v>2346</v>
      </c>
    </row>
    <row r="1180" spans="1:33" hidden="1">
      <c r="A1180" s="386"/>
      <c r="F1180" s="244" t="s">
        <v>246</v>
      </c>
      <c r="H1180" s="244" t="s">
        <v>1955</v>
      </c>
      <c r="I1180" s="1" t="s">
        <v>995</v>
      </c>
      <c r="J1180" s="4"/>
      <c r="K1180" s="6" t="s">
        <v>995</v>
      </c>
      <c r="AG1180" s="244" t="s">
        <v>2346</v>
      </c>
    </row>
    <row r="1181" spans="1:33" hidden="1">
      <c r="A1181" s="386"/>
      <c r="F1181" s="251">
        <v>1</v>
      </c>
      <c r="G1181" s="250" t="s">
        <v>448</v>
      </c>
      <c r="H1181" s="244" t="s">
        <v>1956</v>
      </c>
      <c r="I1181" s="8">
        <f>(C57)</f>
        <v>35</v>
      </c>
      <c r="J1181" s="2" t="s">
        <v>448</v>
      </c>
      <c r="K1181" s="6">
        <f>(F1181*I1181)</f>
        <v>35</v>
      </c>
      <c r="AG1181" s="244" t="s">
        <v>2346</v>
      </c>
    </row>
    <row r="1182" spans="1:33" hidden="1">
      <c r="A1182" s="386"/>
      <c r="F1182" s="251">
        <v>1</v>
      </c>
      <c r="G1182" s="250" t="s">
        <v>448</v>
      </c>
      <c r="H1182" s="244" t="s">
        <v>1957</v>
      </c>
      <c r="I1182" s="8">
        <f>(C58)</f>
        <v>15</v>
      </c>
      <c r="J1182" s="2" t="s">
        <v>448</v>
      </c>
      <c r="K1182" s="6">
        <f>(F1182*I1182)</f>
        <v>15</v>
      </c>
      <c r="AG1182" s="244" t="s">
        <v>2346</v>
      </c>
    </row>
    <row r="1183" spans="1:33" hidden="1">
      <c r="A1183" s="386"/>
      <c r="F1183" s="251">
        <v>1</v>
      </c>
      <c r="G1183" s="250" t="s">
        <v>448</v>
      </c>
      <c r="H1183" s="244" t="s">
        <v>180</v>
      </c>
      <c r="I1183" s="8">
        <f>(C28)</f>
        <v>58.33</v>
      </c>
      <c r="J1183" s="2" t="s">
        <v>448</v>
      </c>
      <c r="K1183" s="6">
        <f>(F1183*I1183)</f>
        <v>58.33</v>
      </c>
      <c r="AG1183" s="244" t="s">
        <v>2346</v>
      </c>
    </row>
    <row r="1184" spans="1:33" hidden="1">
      <c r="A1184" s="386"/>
      <c r="F1184" s="251">
        <v>1.1000000000000001</v>
      </c>
      <c r="G1184" s="250" t="s">
        <v>781</v>
      </c>
      <c r="H1184" s="244" t="s">
        <v>871</v>
      </c>
      <c r="I1184" s="8">
        <f>(C29)</f>
        <v>120</v>
      </c>
      <c r="J1184" s="2" t="s">
        <v>781</v>
      </c>
      <c r="K1184" s="6">
        <f>(F1184*I1184)</f>
        <v>132</v>
      </c>
      <c r="AG1184" s="244" t="s">
        <v>2346</v>
      </c>
    </row>
    <row r="1185" spans="1:33" hidden="1">
      <c r="A1185" s="386"/>
      <c r="F1185" s="251">
        <v>2.2000000000000002</v>
      </c>
      <c r="G1185" s="250" t="s">
        <v>781</v>
      </c>
      <c r="H1185" s="244" t="s">
        <v>872</v>
      </c>
      <c r="I1185" s="8">
        <f>(C13)</f>
        <v>85</v>
      </c>
      <c r="J1185" s="2" t="s">
        <v>781</v>
      </c>
      <c r="K1185" s="6">
        <f>(F1185*I1185)</f>
        <v>187</v>
      </c>
      <c r="AG1185" s="244" t="s">
        <v>2346</v>
      </c>
    </row>
    <row r="1186" spans="1:33" hidden="1">
      <c r="A1186" s="386"/>
      <c r="G1186" s="250" t="s">
        <v>448</v>
      </c>
      <c r="H1186" s="244" t="s">
        <v>449</v>
      </c>
      <c r="I1186"/>
      <c r="J1186" s="2" t="s">
        <v>448</v>
      </c>
      <c r="K1186" s="6">
        <v>0</v>
      </c>
      <c r="AG1186" s="244" t="s">
        <v>2346</v>
      </c>
    </row>
    <row r="1187" spans="1:33" hidden="1">
      <c r="A1187" s="386"/>
      <c r="I1187"/>
      <c r="J1187" s="4"/>
      <c r="K1187" s="6" t="s">
        <v>1667</v>
      </c>
      <c r="AG1187" s="244" t="s">
        <v>2346</v>
      </c>
    </row>
    <row r="1188" spans="1:33" hidden="1">
      <c r="A1188" s="386"/>
      <c r="H1188" s="244" t="s">
        <v>440</v>
      </c>
      <c r="I1188"/>
      <c r="J1188" s="4"/>
      <c r="K1188" s="6" t="e">
        <f>SUM(K1168:K1186)</f>
        <v>#REF!</v>
      </c>
      <c r="AG1188" s="244" t="s">
        <v>2346</v>
      </c>
    </row>
    <row r="1189" spans="1:33" hidden="1">
      <c r="A1189" s="386"/>
      <c r="I1189"/>
      <c r="J1189" s="4"/>
      <c r="K1189" s="6" t="s">
        <v>1667</v>
      </c>
      <c r="AG1189" s="244" t="s">
        <v>2346</v>
      </c>
    </row>
    <row r="1190" spans="1:33" hidden="1">
      <c r="A1190" s="386"/>
      <c r="F1190" s="244" t="s">
        <v>995</v>
      </c>
      <c r="I1190"/>
      <c r="J1190" s="4"/>
      <c r="K1190" s="34"/>
    </row>
    <row r="1191" spans="1:33" hidden="1">
      <c r="A1191" s="386"/>
      <c r="H1191" s="244" t="s">
        <v>555</v>
      </c>
      <c r="I1191"/>
      <c r="J1191" s="4"/>
      <c r="K1191" s="6" t="e">
        <f>(K1188/10)</f>
        <v>#REF!</v>
      </c>
      <c r="AG1191" s="244" t="s">
        <v>2346</v>
      </c>
    </row>
    <row r="1192" spans="1:33" hidden="1">
      <c r="A1192" s="386"/>
      <c r="F1192" s="244" t="s">
        <v>995</v>
      </c>
      <c r="I1192"/>
      <c r="J1192" s="4"/>
      <c r="K1192" s="34"/>
    </row>
    <row r="1193" spans="1:33" hidden="1">
      <c r="A1193" s="386"/>
      <c r="I1193"/>
      <c r="J1193" s="4"/>
      <c r="K1193" s="6" t="s">
        <v>2130</v>
      </c>
      <c r="AG1193" s="244" t="s">
        <v>2346</v>
      </c>
    </row>
    <row r="1194" spans="1:33" hidden="1">
      <c r="A1194" s="386"/>
      <c r="F1194" s="364">
        <v>29.5</v>
      </c>
      <c r="G1194" s="250" t="s">
        <v>2338</v>
      </c>
      <c r="H1194" s="244" t="s">
        <v>1891</v>
      </c>
      <c r="I1194"/>
      <c r="J1194" s="4"/>
      <c r="K1194" s="34"/>
      <c r="AG1194" s="244" t="s">
        <v>2346</v>
      </c>
    </row>
    <row r="1195" spans="1:33" hidden="1">
      <c r="A1195" s="386"/>
      <c r="H1195" s="244" t="s">
        <v>873</v>
      </c>
      <c r="I1195"/>
      <c r="J1195" s="4"/>
      <c r="K1195" s="34"/>
      <c r="AG1195" s="244" t="s">
        <v>2346</v>
      </c>
    </row>
    <row r="1196" spans="1:33" hidden="1">
      <c r="A1196" s="386"/>
      <c r="H1196" s="244" t="s">
        <v>2012</v>
      </c>
      <c r="I1196"/>
      <c r="J1196" s="4"/>
      <c r="K1196" s="34"/>
      <c r="AG1196" s="244" t="s">
        <v>2346</v>
      </c>
    </row>
    <row r="1197" spans="1:33" hidden="1">
      <c r="A1197" s="386"/>
      <c r="H1197" s="248" t="s">
        <v>1667</v>
      </c>
      <c r="I1197" s="5" t="s">
        <v>1667</v>
      </c>
      <c r="J1197" s="4"/>
      <c r="K1197" s="34"/>
      <c r="AG1197" s="244" t="s">
        <v>2346</v>
      </c>
    </row>
    <row r="1198" spans="1:33" hidden="1">
      <c r="A1198" s="386"/>
      <c r="F1198" s="251">
        <v>10</v>
      </c>
      <c r="G1198" s="250" t="s">
        <v>611</v>
      </c>
      <c r="H1198" s="244" t="s">
        <v>2013</v>
      </c>
      <c r="I1198" s="8">
        <f>(C579)</f>
        <v>301</v>
      </c>
      <c r="J1198" s="2" t="s">
        <v>611</v>
      </c>
      <c r="K1198" s="6">
        <f>(F1198*I1198)</f>
        <v>3010</v>
      </c>
      <c r="AG1198" s="244" t="s">
        <v>2346</v>
      </c>
    </row>
    <row r="1199" spans="1:33" hidden="1">
      <c r="A1199" s="386"/>
      <c r="F1199" s="251">
        <v>0.21</v>
      </c>
      <c r="G1199" s="250" t="s">
        <v>884</v>
      </c>
      <c r="H1199" s="244" t="s">
        <v>1953</v>
      </c>
      <c r="I1199" s="8" t="e">
        <f>(K32)</f>
        <v>#REF!</v>
      </c>
      <c r="J1199" s="2" t="s">
        <v>884</v>
      </c>
      <c r="K1199" s="6" t="e">
        <f>(F1199*I1199)</f>
        <v>#REF!</v>
      </c>
      <c r="AG1199" s="244" t="s">
        <v>2346</v>
      </c>
    </row>
    <row r="1200" spans="1:33" hidden="1">
      <c r="A1200" s="386"/>
      <c r="H1200" s="244" t="s">
        <v>1954</v>
      </c>
      <c r="I1200" s="1" t="s">
        <v>995</v>
      </c>
      <c r="J1200" s="4"/>
      <c r="K1200" s="6" t="s">
        <v>995</v>
      </c>
      <c r="AG1200" s="244" t="s">
        <v>2346</v>
      </c>
    </row>
    <row r="1201" spans="1:33" hidden="1">
      <c r="A1201" s="386"/>
      <c r="F1201" s="251">
        <v>1.1000000000000001</v>
      </c>
      <c r="G1201" s="250" t="s">
        <v>781</v>
      </c>
      <c r="H1201" s="244" t="s">
        <v>2082</v>
      </c>
      <c r="I1201" s="8">
        <f>(C10)</f>
        <v>150</v>
      </c>
      <c r="J1201" s="2" t="s">
        <v>781</v>
      </c>
      <c r="K1201" s="6">
        <f>(F1201*I1201)</f>
        <v>165</v>
      </c>
      <c r="AG1201" s="244" t="s">
        <v>2346</v>
      </c>
    </row>
    <row r="1202" spans="1:33" hidden="1">
      <c r="A1202" s="386"/>
      <c r="F1202" s="251">
        <v>1.1000000000000001</v>
      </c>
      <c r="G1202" s="250" t="s">
        <v>781</v>
      </c>
      <c r="H1202" s="244" t="s">
        <v>1791</v>
      </c>
      <c r="I1202" s="8">
        <f>(C11)</f>
        <v>135</v>
      </c>
      <c r="J1202" s="2" t="s">
        <v>781</v>
      </c>
      <c r="K1202" s="6">
        <f>(F1202*I1202)</f>
        <v>148.5</v>
      </c>
      <c r="AG1202" s="244" t="s">
        <v>2346</v>
      </c>
    </row>
    <row r="1203" spans="1:33" hidden="1">
      <c r="A1203" s="386"/>
      <c r="F1203" s="251">
        <v>2.2000000000000002</v>
      </c>
      <c r="G1203" s="250" t="s">
        <v>781</v>
      </c>
      <c r="H1203" s="244" t="s">
        <v>1979</v>
      </c>
      <c r="I1203" s="8">
        <f>(C12)</f>
        <v>95</v>
      </c>
      <c r="J1203" s="2" t="s">
        <v>781</v>
      </c>
      <c r="K1203" s="6">
        <f>(F1203*I1203)</f>
        <v>209</v>
      </c>
      <c r="AG1203" s="244" t="s">
        <v>2346</v>
      </c>
    </row>
    <row r="1204" spans="1:33" hidden="1">
      <c r="A1204" s="386"/>
      <c r="F1204" s="251">
        <v>2.2000000000000002</v>
      </c>
      <c r="G1204" s="250" t="s">
        <v>781</v>
      </c>
      <c r="H1204" s="244" t="s">
        <v>324</v>
      </c>
      <c r="I1204" s="8">
        <f>(C13)</f>
        <v>85</v>
      </c>
      <c r="J1204" s="2" t="s">
        <v>781</v>
      </c>
      <c r="K1204" s="6">
        <f>(F1204*I1204)</f>
        <v>187</v>
      </c>
    </row>
    <row r="1205" spans="1:33" hidden="1">
      <c r="A1205" s="386"/>
      <c r="F1205" s="363">
        <v>20</v>
      </c>
      <c r="G1205" s="250" t="s">
        <v>1730</v>
      </c>
      <c r="H1205" s="244" t="s">
        <v>877</v>
      </c>
      <c r="I1205" s="8">
        <f>(C67)</f>
        <v>3800</v>
      </c>
      <c r="J1205" s="2" t="s">
        <v>876</v>
      </c>
      <c r="K1205" s="6">
        <f>(F1205*I1205)/1000</f>
        <v>76</v>
      </c>
    </row>
    <row r="1206" spans="1:33" hidden="1">
      <c r="A1206" s="386"/>
      <c r="F1206" s="363">
        <v>2</v>
      </c>
      <c r="G1206" s="250" t="s">
        <v>1730</v>
      </c>
      <c r="H1206" s="244" t="s">
        <v>2526</v>
      </c>
      <c r="I1206" s="8">
        <f>C586</f>
        <v>19</v>
      </c>
      <c r="J1206" s="2" t="s">
        <v>1730</v>
      </c>
      <c r="K1206" s="6">
        <f>(F1206*I1206)</f>
        <v>38</v>
      </c>
      <c r="AG1206" s="244" t="s">
        <v>995</v>
      </c>
    </row>
    <row r="1207" spans="1:33" hidden="1">
      <c r="A1207" s="386"/>
      <c r="F1207" s="251">
        <v>1.6</v>
      </c>
      <c r="G1207" s="250" t="s">
        <v>781</v>
      </c>
      <c r="H1207" s="244" t="s">
        <v>1791</v>
      </c>
      <c r="I1207" s="8">
        <f>(C11)</f>
        <v>135</v>
      </c>
      <c r="J1207" s="2" t="s">
        <v>781</v>
      </c>
      <c r="K1207" s="6">
        <f>(F1207*I1207)</f>
        <v>216</v>
      </c>
    </row>
    <row r="1208" spans="1:33" hidden="1">
      <c r="A1208" s="386"/>
      <c r="F1208" s="251">
        <v>0.5</v>
      </c>
      <c r="G1208" s="250" t="s">
        <v>781</v>
      </c>
      <c r="H1208" s="244" t="s">
        <v>1979</v>
      </c>
      <c r="I1208" s="8">
        <f>(C12)</f>
        <v>95</v>
      </c>
      <c r="J1208" s="2" t="s">
        <v>781</v>
      </c>
      <c r="K1208" s="6">
        <f>(F1208*I1208)</f>
        <v>47.5</v>
      </c>
    </row>
    <row r="1209" spans="1:33" hidden="1">
      <c r="A1209" s="386"/>
      <c r="F1209" s="251">
        <v>1.1000000000000001</v>
      </c>
      <c r="G1209" s="250" t="s">
        <v>781</v>
      </c>
      <c r="H1209" s="244" t="s">
        <v>324</v>
      </c>
      <c r="I1209" s="8">
        <f>(C13)</f>
        <v>85</v>
      </c>
      <c r="J1209" s="2" t="s">
        <v>781</v>
      </c>
      <c r="K1209" s="6">
        <f>(F1209*I1209)</f>
        <v>93.5</v>
      </c>
    </row>
    <row r="1210" spans="1:33" hidden="1">
      <c r="A1210" s="386"/>
      <c r="G1210" s="250" t="s">
        <v>448</v>
      </c>
      <c r="H1210" s="244" t="s">
        <v>449</v>
      </c>
      <c r="I1210"/>
      <c r="J1210" s="2" t="s">
        <v>448</v>
      </c>
      <c r="K1210" s="6">
        <v>0</v>
      </c>
    </row>
    <row r="1211" spans="1:33" hidden="1">
      <c r="A1211" s="386"/>
      <c r="I1211"/>
      <c r="J1211" s="4"/>
      <c r="K1211" s="6" t="s">
        <v>1667</v>
      </c>
    </row>
    <row r="1212" spans="1:33" hidden="1">
      <c r="A1212" s="386"/>
      <c r="H1212" s="244" t="s">
        <v>440</v>
      </c>
      <c r="I1212"/>
      <c r="J1212" s="4"/>
      <c r="K1212" s="6" t="e">
        <f>SUM(K1198:K1210)</f>
        <v>#REF!</v>
      </c>
    </row>
    <row r="1213" spans="1:33" hidden="1">
      <c r="A1213" s="386"/>
      <c r="I1213"/>
      <c r="J1213" s="4"/>
      <c r="K1213" s="6" t="s">
        <v>1667</v>
      </c>
    </row>
    <row r="1214" spans="1:33" hidden="1">
      <c r="A1214" s="386"/>
      <c r="H1214" s="244" t="s">
        <v>555</v>
      </c>
      <c r="I1214"/>
      <c r="J1214" s="4"/>
      <c r="K1214" s="6" t="e">
        <f>(K1212/10)</f>
        <v>#REF!</v>
      </c>
    </row>
    <row r="1215" spans="1:33" hidden="1">
      <c r="A1215" s="386"/>
      <c r="I1215"/>
      <c r="J1215" s="4"/>
      <c r="K1215" s="6" t="s">
        <v>2130</v>
      </c>
    </row>
    <row r="1216" spans="1:33" hidden="1">
      <c r="A1216" s="386"/>
      <c r="F1216" s="364">
        <v>29.4</v>
      </c>
      <c r="G1216" s="250" t="s">
        <v>2338</v>
      </c>
      <c r="H1216" s="244" t="s">
        <v>1128</v>
      </c>
      <c r="I1216"/>
      <c r="J1216" s="4"/>
      <c r="K1216" s="34"/>
    </row>
    <row r="1217" spans="1:11" hidden="1">
      <c r="A1217" s="386"/>
      <c r="H1217" s="244" t="s">
        <v>1129</v>
      </c>
      <c r="I1217"/>
      <c r="J1217" s="4"/>
      <c r="K1217" s="34"/>
    </row>
    <row r="1218" spans="1:11" hidden="1">
      <c r="A1218" s="386"/>
      <c r="H1218" s="248" t="s">
        <v>1667</v>
      </c>
      <c r="I1218"/>
      <c r="J1218" s="4"/>
      <c r="K1218" s="34"/>
    </row>
    <row r="1219" spans="1:11" hidden="1">
      <c r="A1219" s="386"/>
      <c r="F1219" s="251">
        <v>1.86</v>
      </c>
      <c r="G1219" s="250" t="s">
        <v>611</v>
      </c>
      <c r="H1219" s="244" t="s">
        <v>1130</v>
      </c>
      <c r="I1219" s="8">
        <f>C580</f>
        <v>325</v>
      </c>
      <c r="J1219" s="2" t="s">
        <v>611</v>
      </c>
      <c r="K1219" s="6">
        <f>(F1219*I1219)</f>
        <v>604.5</v>
      </c>
    </row>
    <row r="1220" spans="1:11" hidden="1">
      <c r="A1220" s="386"/>
      <c r="F1220" s="251">
        <v>0.4</v>
      </c>
      <c r="G1220" s="250" t="s">
        <v>1730</v>
      </c>
      <c r="H1220" s="244" t="s">
        <v>2527</v>
      </c>
      <c r="I1220" s="8">
        <f>C586</f>
        <v>19</v>
      </c>
      <c r="J1220" s="2" t="s">
        <v>1730</v>
      </c>
      <c r="K1220" s="6">
        <f>(F1220*I1220)</f>
        <v>7.6</v>
      </c>
    </row>
    <row r="1221" spans="1:11" hidden="1">
      <c r="A1221" s="386"/>
      <c r="F1221" s="251">
        <v>0.02</v>
      </c>
      <c r="G1221" s="250" t="s">
        <v>884</v>
      </c>
      <c r="H1221" s="244" t="s">
        <v>416</v>
      </c>
      <c r="I1221" s="8" t="e">
        <f>K23</f>
        <v>#REF!</v>
      </c>
      <c r="J1221" s="2" t="s">
        <v>884</v>
      </c>
      <c r="K1221" s="6" t="e">
        <f>(F1221*I1221)</f>
        <v>#REF!</v>
      </c>
    </row>
    <row r="1222" spans="1:11" hidden="1">
      <c r="A1222" s="386"/>
      <c r="F1222" s="251">
        <v>1</v>
      </c>
      <c r="G1222" s="250" t="s">
        <v>781</v>
      </c>
      <c r="H1222" s="244" t="s">
        <v>2082</v>
      </c>
      <c r="I1222" s="8">
        <f>C10</f>
        <v>150</v>
      </c>
      <c r="J1222" s="2" t="s">
        <v>781</v>
      </c>
      <c r="K1222" s="6">
        <f>(F1222*I1222)</f>
        <v>150</v>
      </c>
    </row>
    <row r="1223" spans="1:11" hidden="1">
      <c r="A1223" s="386"/>
      <c r="F1223" s="251">
        <v>1</v>
      </c>
      <c r="G1223" s="250" t="s">
        <v>781</v>
      </c>
      <c r="H1223" s="244" t="s">
        <v>1774</v>
      </c>
      <c r="I1223" s="8">
        <f>C12</f>
        <v>95</v>
      </c>
      <c r="J1223" s="2" t="s">
        <v>781</v>
      </c>
      <c r="K1223" s="6">
        <f>(F1223*I1223)</f>
        <v>95</v>
      </c>
    </row>
    <row r="1224" spans="1:11" hidden="1">
      <c r="A1224" s="386"/>
      <c r="G1224" s="250" t="s">
        <v>448</v>
      </c>
      <c r="H1224" s="244" t="s">
        <v>449</v>
      </c>
      <c r="I1224"/>
      <c r="J1224" s="2" t="s">
        <v>448</v>
      </c>
      <c r="K1224" s="6">
        <v>0</v>
      </c>
    </row>
    <row r="1225" spans="1:11" hidden="1">
      <c r="A1225" s="386"/>
      <c r="I1225"/>
      <c r="J1225" s="4"/>
      <c r="K1225" s="6" t="s">
        <v>1667</v>
      </c>
    </row>
    <row r="1226" spans="1:11" hidden="1">
      <c r="A1226" s="386"/>
      <c r="H1226" s="244" t="s">
        <v>1775</v>
      </c>
      <c r="I1226"/>
      <c r="J1226" s="4"/>
      <c r="K1226" s="6" t="e">
        <f>SUM(K1219:K1224)</f>
        <v>#REF!</v>
      </c>
    </row>
    <row r="1227" spans="1:11" hidden="1">
      <c r="A1227" s="386"/>
      <c r="I1227"/>
      <c r="J1227" s="4"/>
      <c r="K1227" s="6" t="s">
        <v>1667</v>
      </c>
    </row>
    <row r="1228" spans="1:11" hidden="1">
      <c r="A1228" s="386"/>
      <c r="H1228" s="244" t="s">
        <v>555</v>
      </c>
      <c r="I1228"/>
      <c r="J1228" s="4"/>
      <c r="K1228" s="6" t="e">
        <f>(K1226/1.86)</f>
        <v>#REF!</v>
      </c>
    </row>
    <row r="1229" spans="1:11" hidden="1">
      <c r="A1229" s="386"/>
      <c r="I1229"/>
      <c r="J1229" s="4"/>
      <c r="K1229" s="6" t="s">
        <v>2130</v>
      </c>
    </row>
    <row r="1230" spans="1:11" hidden="1">
      <c r="A1230" s="386"/>
      <c r="F1230" s="354" t="s">
        <v>210</v>
      </c>
      <c r="G1230" s="250" t="s">
        <v>2338</v>
      </c>
      <c r="H1230" s="244" t="s">
        <v>1998</v>
      </c>
      <c r="I1230"/>
      <c r="J1230" s="4"/>
      <c r="K1230" s="34"/>
    </row>
    <row r="1231" spans="1:11" hidden="1">
      <c r="A1231" s="386"/>
      <c r="H1231" s="244" t="s">
        <v>948</v>
      </c>
      <c r="I1231"/>
      <c r="J1231" s="4"/>
      <c r="K1231" s="34"/>
    </row>
    <row r="1232" spans="1:11" hidden="1">
      <c r="A1232" s="386"/>
      <c r="H1232" s="244" t="s">
        <v>1776</v>
      </c>
      <c r="I1232"/>
      <c r="J1232" s="4"/>
      <c r="K1232" s="34"/>
    </row>
    <row r="1233" spans="1:11" hidden="1">
      <c r="A1233" s="386"/>
      <c r="H1233" s="244" t="s">
        <v>729</v>
      </c>
      <c r="I1233"/>
      <c r="J1233" s="4"/>
      <c r="K1233" s="34"/>
    </row>
    <row r="1234" spans="1:11" hidden="1">
      <c r="A1234" s="386"/>
      <c r="H1234" s="248" t="s">
        <v>1667</v>
      </c>
      <c r="I1234"/>
      <c r="J1234" s="4"/>
      <c r="K1234" s="34"/>
    </row>
    <row r="1235" spans="1:11" hidden="1">
      <c r="A1235" s="386"/>
      <c r="F1235" s="251">
        <v>0.24</v>
      </c>
      <c r="G1235" s="250" t="s">
        <v>884</v>
      </c>
      <c r="H1235" s="244" t="s">
        <v>1777</v>
      </c>
      <c r="I1235" s="8" t="e">
        <f>(C70)</f>
        <v>#REF!</v>
      </c>
      <c r="J1235" s="2" t="s">
        <v>884</v>
      </c>
      <c r="K1235" s="6" t="e">
        <f>(F1235*I1235)</f>
        <v>#REF!</v>
      </c>
    </row>
    <row r="1236" spans="1:11" hidden="1">
      <c r="A1236" s="386"/>
      <c r="F1236" s="363">
        <v>0.11700000000000001</v>
      </c>
      <c r="G1236" s="250" t="s">
        <v>876</v>
      </c>
      <c r="H1236" s="244" t="s">
        <v>877</v>
      </c>
      <c r="I1236" s="8">
        <f>(C67)</f>
        <v>3800</v>
      </c>
      <c r="J1236" s="2" t="s">
        <v>876</v>
      </c>
      <c r="K1236" s="6">
        <f>(F1236*I1236)</f>
        <v>444.6</v>
      </c>
    </row>
    <row r="1237" spans="1:11" hidden="1">
      <c r="A1237" s="386"/>
      <c r="F1237" s="251">
        <v>0.5</v>
      </c>
      <c r="G1237" s="250" t="s">
        <v>781</v>
      </c>
      <c r="H1237" s="244" t="s">
        <v>2082</v>
      </c>
      <c r="I1237" s="8">
        <f>(C10)</f>
        <v>150</v>
      </c>
      <c r="J1237" s="2" t="s">
        <v>781</v>
      </c>
      <c r="K1237" s="6">
        <f>(F1237*I1237)</f>
        <v>75</v>
      </c>
    </row>
    <row r="1238" spans="1:11" hidden="1">
      <c r="A1238" s="386"/>
      <c r="F1238" s="251">
        <v>1.1000000000000001</v>
      </c>
      <c r="G1238" s="250" t="s">
        <v>781</v>
      </c>
      <c r="H1238" s="244" t="s">
        <v>949</v>
      </c>
      <c r="I1238" s="8">
        <f>(C12)</f>
        <v>95</v>
      </c>
      <c r="J1238" s="2" t="s">
        <v>781</v>
      </c>
      <c r="K1238" s="6">
        <f>(F1238*I1238)</f>
        <v>104.5</v>
      </c>
    </row>
    <row r="1239" spans="1:11" hidden="1">
      <c r="A1239" s="386"/>
      <c r="F1239" s="251">
        <v>4.3</v>
      </c>
      <c r="G1239" s="250" t="s">
        <v>781</v>
      </c>
      <c r="H1239" s="244" t="s">
        <v>324</v>
      </c>
      <c r="I1239" s="8">
        <f>(C13)</f>
        <v>85</v>
      </c>
      <c r="J1239" s="2" t="s">
        <v>781</v>
      </c>
      <c r="K1239" s="6">
        <f>(F1239*I1239)</f>
        <v>365.5</v>
      </c>
    </row>
    <row r="1240" spans="1:11" hidden="1">
      <c r="A1240" s="386"/>
      <c r="G1240" s="250" t="s">
        <v>448</v>
      </c>
      <c r="H1240" s="244" t="s">
        <v>449</v>
      </c>
      <c r="I1240"/>
      <c r="J1240" s="2" t="s">
        <v>448</v>
      </c>
      <c r="K1240" s="6">
        <v>0</v>
      </c>
    </row>
    <row r="1241" spans="1:11" hidden="1">
      <c r="A1241" s="386"/>
      <c r="I1241"/>
      <c r="J1241" s="4"/>
      <c r="K1241" s="6" t="s">
        <v>1667</v>
      </c>
    </row>
    <row r="1242" spans="1:11" hidden="1">
      <c r="A1242" s="386"/>
      <c r="H1242" s="244" t="s">
        <v>440</v>
      </c>
      <c r="I1242"/>
      <c r="J1242" s="4"/>
      <c r="K1242" s="6" t="e">
        <f>SUM(K1235:K1240)</f>
        <v>#REF!</v>
      </c>
    </row>
    <row r="1243" spans="1:11" hidden="1">
      <c r="A1243" s="386"/>
      <c r="I1243"/>
      <c r="J1243" s="4"/>
      <c r="K1243" s="6" t="s">
        <v>1667</v>
      </c>
    </row>
    <row r="1244" spans="1:11" hidden="1">
      <c r="A1244" s="386"/>
      <c r="H1244" s="244" t="s">
        <v>555</v>
      </c>
      <c r="I1244"/>
      <c r="J1244" s="4"/>
      <c r="K1244" s="6" t="e">
        <f>(K1242/10)</f>
        <v>#REF!</v>
      </c>
    </row>
    <row r="1245" spans="1:11" hidden="1">
      <c r="A1245" s="386"/>
      <c r="F1245" s="244" t="s">
        <v>995</v>
      </c>
      <c r="I1245"/>
      <c r="J1245" s="4"/>
      <c r="K1245" s="34"/>
    </row>
    <row r="1246" spans="1:11" hidden="1">
      <c r="A1246" s="386"/>
      <c r="I1246"/>
      <c r="J1246" s="4"/>
      <c r="K1246" s="6" t="s">
        <v>2130</v>
      </c>
    </row>
    <row r="1247" spans="1:11" hidden="1">
      <c r="A1247" s="386"/>
      <c r="F1247" s="354" t="s">
        <v>2014</v>
      </c>
      <c r="G1247" s="250" t="s">
        <v>2338</v>
      </c>
      <c r="H1247" s="366" t="s">
        <v>730</v>
      </c>
      <c r="I1247"/>
      <c r="J1247" s="4"/>
      <c r="K1247" s="34"/>
    </row>
    <row r="1248" spans="1:11" hidden="1">
      <c r="A1248" s="386"/>
      <c r="H1248" s="244" t="s">
        <v>2015</v>
      </c>
      <c r="I1248"/>
      <c r="J1248" s="4"/>
      <c r="K1248" s="34"/>
    </row>
    <row r="1249" spans="1:11" hidden="1">
      <c r="A1249" s="386"/>
      <c r="H1249" s="244" t="s">
        <v>2016</v>
      </c>
      <c r="I1249"/>
      <c r="J1249" s="4"/>
      <c r="K1249" s="34"/>
    </row>
    <row r="1250" spans="1:11" hidden="1">
      <c r="A1250" s="386"/>
      <c r="H1250" s="244" t="s">
        <v>769</v>
      </c>
      <c r="I1250"/>
      <c r="J1250" s="4"/>
      <c r="K1250" s="34"/>
    </row>
    <row r="1251" spans="1:11" hidden="1">
      <c r="A1251" s="386"/>
      <c r="H1251" s="244" t="s">
        <v>761</v>
      </c>
      <c r="I1251"/>
      <c r="J1251" s="4"/>
      <c r="K1251" s="34"/>
    </row>
    <row r="1252" spans="1:11" hidden="1">
      <c r="A1252" s="386"/>
      <c r="H1252" s="248" t="s">
        <v>1667</v>
      </c>
      <c r="I1252"/>
      <c r="J1252" s="4"/>
      <c r="K1252" s="34"/>
    </row>
    <row r="1253" spans="1:11" hidden="1">
      <c r="A1253" s="386"/>
      <c r="F1253" s="251">
        <v>12.8</v>
      </c>
      <c r="G1253" s="250" t="s">
        <v>884</v>
      </c>
      <c r="H1253" s="244" t="s">
        <v>762</v>
      </c>
      <c r="I1253" s="8" t="e">
        <f>(C82)</f>
        <v>#REF!</v>
      </c>
      <c r="J1253" s="2" t="s">
        <v>884</v>
      </c>
      <c r="K1253" s="6" t="e">
        <f>(F1253*I1253)</f>
        <v>#REF!</v>
      </c>
    </row>
    <row r="1254" spans="1:11" hidden="1">
      <c r="A1254" s="386"/>
      <c r="F1254" s="251">
        <v>5</v>
      </c>
      <c r="G1254" s="250" t="s">
        <v>884</v>
      </c>
      <c r="H1254" s="244" t="s">
        <v>763</v>
      </c>
      <c r="I1254" s="8" t="e">
        <f>(C85)</f>
        <v>#REF!</v>
      </c>
      <c r="J1254" s="2" t="s">
        <v>884</v>
      </c>
      <c r="K1254" s="6" t="e">
        <f>(F1254*I1254)</f>
        <v>#REF!</v>
      </c>
    </row>
    <row r="1255" spans="1:11" hidden="1">
      <c r="A1255" s="386"/>
      <c r="F1255" s="251">
        <v>1.8</v>
      </c>
      <c r="G1255" s="250" t="s">
        <v>781</v>
      </c>
      <c r="H1255" s="244" t="s">
        <v>2082</v>
      </c>
      <c r="I1255" s="8">
        <f>(C10)</f>
        <v>150</v>
      </c>
      <c r="J1255" s="2" t="s">
        <v>781</v>
      </c>
      <c r="K1255" s="6">
        <f>(F1255*I1255)</f>
        <v>270</v>
      </c>
    </row>
    <row r="1256" spans="1:11" hidden="1">
      <c r="A1256" s="386"/>
      <c r="F1256" s="251">
        <v>17.7</v>
      </c>
      <c r="G1256" s="250" t="s">
        <v>781</v>
      </c>
      <c r="H1256" s="244" t="s">
        <v>949</v>
      </c>
      <c r="I1256" s="8">
        <f>(C12)</f>
        <v>95</v>
      </c>
      <c r="J1256" s="2" t="s">
        <v>781</v>
      </c>
      <c r="K1256" s="6">
        <f>(F1256*I1256)</f>
        <v>1681.5</v>
      </c>
    </row>
    <row r="1257" spans="1:11" hidden="1">
      <c r="A1257" s="386"/>
      <c r="F1257" s="251">
        <v>14.1</v>
      </c>
      <c r="G1257" s="250" t="s">
        <v>781</v>
      </c>
      <c r="H1257" s="244" t="s">
        <v>324</v>
      </c>
      <c r="I1257" s="8">
        <f>(C13)</f>
        <v>85</v>
      </c>
      <c r="J1257" s="2" t="s">
        <v>781</v>
      </c>
      <c r="K1257" s="6">
        <f>(F1257*I1257)</f>
        <v>1198.5</v>
      </c>
    </row>
    <row r="1258" spans="1:11" hidden="1">
      <c r="A1258" s="386"/>
      <c r="G1258" s="250" t="s">
        <v>448</v>
      </c>
      <c r="H1258" s="244" t="s">
        <v>449</v>
      </c>
      <c r="I1258"/>
      <c r="J1258" s="2" t="s">
        <v>448</v>
      </c>
      <c r="K1258" s="6">
        <v>0</v>
      </c>
    </row>
    <row r="1259" spans="1:11" hidden="1">
      <c r="A1259" s="386"/>
      <c r="I1259"/>
      <c r="J1259" s="4"/>
      <c r="K1259" s="6" t="s">
        <v>1667</v>
      </c>
    </row>
    <row r="1260" spans="1:11" hidden="1">
      <c r="A1260" s="386"/>
      <c r="H1260" s="244" t="s">
        <v>618</v>
      </c>
      <c r="I1260"/>
      <c r="J1260" s="4"/>
      <c r="K1260" s="6" t="e">
        <f>SUM(K1253:K1258)</f>
        <v>#REF!</v>
      </c>
    </row>
    <row r="1261" spans="1:11" hidden="1">
      <c r="A1261" s="386"/>
      <c r="I1261"/>
      <c r="J1261" s="4"/>
      <c r="K1261" s="6" t="s">
        <v>1667</v>
      </c>
    </row>
    <row r="1262" spans="1:11" hidden="1">
      <c r="A1262" s="386"/>
      <c r="H1262" s="244" t="s">
        <v>785</v>
      </c>
      <c r="I1262"/>
      <c r="J1262" s="4"/>
      <c r="K1262" s="6" t="e">
        <f>(K1260/10)</f>
        <v>#REF!</v>
      </c>
    </row>
    <row r="1263" spans="1:11" hidden="1">
      <c r="A1263" s="386"/>
      <c r="I1263"/>
      <c r="J1263" s="4"/>
      <c r="K1263" s="6" t="s">
        <v>2130</v>
      </c>
    </row>
    <row r="1264" spans="1:11" hidden="1">
      <c r="A1264" s="386"/>
      <c r="I1264"/>
      <c r="J1264" s="4"/>
      <c r="K1264" s="34"/>
    </row>
    <row r="1265" spans="1:11" hidden="1">
      <c r="A1265" s="386"/>
      <c r="G1265" s="250" t="s">
        <v>685</v>
      </c>
      <c r="H1265" s="244" t="s">
        <v>764</v>
      </c>
      <c r="I1265"/>
      <c r="J1265" s="4"/>
      <c r="K1265" s="34"/>
    </row>
    <row r="1266" spans="1:11" hidden="1">
      <c r="A1266" s="386"/>
      <c r="H1266" s="244" t="s">
        <v>765</v>
      </c>
      <c r="I1266"/>
      <c r="J1266" s="4"/>
      <c r="K1266" s="34"/>
    </row>
    <row r="1267" spans="1:11" hidden="1">
      <c r="A1267" s="386"/>
      <c r="H1267" s="248" t="s">
        <v>1667</v>
      </c>
      <c r="I1267"/>
      <c r="J1267" s="4"/>
      <c r="K1267" s="34"/>
    </row>
    <row r="1268" spans="1:11" hidden="1">
      <c r="A1268" s="386"/>
      <c r="F1268" s="251">
        <v>0.04</v>
      </c>
      <c r="G1268" s="250" t="s">
        <v>884</v>
      </c>
      <c r="H1268" s="244" t="s">
        <v>766</v>
      </c>
      <c r="I1268" s="8" t="e">
        <f>(K32)</f>
        <v>#REF!</v>
      </c>
      <c r="J1268" s="2" t="s">
        <v>884</v>
      </c>
      <c r="K1268" s="6" t="e">
        <f>(F1268*I1268)</f>
        <v>#REF!</v>
      </c>
    </row>
    <row r="1269" spans="1:11" hidden="1">
      <c r="A1269" s="386"/>
      <c r="F1269" s="251">
        <v>2.2000000000000002</v>
      </c>
      <c r="G1269" s="250" t="s">
        <v>781</v>
      </c>
      <c r="H1269" s="244" t="s">
        <v>1791</v>
      </c>
      <c r="I1269" s="8">
        <f>(C11)</f>
        <v>135</v>
      </c>
      <c r="J1269" s="2" t="s">
        <v>781</v>
      </c>
      <c r="K1269" s="6">
        <f>(F1269*I1269)</f>
        <v>297</v>
      </c>
    </row>
    <row r="1270" spans="1:11" hidden="1">
      <c r="A1270" s="386"/>
      <c r="F1270" s="251">
        <v>0.5</v>
      </c>
      <c r="G1270" s="250" t="s">
        <v>781</v>
      </c>
      <c r="H1270" s="244" t="s">
        <v>1979</v>
      </c>
      <c r="I1270" s="8">
        <f>(C12)</f>
        <v>95</v>
      </c>
      <c r="J1270" s="2" t="s">
        <v>781</v>
      </c>
      <c r="K1270" s="6">
        <f>(F1270*I1270)</f>
        <v>47.5</v>
      </c>
    </row>
    <row r="1271" spans="1:11" hidden="1">
      <c r="A1271" s="386"/>
      <c r="F1271" s="251">
        <v>1.1000000000000001</v>
      </c>
      <c r="G1271" s="250" t="s">
        <v>781</v>
      </c>
      <c r="H1271" s="244" t="s">
        <v>324</v>
      </c>
      <c r="I1271" s="8">
        <f>(C13)</f>
        <v>85</v>
      </c>
      <c r="J1271" s="2" t="s">
        <v>781</v>
      </c>
      <c r="K1271" s="6">
        <f>(F1271*I1271)</f>
        <v>93.5</v>
      </c>
    </row>
    <row r="1272" spans="1:11" hidden="1">
      <c r="A1272" s="386"/>
      <c r="G1272" s="250" t="s">
        <v>448</v>
      </c>
      <c r="H1272" s="244" t="s">
        <v>449</v>
      </c>
      <c r="I1272"/>
      <c r="J1272" s="2" t="s">
        <v>448</v>
      </c>
      <c r="K1272" s="6">
        <v>0</v>
      </c>
    </row>
    <row r="1273" spans="1:11" hidden="1">
      <c r="A1273" s="386"/>
      <c r="I1273"/>
      <c r="J1273" s="4"/>
      <c r="K1273" s="6" t="s">
        <v>1667</v>
      </c>
    </row>
    <row r="1274" spans="1:11" hidden="1">
      <c r="A1274" s="386"/>
      <c r="H1274" s="244" t="s">
        <v>440</v>
      </c>
      <c r="I1274"/>
      <c r="J1274" s="4"/>
      <c r="K1274" s="6" t="e">
        <f>SUM(K1268:K1272)</f>
        <v>#REF!</v>
      </c>
    </row>
    <row r="1275" spans="1:11" hidden="1">
      <c r="A1275" s="386"/>
      <c r="I1275"/>
      <c r="J1275" s="4"/>
      <c r="K1275" s="6" t="s">
        <v>1667</v>
      </c>
    </row>
    <row r="1276" spans="1:11" hidden="1">
      <c r="A1276" s="386"/>
      <c r="H1276" s="244" t="s">
        <v>555</v>
      </c>
      <c r="I1276"/>
      <c r="J1276" s="4"/>
      <c r="K1276" s="6" t="e">
        <f>(K1274/10)</f>
        <v>#REF!</v>
      </c>
    </row>
    <row r="1277" spans="1:11" hidden="1">
      <c r="A1277" s="386"/>
      <c r="I1277"/>
      <c r="J1277" s="4"/>
      <c r="K1277" s="6" t="s">
        <v>2130</v>
      </c>
    </row>
    <row r="1278" spans="1:11" hidden="1">
      <c r="A1278" s="386"/>
      <c r="I1278"/>
      <c r="J1278" s="4"/>
      <c r="K1278" s="34"/>
    </row>
    <row r="1279" spans="1:11" hidden="1">
      <c r="A1279" s="386"/>
      <c r="F1279" s="364">
        <v>32.1</v>
      </c>
      <c r="G1279" s="250" t="s">
        <v>2338</v>
      </c>
      <c r="H1279" s="244" t="s">
        <v>767</v>
      </c>
      <c r="I1279"/>
      <c r="J1279" s="4"/>
      <c r="K1279" s="34"/>
    </row>
    <row r="1280" spans="1:11" hidden="1">
      <c r="A1280" s="386"/>
      <c r="H1280" s="244" t="s">
        <v>1546</v>
      </c>
      <c r="I1280"/>
      <c r="J1280" s="4"/>
      <c r="K1280" s="34"/>
    </row>
    <row r="1281" spans="1:11" hidden="1">
      <c r="A1281" s="386"/>
      <c r="H1281" s="244" t="s">
        <v>693</v>
      </c>
      <c r="I1281"/>
      <c r="J1281" s="4"/>
      <c r="K1281" s="34"/>
    </row>
    <row r="1282" spans="1:11" hidden="1">
      <c r="A1282" s="386"/>
      <c r="H1282" s="244" t="s">
        <v>3297</v>
      </c>
      <c r="I1282"/>
      <c r="J1282" s="4"/>
      <c r="K1282" s="34"/>
    </row>
    <row r="1283" spans="1:11" hidden="1">
      <c r="A1283" s="386"/>
      <c r="H1283" s="244" t="s">
        <v>1351</v>
      </c>
      <c r="I1283"/>
      <c r="J1283" s="4"/>
      <c r="K1283" s="34"/>
    </row>
    <row r="1284" spans="1:11" hidden="1">
      <c r="A1284" s="386"/>
      <c r="H1284" s="248" t="s">
        <v>1667</v>
      </c>
      <c r="I1284"/>
      <c r="J1284" s="4"/>
      <c r="K1284" s="34"/>
    </row>
    <row r="1285" spans="1:11" hidden="1">
      <c r="A1285" s="386"/>
      <c r="F1285" s="251">
        <v>190</v>
      </c>
      <c r="G1285" s="250" t="s">
        <v>1950</v>
      </c>
      <c r="H1285" s="244" t="s">
        <v>2085</v>
      </c>
      <c r="I1285" s="8">
        <f>(C83)</f>
        <v>4500</v>
      </c>
      <c r="J1285" s="2" t="s">
        <v>1544</v>
      </c>
      <c r="K1285" s="6">
        <f>(F1285*I1285)/1000</f>
        <v>855</v>
      </c>
    </row>
    <row r="1286" spans="1:11" hidden="1">
      <c r="A1286" s="386"/>
      <c r="F1286" s="251">
        <v>0.12</v>
      </c>
      <c r="G1286" s="250" t="s">
        <v>884</v>
      </c>
      <c r="H1286" s="244" t="s">
        <v>1953</v>
      </c>
      <c r="I1286" s="8" t="e">
        <f>(K32)</f>
        <v>#REF!</v>
      </c>
      <c r="J1286" s="2" t="s">
        <v>884</v>
      </c>
      <c r="K1286" s="6" t="e">
        <f t="shared" ref="K1286:K1292" si="59">(F1286*I1286)</f>
        <v>#REF!</v>
      </c>
    </row>
    <row r="1287" spans="1:11" hidden="1">
      <c r="A1287" s="386"/>
      <c r="F1287" s="251">
        <v>10</v>
      </c>
      <c r="G1287" s="250" t="s">
        <v>611</v>
      </c>
      <c r="H1287" s="244" t="s">
        <v>1353</v>
      </c>
      <c r="I1287" s="8" t="e">
        <f>(K1276)</f>
        <v>#REF!</v>
      </c>
      <c r="J1287" s="2" t="s">
        <v>611</v>
      </c>
      <c r="K1287" s="6" t="e">
        <f t="shared" si="59"/>
        <v>#REF!</v>
      </c>
    </row>
    <row r="1288" spans="1:11" hidden="1">
      <c r="A1288" s="386"/>
      <c r="F1288" s="251">
        <v>1.54</v>
      </c>
      <c r="G1288" s="250" t="s">
        <v>1730</v>
      </c>
      <c r="H1288" s="244" t="s">
        <v>983</v>
      </c>
      <c r="I1288" s="8">
        <f>C631</f>
        <v>30</v>
      </c>
      <c r="J1288" s="2" t="s">
        <v>1730</v>
      </c>
      <c r="K1288" s="6">
        <f t="shared" si="59"/>
        <v>46.2</v>
      </c>
    </row>
    <row r="1289" spans="1:11" hidden="1">
      <c r="A1289" s="386"/>
      <c r="F1289" s="251">
        <v>1.1000000000000001</v>
      </c>
      <c r="G1289" s="250" t="s">
        <v>781</v>
      </c>
      <c r="H1289" s="244" t="s">
        <v>2082</v>
      </c>
      <c r="I1289" s="8">
        <f>(C10)</f>
        <v>150</v>
      </c>
      <c r="J1289" s="2" t="s">
        <v>781</v>
      </c>
      <c r="K1289" s="6">
        <f t="shared" si="59"/>
        <v>165</v>
      </c>
    </row>
    <row r="1290" spans="1:11" hidden="1">
      <c r="A1290" s="386"/>
      <c r="F1290" s="251">
        <v>2.1</v>
      </c>
      <c r="G1290" s="250" t="s">
        <v>781</v>
      </c>
      <c r="H1290" s="244" t="s">
        <v>1791</v>
      </c>
      <c r="I1290" s="8">
        <f>(C11)</f>
        <v>135</v>
      </c>
      <c r="J1290" s="2" t="s">
        <v>781</v>
      </c>
      <c r="K1290" s="6">
        <f t="shared" si="59"/>
        <v>283.5</v>
      </c>
    </row>
    <row r="1291" spans="1:11" hidden="1">
      <c r="A1291" s="386"/>
      <c r="F1291" s="251">
        <v>2.2000000000000002</v>
      </c>
      <c r="G1291" s="250" t="s">
        <v>781</v>
      </c>
      <c r="H1291" s="244" t="s">
        <v>1979</v>
      </c>
      <c r="I1291" s="8">
        <f>(C12)</f>
        <v>95</v>
      </c>
      <c r="J1291" s="2" t="s">
        <v>781</v>
      </c>
      <c r="K1291" s="6">
        <f t="shared" si="59"/>
        <v>209</v>
      </c>
    </row>
    <row r="1292" spans="1:11" hidden="1">
      <c r="A1292" s="386"/>
      <c r="F1292" s="251">
        <v>1.1000000000000001</v>
      </c>
      <c r="G1292" s="250" t="s">
        <v>781</v>
      </c>
      <c r="H1292" s="244" t="s">
        <v>324</v>
      </c>
      <c r="I1292" s="8">
        <f>(C13)</f>
        <v>85</v>
      </c>
      <c r="J1292" s="2" t="s">
        <v>781</v>
      </c>
      <c r="K1292" s="6">
        <f t="shared" si="59"/>
        <v>93.5</v>
      </c>
    </row>
    <row r="1293" spans="1:11" hidden="1">
      <c r="A1293" s="386"/>
      <c r="G1293" s="250" t="s">
        <v>448</v>
      </c>
      <c r="H1293" s="244" t="s">
        <v>449</v>
      </c>
      <c r="I1293"/>
      <c r="J1293" s="2" t="s">
        <v>448</v>
      </c>
      <c r="K1293" s="6">
        <v>0</v>
      </c>
    </row>
    <row r="1294" spans="1:11" hidden="1">
      <c r="A1294" s="386"/>
      <c r="I1294"/>
      <c r="J1294" s="4"/>
      <c r="K1294" s="6" t="s">
        <v>1667</v>
      </c>
    </row>
    <row r="1295" spans="1:11" hidden="1">
      <c r="A1295" s="386"/>
      <c r="H1295" s="244" t="s">
        <v>440</v>
      </c>
      <c r="I1295"/>
      <c r="J1295" s="4"/>
      <c r="K1295" s="6" t="e">
        <f>SUM(K1285:K1293)</f>
        <v>#REF!</v>
      </c>
    </row>
    <row r="1296" spans="1:11" hidden="1">
      <c r="A1296" s="386"/>
      <c r="I1296"/>
      <c r="J1296" s="4"/>
      <c r="K1296" s="6" t="s">
        <v>1667</v>
      </c>
    </row>
    <row r="1297" spans="1:11" hidden="1">
      <c r="A1297" s="386"/>
      <c r="H1297" s="244" t="s">
        <v>555</v>
      </c>
      <c r="I1297"/>
      <c r="J1297" s="4"/>
      <c r="K1297" s="6" t="e">
        <f>(K1295/10)</f>
        <v>#REF!</v>
      </c>
    </row>
    <row r="1298" spans="1:11" hidden="1">
      <c r="A1298" s="386"/>
      <c r="I1298"/>
      <c r="J1298" s="4"/>
      <c r="K1298" s="6" t="s">
        <v>2130</v>
      </c>
    </row>
    <row r="1299" spans="1:11" hidden="1">
      <c r="A1299" s="386"/>
      <c r="I1299"/>
      <c r="J1299" s="4"/>
      <c r="K1299" s="6"/>
    </row>
    <row r="1300" spans="1:11" hidden="1">
      <c r="A1300" s="386"/>
      <c r="I1300"/>
      <c r="J1300" s="4"/>
      <c r="K1300" s="6"/>
    </row>
    <row r="1301" spans="1:11" hidden="1">
      <c r="A1301" s="386"/>
      <c r="F1301" s="364">
        <v>32.200000000000003</v>
      </c>
      <c r="G1301" s="250" t="s">
        <v>2338</v>
      </c>
      <c r="H1301" s="244" t="s">
        <v>767</v>
      </c>
      <c r="I1301"/>
      <c r="J1301" s="4"/>
      <c r="K1301" s="6"/>
    </row>
    <row r="1302" spans="1:11" hidden="1">
      <c r="A1302" s="386"/>
      <c r="H1302" s="244" t="s">
        <v>1546</v>
      </c>
      <c r="I1302"/>
      <c r="J1302" s="4"/>
      <c r="K1302" s="6"/>
    </row>
    <row r="1303" spans="1:11" hidden="1">
      <c r="A1303" s="386"/>
      <c r="H1303" s="244" t="s">
        <v>693</v>
      </c>
      <c r="I1303"/>
      <c r="J1303" s="4"/>
      <c r="K1303" s="6"/>
    </row>
    <row r="1304" spans="1:11" hidden="1">
      <c r="A1304" s="386"/>
      <c r="H1304" s="244" t="s">
        <v>3297</v>
      </c>
      <c r="I1304"/>
      <c r="J1304" s="4"/>
      <c r="K1304" s="6"/>
    </row>
    <row r="1305" spans="1:11" hidden="1">
      <c r="A1305" s="386"/>
      <c r="H1305" s="244" t="s">
        <v>1351</v>
      </c>
      <c r="I1305"/>
      <c r="J1305" s="4"/>
      <c r="K1305" s="6"/>
    </row>
    <row r="1306" spans="1:11" hidden="1">
      <c r="A1306" s="386"/>
      <c r="H1306" s="248" t="s">
        <v>1667</v>
      </c>
      <c r="I1306"/>
      <c r="J1306" s="4"/>
      <c r="K1306" s="6"/>
    </row>
    <row r="1307" spans="1:11" hidden="1">
      <c r="A1307" s="386"/>
      <c r="F1307" s="251">
        <v>190</v>
      </c>
      <c r="G1307" s="250" t="s">
        <v>1950</v>
      </c>
      <c r="H1307" s="244" t="s">
        <v>1648</v>
      </c>
      <c r="I1307">
        <f>E83</f>
        <v>3550</v>
      </c>
      <c r="J1307" s="2" t="s">
        <v>1544</v>
      </c>
      <c r="K1307" s="6">
        <f>(F1307*I1307)/1000</f>
        <v>674.5</v>
      </c>
    </row>
    <row r="1308" spans="1:11" hidden="1">
      <c r="A1308" s="386"/>
      <c r="F1308" s="251">
        <v>0.12</v>
      </c>
      <c r="G1308" s="250" t="s">
        <v>884</v>
      </c>
      <c r="H1308" s="244" t="s">
        <v>1953</v>
      </c>
      <c r="I1308" t="e">
        <f>K32</f>
        <v>#REF!</v>
      </c>
      <c r="J1308" s="2" t="s">
        <v>884</v>
      </c>
      <c r="K1308" s="6" t="e">
        <f t="shared" ref="K1308:K1314" si="60">(F1308*I1308)</f>
        <v>#REF!</v>
      </c>
    </row>
    <row r="1309" spans="1:11" hidden="1">
      <c r="A1309" s="386"/>
      <c r="F1309" s="251">
        <v>10</v>
      </c>
      <c r="G1309" s="250" t="s">
        <v>611</v>
      </c>
      <c r="H1309" s="244" t="s">
        <v>1353</v>
      </c>
      <c r="I1309" t="e">
        <f>K1276</f>
        <v>#REF!</v>
      </c>
      <c r="J1309" s="2" t="s">
        <v>611</v>
      </c>
      <c r="K1309" s="6" t="e">
        <f t="shared" si="60"/>
        <v>#REF!</v>
      </c>
    </row>
    <row r="1310" spans="1:11" hidden="1">
      <c r="A1310" s="386"/>
      <c r="F1310" s="251">
        <v>5.8</v>
      </c>
      <c r="G1310" s="250" t="s">
        <v>1730</v>
      </c>
      <c r="H1310" s="244" t="s">
        <v>983</v>
      </c>
      <c r="I1310">
        <f>C631</f>
        <v>30</v>
      </c>
      <c r="J1310" s="2" t="s">
        <v>1730</v>
      </c>
      <c r="K1310" s="6">
        <f t="shared" si="60"/>
        <v>174</v>
      </c>
    </row>
    <row r="1311" spans="1:11" hidden="1">
      <c r="A1311" s="386"/>
      <c r="F1311" s="251">
        <v>1.1000000000000001</v>
      </c>
      <c r="G1311" s="250" t="s">
        <v>781</v>
      </c>
      <c r="H1311" s="244" t="s">
        <v>2082</v>
      </c>
      <c r="I1311">
        <f>C10</f>
        <v>150</v>
      </c>
      <c r="J1311" s="2" t="s">
        <v>781</v>
      </c>
      <c r="K1311" s="6">
        <f t="shared" si="60"/>
        <v>165</v>
      </c>
    </row>
    <row r="1312" spans="1:11" hidden="1">
      <c r="A1312" s="386"/>
      <c r="F1312" s="251">
        <v>2.1</v>
      </c>
      <c r="G1312" s="250" t="s">
        <v>781</v>
      </c>
      <c r="H1312" s="244" t="s">
        <v>1791</v>
      </c>
      <c r="I1312">
        <f>C11</f>
        <v>135</v>
      </c>
      <c r="J1312" s="2" t="s">
        <v>781</v>
      </c>
      <c r="K1312" s="6">
        <f t="shared" si="60"/>
        <v>283.5</v>
      </c>
    </row>
    <row r="1313" spans="1:11" hidden="1">
      <c r="A1313" s="386"/>
      <c r="F1313" s="251">
        <v>2.2000000000000002</v>
      </c>
      <c r="G1313" s="250" t="s">
        <v>781</v>
      </c>
      <c r="H1313" s="244" t="s">
        <v>1979</v>
      </c>
      <c r="I1313">
        <f>C12</f>
        <v>95</v>
      </c>
      <c r="J1313" s="2" t="s">
        <v>781</v>
      </c>
      <c r="K1313" s="6">
        <f t="shared" si="60"/>
        <v>209</v>
      </c>
    </row>
    <row r="1314" spans="1:11" hidden="1">
      <c r="A1314" s="386"/>
      <c r="F1314" s="251">
        <v>1.1000000000000001</v>
      </c>
      <c r="G1314" s="250" t="s">
        <v>781</v>
      </c>
      <c r="H1314" s="244" t="s">
        <v>324</v>
      </c>
      <c r="I1314">
        <f>C13</f>
        <v>85</v>
      </c>
      <c r="J1314" s="2" t="s">
        <v>781</v>
      </c>
      <c r="K1314" s="6">
        <f t="shared" si="60"/>
        <v>93.5</v>
      </c>
    </row>
    <row r="1315" spans="1:11" hidden="1">
      <c r="A1315" s="386"/>
      <c r="G1315" s="250" t="s">
        <v>448</v>
      </c>
      <c r="H1315" s="244" t="s">
        <v>449</v>
      </c>
      <c r="I1315"/>
      <c r="J1315" s="2" t="s">
        <v>448</v>
      </c>
      <c r="K1315" s="6">
        <v>0</v>
      </c>
    </row>
    <row r="1316" spans="1:11" hidden="1">
      <c r="A1316" s="386"/>
      <c r="I1316"/>
      <c r="J1316" s="4"/>
      <c r="K1316" s="6" t="s">
        <v>1667</v>
      </c>
    </row>
    <row r="1317" spans="1:11" hidden="1">
      <c r="A1317" s="386"/>
      <c r="H1317" s="244" t="s">
        <v>440</v>
      </c>
      <c r="I1317"/>
      <c r="J1317" s="4"/>
      <c r="K1317" s="6" t="e">
        <f>SUM(K1307:K1315)</f>
        <v>#REF!</v>
      </c>
    </row>
    <row r="1318" spans="1:11" hidden="1">
      <c r="A1318" s="386"/>
      <c r="I1318"/>
      <c r="J1318" s="4"/>
      <c r="K1318" s="6" t="s">
        <v>1667</v>
      </c>
    </row>
    <row r="1319" spans="1:11" hidden="1">
      <c r="A1319" s="386"/>
      <c r="H1319" s="244" t="s">
        <v>555</v>
      </c>
      <c r="I1319"/>
      <c r="J1319" s="4"/>
      <c r="K1319" s="6" t="e">
        <f>(K1317/10)</f>
        <v>#REF!</v>
      </c>
    </row>
    <row r="1320" spans="1:11" hidden="1">
      <c r="A1320" s="386"/>
      <c r="I1320"/>
      <c r="J1320" s="4"/>
      <c r="K1320" s="6" t="s">
        <v>2130</v>
      </c>
    </row>
    <row r="1321" spans="1:11" hidden="1">
      <c r="A1321" s="386"/>
      <c r="I1321"/>
      <c r="J1321" s="4"/>
      <c r="K1321" s="6"/>
    </row>
    <row r="1322" spans="1:11" hidden="1">
      <c r="A1322" s="386"/>
      <c r="F1322" s="354" t="s">
        <v>1354</v>
      </c>
      <c r="G1322" s="250" t="s">
        <v>2338</v>
      </c>
      <c r="H1322" s="244" t="s">
        <v>5</v>
      </c>
      <c r="I1322"/>
      <c r="J1322" s="4"/>
      <c r="K1322" s="34"/>
    </row>
    <row r="1323" spans="1:11" hidden="1">
      <c r="A1323" s="386"/>
      <c r="H1323" s="248" t="s">
        <v>1667</v>
      </c>
      <c r="I1323"/>
      <c r="J1323" s="4"/>
      <c r="K1323" s="34"/>
    </row>
    <row r="1324" spans="1:11" hidden="1">
      <c r="A1324" s="386"/>
      <c r="F1324" s="251">
        <v>0.14000000000000001</v>
      </c>
      <c r="G1324" s="250" t="s">
        <v>884</v>
      </c>
      <c r="H1324" s="244" t="s">
        <v>1710</v>
      </c>
      <c r="I1324" s="8" t="e">
        <f>(K49)</f>
        <v>#REF!</v>
      </c>
      <c r="J1324" s="2" t="s">
        <v>884</v>
      </c>
      <c r="K1324" s="6" t="e">
        <f>(F1324*I1324)</f>
        <v>#REF!</v>
      </c>
    </row>
    <row r="1325" spans="1:11" hidden="1">
      <c r="A1325" s="386"/>
      <c r="F1325" s="251">
        <v>1.1000000000000001</v>
      </c>
      <c r="G1325" s="250" t="s">
        <v>883</v>
      </c>
      <c r="H1325" s="244" t="s">
        <v>2082</v>
      </c>
      <c r="I1325" s="8">
        <f>(C10)</f>
        <v>150</v>
      </c>
      <c r="J1325" s="2" t="s">
        <v>883</v>
      </c>
      <c r="K1325" s="6">
        <f>(F1325*I1325)</f>
        <v>165</v>
      </c>
    </row>
    <row r="1326" spans="1:11" hidden="1">
      <c r="A1326" s="386"/>
      <c r="F1326" s="251">
        <v>0.5</v>
      </c>
      <c r="G1326" s="250" t="s">
        <v>883</v>
      </c>
      <c r="H1326" s="244" t="s">
        <v>1979</v>
      </c>
      <c r="I1326" s="8">
        <f>(C12)</f>
        <v>95</v>
      </c>
      <c r="J1326" s="2" t="s">
        <v>883</v>
      </c>
      <c r="K1326" s="6">
        <f>(F1326*I1326)</f>
        <v>47.5</v>
      </c>
    </row>
    <row r="1327" spans="1:11" hidden="1">
      <c r="A1327" s="386"/>
      <c r="F1327" s="251">
        <v>1.1000000000000001</v>
      </c>
      <c r="G1327" s="250" t="s">
        <v>883</v>
      </c>
      <c r="H1327" s="244" t="s">
        <v>324</v>
      </c>
      <c r="I1327" s="8">
        <f>(C13)</f>
        <v>85</v>
      </c>
      <c r="J1327" s="2" t="s">
        <v>883</v>
      </c>
      <c r="K1327" s="6">
        <f>(F1327*I1327)</f>
        <v>93.5</v>
      </c>
    </row>
    <row r="1328" spans="1:11" hidden="1">
      <c r="A1328" s="386"/>
      <c r="G1328" s="250" t="s">
        <v>448</v>
      </c>
      <c r="H1328" s="244" t="s">
        <v>449</v>
      </c>
      <c r="I1328" s="1" t="s">
        <v>995</v>
      </c>
      <c r="J1328" s="2" t="s">
        <v>448</v>
      </c>
      <c r="K1328" s="6">
        <v>0</v>
      </c>
    </row>
    <row r="1329" spans="1:11" hidden="1">
      <c r="A1329" s="386"/>
      <c r="I1329"/>
      <c r="J1329" s="4"/>
      <c r="K1329" s="6" t="s">
        <v>1667</v>
      </c>
    </row>
    <row r="1330" spans="1:11" hidden="1">
      <c r="A1330" s="386"/>
      <c r="H1330" s="244" t="s">
        <v>440</v>
      </c>
      <c r="I1330"/>
      <c r="J1330" s="4"/>
      <c r="K1330" s="6" t="e">
        <f>SUM(K1324:K1328)</f>
        <v>#REF!</v>
      </c>
    </row>
    <row r="1331" spans="1:11" hidden="1">
      <c r="A1331" s="386"/>
      <c r="I1331"/>
      <c r="J1331" s="4"/>
      <c r="K1331" s="6" t="s">
        <v>1667</v>
      </c>
    </row>
    <row r="1332" spans="1:11" hidden="1">
      <c r="A1332" s="386"/>
      <c r="H1332" s="244" t="s">
        <v>555</v>
      </c>
      <c r="I1332"/>
      <c r="J1332" s="4"/>
      <c r="K1332" s="6" t="e">
        <f>(K1330/10)</f>
        <v>#REF!</v>
      </c>
    </row>
    <row r="1333" spans="1:11" hidden="1">
      <c r="A1333" s="386"/>
      <c r="F1333" s="244" t="s">
        <v>995</v>
      </c>
      <c r="I1333"/>
      <c r="J1333" s="4"/>
      <c r="K1333" s="34"/>
    </row>
    <row r="1334" spans="1:11" hidden="1">
      <c r="A1334" s="386"/>
      <c r="I1334"/>
      <c r="J1334" s="4"/>
      <c r="K1334" s="6" t="s">
        <v>2130</v>
      </c>
    </row>
    <row r="1335" spans="1:11" hidden="1">
      <c r="A1335" s="386"/>
      <c r="F1335" s="354" t="s">
        <v>6</v>
      </c>
      <c r="G1335" s="250" t="s">
        <v>2338</v>
      </c>
      <c r="H1335" s="244" t="s">
        <v>7</v>
      </c>
      <c r="I1335"/>
      <c r="J1335" s="4"/>
      <c r="K1335" s="34"/>
    </row>
    <row r="1336" spans="1:11" hidden="1">
      <c r="A1336" s="386"/>
      <c r="H1336" s="248" t="s">
        <v>1667</v>
      </c>
      <c r="I1336"/>
      <c r="J1336" s="4"/>
      <c r="K1336" s="34"/>
    </row>
    <row r="1337" spans="1:11" hidden="1">
      <c r="A1337" s="386"/>
      <c r="F1337" s="251">
        <v>0.14000000000000001</v>
      </c>
      <c r="G1337" s="250" t="s">
        <v>884</v>
      </c>
      <c r="H1337" s="244" t="s">
        <v>1364</v>
      </c>
      <c r="I1337" s="8" t="e">
        <f>(K40)</f>
        <v>#REF!</v>
      </c>
      <c r="J1337" s="2" t="s">
        <v>884</v>
      </c>
      <c r="K1337" s="6" t="e">
        <f>(F1337*I1337)</f>
        <v>#REF!</v>
      </c>
    </row>
    <row r="1338" spans="1:11" hidden="1">
      <c r="A1338" s="386"/>
      <c r="F1338" s="251">
        <v>1.1000000000000001</v>
      </c>
      <c r="G1338" s="250" t="s">
        <v>883</v>
      </c>
      <c r="H1338" s="244" t="s">
        <v>2082</v>
      </c>
      <c r="I1338" s="8">
        <f>(C10)</f>
        <v>150</v>
      </c>
      <c r="J1338" s="2" t="s">
        <v>883</v>
      </c>
      <c r="K1338" s="6">
        <f>(F1338*I1338)</f>
        <v>165</v>
      </c>
    </row>
    <row r="1339" spans="1:11" hidden="1">
      <c r="A1339" s="386"/>
      <c r="F1339" s="251">
        <v>0.5</v>
      </c>
      <c r="G1339" s="250" t="s">
        <v>883</v>
      </c>
      <c r="H1339" s="244" t="s">
        <v>1979</v>
      </c>
      <c r="I1339" s="8">
        <f>(C12)</f>
        <v>95</v>
      </c>
      <c r="J1339" s="2" t="s">
        <v>883</v>
      </c>
      <c r="K1339" s="6">
        <f>(F1339*I1339)</f>
        <v>47.5</v>
      </c>
    </row>
    <row r="1340" spans="1:11" hidden="1">
      <c r="A1340" s="386"/>
      <c r="F1340" s="251">
        <v>1.1000000000000001</v>
      </c>
      <c r="G1340" s="250" t="s">
        <v>883</v>
      </c>
      <c r="H1340" s="244" t="s">
        <v>324</v>
      </c>
      <c r="I1340" s="8">
        <f>(C13)</f>
        <v>85</v>
      </c>
      <c r="J1340" s="2" t="s">
        <v>883</v>
      </c>
      <c r="K1340" s="6">
        <f>(F1340*I1340)</f>
        <v>93.5</v>
      </c>
    </row>
    <row r="1341" spans="1:11" hidden="1">
      <c r="A1341" s="386"/>
      <c r="G1341" s="250" t="s">
        <v>448</v>
      </c>
      <c r="H1341" s="244" t="s">
        <v>449</v>
      </c>
      <c r="I1341" s="1" t="s">
        <v>995</v>
      </c>
      <c r="J1341" s="2" t="s">
        <v>448</v>
      </c>
      <c r="K1341" s="6">
        <v>0</v>
      </c>
    </row>
    <row r="1342" spans="1:11" hidden="1">
      <c r="A1342" s="386"/>
      <c r="I1342"/>
      <c r="J1342" s="4"/>
      <c r="K1342" s="6" t="s">
        <v>1667</v>
      </c>
    </row>
    <row r="1343" spans="1:11" hidden="1">
      <c r="A1343" s="386"/>
      <c r="H1343" s="244" t="s">
        <v>440</v>
      </c>
      <c r="I1343"/>
      <c r="J1343" s="4"/>
      <c r="K1343" s="6" t="e">
        <f>SUM(K1337:K1341)</f>
        <v>#REF!</v>
      </c>
    </row>
    <row r="1344" spans="1:11" hidden="1">
      <c r="A1344" s="386"/>
      <c r="I1344"/>
      <c r="J1344" s="4"/>
      <c r="K1344" s="6" t="s">
        <v>1667</v>
      </c>
    </row>
    <row r="1345" spans="1:11" hidden="1">
      <c r="A1345" s="386"/>
      <c r="H1345" s="244" t="s">
        <v>555</v>
      </c>
      <c r="I1345"/>
      <c r="J1345" s="4"/>
      <c r="K1345" s="6" t="e">
        <f>(K1343/10)</f>
        <v>#REF!</v>
      </c>
    </row>
    <row r="1346" spans="1:11" hidden="1">
      <c r="A1346" s="386"/>
      <c r="I1346"/>
      <c r="J1346" s="4"/>
      <c r="K1346" s="6" t="s">
        <v>2130</v>
      </c>
    </row>
    <row r="1347" spans="1:11" hidden="1">
      <c r="A1347" s="386"/>
      <c r="F1347" s="354" t="s">
        <v>8</v>
      </c>
      <c r="G1347" s="250" t="s">
        <v>2338</v>
      </c>
      <c r="H1347" s="244" t="s">
        <v>9</v>
      </c>
      <c r="I1347"/>
      <c r="J1347" s="4"/>
      <c r="K1347" s="34"/>
    </row>
    <row r="1348" spans="1:11" hidden="1">
      <c r="A1348" s="386"/>
      <c r="H1348" s="248" t="s">
        <v>1667</v>
      </c>
      <c r="I1348"/>
      <c r="J1348" s="4"/>
      <c r="K1348" s="34"/>
    </row>
    <row r="1349" spans="1:11" hidden="1">
      <c r="A1349" s="386"/>
      <c r="F1349" s="251">
        <v>0.1</v>
      </c>
      <c r="G1349" s="250" t="s">
        <v>884</v>
      </c>
      <c r="H1349" s="244" t="s">
        <v>1414</v>
      </c>
      <c r="I1349" s="8" t="e">
        <f>(K32)</f>
        <v>#REF!</v>
      </c>
      <c r="J1349" s="2" t="s">
        <v>884</v>
      </c>
      <c r="K1349" s="6" t="e">
        <f>(F1349*I1349)</f>
        <v>#REF!</v>
      </c>
    </row>
    <row r="1350" spans="1:11" hidden="1">
      <c r="A1350" s="386"/>
      <c r="F1350" s="251">
        <v>1.1000000000000001</v>
      </c>
      <c r="G1350" s="250" t="s">
        <v>883</v>
      </c>
      <c r="H1350" s="244" t="s">
        <v>2082</v>
      </c>
      <c r="I1350" s="8">
        <f>(C10)</f>
        <v>150</v>
      </c>
      <c r="J1350" s="2" t="s">
        <v>883</v>
      </c>
      <c r="K1350" s="6">
        <f>(F1350*I1350)</f>
        <v>165</v>
      </c>
    </row>
    <row r="1351" spans="1:11" hidden="1">
      <c r="A1351" s="386"/>
      <c r="F1351" s="251">
        <v>1.1000000000000001</v>
      </c>
      <c r="G1351" s="250" t="s">
        <v>883</v>
      </c>
      <c r="H1351" s="244" t="s">
        <v>1979</v>
      </c>
      <c r="I1351" s="8">
        <f>(C12)</f>
        <v>95</v>
      </c>
      <c r="J1351" s="2" t="s">
        <v>883</v>
      </c>
      <c r="K1351" s="6">
        <f>(F1351*I1351)</f>
        <v>104.5</v>
      </c>
    </row>
    <row r="1352" spans="1:11" hidden="1">
      <c r="A1352" s="386"/>
      <c r="F1352" s="251">
        <v>1.1000000000000001</v>
      </c>
      <c r="G1352" s="250" t="s">
        <v>883</v>
      </c>
      <c r="H1352" s="244" t="s">
        <v>324</v>
      </c>
      <c r="I1352" s="8">
        <f>(C13)</f>
        <v>85</v>
      </c>
      <c r="J1352" s="2" t="s">
        <v>883</v>
      </c>
      <c r="K1352" s="6">
        <f>(F1352*I1352)</f>
        <v>93.5</v>
      </c>
    </row>
    <row r="1353" spans="1:11" hidden="1">
      <c r="A1353" s="386"/>
      <c r="G1353" s="250" t="s">
        <v>448</v>
      </c>
      <c r="H1353" s="244" t="s">
        <v>449</v>
      </c>
      <c r="I1353" s="1" t="s">
        <v>995</v>
      </c>
      <c r="J1353" s="2" t="s">
        <v>448</v>
      </c>
      <c r="K1353" s="6">
        <v>0</v>
      </c>
    </row>
    <row r="1354" spans="1:11" hidden="1">
      <c r="A1354" s="386"/>
      <c r="I1354"/>
      <c r="J1354" s="4"/>
      <c r="K1354" s="6" t="s">
        <v>1667</v>
      </c>
    </row>
    <row r="1355" spans="1:11" hidden="1">
      <c r="A1355" s="386"/>
      <c r="H1355" s="244" t="s">
        <v>440</v>
      </c>
      <c r="I1355"/>
      <c r="J1355" s="4"/>
      <c r="K1355" s="6" t="e">
        <f>SUM(K1349:K1353)</f>
        <v>#REF!</v>
      </c>
    </row>
    <row r="1356" spans="1:11" hidden="1">
      <c r="A1356" s="386"/>
      <c r="I1356"/>
      <c r="J1356" s="4"/>
      <c r="K1356" s="6" t="s">
        <v>1667</v>
      </c>
    </row>
    <row r="1357" spans="1:11" hidden="1">
      <c r="A1357" s="386"/>
      <c r="H1357" s="244" t="s">
        <v>555</v>
      </c>
      <c r="I1357"/>
      <c r="J1357" s="4"/>
      <c r="K1357" s="6" t="e">
        <f>(K1355/10)</f>
        <v>#REF!</v>
      </c>
    </row>
    <row r="1358" spans="1:11" hidden="1">
      <c r="A1358" s="386"/>
      <c r="I1358"/>
      <c r="J1358" s="4"/>
      <c r="K1358" s="6" t="s">
        <v>2130</v>
      </c>
    </row>
    <row r="1359" spans="1:11" hidden="1">
      <c r="A1359" s="386"/>
      <c r="I1359"/>
      <c r="J1359" s="4"/>
      <c r="K1359" s="34"/>
    </row>
    <row r="1360" spans="1:11" hidden="1">
      <c r="A1360" s="386"/>
      <c r="G1360" s="250" t="s">
        <v>2338</v>
      </c>
      <c r="H1360" s="244" t="s">
        <v>857</v>
      </c>
      <c r="I1360"/>
      <c r="J1360" s="4"/>
      <c r="K1360" s="34"/>
    </row>
    <row r="1361" spans="1:11" hidden="1">
      <c r="A1361" s="386"/>
      <c r="H1361" s="244" t="s">
        <v>858</v>
      </c>
      <c r="I1361"/>
      <c r="J1361" s="4"/>
      <c r="K1361" s="34"/>
    </row>
    <row r="1362" spans="1:11" hidden="1">
      <c r="A1362" s="386"/>
      <c r="H1362" s="244" t="s">
        <v>859</v>
      </c>
      <c r="I1362"/>
      <c r="J1362" s="4"/>
      <c r="K1362" s="34"/>
    </row>
    <row r="1363" spans="1:11" hidden="1">
      <c r="A1363" s="386"/>
      <c r="H1363" s="248" t="s">
        <v>1667</v>
      </c>
      <c r="I1363"/>
      <c r="J1363" s="4"/>
      <c r="K1363" s="34"/>
    </row>
    <row r="1364" spans="1:11" hidden="1">
      <c r="A1364" s="386"/>
      <c r="F1364" s="251">
        <v>0.14000000000000001</v>
      </c>
      <c r="G1364" s="250" t="s">
        <v>884</v>
      </c>
      <c r="H1364" s="244" t="s">
        <v>1414</v>
      </c>
      <c r="I1364" s="8" t="e">
        <f>(K32)</f>
        <v>#REF!</v>
      </c>
      <c r="J1364" s="2" t="s">
        <v>884</v>
      </c>
      <c r="K1364" s="6" t="e">
        <f>(F1364*I1364)</f>
        <v>#REF!</v>
      </c>
    </row>
    <row r="1365" spans="1:11" hidden="1">
      <c r="A1365" s="386"/>
      <c r="F1365" s="251">
        <v>1.1000000000000001</v>
      </c>
      <c r="G1365" s="250" t="s">
        <v>883</v>
      </c>
      <c r="H1365" s="244" t="s">
        <v>2082</v>
      </c>
      <c r="I1365" s="8">
        <f>(C10)</f>
        <v>150</v>
      </c>
      <c r="J1365" s="2" t="s">
        <v>883</v>
      </c>
      <c r="K1365" s="6">
        <f>(F1365*I1365)</f>
        <v>165</v>
      </c>
    </row>
    <row r="1366" spans="1:11" hidden="1">
      <c r="A1366" s="386"/>
      <c r="F1366" s="251">
        <v>0.5</v>
      </c>
      <c r="G1366" s="250" t="s">
        <v>883</v>
      </c>
      <c r="H1366" s="244" t="s">
        <v>1979</v>
      </c>
      <c r="I1366" s="8">
        <f>(C12)</f>
        <v>95</v>
      </c>
      <c r="J1366" s="2" t="s">
        <v>883</v>
      </c>
      <c r="K1366" s="6">
        <f>(F1366*I1366)</f>
        <v>47.5</v>
      </c>
    </row>
    <row r="1367" spans="1:11" hidden="1">
      <c r="A1367" s="386"/>
      <c r="F1367" s="251">
        <v>1.1000000000000001</v>
      </c>
      <c r="G1367" s="250" t="s">
        <v>883</v>
      </c>
      <c r="H1367" s="244" t="s">
        <v>324</v>
      </c>
      <c r="I1367" s="8">
        <f>(C13)</f>
        <v>85</v>
      </c>
      <c r="J1367" s="2" t="s">
        <v>883</v>
      </c>
      <c r="K1367" s="6">
        <f>(F1367*I1367)</f>
        <v>93.5</v>
      </c>
    </row>
    <row r="1368" spans="1:11" hidden="1">
      <c r="A1368" s="386"/>
      <c r="F1368" s="251">
        <v>2</v>
      </c>
      <c r="G1368" s="250" t="s">
        <v>1730</v>
      </c>
      <c r="H1368" s="244" t="s">
        <v>860</v>
      </c>
      <c r="I1368" s="8">
        <f>(C631)</f>
        <v>30</v>
      </c>
      <c r="J1368" s="2" t="s">
        <v>1730</v>
      </c>
      <c r="K1368" s="6">
        <f>(F1368*I1368)</f>
        <v>60</v>
      </c>
    </row>
    <row r="1369" spans="1:11" hidden="1">
      <c r="A1369" s="386"/>
      <c r="G1369" s="250" t="s">
        <v>448</v>
      </c>
      <c r="H1369" s="244" t="s">
        <v>449</v>
      </c>
      <c r="I1369" s="1" t="s">
        <v>995</v>
      </c>
      <c r="J1369" s="2" t="s">
        <v>448</v>
      </c>
      <c r="K1369" s="6">
        <v>0</v>
      </c>
    </row>
    <row r="1370" spans="1:11" hidden="1">
      <c r="A1370" s="386"/>
      <c r="I1370"/>
      <c r="J1370" s="4"/>
      <c r="K1370" s="6" t="s">
        <v>1667</v>
      </c>
    </row>
    <row r="1371" spans="1:11" hidden="1">
      <c r="A1371" s="386"/>
      <c r="F1371" s="244" t="s">
        <v>995</v>
      </c>
      <c r="H1371" s="244" t="s">
        <v>440</v>
      </c>
      <c r="I1371"/>
      <c r="J1371" s="4"/>
      <c r="K1371" s="6" t="e">
        <f>SUM(K1364:K1369)</f>
        <v>#REF!</v>
      </c>
    </row>
    <row r="1372" spans="1:11" hidden="1">
      <c r="A1372" s="386"/>
      <c r="I1372"/>
      <c r="J1372" s="4"/>
      <c r="K1372" s="6" t="s">
        <v>1667</v>
      </c>
    </row>
    <row r="1373" spans="1:11" hidden="1">
      <c r="A1373" s="386"/>
      <c r="H1373" s="244" t="s">
        <v>555</v>
      </c>
      <c r="I1373"/>
      <c r="J1373" s="4"/>
      <c r="K1373" s="6" t="e">
        <f>(K1371/10)</f>
        <v>#REF!</v>
      </c>
    </row>
    <row r="1374" spans="1:11" hidden="1">
      <c r="A1374" s="386"/>
      <c r="I1374"/>
      <c r="J1374" s="4"/>
      <c r="K1374" s="6" t="s">
        <v>2130</v>
      </c>
    </row>
    <row r="1375" spans="1:11" hidden="1">
      <c r="A1375" s="386"/>
      <c r="H1375" s="244" t="s">
        <v>995</v>
      </c>
      <c r="I1375"/>
      <c r="J1375" s="4"/>
      <c r="K1375" s="34"/>
    </row>
    <row r="1376" spans="1:11" hidden="1">
      <c r="A1376" s="386"/>
      <c r="I1376"/>
      <c r="J1376" s="4"/>
      <c r="K1376" s="34"/>
    </row>
    <row r="1377" spans="1:11" hidden="1">
      <c r="A1377" s="386"/>
      <c r="F1377" s="354" t="s">
        <v>861</v>
      </c>
      <c r="G1377" s="250" t="s">
        <v>2338</v>
      </c>
      <c r="H1377" s="244" t="s">
        <v>862</v>
      </c>
      <c r="I1377"/>
      <c r="J1377" s="4"/>
      <c r="K1377" s="34"/>
    </row>
    <row r="1378" spans="1:11" hidden="1">
      <c r="A1378" s="386"/>
      <c r="H1378" s="244" t="s">
        <v>1421</v>
      </c>
      <c r="I1378"/>
      <c r="J1378" s="4"/>
      <c r="K1378" s="34"/>
    </row>
    <row r="1379" spans="1:11" hidden="1">
      <c r="A1379" s="386"/>
      <c r="H1379" s="244" t="s">
        <v>1422</v>
      </c>
      <c r="I1379"/>
      <c r="J1379" s="4"/>
      <c r="K1379" s="34"/>
    </row>
    <row r="1380" spans="1:11" hidden="1">
      <c r="A1380" s="386"/>
      <c r="H1380" s="244" t="s">
        <v>706</v>
      </c>
      <c r="I1380"/>
      <c r="J1380" s="4"/>
      <c r="K1380" s="34"/>
    </row>
    <row r="1381" spans="1:11" hidden="1">
      <c r="A1381" s="386"/>
      <c r="H1381" s="248" t="s">
        <v>1667</v>
      </c>
      <c r="I1381" s="5" t="s">
        <v>1667</v>
      </c>
      <c r="J1381" s="4"/>
      <c r="K1381" s="34"/>
    </row>
    <row r="1382" spans="1:11" hidden="1">
      <c r="A1382" s="386"/>
      <c r="G1382" s="250" t="s">
        <v>1981</v>
      </c>
      <c r="H1382" s="244" t="s">
        <v>707</v>
      </c>
      <c r="I1382"/>
      <c r="J1382" s="4"/>
      <c r="K1382" s="34"/>
    </row>
    <row r="1383" spans="1:11" hidden="1">
      <c r="A1383" s="386"/>
      <c r="G1383" s="250" t="s">
        <v>1667</v>
      </c>
      <c r="H1383" s="248" t="s">
        <v>1667</v>
      </c>
      <c r="I1383"/>
      <c r="J1383" s="4"/>
      <c r="K1383" s="34"/>
    </row>
    <row r="1384" spans="1:11" hidden="1">
      <c r="A1384" s="386"/>
      <c r="F1384" s="374">
        <v>1.4E-2</v>
      </c>
      <c r="G1384" s="250" t="s">
        <v>2226</v>
      </c>
      <c r="H1384" s="244" t="s">
        <v>708</v>
      </c>
      <c r="I1384" s="8" t="e">
        <f>K49</f>
        <v>#REF!</v>
      </c>
      <c r="J1384" s="2" t="s">
        <v>2226</v>
      </c>
      <c r="K1384" s="6" t="e">
        <f>(F1384*I1384)</f>
        <v>#REF!</v>
      </c>
    </row>
    <row r="1385" spans="1:11" hidden="1">
      <c r="A1385" s="386"/>
      <c r="F1385" s="251">
        <v>0.3</v>
      </c>
      <c r="G1385" s="250" t="s">
        <v>563</v>
      </c>
      <c r="H1385" s="244" t="s">
        <v>709</v>
      </c>
      <c r="I1385" s="8">
        <f>C10</f>
        <v>150</v>
      </c>
      <c r="J1385" s="2" t="s">
        <v>563</v>
      </c>
      <c r="K1385" s="6">
        <f>(F1385*I1385)</f>
        <v>45</v>
      </c>
    </row>
    <row r="1386" spans="1:11" hidden="1">
      <c r="A1386" s="386"/>
      <c r="F1386" s="251">
        <v>0.3</v>
      </c>
      <c r="G1386" s="250" t="s">
        <v>563</v>
      </c>
      <c r="H1386" s="244" t="s">
        <v>838</v>
      </c>
      <c r="I1386" s="8">
        <f>C12</f>
        <v>95</v>
      </c>
      <c r="J1386" s="2" t="s">
        <v>563</v>
      </c>
      <c r="K1386" s="6">
        <f>(F1386*I1386)</f>
        <v>28.5</v>
      </c>
    </row>
    <row r="1387" spans="1:11" hidden="1">
      <c r="A1387" s="386"/>
      <c r="G1387" s="250" t="s">
        <v>448</v>
      </c>
      <c r="H1387" s="244" t="s">
        <v>2359</v>
      </c>
      <c r="I1387"/>
      <c r="J1387" s="2" t="s">
        <v>448</v>
      </c>
      <c r="K1387" s="34">
        <v>0</v>
      </c>
    </row>
    <row r="1388" spans="1:11" hidden="1">
      <c r="A1388" s="386"/>
      <c r="I1388"/>
      <c r="J1388" s="4"/>
      <c r="K1388" s="6" t="s">
        <v>1667</v>
      </c>
    </row>
    <row r="1389" spans="1:11" hidden="1">
      <c r="A1389" s="386"/>
      <c r="H1389" s="354" t="s">
        <v>710</v>
      </c>
      <c r="I1389"/>
      <c r="J1389" s="4"/>
      <c r="K1389" s="6" t="e">
        <f>SUM(K1384:K1387)</f>
        <v>#REF!</v>
      </c>
    </row>
    <row r="1390" spans="1:11" hidden="1">
      <c r="A1390" s="386"/>
      <c r="I1390"/>
      <c r="J1390" s="4"/>
      <c r="K1390" s="6" t="s">
        <v>1667</v>
      </c>
    </row>
    <row r="1391" spans="1:11" hidden="1">
      <c r="A1391" s="386"/>
      <c r="H1391" s="354" t="s">
        <v>711</v>
      </c>
      <c r="I1391"/>
      <c r="J1391" s="4"/>
      <c r="K1391" s="6" t="e">
        <f>K1389/6.77</f>
        <v>#REF!</v>
      </c>
    </row>
    <row r="1392" spans="1:11" hidden="1">
      <c r="A1392" s="386"/>
      <c r="F1392" s="244" t="s">
        <v>995</v>
      </c>
      <c r="I1392"/>
      <c r="J1392" s="4"/>
      <c r="K1392" s="34"/>
    </row>
    <row r="1393" spans="1:11" hidden="1">
      <c r="A1393" s="386"/>
      <c r="I1393"/>
      <c r="J1393" s="4"/>
      <c r="K1393" s="6" t="s">
        <v>2130</v>
      </c>
    </row>
    <row r="1394" spans="1:11" hidden="1">
      <c r="A1394" s="386"/>
      <c r="G1394" s="250" t="s">
        <v>519</v>
      </c>
      <c r="H1394" s="244" t="s">
        <v>712</v>
      </c>
      <c r="I1394"/>
      <c r="J1394" s="4"/>
      <c r="K1394" s="34"/>
    </row>
    <row r="1395" spans="1:11" hidden="1">
      <c r="A1395" s="386"/>
      <c r="G1395" s="250" t="s">
        <v>1667</v>
      </c>
      <c r="H1395" s="248" t="s">
        <v>1667</v>
      </c>
      <c r="I1395"/>
      <c r="J1395" s="4"/>
      <c r="K1395" s="34"/>
    </row>
    <row r="1396" spans="1:11" hidden="1">
      <c r="A1396" s="386"/>
      <c r="F1396" s="374">
        <v>7.0000000000000001E-3</v>
      </c>
      <c r="G1396" s="250" t="s">
        <v>2226</v>
      </c>
      <c r="H1396" s="244" t="s">
        <v>708</v>
      </c>
      <c r="I1396" s="8" t="e">
        <f>K49</f>
        <v>#REF!</v>
      </c>
      <c r="J1396" s="2" t="s">
        <v>2226</v>
      </c>
      <c r="K1396" s="6" t="e">
        <f>(F1396*I1396)</f>
        <v>#REF!</v>
      </c>
    </row>
    <row r="1397" spans="1:11" hidden="1">
      <c r="A1397" s="386"/>
      <c r="F1397" s="251">
        <v>0.2</v>
      </c>
      <c r="G1397" s="250" t="s">
        <v>563</v>
      </c>
      <c r="H1397" s="244" t="s">
        <v>709</v>
      </c>
      <c r="I1397" s="8">
        <f>C10</f>
        <v>150</v>
      </c>
      <c r="J1397" s="2" t="s">
        <v>563</v>
      </c>
      <c r="K1397" s="6">
        <f>(F1397*I1397)</f>
        <v>30</v>
      </c>
    </row>
    <row r="1398" spans="1:11" hidden="1">
      <c r="A1398" s="386"/>
      <c r="F1398" s="251">
        <v>0.2</v>
      </c>
      <c r="G1398" s="250" t="s">
        <v>563</v>
      </c>
      <c r="H1398" s="244" t="s">
        <v>838</v>
      </c>
      <c r="I1398" s="8">
        <f>C12</f>
        <v>95</v>
      </c>
      <c r="J1398" s="2" t="s">
        <v>563</v>
      </c>
      <c r="K1398" s="6">
        <f>(F1398*I1398)</f>
        <v>19</v>
      </c>
    </row>
    <row r="1399" spans="1:11" hidden="1">
      <c r="A1399" s="386"/>
      <c r="H1399" s="244" t="s">
        <v>2359</v>
      </c>
      <c r="I1399"/>
      <c r="J1399" s="4"/>
      <c r="K1399" s="34">
        <v>0</v>
      </c>
    </row>
    <row r="1400" spans="1:11" hidden="1">
      <c r="A1400" s="386"/>
      <c r="I1400"/>
      <c r="J1400" s="4"/>
      <c r="K1400" s="6" t="s">
        <v>1667</v>
      </c>
    </row>
    <row r="1401" spans="1:11" hidden="1">
      <c r="A1401" s="386"/>
      <c r="H1401" s="354" t="s">
        <v>710</v>
      </c>
      <c r="I1401"/>
      <c r="J1401" s="4"/>
      <c r="K1401" s="6" t="e">
        <f>SUM(K1396:K1399)</f>
        <v>#REF!</v>
      </c>
    </row>
    <row r="1402" spans="1:11" hidden="1">
      <c r="A1402" s="386"/>
      <c r="I1402"/>
      <c r="J1402" s="4"/>
      <c r="K1402" s="6" t="s">
        <v>1667</v>
      </c>
    </row>
    <row r="1403" spans="1:11" hidden="1">
      <c r="A1403" s="386"/>
      <c r="H1403" s="354" t="s">
        <v>711</v>
      </c>
      <c r="I1403"/>
      <c r="J1403" s="4"/>
      <c r="K1403" s="6" t="e">
        <f>K1401/6.77</f>
        <v>#REF!</v>
      </c>
    </row>
    <row r="1404" spans="1:11" hidden="1">
      <c r="A1404" s="386"/>
      <c r="I1404"/>
      <c r="J1404" s="4"/>
      <c r="K1404" s="6" t="s">
        <v>2130</v>
      </c>
    </row>
    <row r="1405" spans="1:11" hidden="1">
      <c r="A1405" s="386"/>
      <c r="I1405"/>
      <c r="J1405" s="4"/>
      <c r="K1405" s="6"/>
    </row>
    <row r="1406" spans="1:11" hidden="1">
      <c r="A1406" s="386"/>
      <c r="I1406"/>
      <c r="J1406" s="4"/>
      <c r="K1406" s="6"/>
    </row>
    <row r="1407" spans="1:11" hidden="1">
      <c r="A1407" s="386"/>
      <c r="G1407" s="250" t="s">
        <v>321</v>
      </c>
      <c r="H1407" s="244" t="s">
        <v>954</v>
      </c>
      <c r="I1407"/>
      <c r="J1407" s="4"/>
      <c r="K1407" s="6"/>
    </row>
    <row r="1408" spans="1:11" hidden="1">
      <c r="A1408" s="386"/>
      <c r="G1408" s="250" t="s">
        <v>1667</v>
      </c>
      <c r="H1408" s="248" t="s">
        <v>1667</v>
      </c>
      <c r="I1408"/>
      <c r="J1408" s="4"/>
      <c r="K1408" s="6"/>
    </row>
    <row r="1409" spans="1:11" hidden="1">
      <c r="A1409" s="386"/>
      <c r="F1409" s="374">
        <v>4.7000000000000002E-3</v>
      </c>
      <c r="G1409" s="250" t="s">
        <v>2226</v>
      </c>
      <c r="H1409" s="244" t="s">
        <v>708</v>
      </c>
      <c r="I1409" t="e">
        <f>K49</f>
        <v>#REF!</v>
      </c>
      <c r="J1409" s="2" t="s">
        <v>2226</v>
      </c>
      <c r="K1409" s="6" t="e">
        <f>(F1409*I1409)</f>
        <v>#REF!</v>
      </c>
    </row>
    <row r="1410" spans="1:11" hidden="1">
      <c r="A1410" s="386"/>
      <c r="F1410" s="251">
        <v>0.15</v>
      </c>
      <c r="G1410" s="250" t="s">
        <v>563</v>
      </c>
      <c r="H1410" s="244" t="s">
        <v>709</v>
      </c>
      <c r="I1410">
        <f>C10</f>
        <v>150</v>
      </c>
      <c r="J1410" s="2" t="s">
        <v>563</v>
      </c>
      <c r="K1410" s="6">
        <f>(F1410*I1410)</f>
        <v>22.5</v>
      </c>
    </row>
    <row r="1411" spans="1:11" hidden="1">
      <c r="A1411" s="386"/>
      <c r="F1411" s="251">
        <v>0.15</v>
      </c>
      <c r="G1411" s="250" t="s">
        <v>563</v>
      </c>
      <c r="H1411" s="244" t="s">
        <v>838</v>
      </c>
      <c r="I1411">
        <f>C12</f>
        <v>95</v>
      </c>
      <c r="J1411" s="2" t="s">
        <v>563</v>
      </c>
      <c r="K1411" s="6">
        <f>(F1411*I1411)</f>
        <v>14.25</v>
      </c>
    </row>
    <row r="1412" spans="1:11" hidden="1">
      <c r="A1412" s="386"/>
      <c r="H1412" s="244" t="s">
        <v>2359</v>
      </c>
      <c r="I1412"/>
      <c r="J1412" s="4"/>
      <c r="K1412" s="34">
        <v>0</v>
      </c>
    </row>
    <row r="1413" spans="1:11" hidden="1">
      <c r="A1413" s="386"/>
      <c r="I1413"/>
      <c r="J1413" s="4"/>
      <c r="K1413" s="6" t="s">
        <v>1667</v>
      </c>
    </row>
    <row r="1414" spans="1:11" hidden="1">
      <c r="A1414" s="386"/>
      <c r="H1414" s="354" t="s">
        <v>710</v>
      </c>
      <c r="I1414"/>
      <c r="J1414" s="4"/>
      <c r="K1414" s="6" t="e">
        <f>SUM(K1409:K1412)</f>
        <v>#REF!</v>
      </c>
    </row>
    <row r="1415" spans="1:11" hidden="1">
      <c r="A1415" s="386"/>
      <c r="I1415"/>
      <c r="J1415" s="4"/>
      <c r="K1415" s="6" t="s">
        <v>1667</v>
      </c>
    </row>
    <row r="1416" spans="1:11" hidden="1">
      <c r="A1416" s="386"/>
      <c r="H1416" s="354" t="s">
        <v>711</v>
      </c>
      <c r="I1416"/>
      <c r="J1416" s="4"/>
      <c r="K1416" s="6" t="e">
        <f>K1414/6.77</f>
        <v>#REF!</v>
      </c>
    </row>
    <row r="1417" spans="1:11" hidden="1">
      <c r="A1417" s="386"/>
      <c r="I1417"/>
      <c r="J1417" s="4"/>
      <c r="K1417" s="6" t="s">
        <v>2130</v>
      </c>
    </row>
    <row r="1418" spans="1:11" hidden="1">
      <c r="A1418" s="386"/>
      <c r="I1418"/>
      <c r="J1418" s="4"/>
      <c r="K1418" s="6"/>
    </row>
    <row r="1419" spans="1:11" hidden="1">
      <c r="A1419" s="386"/>
      <c r="F1419" s="364">
        <v>37.1</v>
      </c>
      <c r="G1419" s="250" t="s">
        <v>2338</v>
      </c>
      <c r="H1419" s="244" t="s">
        <v>394</v>
      </c>
      <c r="I1419"/>
      <c r="J1419" s="4"/>
      <c r="K1419" s="34"/>
    </row>
    <row r="1420" spans="1:11" hidden="1">
      <c r="A1420" s="386"/>
      <c r="H1420" s="248" t="s">
        <v>1667</v>
      </c>
      <c r="I1420"/>
      <c r="J1420" s="4"/>
      <c r="K1420" s="34"/>
    </row>
    <row r="1421" spans="1:11" hidden="1">
      <c r="A1421" s="386"/>
      <c r="F1421" s="251">
        <v>0.09</v>
      </c>
      <c r="G1421" s="250" t="s">
        <v>884</v>
      </c>
      <c r="H1421" s="244" t="s">
        <v>2077</v>
      </c>
      <c r="I1421" s="8">
        <f>(C84)</f>
        <v>773</v>
      </c>
      <c r="J1421" s="2" t="s">
        <v>884</v>
      </c>
      <c r="K1421" s="6">
        <f>(F1421*I1421)</f>
        <v>69.569999999999993</v>
      </c>
    </row>
    <row r="1422" spans="1:11" hidden="1">
      <c r="A1422" s="386"/>
      <c r="F1422" s="251">
        <v>2.2000000000000002</v>
      </c>
      <c r="G1422" s="250" t="s">
        <v>883</v>
      </c>
      <c r="H1422" s="244" t="s">
        <v>1791</v>
      </c>
      <c r="I1422" s="8">
        <f>(C11)</f>
        <v>135</v>
      </c>
      <c r="J1422" s="2" t="s">
        <v>883</v>
      </c>
      <c r="K1422" s="6">
        <f>(F1422*I1422)</f>
        <v>297</v>
      </c>
    </row>
    <row r="1423" spans="1:11" hidden="1">
      <c r="A1423" s="386"/>
      <c r="F1423" s="251">
        <v>0.5</v>
      </c>
      <c r="G1423" s="250" t="s">
        <v>883</v>
      </c>
      <c r="H1423" s="244" t="s">
        <v>1979</v>
      </c>
      <c r="I1423" s="8">
        <f>(C12)</f>
        <v>95</v>
      </c>
      <c r="J1423" s="2" t="s">
        <v>883</v>
      </c>
      <c r="K1423" s="6">
        <f>(F1423*I1423)</f>
        <v>47.5</v>
      </c>
    </row>
    <row r="1424" spans="1:11" hidden="1">
      <c r="A1424" s="386"/>
      <c r="F1424" s="251">
        <v>3.8</v>
      </c>
      <c r="G1424" s="250" t="s">
        <v>883</v>
      </c>
      <c r="H1424" s="244" t="s">
        <v>324</v>
      </c>
      <c r="I1424" s="8">
        <f>(C13)</f>
        <v>85</v>
      </c>
      <c r="J1424" s="2" t="s">
        <v>883</v>
      </c>
      <c r="K1424" s="6">
        <f>(F1424*I1424)</f>
        <v>323</v>
      </c>
    </row>
    <row r="1425" spans="1:11" hidden="1">
      <c r="A1425" s="386"/>
      <c r="G1425" s="250" t="s">
        <v>448</v>
      </c>
      <c r="H1425" s="244" t="s">
        <v>503</v>
      </c>
      <c r="I1425" s="1" t="s">
        <v>995</v>
      </c>
      <c r="J1425" s="2" t="s">
        <v>448</v>
      </c>
      <c r="K1425" s="6">
        <v>1.5</v>
      </c>
    </row>
    <row r="1426" spans="1:11" hidden="1">
      <c r="A1426" s="386"/>
      <c r="I1426"/>
      <c r="J1426" s="4"/>
      <c r="K1426" s="6" t="s">
        <v>1667</v>
      </c>
    </row>
    <row r="1427" spans="1:11" hidden="1">
      <c r="A1427" s="386"/>
      <c r="H1427" s="244" t="s">
        <v>1915</v>
      </c>
      <c r="I1427"/>
      <c r="J1427" s="4"/>
      <c r="K1427" s="6">
        <f>SUM(K1420:K1425)</f>
        <v>738.57</v>
      </c>
    </row>
    <row r="1428" spans="1:11" hidden="1">
      <c r="A1428" s="386"/>
      <c r="I1428"/>
      <c r="J1428" s="4"/>
      <c r="K1428" s="6" t="s">
        <v>1667</v>
      </c>
    </row>
    <row r="1429" spans="1:11" hidden="1">
      <c r="A1429" s="386"/>
      <c r="H1429" s="244" t="s">
        <v>555</v>
      </c>
      <c r="I1429"/>
      <c r="J1429" s="4"/>
      <c r="K1429" s="6">
        <f>(K1427/100)</f>
        <v>7.39</v>
      </c>
    </row>
    <row r="1430" spans="1:11" hidden="1">
      <c r="A1430" s="386"/>
      <c r="I1430"/>
      <c r="J1430" s="4"/>
      <c r="K1430" s="6" t="s">
        <v>2130</v>
      </c>
    </row>
    <row r="1431" spans="1:11" hidden="1">
      <c r="A1431" s="386"/>
      <c r="F1431" s="354" t="s">
        <v>863</v>
      </c>
      <c r="G1431" s="250" t="s">
        <v>2338</v>
      </c>
      <c r="H1431" s="244" t="s">
        <v>1019</v>
      </c>
      <c r="I1431"/>
      <c r="J1431" s="4"/>
      <c r="K1431" s="34"/>
    </row>
    <row r="1432" spans="1:11" hidden="1">
      <c r="A1432" s="386"/>
      <c r="H1432" s="244" t="s">
        <v>1020</v>
      </c>
      <c r="I1432"/>
      <c r="J1432" s="4"/>
      <c r="K1432" s="34"/>
    </row>
    <row r="1433" spans="1:11" hidden="1">
      <c r="A1433" s="386"/>
      <c r="H1433" s="244" t="s">
        <v>1021</v>
      </c>
      <c r="I1433"/>
      <c r="J1433" s="4"/>
      <c r="K1433" s="34"/>
    </row>
    <row r="1434" spans="1:11" hidden="1">
      <c r="A1434" s="386"/>
      <c r="H1434" s="244" t="s">
        <v>34</v>
      </c>
      <c r="I1434"/>
      <c r="J1434" s="4"/>
      <c r="K1434" s="34"/>
    </row>
    <row r="1435" spans="1:11" hidden="1">
      <c r="A1435" s="386"/>
      <c r="H1435" s="248" t="s">
        <v>1667</v>
      </c>
      <c r="I1435"/>
      <c r="J1435" s="4"/>
      <c r="K1435" s="34"/>
    </row>
    <row r="1436" spans="1:11" hidden="1">
      <c r="A1436" s="386"/>
      <c r="F1436" s="251">
        <v>4.8</v>
      </c>
      <c r="G1436" s="250" t="s">
        <v>1730</v>
      </c>
      <c r="H1436" s="244" t="s">
        <v>439</v>
      </c>
      <c r="I1436" s="8">
        <f>(C270)</f>
        <v>35</v>
      </c>
      <c r="J1436" s="2" t="s">
        <v>1730</v>
      </c>
      <c r="K1436" s="6">
        <f>(F1436*I1436)</f>
        <v>168</v>
      </c>
    </row>
    <row r="1437" spans="1:11" hidden="1">
      <c r="A1437" s="386"/>
      <c r="F1437" s="251">
        <v>0.75</v>
      </c>
      <c r="G1437" s="250" t="s">
        <v>883</v>
      </c>
      <c r="H1437" s="244" t="s">
        <v>35</v>
      </c>
      <c r="I1437" s="8">
        <f>(C14)</f>
        <v>120</v>
      </c>
      <c r="J1437" s="2" t="s">
        <v>883</v>
      </c>
      <c r="K1437" s="6">
        <f>(F1437*I1437)</f>
        <v>90</v>
      </c>
    </row>
    <row r="1438" spans="1:11" hidden="1">
      <c r="A1438" s="386"/>
      <c r="F1438" s="251">
        <v>0.75</v>
      </c>
      <c r="G1438" s="250" t="s">
        <v>883</v>
      </c>
      <c r="H1438" s="244" t="s">
        <v>949</v>
      </c>
      <c r="I1438" s="8">
        <f>(C12)</f>
        <v>95</v>
      </c>
      <c r="J1438" s="2" t="s">
        <v>883</v>
      </c>
      <c r="K1438" s="6">
        <f>(F1438*I1438)</f>
        <v>71.25</v>
      </c>
    </row>
    <row r="1439" spans="1:11" hidden="1">
      <c r="A1439" s="386"/>
      <c r="F1439" s="251">
        <v>1.2</v>
      </c>
      <c r="G1439" s="250" t="s">
        <v>883</v>
      </c>
      <c r="H1439" s="244" t="s">
        <v>324</v>
      </c>
      <c r="I1439" s="8">
        <f>(C13)</f>
        <v>85</v>
      </c>
      <c r="J1439" s="2" t="s">
        <v>883</v>
      </c>
      <c r="K1439" s="6">
        <f>(F1439*I1439)</f>
        <v>102</v>
      </c>
    </row>
    <row r="1440" spans="1:11" hidden="1">
      <c r="A1440" s="386"/>
      <c r="G1440" s="250" t="s">
        <v>448</v>
      </c>
      <c r="H1440" s="244" t="s">
        <v>1913</v>
      </c>
      <c r="I1440" s="1" t="s">
        <v>995</v>
      </c>
      <c r="J1440" s="2" t="s">
        <v>448</v>
      </c>
      <c r="K1440" s="6">
        <v>1.45</v>
      </c>
    </row>
    <row r="1441" spans="1:11" hidden="1">
      <c r="A1441" s="386"/>
      <c r="I1441"/>
      <c r="J1441" s="4"/>
      <c r="K1441" s="6" t="s">
        <v>1667</v>
      </c>
    </row>
    <row r="1442" spans="1:11" hidden="1">
      <c r="A1442" s="386"/>
      <c r="H1442" s="244" t="s">
        <v>440</v>
      </c>
      <c r="I1442"/>
      <c r="J1442" s="4"/>
      <c r="K1442" s="6">
        <f>SUM(K1436:K1440)</f>
        <v>432.7</v>
      </c>
    </row>
    <row r="1443" spans="1:11" hidden="1">
      <c r="A1443" s="386"/>
      <c r="I1443"/>
      <c r="J1443" s="4"/>
      <c r="K1443" s="6" t="s">
        <v>1667</v>
      </c>
    </row>
    <row r="1444" spans="1:11" hidden="1">
      <c r="A1444" s="386"/>
      <c r="H1444" s="244" t="s">
        <v>555</v>
      </c>
      <c r="I1444"/>
      <c r="J1444" s="4"/>
      <c r="K1444" s="6">
        <f>(K1442/10)</f>
        <v>43.27</v>
      </c>
    </row>
    <row r="1445" spans="1:11" hidden="1">
      <c r="A1445" s="386"/>
      <c r="I1445"/>
      <c r="J1445" s="4"/>
      <c r="K1445" s="6" t="s">
        <v>2130</v>
      </c>
    </row>
    <row r="1446" spans="1:11" hidden="1">
      <c r="A1446" s="386"/>
      <c r="F1446" s="354" t="s">
        <v>36</v>
      </c>
      <c r="G1446" s="250" t="s">
        <v>2338</v>
      </c>
      <c r="H1446" s="354" t="s">
        <v>37</v>
      </c>
      <c r="I1446"/>
      <c r="J1446" s="4"/>
      <c r="K1446" s="34"/>
    </row>
    <row r="1447" spans="1:11" hidden="1">
      <c r="A1447" s="386"/>
      <c r="H1447" s="354" t="s">
        <v>38</v>
      </c>
      <c r="I1447"/>
      <c r="J1447" s="4"/>
      <c r="K1447" s="34"/>
    </row>
    <row r="1448" spans="1:11" hidden="1">
      <c r="A1448" s="386"/>
      <c r="F1448" s="251">
        <v>3.08</v>
      </c>
      <c r="G1448" s="250" t="s">
        <v>1430</v>
      </c>
      <c r="H1448" s="244" t="s">
        <v>37</v>
      </c>
      <c r="I1448" s="8">
        <v>120</v>
      </c>
      <c r="J1448" s="2" t="s">
        <v>1430</v>
      </c>
      <c r="K1448" s="6">
        <f>(F1448*I1448)</f>
        <v>369.6</v>
      </c>
    </row>
    <row r="1449" spans="1:11" hidden="1">
      <c r="A1449" s="386"/>
      <c r="F1449" s="251">
        <v>0.5</v>
      </c>
      <c r="G1449" s="250" t="s">
        <v>563</v>
      </c>
      <c r="H1449" s="244" t="s">
        <v>1431</v>
      </c>
      <c r="I1449" s="8">
        <f>C14</f>
        <v>120</v>
      </c>
      <c r="J1449" s="2" t="s">
        <v>563</v>
      </c>
      <c r="K1449" s="6">
        <f>(F1449*I1449)</f>
        <v>60</v>
      </c>
    </row>
    <row r="1450" spans="1:11" hidden="1">
      <c r="A1450" s="386"/>
      <c r="F1450" s="251">
        <v>0.5</v>
      </c>
      <c r="G1450" s="250" t="s">
        <v>563</v>
      </c>
      <c r="H1450" s="244" t="s">
        <v>838</v>
      </c>
      <c r="I1450" s="8">
        <f>C12</f>
        <v>95</v>
      </c>
      <c r="J1450" s="2" t="s">
        <v>563</v>
      </c>
      <c r="K1450" s="6">
        <f>(F1450*I1450)</f>
        <v>47.5</v>
      </c>
    </row>
    <row r="1451" spans="1:11" hidden="1">
      <c r="A1451" s="386"/>
      <c r="F1451" s="251">
        <v>0.8</v>
      </c>
      <c r="G1451" s="250" t="s">
        <v>563</v>
      </c>
      <c r="H1451" s="244" t="s">
        <v>1432</v>
      </c>
      <c r="I1451" s="8">
        <f>C13</f>
        <v>85</v>
      </c>
      <c r="J1451" s="2" t="s">
        <v>563</v>
      </c>
      <c r="K1451" s="6">
        <f>(F1451*I1451)</f>
        <v>68</v>
      </c>
    </row>
    <row r="1452" spans="1:11" hidden="1">
      <c r="A1452" s="386"/>
      <c r="G1452" s="250" t="s">
        <v>448</v>
      </c>
      <c r="H1452" s="244" t="s">
        <v>1913</v>
      </c>
      <c r="I1452"/>
      <c r="J1452" s="2" t="s">
        <v>448</v>
      </c>
      <c r="K1452" s="6">
        <v>1.5</v>
      </c>
    </row>
    <row r="1453" spans="1:11" hidden="1">
      <c r="A1453" s="386"/>
      <c r="I1453"/>
      <c r="J1453" s="4"/>
      <c r="K1453" s="34"/>
    </row>
    <row r="1454" spans="1:11" hidden="1">
      <c r="A1454" s="386"/>
      <c r="I1454"/>
      <c r="J1454" s="4"/>
      <c r="K1454" s="6" t="s">
        <v>1667</v>
      </c>
    </row>
    <row r="1455" spans="1:11" hidden="1">
      <c r="A1455" s="386"/>
      <c r="H1455" s="354" t="s">
        <v>1433</v>
      </c>
      <c r="I1455"/>
      <c r="J1455" s="4"/>
      <c r="K1455" s="6">
        <f>SUM(K1448:K1452)</f>
        <v>546.6</v>
      </c>
    </row>
    <row r="1456" spans="1:11" hidden="1">
      <c r="A1456" s="386"/>
      <c r="I1456"/>
      <c r="J1456" s="4"/>
      <c r="K1456" s="6" t="s">
        <v>1667</v>
      </c>
    </row>
    <row r="1457" spans="1:11" hidden="1">
      <c r="A1457" s="386"/>
      <c r="F1457" s="244" t="s">
        <v>995</v>
      </c>
      <c r="G1457" s="250" t="s">
        <v>995</v>
      </c>
      <c r="H1457" s="354" t="s">
        <v>1779</v>
      </c>
      <c r="I1457" s="1" t="s">
        <v>995</v>
      </c>
      <c r="J1457" s="2" t="s">
        <v>995</v>
      </c>
      <c r="K1457" s="6">
        <f>K1455/10</f>
        <v>54.66</v>
      </c>
    </row>
    <row r="1458" spans="1:11" hidden="1">
      <c r="A1458" s="386"/>
      <c r="I1458"/>
      <c r="J1458" s="4"/>
      <c r="K1458" s="6" t="s">
        <v>2130</v>
      </c>
    </row>
    <row r="1459" spans="1:11" hidden="1">
      <c r="A1459" s="386"/>
      <c r="F1459" s="354" t="s">
        <v>1434</v>
      </c>
      <c r="G1459" s="250" t="s">
        <v>2338</v>
      </c>
      <c r="H1459" s="244" t="s">
        <v>1435</v>
      </c>
      <c r="I1459"/>
      <c r="J1459" s="4"/>
      <c r="K1459" s="34"/>
    </row>
    <row r="1460" spans="1:11" hidden="1">
      <c r="A1460" s="386"/>
      <c r="H1460" s="244" t="s">
        <v>1436</v>
      </c>
      <c r="I1460"/>
      <c r="J1460" s="4"/>
      <c r="K1460" s="34"/>
    </row>
    <row r="1461" spans="1:11" hidden="1">
      <c r="A1461" s="386"/>
      <c r="H1461" s="244" t="s">
        <v>1296</v>
      </c>
      <c r="I1461"/>
      <c r="J1461" s="4"/>
      <c r="K1461" s="34"/>
    </row>
    <row r="1462" spans="1:11" hidden="1">
      <c r="A1462" s="386"/>
      <c r="H1462" s="248" t="s">
        <v>1667</v>
      </c>
      <c r="I1462"/>
      <c r="J1462" s="4"/>
      <c r="K1462" s="34"/>
    </row>
    <row r="1463" spans="1:11" hidden="1">
      <c r="A1463" s="386"/>
      <c r="F1463" s="251">
        <v>1.44</v>
      </c>
      <c r="G1463" s="250" t="s">
        <v>1297</v>
      </c>
      <c r="H1463" s="244" t="s">
        <v>1228</v>
      </c>
      <c r="I1463" s="8">
        <f>(C195)</f>
        <v>100</v>
      </c>
      <c r="J1463" s="2" t="s">
        <v>1297</v>
      </c>
      <c r="K1463" s="6">
        <f>(F1463*I1463)</f>
        <v>144</v>
      </c>
    </row>
    <row r="1464" spans="1:11" hidden="1">
      <c r="A1464" s="386"/>
      <c r="F1464" s="251">
        <v>0.7</v>
      </c>
      <c r="G1464" s="250" t="s">
        <v>781</v>
      </c>
      <c r="H1464" s="244" t="s">
        <v>1229</v>
      </c>
      <c r="I1464" s="8">
        <f>(C14)</f>
        <v>120</v>
      </c>
      <c r="J1464" s="2" t="s">
        <v>781</v>
      </c>
      <c r="K1464" s="6">
        <f>(F1464*I1464)</f>
        <v>84</v>
      </c>
    </row>
    <row r="1465" spans="1:11" hidden="1">
      <c r="A1465" s="386"/>
      <c r="F1465" s="251">
        <v>2.5499999999999998</v>
      </c>
      <c r="G1465" s="250" t="s">
        <v>1297</v>
      </c>
      <c r="H1465" s="244" t="s">
        <v>1230</v>
      </c>
      <c r="I1465" s="8">
        <f>(C194)</f>
        <v>160</v>
      </c>
      <c r="J1465" s="2" t="s">
        <v>1297</v>
      </c>
      <c r="K1465" s="6">
        <f>(F1465*I1465)</f>
        <v>408</v>
      </c>
    </row>
    <row r="1466" spans="1:11" hidden="1">
      <c r="A1466" s="386"/>
      <c r="F1466" s="251">
        <v>1.2</v>
      </c>
      <c r="G1466" s="250" t="s">
        <v>781</v>
      </c>
      <c r="H1466" s="244" t="s">
        <v>1229</v>
      </c>
      <c r="I1466" s="8">
        <f>(C14)</f>
        <v>120</v>
      </c>
      <c r="J1466" s="2" t="s">
        <v>781</v>
      </c>
      <c r="K1466" s="6">
        <f>(F1466*I1466)</f>
        <v>144</v>
      </c>
    </row>
    <row r="1467" spans="1:11" hidden="1">
      <c r="A1467" s="386"/>
      <c r="G1467" s="250" t="s">
        <v>448</v>
      </c>
      <c r="H1467" s="244" t="s">
        <v>1231</v>
      </c>
      <c r="I1467" s="1" t="s">
        <v>995</v>
      </c>
      <c r="J1467" s="2" t="s">
        <v>448</v>
      </c>
      <c r="K1467" s="6">
        <v>1.5</v>
      </c>
    </row>
    <row r="1468" spans="1:11" hidden="1">
      <c r="A1468" s="386"/>
      <c r="I1468"/>
      <c r="J1468" s="4"/>
      <c r="K1468" s="6" t="s">
        <v>1667</v>
      </c>
    </row>
    <row r="1469" spans="1:11" hidden="1">
      <c r="A1469" s="386"/>
      <c r="H1469" s="244" t="s">
        <v>440</v>
      </c>
      <c r="I1469"/>
      <c r="J1469" s="4"/>
      <c r="K1469" s="6">
        <f>SUM(K1463:K1467)</f>
        <v>781.5</v>
      </c>
    </row>
    <row r="1470" spans="1:11" hidden="1">
      <c r="A1470" s="386"/>
      <c r="I1470"/>
      <c r="J1470" s="4"/>
      <c r="K1470" s="6" t="s">
        <v>1667</v>
      </c>
    </row>
    <row r="1471" spans="1:11" hidden="1">
      <c r="A1471" s="386"/>
      <c r="H1471" s="244" t="s">
        <v>555</v>
      </c>
      <c r="I1471"/>
      <c r="J1471" s="4"/>
      <c r="K1471" s="6">
        <f>(K1469/10)</f>
        <v>78.150000000000006</v>
      </c>
    </row>
    <row r="1472" spans="1:11" hidden="1">
      <c r="A1472" s="386"/>
      <c r="F1472" s="244" t="s">
        <v>995</v>
      </c>
      <c r="I1472"/>
      <c r="J1472" s="4"/>
      <c r="K1472" s="34"/>
    </row>
    <row r="1473" spans="1:11" hidden="1">
      <c r="A1473" s="386"/>
      <c r="I1473"/>
      <c r="J1473" s="4"/>
      <c r="K1473" s="6" t="s">
        <v>2130</v>
      </c>
    </row>
    <row r="1474" spans="1:11" hidden="1">
      <c r="A1474" s="386"/>
      <c r="F1474" s="360">
        <v>41</v>
      </c>
      <c r="G1474" s="250" t="s">
        <v>2338</v>
      </c>
      <c r="H1474" s="244" t="s">
        <v>1435</v>
      </c>
      <c r="I1474"/>
      <c r="J1474" s="4"/>
      <c r="K1474" s="34"/>
    </row>
    <row r="1475" spans="1:11" hidden="1">
      <c r="A1475" s="386"/>
      <c r="H1475" s="244" t="s">
        <v>1079</v>
      </c>
      <c r="I1475"/>
      <c r="J1475" s="4"/>
      <c r="K1475" s="34"/>
    </row>
    <row r="1476" spans="1:11" hidden="1">
      <c r="A1476" s="386"/>
      <c r="H1476" s="244" t="s">
        <v>1296</v>
      </c>
      <c r="I1476"/>
      <c r="J1476" s="4"/>
      <c r="K1476" s="34"/>
    </row>
    <row r="1477" spans="1:11" hidden="1">
      <c r="A1477" s="386"/>
      <c r="H1477" s="248" t="s">
        <v>1667</v>
      </c>
      <c r="I1477"/>
      <c r="J1477" s="4"/>
      <c r="K1477" s="34"/>
    </row>
    <row r="1478" spans="1:11" hidden="1">
      <c r="A1478" s="386"/>
      <c r="F1478" s="251">
        <v>2.2200000000000002</v>
      </c>
      <c r="G1478" s="250" t="s">
        <v>1297</v>
      </c>
      <c r="H1478" s="244" t="s">
        <v>1230</v>
      </c>
      <c r="I1478" s="8">
        <f>(C206)</f>
        <v>150</v>
      </c>
      <c r="J1478" s="2" t="s">
        <v>1297</v>
      </c>
      <c r="K1478" s="6">
        <f>(F1478*I1478)</f>
        <v>333</v>
      </c>
    </row>
    <row r="1479" spans="1:11" hidden="1">
      <c r="A1479" s="386"/>
      <c r="F1479" s="251">
        <v>1.1000000000000001</v>
      </c>
      <c r="G1479" s="250" t="s">
        <v>781</v>
      </c>
      <c r="H1479" s="244" t="s">
        <v>1229</v>
      </c>
      <c r="I1479" s="8">
        <f>(C14)</f>
        <v>120</v>
      </c>
      <c r="J1479" s="2" t="s">
        <v>781</v>
      </c>
      <c r="K1479" s="6">
        <f>(F1479*I1479)</f>
        <v>132</v>
      </c>
    </row>
    <row r="1480" spans="1:11" hidden="1">
      <c r="A1480" s="386"/>
      <c r="G1480" s="250" t="s">
        <v>448</v>
      </c>
      <c r="H1480" s="244" t="s">
        <v>1231</v>
      </c>
      <c r="I1480" s="1" t="s">
        <v>995</v>
      </c>
      <c r="J1480" s="2" t="s">
        <v>448</v>
      </c>
      <c r="K1480" s="6">
        <v>1.5</v>
      </c>
    </row>
    <row r="1481" spans="1:11" hidden="1">
      <c r="A1481" s="386"/>
      <c r="I1481"/>
      <c r="J1481" s="4"/>
      <c r="K1481" s="6" t="s">
        <v>1667</v>
      </c>
    </row>
    <row r="1482" spans="1:11" hidden="1">
      <c r="A1482" s="386"/>
      <c r="H1482" s="244" t="s">
        <v>440</v>
      </c>
      <c r="I1482"/>
      <c r="J1482" s="4"/>
      <c r="K1482" s="6">
        <f>SUM(K1478:K1480)</f>
        <v>466.5</v>
      </c>
    </row>
    <row r="1483" spans="1:11" hidden="1">
      <c r="A1483" s="386"/>
      <c r="I1483"/>
      <c r="J1483" s="4"/>
      <c r="K1483" s="6" t="s">
        <v>1667</v>
      </c>
    </row>
    <row r="1484" spans="1:11" hidden="1">
      <c r="A1484" s="386"/>
      <c r="H1484" s="244" t="s">
        <v>555</v>
      </c>
      <c r="I1484"/>
      <c r="J1484" s="4"/>
      <c r="K1484" s="6">
        <f>(K1482/10)</f>
        <v>46.65</v>
      </c>
    </row>
    <row r="1485" spans="1:11" hidden="1">
      <c r="A1485" s="386"/>
      <c r="H1485" s="244"/>
      <c r="I1485"/>
      <c r="J1485" s="4"/>
      <c r="K1485" s="6"/>
    </row>
    <row r="1486" spans="1:11" hidden="1">
      <c r="A1486" s="386"/>
      <c r="H1486" s="244"/>
      <c r="I1486"/>
      <c r="J1486" s="4"/>
      <c r="K1486" s="6"/>
    </row>
    <row r="1487" spans="1:11" hidden="1">
      <c r="A1487" s="386"/>
      <c r="F1487" s="360">
        <v>238</v>
      </c>
      <c r="G1487" s="250" t="s">
        <v>2338</v>
      </c>
      <c r="H1487" s="244" t="s">
        <v>588</v>
      </c>
      <c r="I1487"/>
      <c r="J1487" s="4"/>
      <c r="K1487" s="34"/>
    </row>
    <row r="1488" spans="1:11" hidden="1">
      <c r="A1488" s="386"/>
      <c r="H1488" s="244" t="s">
        <v>3298</v>
      </c>
      <c r="I1488"/>
      <c r="J1488" s="4"/>
      <c r="K1488" s="34"/>
    </row>
    <row r="1489" spans="1:11" hidden="1">
      <c r="A1489" s="386"/>
      <c r="H1489" s="248" t="s">
        <v>1667</v>
      </c>
      <c r="I1489"/>
      <c r="J1489" s="4"/>
      <c r="K1489" s="34"/>
    </row>
    <row r="1490" spans="1:11" hidden="1">
      <c r="A1490" s="386"/>
      <c r="F1490" s="251">
        <v>20</v>
      </c>
      <c r="G1490" s="250" t="s">
        <v>1297</v>
      </c>
      <c r="H1490" s="244" t="s">
        <v>589</v>
      </c>
      <c r="I1490" s="8">
        <f>D40</f>
        <v>105.45</v>
      </c>
      <c r="J1490" s="2" t="s">
        <v>1297</v>
      </c>
      <c r="K1490" s="6">
        <f>(F1490*I1490)</f>
        <v>2109</v>
      </c>
    </row>
    <row r="1491" spans="1:11" hidden="1">
      <c r="A1491" s="386"/>
      <c r="H1491" s="244" t="s">
        <v>590</v>
      </c>
      <c r="I1491"/>
      <c r="J1491" s="4"/>
      <c r="K1491" s="6" t="s">
        <v>995</v>
      </c>
    </row>
    <row r="1492" spans="1:11" hidden="1">
      <c r="A1492" s="386"/>
      <c r="F1492" s="251">
        <v>50</v>
      </c>
      <c r="G1492" s="250" t="s">
        <v>1730</v>
      </c>
      <c r="H1492" s="244" t="s">
        <v>877</v>
      </c>
      <c r="I1492" s="8">
        <f>C67/1000</f>
        <v>3.8</v>
      </c>
      <c r="J1492" s="2" t="s">
        <v>1730</v>
      </c>
      <c r="K1492" s="6">
        <f>(F1492*I1492)</f>
        <v>190</v>
      </c>
    </row>
    <row r="1493" spans="1:11" hidden="1">
      <c r="A1493" s="386"/>
      <c r="F1493" s="251">
        <v>1</v>
      </c>
      <c r="G1493" s="250" t="s">
        <v>448</v>
      </c>
      <c r="H1493" s="244" t="s">
        <v>591</v>
      </c>
      <c r="I1493" s="8">
        <v>75</v>
      </c>
      <c r="J1493" s="2" t="s">
        <v>448</v>
      </c>
      <c r="K1493" s="6">
        <f>(F1493*I1493)</f>
        <v>75</v>
      </c>
    </row>
    <row r="1494" spans="1:11" hidden="1">
      <c r="A1494" s="386"/>
      <c r="F1494" s="251">
        <v>1</v>
      </c>
      <c r="G1494" s="250" t="s">
        <v>448</v>
      </c>
      <c r="H1494" s="244" t="s">
        <v>592</v>
      </c>
      <c r="I1494" s="8">
        <f>C38</f>
        <v>40</v>
      </c>
      <c r="J1494" s="2" t="s">
        <v>448</v>
      </c>
      <c r="K1494" s="6">
        <f>(F1494*I1494)</f>
        <v>40</v>
      </c>
    </row>
    <row r="1495" spans="1:11" hidden="1">
      <c r="A1495" s="386"/>
      <c r="F1495" s="251">
        <v>2.5</v>
      </c>
      <c r="G1495" s="250" t="s">
        <v>448</v>
      </c>
      <c r="H1495" s="244" t="s">
        <v>593</v>
      </c>
      <c r="I1495" s="8">
        <f>D14</f>
        <v>110</v>
      </c>
      <c r="J1495" s="2" t="s">
        <v>448</v>
      </c>
      <c r="K1495" s="6">
        <f>(F1495*I1495)</f>
        <v>275</v>
      </c>
    </row>
    <row r="1496" spans="1:11" hidden="1">
      <c r="A1496" s="386"/>
      <c r="G1496" s="250" t="s">
        <v>448</v>
      </c>
      <c r="H1496" s="244" t="s">
        <v>504</v>
      </c>
      <c r="I1496"/>
      <c r="J1496" s="2" t="s">
        <v>448</v>
      </c>
      <c r="K1496" s="6">
        <v>1.5</v>
      </c>
    </row>
    <row r="1497" spans="1:11" hidden="1">
      <c r="A1497" s="386"/>
      <c r="I1497"/>
      <c r="J1497" s="4"/>
      <c r="K1497" s="6" t="s">
        <v>1667</v>
      </c>
    </row>
    <row r="1498" spans="1:11" hidden="1">
      <c r="A1498" s="386"/>
      <c r="H1498" s="244" t="s">
        <v>594</v>
      </c>
      <c r="I1498"/>
      <c r="J1498" s="4"/>
      <c r="K1498" s="6">
        <f>SUM(K1490:K1496)</f>
        <v>2690.5</v>
      </c>
    </row>
    <row r="1499" spans="1:11" hidden="1">
      <c r="A1499" s="386"/>
      <c r="H1499" s="244"/>
      <c r="I1499"/>
      <c r="J1499" s="4"/>
      <c r="K1499" s="6" t="s">
        <v>1667</v>
      </c>
    </row>
    <row r="1500" spans="1:11" hidden="1">
      <c r="A1500" s="386"/>
      <c r="I1500"/>
      <c r="J1500" s="4"/>
      <c r="K1500" s="6"/>
    </row>
    <row r="1501" spans="1:11" hidden="1">
      <c r="A1501" s="386"/>
      <c r="F1501" s="354" t="s">
        <v>1080</v>
      </c>
      <c r="G1501" s="250" t="s">
        <v>2338</v>
      </c>
      <c r="H1501" s="244" t="s">
        <v>554</v>
      </c>
      <c r="I1501"/>
      <c r="J1501" s="4"/>
      <c r="K1501" s="34"/>
    </row>
    <row r="1502" spans="1:11" hidden="1">
      <c r="A1502" s="386"/>
      <c r="H1502" s="244" t="s">
        <v>2208</v>
      </c>
      <c r="I1502"/>
      <c r="J1502" s="4"/>
      <c r="K1502" s="34"/>
    </row>
    <row r="1503" spans="1:11" hidden="1">
      <c r="A1503" s="386"/>
      <c r="H1503" s="248" t="s">
        <v>1667</v>
      </c>
      <c r="I1503"/>
      <c r="J1503" s="4"/>
      <c r="K1503" s="34"/>
    </row>
    <row r="1504" spans="1:11" hidden="1">
      <c r="A1504" s="386"/>
      <c r="F1504" s="251">
        <v>1</v>
      </c>
      <c r="G1504" s="250" t="s">
        <v>526</v>
      </c>
      <c r="H1504" s="244" t="s">
        <v>527</v>
      </c>
      <c r="I1504" s="8">
        <f>(C138)</f>
        <v>28000</v>
      </c>
      <c r="J1504" s="2" t="s">
        <v>528</v>
      </c>
      <c r="K1504" s="6">
        <f>(F1504*I1504)/10</f>
        <v>2800</v>
      </c>
    </row>
    <row r="1505" spans="1:15" hidden="1">
      <c r="A1505" s="386"/>
      <c r="F1505" s="363">
        <v>0.01</v>
      </c>
      <c r="G1505" s="250" t="s">
        <v>526</v>
      </c>
      <c r="H1505" s="244" t="s">
        <v>193</v>
      </c>
      <c r="I1505" s="8">
        <f>(C142)</f>
        <v>30000</v>
      </c>
      <c r="J1505" s="2" t="s">
        <v>528</v>
      </c>
      <c r="K1505" s="6">
        <f>(F1505*I1505)/10</f>
        <v>30</v>
      </c>
    </row>
    <row r="1506" spans="1:15" hidden="1">
      <c r="A1506" s="386"/>
      <c r="F1506" s="363">
        <v>3.5</v>
      </c>
      <c r="G1506" s="250" t="s">
        <v>781</v>
      </c>
      <c r="H1506" s="244" t="s">
        <v>529</v>
      </c>
      <c r="I1506" s="8">
        <f>(C17)</f>
        <v>130</v>
      </c>
      <c r="J1506" s="2" t="s">
        <v>1458</v>
      </c>
      <c r="K1506" s="6">
        <f>(F1506*I1506)</f>
        <v>455</v>
      </c>
      <c r="O1506" s="245">
        <f>92+18.4</f>
        <v>110.4</v>
      </c>
    </row>
    <row r="1507" spans="1:15" hidden="1">
      <c r="A1507" s="386"/>
      <c r="F1507" s="251">
        <v>1.3</v>
      </c>
      <c r="G1507" s="250" t="s">
        <v>1730</v>
      </c>
      <c r="H1507" s="244" t="s">
        <v>530</v>
      </c>
      <c r="I1507" s="8">
        <f>C67/1000</f>
        <v>3.8</v>
      </c>
      <c r="J1507" s="2" t="s">
        <v>1730</v>
      </c>
      <c r="K1507" s="6">
        <f>(F1507*I1507)</f>
        <v>4.9400000000000004</v>
      </c>
      <c r="O1507" s="245">
        <f>95+19</f>
        <v>114</v>
      </c>
    </row>
    <row r="1508" spans="1:15" hidden="1">
      <c r="A1508" s="386"/>
      <c r="F1508" s="251">
        <v>0.25</v>
      </c>
      <c r="G1508" s="250" t="s">
        <v>781</v>
      </c>
      <c r="H1508" s="244" t="s">
        <v>531</v>
      </c>
      <c r="I1508" s="8">
        <f>D14</f>
        <v>110</v>
      </c>
      <c r="J1508" s="2" t="s">
        <v>1458</v>
      </c>
      <c r="K1508" s="6">
        <f>(F1508*I1508)</f>
        <v>27.5</v>
      </c>
    </row>
    <row r="1509" spans="1:15" hidden="1">
      <c r="A1509" s="386"/>
      <c r="F1509" s="363"/>
      <c r="G1509" s="250" t="s">
        <v>448</v>
      </c>
      <c r="H1509" s="244" t="s">
        <v>449</v>
      </c>
      <c r="I1509"/>
      <c r="J1509" s="2" t="s">
        <v>448</v>
      </c>
      <c r="K1509" s="6">
        <f>(F1509*I1509)</f>
        <v>0</v>
      </c>
    </row>
    <row r="1510" spans="1:15" hidden="1">
      <c r="A1510" s="386"/>
      <c r="F1510" s="363"/>
      <c r="I1510"/>
      <c r="J1510" s="4"/>
      <c r="K1510" s="6" t="s">
        <v>1667</v>
      </c>
    </row>
    <row r="1511" spans="1:15" hidden="1">
      <c r="A1511" s="386"/>
      <c r="F1511" s="363"/>
      <c r="H1511" s="244" t="s">
        <v>532</v>
      </c>
      <c r="I1511"/>
      <c r="J1511" s="4"/>
      <c r="K1511" s="6">
        <f>SUM(K1504:K1509)</f>
        <v>3317.44</v>
      </c>
    </row>
    <row r="1512" spans="1:15" hidden="1">
      <c r="A1512" s="386"/>
      <c r="F1512" s="363"/>
      <c r="I1512"/>
      <c r="J1512" s="4"/>
      <c r="K1512" s="6" t="s">
        <v>1667</v>
      </c>
    </row>
    <row r="1513" spans="1:15" hidden="1">
      <c r="A1513" s="386"/>
      <c r="F1513" s="363"/>
      <c r="H1513" s="244" t="s">
        <v>533</v>
      </c>
      <c r="I1513"/>
      <c r="J1513" s="4"/>
      <c r="K1513" s="6">
        <f>(K1511*10)</f>
        <v>33174.400000000001</v>
      </c>
    </row>
    <row r="1514" spans="1:15" hidden="1">
      <c r="A1514" s="386"/>
      <c r="F1514" s="363"/>
      <c r="I1514"/>
      <c r="J1514" s="4"/>
      <c r="K1514" s="6" t="s">
        <v>2130</v>
      </c>
    </row>
    <row r="1515" spans="1:15" hidden="1">
      <c r="A1515" s="386"/>
      <c r="F1515" s="363"/>
      <c r="I1515"/>
      <c r="J1515" s="4"/>
      <c r="K1515" s="6"/>
    </row>
    <row r="1516" spans="1:15" hidden="1">
      <c r="A1516" s="386"/>
      <c r="F1516" s="363"/>
      <c r="H1516" s="391" t="s">
        <v>534</v>
      </c>
      <c r="I1516"/>
      <c r="J1516" s="4"/>
      <c r="K1516" s="6"/>
    </row>
    <row r="1517" spans="1:15" hidden="1">
      <c r="A1517" s="386"/>
      <c r="F1517" s="251">
        <v>1</v>
      </c>
      <c r="G1517" s="250" t="s">
        <v>526</v>
      </c>
      <c r="H1517" s="244" t="s">
        <v>535</v>
      </c>
      <c r="I1517">
        <f>C137</f>
        <v>26500</v>
      </c>
      <c r="J1517" s="2" t="s">
        <v>528</v>
      </c>
      <c r="K1517" s="6">
        <f>(F1517*I1517)/10</f>
        <v>2650</v>
      </c>
    </row>
    <row r="1518" spans="1:15" hidden="1">
      <c r="A1518" s="386"/>
      <c r="F1518" s="363">
        <v>0.01</v>
      </c>
      <c r="G1518" s="250" t="s">
        <v>526</v>
      </c>
      <c r="H1518" s="244" t="s">
        <v>193</v>
      </c>
      <c r="I1518">
        <f>C142</f>
        <v>30000</v>
      </c>
      <c r="J1518" s="2" t="s">
        <v>528</v>
      </c>
      <c r="K1518" s="6">
        <f>(F1518*I1518)/10</f>
        <v>30</v>
      </c>
    </row>
    <row r="1519" spans="1:15" hidden="1">
      <c r="A1519" s="386"/>
      <c r="F1519" s="363">
        <v>3.5</v>
      </c>
      <c r="G1519" s="250" t="s">
        <v>781</v>
      </c>
      <c r="H1519" s="244" t="s">
        <v>529</v>
      </c>
      <c r="I1519">
        <f>C17</f>
        <v>130</v>
      </c>
      <c r="J1519" s="2" t="s">
        <v>1458</v>
      </c>
      <c r="K1519" s="6">
        <f>(F1519*I1519)</f>
        <v>455</v>
      </c>
    </row>
    <row r="1520" spans="1:15" hidden="1">
      <c r="A1520" s="386"/>
      <c r="F1520" s="251">
        <v>1.3</v>
      </c>
      <c r="G1520" s="250" t="s">
        <v>1730</v>
      </c>
      <c r="H1520" s="244" t="s">
        <v>530</v>
      </c>
      <c r="I1520">
        <f>C67/1000</f>
        <v>3.8</v>
      </c>
      <c r="J1520" s="2" t="s">
        <v>1730</v>
      </c>
      <c r="K1520" s="6">
        <f>(F1520*I1520)</f>
        <v>4.9400000000000004</v>
      </c>
    </row>
    <row r="1521" spans="1:11" hidden="1">
      <c r="A1521" s="386"/>
      <c r="F1521" s="251">
        <v>0.25</v>
      </c>
      <c r="G1521" s="250" t="s">
        <v>781</v>
      </c>
      <c r="H1521" s="244" t="s">
        <v>531</v>
      </c>
      <c r="I1521">
        <f>D14</f>
        <v>110</v>
      </c>
      <c r="J1521" s="2" t="s">
        <v>1458</v>
      </c>
      <c r="K1521" s="6">
        <f>(F1521*I1521)</f>
        <v>27.5</v>
      </c>
    </row>
    <row r="1522" spans="1:11" hidden="1">
      <c r="A1522" s="386"/>
      <c r="F1522" s="363"/>
      <c r="G1522" s="250" t="s">
        <v>448</v>
      </c>
      <c r="H1522" s="244" t="s">
        <v>449</v>
      </c>
      <c r="I1522"/>
      <c r="J1522" s="2" t="s">
        <v>448</v>
      </c>
      <c r="K1522" s="6">
        <f>(F1522*I1522)</f>
        <v>0</v>
      </c>
    </row>
    <row r="1523" spans="1:11" hidden="1">
      <c r="A1523" s="386"/>
      <c r="F1523" s="363"/>
      <c r="I1523"/>
      <c r="J1523" s="4"/>
      <c r="K1523" s="6" t="s">
        <v>1667</v>
      </c>
    </row>
    <row r="1524" spans="1:11" hidden="1">
      <c r="A1524" s="386"/>
      <c r="F1524" s="363"/>
      <c r="H1524" s="244" t="s">
        <v>532</v>
      </c>
      <c r="I1524"/>
      <c r="J1524" s="4"/>
      <c r="K1524" s="6">
        <f>SUM(K1517:K1522)</f>
        <v>3167.44</v>
      </c>
    </row>
    <row r="1525" spans="1:11" hidden="1">
      <c r="A1525" s="386"/>
      <c r="F1525" s="363"/>
      <c r="I1525"/>
      <c r="J1525" s="4"/>
      <c r="K1525" s="6" t="s">
        <v>1667</v>
      </c>
    </row>
    <row r="1526" spans="1:11" hidden="1">
      <c r="A1526" s="386"/>
      <c r="F1526" s="363"/>
      <c r="H1526" s="244" t="s">
        <v>533</v>
      </c>
      <c r="I1526"/>
      <c r="J1526" s="4"/>
      <c r="K1526" s="6">
        <f>(K1524*10)</f>
        <v>31674.400000000001</v>
      </c>
    </row>
    <row r="1527" spans="1:11" hidden="1">
      <c r="A1527" s="386"/>
      <c r="F1527" s="363"/>
      <c r="I1527"/>
      <c r="J1527" s="4"/>
      <c r="K1527" s="6" t="s">
        <v>2130</v>
      </c>
    </row>
    <row r="1528" spans="1:11" hidden="1">
      <c r="A1528" s="386"/>
      <c r="F1528" s="363"/>
      <c r="H1528" s="244" t="s">
        <v>995</v>
      </c>
      <c r="I1528"/>
      <c r="J1528" s="4"/>
      <c r="K1528" s="6" t="s">
        <v>995</v>
      </c>
    </row>
    <row r="1529" spans="1:11" hidden="1">
      <c r="A1529" s="386"/>
      <c r="F1529" s="392" t="s">
        <v>536</v>
      </c>
      <c r="G1529" s="250" t="s">
        <v>1981</v>
      </c>
      <c r="H1529" s="244" t="s">
        <v>554</v>
      </c>
      <c r="I1529"/>
      <c r="J1529" s="4"/>
      <c r="K1529" s="34"/>
    </row>
    <row r="1530" spans="1:11" hidden="1">
      <c r="A1530" s="386"/>
      <c r="F1530" s="363"/>
      <c r="H1530" s="244" t="s">
        <v>537</v>
      </c>
      <c r="I1530"/>
      <c r="J1530" s="4"/>
      <c r="K1530" s="34"/>
    </row>
    <row r="1531" spans="1:11" hidden="1">
      <c r="A1531" s="386"/>
      <c r="F1531" s="363"/>
      <c r="H1531" s="248" t="s">
        <v>1667</v>
      </c>
      <c r="I1531"/>
      <c r="J1531" s="4"/>
      <c r="K1531" s="34"/>
    </row>
    <row r="1532" spans="1:11" hidden="1">
      <c r="A1532" s="386"/>
      <c r="F1532" s="251">
        <v>1</v>
      </c>
      <c r="G1532" s="250" t="s">
        <v>526</v>
      </c>
      <c r="H1532" s="244" t="s">
        <v>527</v>
      </c>
      <c r="I1532" s="8">
        <f>(C138)</f>
        <v>28000</v>
      </c>
      <c r="J1532" s="2" t="s">
        <v>528</v>
      </c>
      <c r="K1532" s="6">
        <f>(F1532*I1532)/10</f>
        <v>2800</v>
      </c>
    </row>
    <row r="1533" spans="1:11" hidden="1">
      <c r="A1533" s="386"/>
      <c r="F1533" s="363">
        <v>0.01</v>
      </c>
      <c r="G1533" s="250" t="s">
        <v>526</v>
      </c>
      <c r="H1533" s="244" t="s">
        <v>193</v>
      </c>
      <c r="I1533" s="8">
        <f>(C142)</f>
        <v>30000</v>
      </c>
      <c r="J1533" s="2" t="s">
        <v>528</v>
      </c>
      <c r="K1533" s="6">
        <f>(F1533*I1533)/10</f>
        <v>30</v>
      </c>
    </row>
    <row r="1534" spans="1:11" hidden="1">
      <c r="A1534" s="386"/>
      <c r="F1534" s="363">
        <v>3.5</v>
      </c>
      <c r="G1534" s="250" t="s">
        <v>781</v>
      </c>
      <c r="H1534" s="244" t="s">
        <v>529</v>
      </c>
      <c r="I1534" s="8">
        <f>(C17)</f>
        <v>130</v>
      </c>
      <c r="J1534" s="2" t="s">
        <v>781</v>
      </c>
      <c r="K1534" s="6">
        <f>(F1534*I1534)</f>
        <v>455</v>
      </c>
    </row>
    <row r="1535" spans="1:11" hidden="1">
      <c r="A1535" s="386"/>
      <c r="F1535" s="363"/>
      <c r="G1535" s="250" t="s">
        <v>448</v>
      </c>
      <c r="H1535" s="244" t="s">
        <v>449</v>
      </c>
      <c r="I1535"/>
      <c r="J1535" s="2" t="s">
        <v>448</v>
      </c>
      <c r="K1535" s="6">
        <v>0</v>
      </c>
    </row>
    <row r="1536" spans="1:11" hidden="1">
      <c r="A1536" s="386"/>
      <c r="I1536"/>
      <c r="J1536" s="4"/>
      <c r="K1536" s="6" t="s">
        <v>1667</v>
      </c>
    </row>
    <row r="1537" spans="1:11" hidden="1">
      <c r="A1537" s="386"/>
      <c r="H1537" s="244" t="s">
        <v>532</v>
      </c>
      <c r="I1537"/>
      <c r="J1537" s="4"/>
      <c r="K1537" s="6">
        <f>SUM(K1532:K1535)</f>
        <v>3285</v>
      </c>
    </row>
    <row r="1538" spans="1:11" hidden="1">
      <c r="A1538" s="386"/>
      <c r="I1538"/>
      <c r="J1538" s="4"/>
      <c r="K1538" s="6" t="s">
        <v>1667</v>
      </c>
    </row>
    <row r="1539" spans="1:11" hidden="1">
      <c r="A1539" s="386"/>
      <c r="H1539" s="244" t="s">
        <v>533</v>
      </c>
      <c r="I1539"/>
      <c r="J1539" s="4"/>
      <c r="K1539" s="6">
        <f>(K1537*10)</f>
        <v>32850</v>
      </c>
    </row>
    <row r="1540" spans="1:11" hidden="1">
      <c r="A1540" s="386"/>
      <c r="H1540" s="244" t="s">
        <v>995</v>
      </c>
      <c r="I1540"/>
      <c r="J1540" s="4"/>
      <c r="K1540" s="6" t="s">
        <v>995</v>
      </c>
    </row>
    <row r="1541" spans="1:11" hidden="1">
      <c r="A1541" s="386"/>
      <c r="G1541" s="243" t="s">
        <v>519</v>
      </c>
      <c r="H1541" s="244" t="s">
        <v>554</v>
      </c>
      <c r="I1541"/>
      <c r="J1541" s="4"/>
      <c r="K1541" s="6"/>
    </row>
    <row r="1542" spans="1:11" hidden="1">
      <c r="A1542" s="386"/>
      <c r="H1542" s="244" t="s">
        <v>1676</v>
      </c>
      <c r="I1542"/>
      <c r="J1542" s="4"/>
      <c r="K1542" s="6"/>
    </row>
    <row r="1543" spans="1:11" hidden="1">
      <c r="A1543" s="386"/>
      <c r="F1543" s="363"/>
      <c r="H1543" s="248" t="s">
        <v>1667</v>
      </c>
      <c r="I1543"/>
      <c r="J1543" s="4"/>
      <c r="K1543" s="6"/>
    </row>
    <row r="1544" spans="1:11" hidden="1">
      <c r="A1544" s="386"/>
      <c r="F1544" s="251">
        <v>1</v>
      </c>
      <c r="G1544" s="250" t="s">
        <v>526</v>
      </c>
      <c r="H1544" s="244" t="s">
        <v>535</v>
      </c>
      <c r="I1544">
        <f>C137</f>
        <v>26500</v>
      </c>
      <c r="J1544" s="2" t="s">
        <v>528</v>
      </c>
      <c r="K1544" s="6">
        <f>(F1544*I1544)/10</f>
        <v>2650</v>
      </c>
    </row>
    <row r="1545" spans="1:11" hidden="1">
      <c r="A1545" s="386"/>
      <c r="F1545" s="363">
        <v>0.01</v>
      </c>
      <c r="G1545" s="250" t="s">
        <v>526</v>
      </c>
      <c r="H1545" s="244" t="s">
        <v>193</v>
      </c>
      <c r="I1545">
        <f>C142</f>
        <v>30000</v>
      </c>
      <c r="J1545" s="2" t="s">
        <v>528</v>
      </c>
      <c r="K1545" s="6">
        <f>(F1545*I1545)/10</f>
        <v>30</v>
      </c>
    </row>
    <row r="1546" spans="1:11" hidden="1">
      <c r="A1546" s="386"/>
      <c r="F1546" s="363">
        <v>3.5</v>
      </c>
      <c r="G1546" s="250" t="s">
        <v>781</v>
      </c>
      <c r="H1546" s="244" t="s">
        <v>529</v>
      </c>
      <c r="I1546">
        <f>C17</f>
        <v>130</v>
      </c>
      <c r="J1546" s="2" t="s">
        <v>781</v>
      </c>
      <c r="K1546" s="6">
        <f>(F1546*I1546)</f>
        <v>455</v>
      </c>
    </row>
    <row r="1547" spans="1:11" hidden="1">
      <c r="A1547" s="386"/>
      <c r="F1547" s="363"/>
      <c r="G1547" s="250" t="s">
        <v>448</v>
      </c>
      <c r="H1547" s="244" t="s">
        <v>449</v>
      </c>
      <c r="I1547"/>
      <c r="J1547" s="2" t="s">
        <v>448</v>
      </c>
      <c r="K1547" s="6">
        <v>0</v>
      </c>
    </row>
    <row r="1548" spans="1:11" hidden="1">
      <c r="A1548" s="386"/>
      <c r="I1548"/>
      <c r="J1548" s="4"/>
      <c r="K1548" s="6" t="s">
        <v>1667</v>
      </c>
    </row>
    <row r="1549" spans="1:11" hidden="1">
      <c r="A1549" s="386"/>
      <c r="H1549" s="244" t="s">
        <v>532</v>
      </c>
      <c r="I1549"/>
      <c r="J1549" s="4"/>
      <c r="K1549" s="6">
        <f>SUM(K1544:K1547)</f>
        <v>3135</v>
      </c>
    </row>
    <row r="1550" spans="1:11" hidden="1">
      <c r="A1550" s="386"/>
      <c r="I1550"/>
      <c r="J1550" s="4"/>
      <c r="K1550" s="6" t="s">
        <v>1667</v>
      </c>
    </row>
    <row r="1551" spans="1:11" hidden="1">
      <c r="A1551" s="386"/>
      <c r="H1551" s="244" t="s">
        <v>533</v>
      </c>
      <c r="I1551"/>
      <c r="J1551" s="4"/>
      <c r="K1551" s="6">
        <f>(K1549*10)</f>
        <v>31350</v>
      </c>
    </row>
    <row r="1552" spans="1:11" hidden="1">
      <c r="A1552" s="386"/>
      <c r="H1552" s="244" t="s">
        <v>995</v>
      </c>
      <c r="I1552"/>
      <c r="J1552" s="4"/>
      <c r="K1552" s="34"/>
    </row>
    <row r="1553" spans="1:11" hidden="1">
      <c r="A1553" s="386"/>
      <c r="F1553" s="364">
        <v>44.1</v>
      </c>
      <c r="G1553" s="250" t="s">
        <v>2338</v>
      </c>
      <c r="H1553" s="244" t="s">
        <v>1677</v>
      </c>
      <c r="I1553"/>
      <c r="J1553" s="4"/>
      <c r="K1553" s="34"/>
    </row>
    <row r="1554" spans="1:11" hidden="1">
      <c r="A1554" s="386"/>
      <c r="H1554" s="244" t="s">
        <v>1678</v>
      </c>
      <c r="I1554"/>
      <c r="J1554" s="4"/>
      <c r="K1554" s="34"/>
    </row>
    <row r="1555" spans="1:11" hidden="1">
      <c r="A1555" s="386"/>
      <c r="H1555" s="244" t="s">
        <v>3299</v>
      </c>
      <c r="I1555"/>
      <c r="J1555" s="4"/>
      <c r="K1555" s="34"/>
    </row>
    <row r="1556" spans="1:11" hidden="1">
      <c r="A1556" s="386"/>
      <c r="H1556" s="248" t="s">
        <v>1667</v>
      </c>
      <c r="I1556"/>
      <c r="J1556" s="4"/>
      <c r="K1556" s="34"/>
    </row>
    <row r="1557" spans="1:11" hidden="1">
      <c r="A1557" s="386"/>
      <c r="F1557" s="251">
        <v>3</v>
      </c>
      <c r="G1557" s="250" t="s">
        <v>1854</v>
      </c>
      <c r="H1557" s="244" t="s">
        <v>2123</v>
      </c>
      <c r="I1557" s="8">
        <f>(C598)</f>
        <v>120</v>
      </c>
      <c r="J1557" s="2" t="s">
        <v>1854</v>
      </c>
      <c r="K1557" s="6">
        <f t="shared" ref="K1557:K1562" si="61">(F1557*I1557)</f>
        <v>360</v>
      </c>
    </row>
    <row r="1558" spans="1:11" hidden="1">
      <c r="A1558" s="386"/>
      <c r="F1558" s="251">
        <v>1</v>
      </c>
      <c r="G1558" s="250" t="s">
        <v>883</v>
      </c>
      <c r="H1558" s="244" t="s">
        <v>2172</v>
      </c>
      <c r="I1558" s="8">
        <f>(C601)</f>
        <v>65</v>
      </c>
      <c r="J1558" s="2" t="s">
        <v>883</v>
      </c>
      <c r="K1558" s="6">
        <f t="shared" si="61"/>
        <v>65</v>
      </c>
    </row>
    <row r="1559" spans="1:11" hidden="1">
      <c r="A1559" s="386"/>
      <c r="F1559" s="251">
        <v>1</v>
      </c>
      <c r="G1559" s="250" t="s">
        <v>883</v>
      </c>
      <c r="H1559" s="244" t="s">
        <v>2173</v>
      </c>
      <c r="I1559" s="8">
        <f>(C604)</f>
        <v>45</v>
      </c>
      <c r="J1559" s="2" t="s">
        <v>883</v>
      </c>
      <c r="K1559" s="6">
        <f t="shared" si="61"/>
        <v>45</v>
      </c>
    </row>
    <row r="1560" spans="1:11" hidden="1">
      <c r="A1560" s="386"/>
      <c r="F1560" s="251">
        <v>2</v>
      </c>
      <c r="G1560" s="250" t="s">
        <v>883</v>
      </c>
      <c r="H1560" s="244" t="s">
        <v>2174</v>
      </c>
      <c r="I1560" s="8">
        <f>C575</f>
        <v>16.440000000000001</v>
      </c>
      <c r="J1560" s="2" t="s">
        <v>883</v>
      </c>
      <c r="K1560" s="6">
        <f t="shared" si="61"/>
        <v>32.880000000000003</v>
      </c>
    </row>
    <row r="1561" spans="1:11" hidden="1">
      <c r="A1561" s="386"/>
      <c r="F1561" s="251">
        <v>1</v>
      </c>
      <c r="G1561" s="250" t="s">
        <v>883</v>
      </c>
      <c r="H1561" s="244" t="s">
        <v>2175</v>
      </c>
      <c r="I1561" s="8">
        <f>(C666)</f>
        <v>18</v>
      </c>
      <c r="J1561" s="2" t="s">
        <v>883</v>
      </c>
      <c r="K1561" s="6">
        <f t="shared" si="61"/>
        <v>18</v>
      </c>
    </row>
    <row r="1562" spans="1:11" hidden="1">
      <c r="A1562" s="386"/>
      <c r="F1562" s="251">
        <v>0.5</v>
      </c>
      <c r="G1562" s="250" t="s">
        <v>883</v>
      </c>
      <c r="H1562" s="244" t="s">
        <v>2176</v>
      </c>
      <c r="I1562" s="8">
        <f>(C15)</f>
        <v>130</v>
      </c>
      <c r="J1562" s="2" t="s">
        <v>883</v>
      </c>
      <c r="K1562" s="6">
        <f t="shared" si="61"/>
        <v>65</v>
      </c>
    </row>
    <row r="1563" spans="1:11" hidden="1">
      <c r="A1563" s="386"/>
      <c r="G1563" s="250" t="s">
        <v>448</v>
      </c>
      <c r="H1563" s="244" t="s">
        <v>607</v>
      </c>
      <c r="I1563"/>
      <c r="J1563" s="2" t="s">
        <v>448</v>
      </c>
      <c r="K1563" s="6">
        <v>0.75</v>
      </c>
    </row>
    <row r="1564" spans="1:11" hidden="1">
      <c r="A1564" s="386"/>
      <c r="H1564" s="244" t="s">
        <v>21</v>
      </c>
      <c r="I1564"/>
      <c r="J1564" s="4"/>
      <c r="K1564" s="34"/>
    </row>
    <row r="1565" spans="1:11" hidden="1">
      <c r="A1565" s="386"/>
      <c r="I1565"/>
      <c r="J1565" s="4"/>
      <c r="K1565" s="6" t="s">
        <v>1667</v>
      </c>
    </row>
    <row r="1566" spans="1:11" hidden="1">
      <c r="A1566" s="386"/>
      <c r="H1566" s="244" t="s">
        <v>1375</v>
      </c>
      <c r="I1566"/>
      <c r="J1566" s="4"/>
      <c r="K1566" s="6">
        <f>SUM(K1557:K1563)</f>
        <v>586.63</v>
      </c>
    </row>
    <row r="1567" spans="1:11" hidden="1">
      <c r="A1567" s="386"/>
      <c r="F1567" s="244" t="s">
        <v>995</v>
      </c>
      <c r="I1567"/>
      <c r="J1567" s="4"/>
      <c r="K1567" s="34"/>
    </row>
    <row r="1568" spans="1:11" hidden="1">
      <c r="A1568" s="386"/>
      <c r="I1568"/>
      <c r="J1568" s="4"/>
      <c r="K1568" s="6" t="s">
        <v>1667</v>
      </c>
    </row>
    <row r="1569" spans="1:11" hidden="1">
      <c r="A1569" s="386"/>
      <c r="H1569" s="244" t="s">
        <v>1622</v>
      </c>
      <c r="I1569"/>
      <c r="J1569" s="4"/>
      <c r="K1569" s="6">
        <f>(K1566/3)</f>
        <v>195.54</v>
      </c>
    </row>
    <row r="1570" spans="1:11" hidden="1">
      <c r="A1570" s="386"/>
      <c r="H1570" s="244"/>
      <c r="I1570"/>
      <c r="J1570" s="4"/>
      <c r="K1570" s="6" t="s">
        <v>2130</v>
      </c>
    </row>
    <row r="1571" spans="1:11" hidden="1">
      <c r="A1571" s="386"/>
      <c r="F1571" s="354" t="s">
        <v>1376</v>
      </c>
      <c r="H1571" s="244" t="s">
        <v>15</v>
      </c>
      <c r="I1571"/>
      <c r="J1571" s="4"/>
      <c r="K1571" s="34"/>
    </row>
    <row r="1572" spans="1:11" hidden="1">
      <c r="A1572" s="386"/>
      <c r="H1572" s="244" t="s">
        <v>16</v>
      </c>
      <c r="I1572"/>
      <c r="J1572" s="4"/>
      <c r="K1572" s="34"/>
    </row>
    <row r="1573" spans="1:11" hidden="1">
      <c r="A1573" s="386"/>
      <c r="H1573" s="244" t="s">
        <v>2112</v>
      </c>
      <c r="I1573"/>
      <c r="J1573" s="4"/>
      <c r="K1573" s="34"/>
    </row>
    <row r="1574" spans="1:11" hidden="1">
      <c r="A1574" s="386"/>
      <c r="H1574" s="248" t="s">
        <v>1667</v>
      </c>
      <c r="I1574"/>
      <c r="J1574" s="4"/>
      <c r="K1574" s="34"/>
    </row>
    <row r="1575" spans="1:11" hidden="1">
      <c r="A1575" s="386"/>
      <c r="F1575" s="251">
        <v>0.15</v>
      </c>
      <c r="G1575" s="250" t="s">
        <v>884</v>
      </c>
      <c r="H1575" s="244" t="s">
        <v>2113</v>
      </c>
      <c r="I1575" s="8" t="e">
        <f>(C70)</f>
        <v>#REF!</v>
      </c>
      <c r="J1575" s="2" t="s">
        <v>884</v>
      </c>
      <c r="K1575" s="6" t="e">
        <f>(F1575*I1575)</f>
        <v>#REF!</v>
      </c>
    </row>
    <row r="1576" spans="1:11" hidden="1">
      <c r="A1576" s="386"/>
      <c r="F1576" s="374">
        <v>8.6499999999999994E-2</v>
      </c>
      <c r="G1576" s="250" t="s">
        <v>876</v>
      </c>
      <c r="H1576" s="244" t="s">
        <v>877</v>
      </c>
      <c r="I1576" s="8">
        <f>(C67)</f>
        <v>3800</v>
      </c>
      <c r="J1576" s="2" t="s">
        <v>876</v>
      </c>
      <c r="K1576" s="6">
        <f>(F1576*I1576)</f>
        <v>328.7</v>
      </c>
    </row>
    <row r="1577" spans="1:11" hidden="1">
      <c r="A1577" s="386"/>
      <c r="F1577" s="251">
        <v>1.6</v>
      </c>
      <c r="G1577" s="250" t="s">
        <v>781</v>
      </c>
      <c r="H1577" s="244" t="s">
        <v>2082</v>
      </c>
      <c r="I1577" s="8">
        <f>(C10)</f>
        <v>150</v>
      </c>
      <c r="J1577" s="2" t="s">
        <v>781</v>
      </c>
      <c r="K1577" s="6">
        <f>(F1577*I1577)</f>
        <v>240</v>
      </c>
    </row>
    <row r="1578" spans="1:11" hidden="1">
      <c r="A1578" s="386"/>
      <c r="F1578" s="251">
        <v>0.5</v>
      </c>
      <c r="G1578" s="250" t="s">
        <v>781</v>
      </c>
      <c r="H1578" s="244" t="s">
        <v>1979</v>
      </c>
      <c r="I1578" s="8">
        <f>(C12)</f>
        <v>95</v>
      </c>
      <c r="J1578" s="2" t="s">
        <v>781</v>
      </c>
      <c r="K1578" s="6">
        <f>(F1578*I1578)</f>
        <v>47.5</v>
      </c>
    </row>
    <row r="1579" spans="1:11" hidden="1">
      <c r="A1579" s="386"/>
      <c r="F1579" s="251">
        <v>1.1000000000000001</v>
      </c>
      <c r="G1579" s="250" t="s">
        <v>781</v>
      </c>
      <c r="H1579" s="244" t="s">
        <v>324</v>
      </c>
      <c r="I1579" s="8">
        <f>(C13)</f>
        <v>85</v>
      </c>
      <c r="J1579" s="2" t="s">
        <v>781</v>
      </c>
      <c r="K1579" s="6">
        <f>(F1579*I1579)</f>
        <v>93.5</v>
      </c>
    </row>
    <row r="1580" spans="1:11" hidden="1">
      <c r="A1580" s="386"/>
      <c r="G1580" s="250" t="s">
        <v>448</v>
      </c>
      <c r="H1580" s="244" t="s">
        <v>449</v>
      </c>
      <c r="I1580" s="1" t="s">
        <v>995</v>
      </c>
      <c r="J1580" s="2" t="s">
        <v>448</v>
      </c>
      <c r="K1580" s="6">
        <v>0</v>
      </c>
    </row>
    <row r="1581" spans="1:11" hidden="1">
      <c r="A1581" s="386"/>
      <c r="I1581"/>
      <c r="J1581" s="4"/>
      <c r="K1581" s="6" t="s">
        <v>1667</v>
      </c>
    </row>
    <row r="1582" spans="1:11" hidden="1">
      <c r="A1582" s="386"/>
      <c r="H1582" s="244" t="s">
        <v>440</v>
      </c>
      <c r="I1582"/>
      <c r="J1582" s="4"/>
      <c r="K1582" s="6" t="e">
        <f>SUM(K1575:K1580)</f>
        <v>#REF!</v>
      </c>
    </row>
    <row r="1583" spans="1:11" hidden="1">
      <c r="A1583" s="386"/>
      <c r="I1583"/>
      <c r="J1583" s="4"/>
      <c r="K1583" s="6" t="s">
        <v>1667</v>
      </c>
    </row>
    <row r="1584" spans="1:11" hidden="1">
      <c r="A1584" s="386"/>
      <c r="H1584" s="244" t="s">
        <v>555</v>
      </c>
      <c r="I1584"/>
      <c r="J1584" s="4"/>
      <c r="K1584" s="6" t="e">
        <f>(K1582/10)</f>
        <v>#REF!</v>
      </c>
    </row>
    <row r="1585" spans="1:11" hidden="1">
      <c r="A1585" s="386"/>
      <c r="I1585"/>
      <c r="J1585" s="4"/>
      <c r="K1585" s="6" t="s">
        <v>2130</v>
      </c>
    </row>
    <row r="1586" spans="1:11" hidden="1">
      <c r="A1586" s="386"/>
      <c r="F1586" s="354" t="s">
        <v>2114</v>
      </c>
      <c r="G1586" s="250" t="s">
        <v>2338</v>
      </c>
      <c r="H1586" s="244" t="s">
        <v>2115</v>
      </c>
      <c r="I1586"/>
      <c r="J1586" s="4"/>
      <c r="K1586" s="34"/>
    </row>
    <row r="1587" spans="1:11" hidden="1">
      <c r="A1587" s="386"/>
      <c r="H1587" s="244" t="s">
        <v>1269</v>
      </c>
      <c r="I1587"/>
      <c r="J1587" s="4"/>
      <c r="K1587" s="34"/>
    </row>
    <row r="1588" spans="1:11" hidden="1">
      <c r="A1588" s="386"/>
      <c r="H1588" s="244" t="s">
        <v>1270</v>
      </c>
      <c r="I1588"/>
      <c r="J1588" s="2" t="s">
        <v>995</v>
      </c>
      <c r="K1588" s="34"/>
    </row>
    <row r="1589" spans="1:11" hidden="1">
      <c r="A1589" s="386"/>
      <c r="H1589" s="244" t="s">
        <v>1145</v>
      </c>
      <c r="I1589"/>
      <c r="J1589" s="4"/>
      <c r="K1589" s="34"/>
    </row>
    <row r="1590" spans="1:11" hidden="1">
      <c r="A1590" s="386"/>
      <c r="H1590" s="244" t="s">
        <v>1053</v>
      </c>
      <c r="I1590"/>
      <c r="J1590" s="4"/>
      <c r="K1590" s="34"/>
    </row>
    <row r="1591" spans="1:11" hidden="1">
      <c r="A1591" s="386"/>
      <c r="H1591" s="244" t="s">
        <v>1890</v>
      </c>
      <c r="I1591"/>
      <c r="J1591" s="4"/>
      <c r="K1591" s="34"/>
    </row>
    <row r="1592" spans="1:11" hidden="1">
      <c r="A1592" s="386"/>
      <c r="H1592" s="244" t="s">
        <v>280</v>
      </c>
      <c r="I1592"/>
      <c r="J1592" s="4"/>
      <c r="K1592" s="34"/>
    </row>
    <row r="1593" spans="1:11" hidden="1">
      <c r="A1593" s="386"/>
      <c r="H1593" s="244" t="s">
        <v>281</v>
      </c>
      <c r="I1593"/>
      <c r="J1593" s="4"/>
      <c r="K1593" s="34"/>
    </row>
    <row r="1594" spans="1:11" hidden="1">
      <c r="A1594" s="386"/>
      <c r="H1594" s="244" t="s">
        <v>282</v>
      </c>
      <c r="I1594"/>
      <c r="J1594" s="4"/>
      <c r="K1594" s="34"/>
    </row>
    <row r="1595" spans="1:11" hidden="1">
      <c r="A1595" s="386"/>
      <c r="H1595" s="248" t="s">
        <v>2130</v>
      </c>
      <c r="I1595"/>
      <c r="J1595" s="4"/>
      <c r="K1595" s="34"/>
    </row>
    <row r="1596" spans="1:11" hidden="1">
      <c r="A1596" s="386"/>
      <c r="I1596"/>
      <c r="J1596" s="4"/>
      <c r="K1596" s="34"/>
    </row>
    <row r="1597" spans="1:11" hidden="1">
      <c r="A1597" s="386"/>
      <c r="F1597" s="251">
        <v>1</v>
      </c>
      <c r="G1597" s="250" t="s">
        <v>840</v>
      </c>
      <c r="H1597" s="244" t="s">
        <v>283</v>
      </c>
      <c r="I1597" s="8">
        <v>50</v>
      </c>
      <c r="J1597" s="2" t="s">
        <v>840</v>
      </c>
      <c r="K1597" s="6">
        <f>(F1597*I1597)</f>
        <v>50</v>
      </c>
    </row>
    <row r="1598" spans="1:11" hidden="1">
      <c r="A1598" s="386"/>
      <c r="F1598" s="251">
        <v>1</v>
      </c>
      <c r="G1598" s="250" t="s">
        <v>284</v>
      </c>
      <c r="H1598" s="244" t="s">
        <v>1202</v>
      </c>
      <c r="I1598" s="8">
        <v>9</v>
      </c>
      <c r="J1598" s="2" t="s">
        <v>284</v>
      </c>
      <c r="K1598" s="6">
        <f>(F1598*I1598)</f>
        <v>9</v>
      </c>
    </row>
    <row r="1599" spans="1:11" hidden="1">
      <c r="A1599" s="386"/>
      <c r="G1599" s="250" t="s">
        <v>448</v>
      </c>
      <c r="H1599" s="244" t="s">
        <v>505</v>
      </c>
      <c r="I1599"/>
      <c r="J1599" s="2" t="s">
        <v>448</v>
      </c>
      <c r="K1599" s="6">
        <v>7</v>
      </c>
    </row>
    <row r="1600" spans="1:11" hidden="1">
      <c r="A1600" s="386"/>
      <c r="I1600"/>
      <c r="J1600" s="4"/>
      <c r="K1600" s="6" t="s">
        <v>1667</v>
      </c>
    </row>
    <row r="1601" spans="1:11" hidden="1">
      <c r="A1601" s="386"/>
      <c r="H1601" s="354" t="s">
        <v>1724</v>
      </c>
      <c r="I1601"/>
      <c r="J1601" s="4"/>
      <c r="K1601" s="6">
        <f>SUM(K1597:K1599)</f>
        <v>66</v>
      </c>
    </row>
    <row r="1602" spans="1:11" hidden="1">
      <c r="A1602" s="386"/>
      <c r="I1602"/>
      <c r="J1602" s="4"/>
      <c r="K1602" s="6" t="s">
        <v>2130</v>
      </c>
    </row>
    <row r="1603" spans="1:11" hidden="1">
      <c r="A1603" s="386"/>
      <c r="F1603" s="354" t="s">
        <v>1725</v>
      </c>
      <c r="G1603" s="250" t="s">
        <v>2338</v>
      </c>
      <c r="H1603" s="244" t="s">
        <v>768</v>
      </c>
      <c r="I1603"/>
      <c r="J1603" s="4"/>
      <c r="K1603" s="34"/>
    </row>
    <row r="1604" spans="1:11" hidden="1">
      <c r="A1604" s="386"/>
      <c r="H1604" s="244" t="s">
        <v>401</v>
      </c>
      <c r="I1604"/>
      <c r="J1604" s="4"/>
      <c r="K1604" s="34"/>
    </row>
    <row r="1605" spans="1:11" hidden="1">
      <c r="A1605" s="386"/>
      <c r="H1605" s="244" t="s">
        <v>402</v>
      </c>
      <c r="I1605"/>
      <c r="J1605" s="4"/>
      <c r="K1605" s="34"/>
    </row>
    <row r="1606" spans="1:11" hidden="1">
      <c r="A1606" s="386"/>
      <c r="H1606" s="244" t="s">
        <v>399</v>
      </c>
      <c r="I1606"/>
      <c r="J1606" s="4"/>
      <c r="K1606" s="34"/>
    </row>
    <row r="1607" spans="1:11" hidden="1">
      <c r="A1607" s="386"/>
      <c r="H1607" s="244" t="s">
        <v>1842</v>
      </c>
      <c r="I1607"/>
      <c r="J1607" s="4"/>
      <c r="K1607" s="34"/>
    </row>
    <row r="1608" spans="1:11" hidden="1">
      <c r="A1608" s="386"/>
      <c r="H1608" s="248" t="s">
        <v>1667</v>
      </c>
      <c r="I1608" s="5" t="s">
        <v>1667</v>
      </c>
      <c r="J1608" s="4"/>
      <c r="K1608" s="34"/>
    </row>
    <row r="1609" spans="1:11" hidden="1">
      <c r="A1609" s="386"/>
      <c r="F1609" s="251">
        <v>1</v>
      </c>
      <c r="G1609" s="250" t="s">
        <v>1843</v>
      </c>
      <c r="H1609" s="244" t="s">
        <v>1632</v>
      </c>
      <c r="I1609" s="8">
        <v>27.3</v>
      </c>
      <c r="J1609" s="2" t="s">
        <v>1458</v>
      </c>
      <c r="K1609" s="6">
        <f>(F1609*I1609)</f>
        <v>27.3</v>
      </c>
    </row>
    <row r="1610" spans="1:11" hidden="1">
      <c r="A1610" s="386"/>
      <c r="G1610" s="250" t="s">
        <v>448</v>
      </c>
      <c r="H1610" s="244" t="s">
        <v>1633</v>
      </c>
      <c r="I1610"/>
      <c r="J1610" s="2" t="s">
        <v>448</v>
      </c>
      <c r="K1610" s="6">
        <v>7.5</v>
      </c>
    </row>
    <row r="1611" spans="1:11" hidden="1">
      <c r="A1611" s="386"/>
      <c r="G1611" s="250" t="s">
        <v>448</v>
      </c>
      <c r="H1611" s="244" t="s">
        <v>631</v>
      </c>
      <c r="I1611"/>
      <c r="J1611" s="2" t="s">
        <v>448</v>
      </c>
      <c r="K1611" s="6">
        <v>1.2</v>
      </c>
    </row>
    <row r="1612" spans="1:11" hidden="1">
      <c r="A1612" s="386"/>
      <c r="H1612" s="244" t="s">
        <v>632</v>
      </c>
      <c r="I1612"/>
      <c r="J1612" s="4"/>
      <c r="K1612" s="6" t="s">
        <v>1667</v>
      </c>
    </row>
    <row r="1613" spans="1:11" hidden="1">
      <c r="A1613" s="386"/>
      <c r="H1613" s="354" t="s">
        <v>1724</v>
      </c>
      <c r="I1613"/>
      <c r="J1613" s="4"/>
      <c r="K1613" s="6">
        <f>SUM(K1609:K1611)</f>
        <v>36</v>
      </c>
    </row>
    <row r="1614" spans="1:11" hidden="1">
      <c r="A1614" s="386"/>
      <c r="I1614"/>
      <c r="J1614" s="4"/>
      <c r="K1614" s="6" t="s">
        <v>2130</v>
      </c>
    </row>
    <row r="1615" spans="1:11" hidden="1">
      <c r="A1615" s="386"/>
      <c r="F1615" s="354" t="s">
        <v>633</v>
      </c>
      <c r="G1615" s="250" t="s">
        <v>2338</v>
      </c>
      <c r="H1615" s="244" t="s">
        <v>542</v>
      </c>
      <c r="I1615"/>
      <c r="J1615" s="4"/>
      <c r="K1615" s="34"/>
    </row>
    <row r="1616" spans="1:11" hidden="1">
      <c r="A1616" s="386"/>
      <c r="H1616" s="244" t="s">
        <v>634</v>
      </c>
      <c r="I1616"/>
      <c r="J1616" s="4"/>
      <c r="K1616" s="6" t="s">
        <v>995</v>
      </c>
    </row>
    <row r="1617" spans="1:11" hidden="1">
      <c r="A1617" s="386"/>
      <c r="H1617" s="248" t="s">
        <v>1667</v>
      </c>
      <c r="I1617"/>
      <c r="J1617" s="4"/>
      <c r="K1617" s="34"/>
    </row>
    <row r="1618" spans="1:11" hidden="1">
      <c r="A1618" s="386"/>
      <c r="F1618" s="251">
        <v>1</v>
      </c>
      <c r="G1618" s="250" t="s">
        <v>1843</v>
      </c>
      <c r="H1618" s="244" t="s">
        <v>635</v>
      </c>
      <c r="I1618" s="8">
        <v>20</v>
      </c>
      <c r="J1618" s="2" t="s">
        <v>1458</v>
      </c>
      <c r="K1618" s="6">
        <f>(F1618*I1618)</f>
        <v>20</v>
      </c>
    </row>
    <row r="1619" spans="1:11" hidden="1">
      <c r="A1619" s="386"/>
      <c r="G1619" s="250" t="s">
        <v>448</v>
      </c>
      <c r="H1619" s="244" t="s">
        <v>636</v>
      </c>
      <c r="I1619"/>
      <c r="J1619" s="2" t="s">
        <v>448</v>
      </c>
      <c r="K1619" s="6">
        <v>5</v>
      </c>
    </row>
    <row r="1620" spans="1:11" hidden="1">
      <c r="A1620" s="386"/>
      <c r="I1620"/>
      <c r="J1620" s="4"/>
      <c r="K1620" s="6" t="s">
        <v>1667</v>
      </c>
    </row>
    <row r="1621" spans="1:11" hidden="1">
      <c r="A1621" s="386"/>
      <c r="H1621" s="354" t="s">
        <v>637</v>
      </c>
      <c r="I1621"/>
      <c r="J1621" s="4"/>
      <c r="K1621" s="6">
        <f>SUM(K1617:K1619)</f>
        <v>25</v>
      </c>
    </row>
    <row r="1622" spans="1:11" hidden="1">
      <c r="A1622" s="386"/>
      <c r="I1622"/>
      <c r="J1622" s="4"/>
      <c r="K1622" s="6" t="s">
        <v>2130</v>
      </c>
    </row>
    <row r="1623" spans="1:11" hidden="1">
      <c r="A1623" s="386"/>
      <c r="F1623" s="354" t="s">
        <v>2223</v>
      </c>
      <c r="G1623" s="250" t="s">
        <v>2338</v>
      </c>
      <c r="H1623" s="244" t="s">
        <v>543</v>
      </c>
      <c r="I1623"/>
      <c r="J1623" s="4"/>
      <c r="K1623" s="34"/>
    </row>
    <row r="1624" spans="1:11" hidden="1">
      <c r="A1624" s="386"/>
      <c r="H1624" s="248" t="s">
        <v>1667</v>
      </c>
      <c r="I1624" s="5" t="s">
        <v>1667</v>
      </c>
      <c r="J1624" s="4"/>
      <c r="K1624" s="34"/>
    </row>
    <row r="1625" spans="1:11" hidden="1">
      <c r="A1625" s="386"/>
      <c r="F1625" s="251">
        <v>1</v>
      </c>
      <c r="G1625" s="250" t="s">
        <v>1843</v>
      </c>
      <c r="H1625" s="244" t="s">
        <v>2224</v>
      </c>
      <c r="I1625" s="8">
        <v>1</v>
      </c>
      <c r="J1625" s="2" t="s">
        <v>1458</v>
      </c>
      <c r="K1625" s="6">
        <f>(F1625*I1625)</f>
        <v>1</v>
      </c>
    </row>
    <row r="1626" spans="1:11" hidden="1">
      <c r="A1626" s="386"/>
      <c r="G1626" s="250" t="s">
        <v>448</v>
      </c>
      <c r="H1626" s="244" t="s">
        <v>636</v>
      </c>
      <c r="I1626"/>
      <c r="J1626" s="2" t="s">
        <v>448</v>
      </c>
      <c r="K1626" s="6">
        <v>0.25</v>
      </c>
    </row>
    <row r="1627" spans="1:11" hidden="1">
      <c r="A1627" s="386"/>
      <c r="I1627"/>
      <c r="J1627" s="4"/>
      <c r="K1627" s="6" t="s">
        <v>1667</v>
      </c>
    </row>
    <row r="1628" spans="1:11" hidden="1">
      <c r="A1628" s="386"/>
      <c r="H1628" s="354" t="s">
        <v>637</v>
      </c>
      <c r="I1628"/>
      <c r="J1628" s="4"/>
      <c r="K1628" s="6">
        <f>SUM(K1623:K1626)</f>
        <v>1.25</v>
      </c>
    </row>
    <row r="1629" spans="1:11" hidden="1">
      <c r="A1629" s="386"/>
      <c r="F1629" s="244" t="s">
        <v>995</v>
      </c>
      <c r="I1629"/>
      <c r="J1629" s="4"/>
      <c r="K1629" s="6" t="s">
        <v>1667</v>
      </c>
    </row>
    <row r="1630" spans="1:11" hidden="1">
      <c r="A1630" s="386"/>
      <c r="F1630" s="364">
        <v>50.1</v>
      </c>
      <c r="G1630" s="250" t="s">
        <v>2338</v>
      </c>
      <c r="H1630" s="244" t="s">
        <v>2240</v>
      </c>
      <c r="I1630"/>
      <c r="J1630" s="4"/>
      <c r="K1630" s="34"/>
    </row>
    <row r="1631" spans="1:11" hidden="1">
      <c r="A1631" s="386"/>
      <c r="H1631" s="244" t="s">
        <v>13</v>
      </c>
      <c r="I1631"/>
      <c r="J1631" s="4"/>
      <c r="K1631" s="34"/>
    </row>
    <row r="1632" spans="1:11" hidden="1">
      <c r="A1632" s="386"/>
      <c r="H1632" s="244" t="s">
        <v>47</v>
      </c>
      <c r="I1632"/>
      <c r="J1632" s="4"/>
      <c r="K1632" s="34"/>
    </row>
    <row r="1633" spans="1:11" hidden="1">
      <c r="A1633" s="386"/>
      <c r="H1633" s="244" t="s">
        <v>48</v>
      </c>
      <c r="I1633"/>
      <c r="J1633" s="4"/>
      <c r="K1633" s="34"/>
    </row>
    <row r="1634" spans="1:11" hidden="1">
      <c r="A1634" s="386"/>
      <c r="H1634" s="244" t="s">
        <v>49</v>
      </c>
      <c r="I1634"/>
      <c r="J1634" s="4"/>
      <c r="K1634" s="34"/>
    </row>
    <row r="1635" spans="1:11" hidden="1">
      <c r="A1635" s="386"/>
      <c r="H1635" s="248" t="s">
        <v>1667</v>
      </c>
      <c r="I1635" s="5" t="s">
        <v>1667</v>
      </c>
      <c r="J1635" s="4"/>
      <c r="K1635" s="34"/>
    </row>
    <row r="1636" spans="1:11" hidden="1">
      <c r="A1636" s="386"/>
      <c r="F1636" s="251">
        <v>9</v>
      </c>
      <c r="G1636" s="250" t="s">
        <v>2226</v>
      </c>
      <c r="H1636" s="244" t="s">
        <v>1654</v>
      </c>
      <c r="I1636" s="8" t="e">
        <f>C73</f>
        <v>#REF!</v>
      </c>
      <c r="J1636" s="2" t="s">
        <v>2226</v>
      </c>
      <c r="K1636" s="6" t="e">
        <f>(F1636*I1636)</f>
        <v>#REF!</v>
      </c>
    </row>
    <row r="1637" spans="1:11" hidden="1">
      <c r="A1637" s="386"/>
      <c r="F1637" s="251">
        <v>4.5</v>
      </c>
      <c r="G1637" s="250" t="s">
        <v>2226</v>
      </c>
      <c r="H1637" s="244" t="s">
        <v>1655</v>
      </c>
      <c r="I1637" s="8" t="e">
        <f>K32</f>
        <v>#REF!</v>
      </c>
      <c r="J1637" s="2" t="s">
        <v>2226</v>
      </c>
      <c r="K1637" s="6" t="e">
        <f>(F1637*I1637)</f>
        <v>#REF!</v>
      </c>
    </row>
    <row r="1638" spans="1:11" hidden="1">
      <c r="A1638" s="386"/>
      <c r="F1638" s="251">
        <v>1.8</v>
      </c>
      <c r="G1638" s="250" t="s">
        <v>563</v>
      </c>
      <c r="H1638" s="244" t="s">
        <v>1656</v>
      </c>
      <c r="I1638" s="8">
        <f>C11</f>
        <v>135</v>
      </c>
      <c r="J1638" s="2" t="s">
        <v>1458</v>
      </c>
      <c r="K1638" s="6">
        <f>(F1638*I1638)</f>
        <v>243</v>
      </c>
    </row>
    <row r="1639" spans="1:11" hidden="1">
      <c r="A1639" s="386"/>
      <c r="F1639" s="251">
        <v>17.7</v>
      </c>
      <c r="G1639" s="250" t="s">
        <v>563</v>
      </c>
      <c r="H1639" s="244" t="s">
        <v>838</v>
      </c>
      <c r="I1639" s="8">
        <f>C12</f>
        <v>95</v>
      </c>
      <c r="J1639" s="2" t="s">
        <v>1458</v>
      </c>
      <c r="K1639" s="6">
        <f>(F1639*I1639)</f>
        <v>1681.5</v>
      </c>
    </row>
    <row r="1640" spans="1:11" hidden="1">
      <c r="A1640" s="386"/>
      <c r="F1640" s="251">
        <v>14.1</v>
      </c>
      <c r="G1640" s="250" t="s">
        <v>563</v>
      </c>
      <c r="H1640" s="244" t="s">
        <v>1432</v>
      </c>
      <c r="I1640" s="8">
        <f>C13</f>
        <v>85</v>
      </c>
      <c r="J1640" s="2" t="s">
        <v>1458</v>
      </c>
      <c r="K1640" s="6">
        <f>(F1640*I1640)</f>
        <v>1198.5</v>
      </c>
    </row>
    <row r="1641" spans="1:11" hidden="1">
      <c r="A1641" s="386"/>
      <c r="I1641"/>
      <c r="J1641" s="4"/>
      <c r="K1641" s="6" t="s">
        <v>1667</v>
      </c>
    </row>
    <row r="1642" spans="1:11" hidden="1">
      <c r="A1642" s="386"/>
      <c r="H1642" s="354" t="s">
        <v>1657</v>
      </c>
      <c r="I1642"/>
      <c r="J1642" s="4"/>
      <c r="K1642" s="6" t="e">
        <f>SUM(K1636:K1640)</f>
        <v>#REF!</v>
      </c>
    </row>
    <row r="1643" spans="1:11" hidden="1">
      <c r="A1643" s="386"/>
      <c r="I1643"/>
      <c r="J1643" s="4"/>
      <c r="K1643" s="6" t="s">
        <v>1667</v>
      </c>
    </row>
    <row r="1644" spans="1:11" hidden="1">
      <c r="A1644" s="386"/>
      <c r="H1644" s="354" t="s">
        <v>1658</v>
      </c>
      <c r="I1644"/>
      <c r="J1644" s="4"/>
      <c r="K1644" s="6" t="e">
        <f>(K1642/10)</f>
        <v>#REF!</v>
      </c>
    </row>
    <row r="1645" spans="1:11" hidden="1">
      <c r="A1645" s="386"/>
      <c r="I1645"/>
      <c r="J1645" s="4"/>
      <c r="K1645" s="6" t="s">
        <v>2130</v>
      </c>
    </row>
    <row r="1646" spans="1:11" hidden="1">
      <c r="A1646" s="386"/>
      <c r="I1646"/>
      <c r="J1646" s="4"/>
      <c r="K1646" s="34"/>
    </row>
    <row r="1647" spans="1:11" hidden="1">
      <c r="A1647" s="386"/>
      <c r="G1647" s="250" t="s">
        <v>685</v>
      </c>
      <c r="H1647" s="244" t="s">
        <v>1194</v>
      </c>
      <c r="I1647"/>
      <c r="J1647" s="4"/>
      <c r="K1647" s="34"/>
    </row>
    <row r="1648" spans="1:11" hidden="1">
      <c r="A1648" s="386"/>
      <c r="H1648" s="244" t="s">
        <v>602</v>
      </c>
      <c r="I1648"/>
      <c r="J1648" s="4"/>
      <c r="K1648" s="34"/>
    </row>
    <row r="1649" spans="1:11" hidden="1">
      <c r="A1649" s="386"/>
      <c r="H1649" s="248" t="s">
        <v>1667</v>
      </c>
      <c r="I1649" s="5" t="s">
        <v>1667</v>
      </c>
      <c r="J1649" s="4"/>
      <c r="K1649" s="34"/>
    </row>
    <row r="1650" spans="1:11" hidden="1">
      <c r="A1650" s="386"/>
      <c r="I1650"/>
      <c r="J1650" s="4"/>
      <c r="K1650" s="34"/>
    </row>
    <row r="1651" spans="1:11" hidden="1">
      <c r="A1651" s="386"/>
      <c r="F1651" s="363">
        <v>0.314</v>
      </c>
      <c r="G1651" s="250" t="s">
        <v>2226</v>
      </c>
      <c r="H1651" s="244" t="s">
        <v>441</v>
      </c>
      <c r="I1651" s="8" t="e">
        <f>K1644</f>
        <v>#REF!</v>
      </c>
      <c r="J1651" s="2" t="s">
        <v>2226</v>
      </c>
      <c r="K1651" s="6" t="e">
        <f>(F1651*I1651)</f>
        <v>#REF!</v>
      </c>
    </row>
    <row r="1652" spans="1:11" hidden="1">
      <c r="A1652" s="386"/>
      <c r="F1652" s="251">
        <v>18</v>
      </c>
      <c r="G1652" s="250" t="s">
        <v>563</v>
      </c>
      <c r="H1652" s="244" t="s">
        <v>538</v>
      </c>
      <c r="I1652" s="8">
        <v>2</v>
      </c>
      <c r="J1652" s="2" t="s">
        <v>1458</v>
      </c>
      <c r="K1652" s="6">
        <f>(F1652*I1652)</f>
        <v>36</v>
      </c>
    </row>
    <row r="1653" spans="1:11" hidden="1">
      <c r="A1653" s="386"/>
      <c r="F1653" s="251">
        <v>18</v>
      </c>
      <c r="G1653" s="250" t="s">
        <v>563</v>
      </c>
      <c r="H1653" s="244" t="s">
        <v>539</v>
      </c>
      <c r="I1653" s="8">
        <v>1</v>
      </c>
      <c r="J1653" s="2" t="s">
        <v>1458</v>
      </c>
      <c r="K1653" s="6">
        <f>(F1653*I1653)</f>
        <v>18</v>
      </c>
    </row>
    <row r="1654" spans="1:11" hidden="1">
      <c r="A1654" s="386"/>
      <c r="F1654" s="251">
        <v>18</v>
      </c>
      <c r="G1654" s="250" t="s">
        <v>563</v>
      </c>
      <c r="H1654" s="244" t="s">
        <v>540</v>
      </c>
      <c r="I1654" s="8">
        <v>2</v>
      </c>
      <c r="J1654" s="2" t="s">
        <v>1458</v>
      </c>
      <c r="K1654" s="6">
        <f>(F1654*I1654)</f>
        <v>36</v>
      </c>
    </row>
    <row r="1655" spans="1:11" hidden="1">
      <c r="A1655" s="386"/>
      <c r="I1655"/>
      <c r="J1655" s="4"/>
      <c r="K1655" s="6" t="s">
        <v>1667</v>
      </c>
    </row>
    <row r="1656" spans="1:11" hidden="1">
      <c r="A1656" s="386"/>
      <c r="H1656" s="354" t="s">
        <v>2025</v>
      </c>
      <c r="I1656"/>
      <c r="J1656" s="4"/>
      <c r="K1656" s="6" t="e">
        <f>SUM(K1650:K1654)</f>
        <v>#REF!</v>
      </c>
    </row>
    <row r="1657" spans="1:11" hidden="1">
      <c r="A1657" s="386"/>
      <c r="I1657"/>
      <c r="J1657" s="4"/>
      <c r="K1657" s="6" t="s">
        <v>1667</v>
      </c>
    </row>
    <row r="1658" spans="1:11" hidden="1">
      <c r="A1658" s="386"/>
      <c r="H1658" s="354" t="s">
        <v>2026</v>
      </c>
      <c r="I1658"/>
      <c r="J1658" s="4"/>
      <c r="K1658" s="6" t="e">
        <f>(K1656/6.28)</f>
        <v>#REF!</v>
      </c>
    </row>
    <row r="1659" spans="1:11" hidden="1">
      <c r="A1659" s="386"/>
      <c r="I1659"/>
      <c r="J1659" s="4"/>
      <c r="K1659" s="6" t="s">
        <v>2130</v>
      </c>
    </row>
    <row r="1660" spans="1:11" hidden="1">
      <c r="A1660" s="386"/>
      <c r="F1660" s="244" t="s">
        <v>995</v>
      </c>
      <c r="H1660" s="244" t="s">
        <v>742</v>
      </c>
      <c r="I1660"/>
      <c r="J1660" s="4"/>
      <c r="K1660" s="34"/>
    </row>
    <row r="1661" spans="1:11" hidden="1">
      <c r="A1661" s="386"/>
      <c r="H1661" s="248" t="s">
        <v>1667</v>
      </c>
      <c r="I1661"/>
      <c r="J1661" s="4"/>
      <c r="K1661" s="34"/>
    </row>
    <row r="1662" spans="1:11" hidden="1">
      <c r="A1662" s="386"/>
      <c r="F1662" s="363">
        <v>0.01</v>
      </c>
      <c r="G1662" s="250" t="s">
        <v>2226</v>
      </c>
      <c r="H1662" s="244" t="s">
        <v>441</v>
      </c>
      <c r="I1662" s="8" t="e">
        <f>K1644</f>
        <v>#REF!</v>
      </c>
      <c r="J1662" s="2" t="s">
        <v>2226</v>
      </c>
      <c r="K1662" s="6" t="e">
        <f>(F1662*I1662)</f>
        <v>#REF!</v>
      </c>
    </row>
    <row r="1663" spans="1:11" hidden="1">
      <c r="A1663" s="386"/>
      <c r="F1663" s="251">
        <v>0.01</v>
      </c>
      <c r="G1663" s="250" t="s">
        <v>1402</v>
      </c>
      <c r="H1663" s="244" t="s">
        <v>743</v>
      </c>
      <c r="I1663" s="6" t="s">
        <v>667</v>
      </c>
      <c r="J1663" s="4"/>
      <c r="K1663" s="6">
        <v>1.2</v>
      </c>
    </row>
    <row r="1664" spans="1:11" hidden="1">
      <c r="A1664" s="386"/>
      <c r="I1664" s="34"/>
      <c r="J1664" s="4"/>
      <c r="K1664" s="6" t="s">
        <v>1667</v>
      </c>
    </row>
    <row r="1665" spans="1:11" hidden="1">
      <c r="A1665" s="386"/>
      <c r="H1665" s="354" t="s">
        <v>752</v>
      </c>
      <c r="I1665"/>
      <c r="J1665" s="4"/>
      <c r="K1665" s="6" t="e">
        <f>SUM(K1659:K1663)</f>
        <v>#REF!</v>
      </c>
    </row>
    <row r="1666" spans="1:11" hidden="1">
      <c r="A1666" s="386"/>
      <c r="I1666"/>
      <c r="J1666" s="4"/>
      <c r="K1666" s="6" t="s">
        <v>1667</v>
      </c>
    </row>
    <row r="1667" spans="1:11" hidden="1">
      <c r="A1667" s="386"/>
      <c r="H1667" s="354" t="s">
        <v>2251</v>
      </c>
      <c r="I1667"/>
      <c r="J1667" s="4"/>
      <c r="K1667" s="6" t="e">
        <f>K1665/0.01</f>
        <v>#REF!</v>
      </c>
    </row>
    <row r="1668" spans="1:11" hidden="1">
      <c r="A1668" s="386"/>
      <c r="I1668"/>
      <c r="J1668" s="4"/>
      <c r="K1668" s="6" t="s">
        <v>2130</v>
      </c>
    </row>
    <row r="1669" spans="1:11" hidden="1">
      <c r="A1669" s="386"/>
      <c r="F1669" s="354" t="s">
        <v>2252</v>
      </c>
      <c r="G1669" s="250" t="s">
        <v>685</v>
      </c>
      <c r="H1669" s="244" t="s">
        <v>1194</v>
      </c>
      <c r="I1669"/>
      <c r="J1669" s="4"/>
      <c r="K1669" s="34"/>
    </row>
    <row r="1670" spans="1:11" hidden="1">
      <c r="A1670" s="386"/>
      <c r="H1670" s="366" t="s">
        <v>603</v>
      </c>
      <c r="I1670"/>
      <c r="J1670" s="4"/>
      <c r="K1670" s="34"/>
    </row>
    <row r="1671" spans="1:11" hidden="1">
      <c r="A1671" s="386"/>
      <c r="H1671" s="248" t="s">
        <v>1667</v>
      </c>
      <c r="I1671" s="5" t="s">
        <v>1667</v>
      </c>
      <c r="J1671" s="4"/>
      <c r="K1671" s="34"/>
    </row>
    <row r="1672" spans="1:11" hidden="1">
      <c r="A1672" s="386"/>
      <c r="F1672" s="363">
        <v>0.40500000000000003</v>
      </c>
      <c r="G1672" s="250" t="s">
        <v>2226</v>
      </c>
      <c r="H1672" s="244" t="s">
        <v>441</v>
      </c>
      <c r="I1672" s="8" t="e">
        <f>K1667</f>
        <v>#REF!</v>
      </c>
      <c r="J1672" s="2" t="s">
        <v>2226</v>
      </c>
      <c r="K1672" s="6" t="e">
        <f>(F1672*I1672)</f>
        <v>#REF!</v>
      </c>
    </row>
    <row r="1673" spans="1:11" hidden="1">
      <c r="A1673" s="386"/>
      <c r="F1673" s="244" t="s">
        <v>995</v>
      </c>
      <c r="G1673" s="250" t="s">
        <v>995</v>
      </c>
      <c r="H1673" s="244" t="s">
        <v>1733</v>
      </c>
      <c r="I1673" s="6" t="s">
        <v>667</v>
      </c>
      <c r="J1673" s="4"/>
      <c r="K1673" s="6" t="s">
        <v>995</v>
      </c>
    </row>
    <row r="1674" spans="1:11" hidden="1">
      <c r="A1674" s="386"/>
      <c r="I1674"/>
      <c r="J1674" s="4"/>
      <c r="K1674" s="6" t="s">
        <v>1667</v>
      </c>
    </row>
    <row r="1675" spans="1:11" hidden="1">
      <c r="A1675" s="386"/>
      <c r="H1675" s="354" t="s">
        <v>1734</v>
      </c>
      <c r="I1675"/>
      <c r="J1675" s="4"/>
      <c r="K1675" s="6" t="e">
        <f>SUM(K1669:K1673)</f>
        <v>#REF!</v>
      </c>
    </row>
    <row r="1676" spans="1:11" hidden="1">
      <c r="A1676" s="386"/>
      <c r="I1676"/>
      <c r="J1676" s="4"/>
      <c r="K1676" s="6" t="s">
        <v>1667</v>
      </c>
    </row>
    <row r="1677" spans="1:11" hidden="1">
      <c r="A1677" s="386"/>
      <c r="H1677" s="354" t="s">
        <v>1735</v>
      </c>
      <c r="I1677"/>
      <c r="J1677" s="4"/>
      <c r="K1677" s="6" t="e">
        <f>K1675/9</f>
        <v>#REF!</v>
      </c>
    </row>
    <row r="1678" spans="1:11" hidden="1">
      <c r="A1678" s="386"/>
      <c r="I1678"/>
      <c r="J1678" s="4"/>
      <c r="K1678" s="6" t="s">
        <v>2130</v>
      </c>
    </row>
    <row r="1679" spans="1:11" hidden="1">
      <c r="A1679" s="386"/>
      <c r="F1679" s="354" t="s">
        <v>1465</v>
      </c>
      <c r="H1679" s="244" t="s">
        <v>469</v>
      </c>
      <c r="I1679"/>
      <c r="J1679" s="4"/>
      <c r="K1679" s="34"/>
    </row>
    <row r="1680" spans="1:11" hidden="1">
      <c r="A1680" s="386"/>
      <c r="H1680" s="248" t="s">
        <v>1667</v>
      </c>
      <c r="I1680"/>
      <c r="J1680" s="4"/>
      <c r="K1680" s="34"/>
    </row>
    <row r="1681" spans="1:11" hidden="1">
      <c r="A1681" s="386"/>
      <c r="F1681" s="251">
        <v>4.32</v>
      </c>
      <c r="G1681" s="250" t="s">
        <v>884</v>
      </c>
      <c r="H1681" s="244" t="s">
        <v>362</v>
      </c>
      <c r="I1681" s="8">
        <f>C61</f>
        <v>25</v>
      </c>
      <c r="J1681" s="2" t="s">
        <v>884</v>
      </c>
      <c r="K1681" s="6">
        <f t="shared" ref="K1681:K1688" si="62">(F1681*I1681)</f>
        <v>108</v>
      </c>
    </row>
    <row r="1682" spans="1:11" hidden="1">
      <c r="A1682" s="386"/>
      <c r="F1682" s="251">
        <v>1.44</v>
      </c>
      <c r="G1682" s="250" t="s">
        <v>884</v>
      </c>
      <c r="H1682" s="244" t="s">
        <v>470</v>
      </c>
      <c r="I1682" s="8">
        <v>60.5</v>
      </c>
      <c r="J1682" s="2" t="s">
        <v>884</v>
      </c>
      <c r="K1682" s="6">
        <f t="shared" si="62"/>
        <v>87.12</v>
      </c>
    </row>
    <row r="1683" spans="1:11" hidden="1">
      <c r="A1683" s="386"/>
      <c r="F1683" s="251">
        <v>1.44</v>
      </c>
      <c r="G1683" s="250" t="s">
        <v>884</v>
      </c>
      <c r="H1683" s="244" t="s">
        <v>471</v>
      </c>
      <c r="I1683" s="8">
        <f>C35</f>
        <v>169</v>
      </c>
      <c r="J1683" s="2" t="s">
        <v>884</v>
      </c>
      <c r="K1683" s="6">
        <f t="shared" si="62"/>
        <v>243.36</v>
      </c>
    </row>
    <row r="1684" spans="1:11" hidden="1">
      <c r="A1684" s="386"/>
      <c r="F1684" s="251">
        <v>1.44</v>
      </c>
      <c r="G1684" s="250" t="s">
        <v>884</v>
      </c>
      <c r="H1684" s="244" t="s">
        <v>472</v>
      </c>
      <c r="I1684" s="8" t="e">
        <f>C78</f>
        <v>#REF!</v>
      </c>
      <c r="J1684" s="2" t="s">
        <v>884</v>
      </c>
      <c r="K1684" s="6" t="e">
        <f t="shared" si="62"/>
        <v>#REF!</v>
      </c>
    </row>
    <row r="1685" spans="1:11" hidden="1">
      <c r="A1685" s="386"/>
      <c r="F1685" s="251">
        <v>2.88</v>
      </c>
      <c r="G1685" s="250" t="s">
        <v>884</v>
      </c>
      <c r="H1685" s="244" t="s">
        <v>473</v>
      </c>
      <c r="I1685" s="8">
        <v>10</v>
      </c>
      <c r="J1685" s="2" t="s">
        <v>884</v>
      </c>
      <c r="K1685" s="6">
        <f t="shared" si="62"/>
        <v>28.8</v>
      </c>
    </row>
    <row r="1686" spans="1:11" hidden="1">
      <c r="A1686" s="386"/>
      <c r="F1686" s="251">
        <v>20</v>
      </c>
      <c r="G1686" s="250" t="s">
        <v>257</v>
      </c>
      <c r="H1686" s="244" t="s">
        <v>1709</v>
      </c>
      <c r="I1686" s="8">
        <v>40</v>
      </c>
      <c r="J1686" s="2" t="s">
        <v>257</v>
      </c>
      <c r="K1686" s="6">
        <f t="shared" si="62"/>
        <v>800</v>
      </c>
    </row>
    <row r="1687" spans="1:11" hidden="1">
      <c r="A1687" s="386"/>
      <c r="F1687" s="251">
        <v>42</v>
      </c>
      <c r="G1687" s="250" t="s">
        <v>2272</v>
      </c>
      <c r="H1687" s="244" t="s">
        <v>3300</v>
      </c>
      <c r="I1687" s="8">
        <v>10</v>
      </c>
      <c r="J1687" s="2" t="s">
        <v>2272</v>
      </c>
      <c r="K1687" s="6">
        <f t="shared" si="62"/>
        <v>420</v>
      </c>
    </row>
    <row r="1688" spans="1:11" hidden="1">
      <c r="A1688" s="386"/>
      <c r="F1688" s="251">
        <v>4.32</v>
      </c>
      <c r="G1688" s="250" t="s">
        <v>884</v>
      </c>
      <c r="H1688" s="244" t="s">
        <v>1700</v>
      </c>
      <c r="I1688" s="8">
        <f>C27</f>
        <v>7.8</v>
      </c>
      <c r="J1688" s="2" t="s">
        <v>884</v>
      </c>
      <c r="K1688" s="6">
        <f t="shared" si="62"/>
        <v>33.700000000000003</v>
      </c>
    </row>
    <row r="1689" spans="1:11" hidden="1">
      <c r="A1689" s="386"/>
      <c r="F1689" s="354" t="s">
        <v>744</v>
      </c>
      <c r="H1689" s="244" t="s">
        <v>1042</v>
      </c>
      <c r="I1689"/>
      <c r="J1689" s="4"/>
      <c r="K1689" s="6">
        <v>2000</v>
      </c>
    </row>
    <row r="1690" spans="1:11" hidden="1">
      <c r="A1690" s="386"/>
      <c r="I1690"/>
      <c r="J1690" s="4"/>
      <c r="K1690" s="6" t="s">
        <v>1667</v>
      </c>
    </row>
    <row r="1691" spans="1:11" hidden="1">
      <c r="A1691" s="386"/>
      <c r="H1691" s="244" t="s">
        <v>1043</v>
      </c>
      <c r="I1691"/>
      <c r="J1691" s="4"/>
      <c r="K1691" s="6" t="e">
        <f>SUM(K1681:K1689)</f>
        <v>#REF!</v>
      </c>
    </row>
    <row r="1692" spans="1:11" hidden="1">
      <c r="A1692" s="386"/>
      <c r="I1692"/>
      <c r="J1692" s="4"/>
      <c r="K1692" s="6" t="s">
        <v>1667</v>
      </c>
    </row>
    <row r="1693" spans="1:11" hidden="1">
      <c r="A1693" s="386"/>
      <c r="H1693" s="244" t="s">
        <v>1461</v>
      </c>
      <c r="I1693"/>
      <c r="J1693" s="4"/>
      <c r="K1693" s="6" t="e">
        <f>K1691/20</f>
        <v>#REF!</v>
      </c>
    </row>
    <row r="1694" spans="1:11" hidden="1">
      <c r="A1694" s="386"/>
      <c r="I1694"/>
      <c r="J1694" s="4"/>
      <c r="K1694" s="6" t="s">
        <v>2130</v>
      </c>
    </row>
    <row r="1695" spans="1:11" hidden="1">
      <c r="A1695" s="386"/>
      <c r="I1695"/>
      <c r="J1695" s="4"/>
      <c r="K1695" s="34"/>
    </row>
    <row r="1696" spans="1:11" hidden="1">
      <c r="A1696" s="386"/>
      <c r="F1696" s="354" t="s">
        <v>1044</v>
      </c>
      <c r="H1696" s="244" t="s">
        <v>1374</v>
      </c>
      <c r="I1696"/>
      <c r="J1696" s="4"/>
      <c r="K1696" s="34"/>
    </row>
    <row r="1697" spans="1:11" hidden="1">
      <c r="A1697" s="386"/>
      <c r="H1697" s="248" t="s">
        <v>1667</v>
      </c>
      <c r="I1697"/>
      <c r="J1697" s="4"/>
      <c r="K1697" s="34"/>
    </row>
    <row r="1698" spans="1:11" hidden="1">
      <c r="A1698" s="386"/>
      <c r="F1698" s="251">
        <v>0.1</v>
      </c>
      <c r="G1698" s="250" t="s">
        <v>884</v>
      </c>
      <c r="H1698" s="244" t="s">
        <v>362</v>
      </c>
      <c r="I1698" s="8">
        <f>K90</f>
        <v>50</v>
      </c>
      <c r="J1698" s="2" t="s">
        <v>884</v>
      </c>
      <c r="K1698" s="6">
        <f t="shared" ref="K1698:K1703" si="63">(F1698*I1698)</f>
        <v>5</v>
      </c>
    </row>
    <row r="1699" spans="1:11" hidden="1">
      <c r="A1699" s="386"/>
      <c r="F1699" s="251">
        <v>6.3</v>
      </c>
      <c r="G1699" s="250" t="s">
        <v>2272</v>
      </c>
      <c r="H1699" s="244" t="s">
        <v>643</v>
      </c>
      <c r="I1699" s="57">
        <v>21</v>
      </c>
      <c r="J1699" s="2" t="s">
        <v>2272</v>
      </c>
      <c r="K1699" s="6">
        <f t="shared" si="63"/>
        <v>132.30000000000001</v>
      </c>
    </row>
    <row r="1700" spans="1:11" hidden="1">
      <c r="A1700" s="386"/>
      <c r="F1700" s="251">
        <v>6.3</v>
      </c>
      <c r="G1700" s="250" t="s">
        <v>2272</v>
      </c>
      <c r="H1700" s="244" t="s">
        <v>3300</v>
      </c>
      <c r="I1700" s="8">
        <v>10</v>
      </c>
      <c r="J1700" s="2" t="s">
        <v>2272</v>
      </c>
      <c r="K1700" s="6">
        <f t="shared" si="63"/>
        <v>63</v>
      </c>
    </row>
    <row r="1701" spans="1:11" hidden="1">
      <c r="A1701" s="386"/>
      <c r="F1701" s="251">
        <v>3.15</v>
      </c>
      <c r="G1701" s="250" t="s">
        <v>234</v>
      </c>
      <c r="H1701" s="244" t="s">
        <v>644</v>
      </c>
      <c r="I1701" s="57">
        <v>22.6</v>
      </c>
      <c r="J1701" s="2" t="s">
        <v>234</v>
      </c>
      <c r="K1701" s="6">
        <f t="shared" si="63"/>
        <v>71.19</v>
      </c>
    </row>
    <row r="1702" spans="1:11" hidden="1">
      <c r="A1702" s="386"/>
      <c r="F1702" s="251">
        <v>0.25</v>
      </c>
      <c r="G1702" s="250" t="s">
        <v>1843</v>
      </c>
      <c r="H1702" s="244" t="s">
        <v>645</v>
      </c>
      <c r="I1702" s="8">
        <f>D16</f>
        <v>135</v>
      </c>
      <c r="J1702" s="2" t="s">
        <v>1843</v>
      </c>
      <c r="K1702" s="6">
        <f t="shared" si="63"/>
        <v>33.75</v>
      </c>
    </row>
    <row r="1703" spans="1:11" hidden="1">
      <c r="A1703" s="386"/>
      <c r="F1703" s="251">
        <v>0.2</v>
      </c>
      <c r="G1703" s="250" t="s">
        <v>1843</v>
      </c>
      <c r="H1703" s="244" t="s">
        <v>646</v>
      </c>
      <c r="I1703" s="8">
        <f>C17</f>
        <v>130</v>
      </c>
      <c r="J1703" s="2" t="s">
        <v>1843</v>
      </c>
      <c r="K1703" s="6">
        <f t="shared" si="63"/>
        <v>26</v>
      </c>
    </row>
    <row r="1704" spans="1:11" hidden="1">
      <c r="A1704" s="386"/>
      <c r="H1704" s="244" t="s">
        <v>506</v>
      </c>
      <c r="I1704" s="1" t="s">
        <v>995</v>
      </c>
      <c r="J1704" s="2" t="s">
        <v>995</v>
      </c>
      <c r="K1704" s="6">
        <v>0</v>
      </c>
    </row>
    <row r="1705" spans="1:11" hidden="1">
      <c r="A1705" s="386"/>
      <c r="I1705"/>
      <c r="J1705" s="2" t="s">
        <v>995</v>
      </c>
      <c r="K1705" s="6" t="s">
        <v>1667</v>
      </c>
    </row>
    <row r="1706" spans="1:11" hidden="1">
      <c r="A1706" s="386"/>
      <c r="F1706" s="244" t="s">
        <v>995</v>
      </c>
      <c r="G1706" s="250" t="s">
        <v>995</v>
      </c>
      <c r="H1706" s="244" t="s">
        <v>1461</v>
      </c>
      <c r="I1706"/>
      <c r="J1706" s="4"/>
      <c r="K1706" s="6">
        <f>SUM(K1698:K1704)</f>
        <v>331.24</v>
      </c>
    </row>
    <row r="1707" spans="1:11" hidden="1">
      <c r="A1707" s="386"/>
      <c r="H1707" s="244" t="s">
        <v>995</v>
      </c>
      <c r="I1707"/>
      <c r="J1707" s="4"/>
      <c r="K1707" s="6" t="s">
        <v>1667</v>
      </c>
    </row>
    <row r="1708" spans="1:11" hidden="1">
      <c r="A1708" s="386"/>
      <c r="I1708"/>
      <c r="J1708" s="4"/>
      <c r="K1708" s="6"/>
    </row>
    <row r="1709" spans="1:11" hidden="1">
      <c r="A1709" s="386"/>
      <c r="F1709" s="354" t="s">
        <v>595</v>
      </c>
      <c r="H1709" s="244" t="s">
        <v>945</v>
      </c>
      <c r="I1709"/>
      <c r="J1709" s="4"/>
      <c r="K1709" s="34"/>
    </row>
    <row r="1710" spans="1:11" hidden="1">
      <c r="A1710" s="386"/>
      <c r="H1710" s="248" t="s">
        <v>1667</v>
      </c>
      <c r="I1710"/>
      <c r="J1710" s="4"/>
      <c r="K1710" s="34"/>
    </row>
    <row r="1711" spans="1:11" hidden="1">
      <c r="A1711" s="386"/>
      <c r="F1711" s="374">
        <v>0.48599999999999999</v>
      </c>
      <c r="G1711" s="250" t="s">
        <v>1402</v>
      </c>
      <c r="H1711" s="244" t="s">
        <v>362</v>
      </c>
      <c r="I1711" s="8">
        <f>C61</f>
        <v>25</v>
      </c>
      <c r="J1711" s="2" t="s">
        <v>1402</v>
      </c>
      <c r="K1711" s="6">
        <f t="shared" ref="K1711:K1717" si="64">(F1711*I1711)</f>
        <v>12.15</v>
      </c>
    </row>
    <row r="1712" spans="1:11" hidden="1">
      <c r="A1712" s="386"/>
      <c r="F1712" s="374">
        <v>0.48599999999999999</v>
      </c>
      <c r="G1712" s="250" t="s">
        <v>1402</v>
      </c>
      <c r="H1712" s="244" t="s">
        <v>363</v>
      </c>
      <c r="I1712" s="8" t="e">
        <f>K203</f>
        <v>#REF!</v>
      </c>
      <c r="J1712" s="2" t="s">
        <v>1402</v>
      </c>
      <c r="K1712" s="6" t="e">
        <f t="shared" si="64"/>
        <v>#REF!</v>
      </c>
    </row>
    <row r="1713" spans="1:11" hidden="1">
      <c r="A1713" s="386"/>
      <c r="F1713" s="251">
        <v>81.75</v>
      </c>
      <c r="G1713" s="250" t="s">
        <v>364</v>
      </c>
      <c r="H1713" s="244" t="s">
        <v>365</v>
      </c>
      <c r="I1713" s="8">
        <v>30</v>
      </c>
      <c r="J1713" s="2" t="s">
        <v>364</v>
      </c>
      <c r="K1713" s="6">
        <f t="shared" si="64"/>
        <v>2452.5</v>
      </c>
    </row>
    <row r="1714" spans="1:11" hidden="1">
      <c r="A1714" s="386"/>
      <c r="F1714" s="251">
        <v>7.2</v>
      </c>
      <c r="G1714" s="250" t="s">
        <v>364</v>
      </c>
      <c r="H1714" s="244" t="s">
        <v>366</v>
      </c>
      <c r="I1714" s="8">
        <v>30</v>
      </c>
      <c r="J1714" s="2" t="s">
        <v>364</v>
      </c>
      <c r="K1714" s="6">
        <f t="shared" si="64"/>
        <v>216</v>
      </c>
    </row>
    <row r="1715" spans="1:11" hidden="1">
      <c r="A1715" s="386"/>
      <c r="F1715" s="251">
        <v>43.68</v>
      </c>
      <c r="G1715" s="250" t="s">
        <v>364</v>
      </c>
      <c r="H1715" s="244" t="s">
        <v>1636</v>
      </c>
      <c r="I1715" s="8">
        <f>I1713</f>
        <v>30</v>
      </c>
      <c r="J1715" s="2" t="s">
        <v>364</v>
      </c>
      <c r="K1715" s="6">
        <f t="shared" si="64"/>
        <v>1310.4000000000001</v>
      </c>
    </row>
    <row r="1716" spans="1:11" hidden="1">
      <c r="A1716" s="386"/>
      <c r="F1716" s="251">
        <v>132.63</v>
      </c>
      <c r="G1716" s="250" t="s">
        <v>364</v>
      </c>
      <c r="H1716" s="244" t="s">
        <v>1637</v>
      </c>
      <c r="I1716" s="57">
        <v>12.3</v>
      </c>
      <c r="J1716" s="2" t="s">
        <v>364</v>
      </c>
      <c r="K1716" s="6">
        <f t="shared" si="64"/>
        <v>1631.35</v>
      </c>
    </row>
    <row r="1717" spans="1:11" hidden="1">
      <c r="A1717" s="386"/>
      <c r="F1717" s="251">
        <v>2.2000000000000002</v>
      </c>
      <c r="G1717" s="250" t="s">
        <v>234</v>
      </c>
      <c r="H1717" s="244" t="s">
        <v>2528</v>
      </c>
      <c r="I1717" s="8">
        <v>360</v>
      </c>
      <c r="J1717" s="2" t="s">
        <v>234</v>
      </c>
      <c r="K1717" s="6">
        <f t="shared" si="64"/>
        <v>792</v>
      </c>
    </row>
    <row r="1718" spans="1:11" hidden="1">
      <c r="A1718" s="386"/>
      <c r="F1718" s="252" t="s">
        <v>667</v>
      </c>
      <c r="H1718" s="244" t="s">
        <v>1638</v>
      </c>
      <c r="I1718" s="6" t="s">
        <v>667</v>
      </c>
      <c r="J1718" s="4"/>
      <c r="K1718" s="6">
        <v>250</v>
      </c>
    </row>
    <row r="1719" spans="1:11" hidden="1">
      <c r="A1719" s="386"/>
      <c r="F1719" s="252" t="s">
        <v>667</v>
      </c>
      <c r="H1719" s="244" t="s">
        <v>1460</v>
      </c>
      <c r="I1719" s="6" t="s">
        <v>667</v>
      </c>
      <c r="J1719" s="4"/>
      <c r="K1719" s="6">
        <v>20</v>
      </c>
    </row>
    <row r="1720" spans="1:11" hidden="1">
      <c r="A1720" s="386"/>
      <c r="I1720"/>
      <c r="J1720" s="4"/>
      <c r="K1720" s="6" t="s">
        <v>1667</v>
      </c>
    </row>
    <row r="1721" spans="1:11" hidden="1">
      <c r="A1721" s="386"/>
      <c r="I1721"/>
      <c r="J1721" s="4"/>
      <c r="K1721" s="6" t="e">
        <f>SUM(K1711:K1720)</f>
        <v>#REF!</v>
      </c>
    </row>
    <row r="1722" spans="1:11" hidden="1">
      <c r="A1722" s="386"/>
      <c r="I1722"/>
      <c r="J1722" s="4"/>
      <c r="K1722" s="6" t="s">
        <v>1667</v>
      </c>
    </row>
    <row r="1723" spans="1:11" hidden="1">
      <c r="A1723" s="386"/>
      <c r="I1723"/>
      <c r="J1723" s="4"/>
      <c r="K1723" s="6"/>
    </row>
    <row r="1724" spans="1:11" hidden="1">
      <c r="A1724" s="386"/>
      <c r="F1724" s="360">
        <v>86</v>
      </c>
      <c r="H1724" s="244" t="s">
        <v>2131</v>
      </c>
      <c r="I1724"/>
      <c r="J1724" s="4"/>
      <c r="K1724" s="6">
        <f>C777</f>
        <v>30</v>
      </c>
    </row>
    <row r="1725" spans="1:11" hidden="1">
      <c r="A1725" s="386"/>
      <c r="F1725" s="364"/>
      <c r="H1725" s="244"/>
      <c r="I1725"/>
      <c r="J1725" s="4"/>
      <c r="K1725" s="6"/>
    </row>
    <row r="1726" spans="1:11" hidden="1">
      <c r="A1726" s="386"/>
      <c r="F1726" s="354" t="s">
        <v>1736</v>
      </c>
      <c r="H1726" s="244" t="s">
        <v>2363</v>
      </c>
      <c r="I1726"/>
      <c r="J1726" s="4"/>
      <c r="K1726" s="6">
        <v>3135</v>
      </c>
    </row>
    <row r="1727" spans="1:11" hidden="1">
      <c r="A1727" s="386"/>
      <c r="H1727" s="244" t="s">
        <v>2364</v>
      </c>
      <c r="I1727"/>
      <c r="J1727" s="4"/>
      <c r="K1727" s="34">
        <f>K1726</f>
        <v>3135</v>
      </c>
    </row>
    <row r="1728" spans="1:11" hidden="1">
      <c r="A1728" s="386"/>
      <c r="F1728" s="244" t="s">
        <v>995</v>
      </c>
      <c r="I1728"/>
      <c r="J1728" s="4"/>
      <c r="K1728" s="34"/>
    </row>
    <row r="1729" spans="1:11" hidden="1">
      <c r="A1729" s="386"/>
      <c r="F1729" s="364"/>
      <c r="G1729" s="250" t="s">
        <v>2338</v>
      </c>
      <c r="H1729" s="244" t="s">
        <v>2124</v>
      </c>
      <c r="I1729"/>
      <c r="J1729" s="4"/>
      <c r="K1729" s="34"/>
    </row>
    <row r="1730" spans="1:11" hidden="1">
      <c r="A1730" s="386"/>
      <c r="H1730" s="244" t="s">
        <v>2365</v>
      </c>
      <c r="I1730"/>
      <c r="J1730" s="4"/>
      <c r="K1730" s="34"/>
    </row>
    <row r="1731" spans="1:11" hidden="1">
      <c r="A1731" s="386"/>
      <c r="H1731" s="244" t="s">
        <v>967</v>
      </c>
      <c r="I1731"/>
      <c r="J1731" s="4"/>
      <c r="K1731" s="34"/>
    </row>
    <row r="1732" spans="1:11" hidden="1">
      <c r="A1732" s="386"/>
      <c r="H1732" s="248" t="s">
        <v>1667</v>
      </c>
      <c r="I1732"/>
      <c r="J1732" s="4"/>
      <c r="K1732" s="34"/>
    </row>
    <row r="1733" spans="1:11" hidden="1">
      <c r="A1733" s="386"/>
      <c r="G1733" s="250" t="s">
        <v>2366</v>
      </c>
      <c r="H1733" s="244" t="s">
        <v>967</v>
      </c>
      <c r="I1733"/>
      <c r="J1733" s="4"/>
      <c r="K1733" s="6" t="s">
        <v>1514</v>
      </c>
    </row>
    <row r="1734" spans="1:11" hidden="1">
      <c r="A1734" s="386"/>
      <c r="H1734" s="248" t="s">
        <v>1667</v>
      </c>
      <c r="I1734"/>
      <c r="J1734" s="4"/>
      <c r="K1734" s="6" t="s">
        <v>2130</v>
      </c>
    </row>
    <row r="1735" spans="1:11" hidden="1">
      <c r="A1735" s="386"/>
      <c r="F1735" s="251">
        <v>30</v>
      </c>
      <c r="G1735" s="250" t="s">
        <v>1854</v>
      </c>
      <c r="H1735" s="244" t="s">
        <v>1750</v>
      </c>
      <c r="I1735" s="8">
        <f>(C639)</f>
        <v>3</v>
      </c>
      <c r="J1735" s="2" t="s">
        <v>1854</v>
      </c>
      <c r="K1735" s="6">
        <f>(F1735*I1735)</f>
        <v>90</v>
      </c>
    </row>
    <row r="1736" spans="1:11" hidden="1">
      <c r="A1736" s="386"/>
      <c r="F1736" s="244" t="s">
        <v>995</v>
      </c>
      <c r="H1736" s="244" t="s">
        <v>1753</v>
      </c>
      <c r="I1736" s="1" t="s">
        <v>995</v>
      </c>
      <c r="J1736" s="4"/>
      <c r="K1736" s="6" t="s">
        <v>995</v>
      </c>
    </row>
    <row r="1737" spans="1:11" hidden="1">
      <c r="A1737" s="386"/>
      <c r="F1737" s="251">
        <v>8</v>
      </c>
      <c r="G1737" s="250" t="s">
        <v>883</v>
      </c>
      <c r="H1737" s="244" t="s">
        <v>2218</v>
      </c>
      <c r="I1737" s="8">
        <f>(C641)</f>
        <v>2.2000000000000002</v>
      </c>
      <c r="J1737" s="2" t="s">
        <v>883</v>
      </c>
      <c r="K1737" s="6">
        <f t="shared" ref="K1737:K1742" si="65">(F1737*I1737)</f>
        <v>17.600000000000001</v>
      </c>
    </row>
    <row r="1738" spans="1:11" hidden="1">
      <c r="A1738" s="386"/>
      <c r="F1738" s="251">
        <v>8</v>
      </c>
      <c r="G1738" s="250" t="s">
        <v>883</v>
      </c>
      <c r="H1738" s="244" t="s">
        <v>467</v>
      </c>
      <c r="I1738" s="8">
        <f>(C642)</f>
        <v>3.2</v>
      </c>
      <c r="J1738" s="2" t="s">
        <v>883</v>
      </c>
      <c r="K1738" s="6">
        <f t="shared" si="65"/>
        <v>25.6</v>
      </c>
    </row>
    <row r="1739" spans="1:11" hidden="1">
      <c r="A1739" s="386"/>
      <c r="F1739" s="251">
        <v>3</v>
      </c>
      <c r="G1739" s="250" t="s">
        <v>883</v>
      </c>
      <c r="H1739" s="244" t="s">
        <v>1922</v>
      </c>
      <c r="I1739" s="8">
        <f>(C41)</f>
        <v>110</v>
      </c>
      <c r="J1739" s="2" t="s">
        <v>883</v>
      </c>
      <c r="K1739" s="6">
        <f t="shared" si="65"/>
        <v>330</v>
      </c>
    </row>
    <row r="1740" spans="1:11" hidden="1">
      <c r="A1740" s="386"/>
      <c r="F1740" s="251">
        <v>1</v>
      </c>
      <c r="G1740" s="250" t="s">
        <v>883</v>
      </c>
      <c r="H1740" s="244" t="s">
        <v>1440</v>
      </c>
      <c r="I1740" s="8">
        <f>(C10)</f>
        <v>150</v>
      </c>
      <c r="J1740" s="2" t="s">
        <v>883</v>
      </c>
      <c r="K1740" s="6">
        <f t="shared" si="65"/>
        <v>150</v>
      </c>
    </row>
    <row r="1741" spans="1:11" hidden="1">
      <c r="A1741" s="386"/>
      <c r="F1741" s="251">
        <v>2</v>
      </c>
      <c r="G1741" s="250" t="s">
        <v>883</v>
      </c>
      <c r="H1741" s="244" t="s">
        <v>1979</v>
      </c>
      <c r="I1741" s="8">
        <f>(C12)</f>
        <v>95</v>
      </c>
      <c r="J1741" s="2" t="s">
        <v>883</v>
      </c>
      <c r="K1741" s="6">
        <f t="shared" si="65"/>
        <v>190</v>
      </c>
    </row>
    <row r="1742" spans="1:11" hidden="1">
      <c r="A1742" s="386"/>
      <c r="F1742" s="251">
        <v>1</v>
      </c>
      <c r="G1742" s="250" t="s">
        <v>883</v>
      </c>
      <c r="H1742" s="244" t="s">
        <v>324</v>
      </c>
      <c r="I1742" s="8">
        <f>(C13)</f>
        <v>85</v>
      </c>
      <c r="J1742" s="2" t="s">
        <v>883</v>
      </c>
      <c r="K1742" s="6">
        <f t="shared" si="65"/>
        <v>85</v>
      </c>
    </row>
    <row r="1743" spans="1:11" hidden="1">
      <c r="A1743" s="386"/>
      <c r="G1743" s="250" t="s">
        <v>448</v>
      </c>
      <c r="H1743" s="244" t="s">
        <v>1441</v>
      </c>
      <c r="I1743" s="1" t="s">
        <v>995</v>
      </c>
      <c r="J1743" s="2" t="s">
        <v>448</v>
      </c>
      <c r="K1743" s="6">
        <v>5</v>
      </c>
    </row>
    <row r="1744" spans="1:11" hidden="1">
      <c r="A1744" s="386"/>
      <c r="H1744" s="244" t="s">
        <v>947</v>
      </c>
      <c r="I1744" s="1" t="s">
        <v>995</v>
      </c>
      <c r="J1744" s="4"/>
      <c r="K1744" s="6" t="s">
        <v>995</v>
      </c>
    </row>
    <row r="1745" spans="1:11" hidden="1">
      <c r="A1745" s="386"/>
      <c r="G1745" s="250" t="s">
        <v>448</v>
      </c>
      <c r="H1745" s="244" t="s">
        <v>449</v>
      </c>
      <c r="I1745"/>
      <c r="J1745" s="2" t="s">
        <v>448</v>
      </c>
      <c r="K1745" s="6">
        <v>0</v>
      </c>
    </row>
    <row r="1746" spans="1:11" hidden="1">
      <c r="A1746" s="386"/>
      <c r="I1746"/>
      <c r="J1746" s="4"/>
      <c r="K1746" s="6" t="s">
        <v>1667</v>
      </c>
    </row>
    <row r="1747" spans="1:11" hidden="1">
      <c r="A1747" s="386"/>
      <c r="H1747" s="244" t="s">
        <v>1927</v>
      </c>
      <c r="I1747"/>
      <c r="J1747" s="4"/>
      <c r="K1747" s="6">
        <f>SUM(K1735:K1745)</f>
        <v>893.2</v>
      </c>
    </row>
    <row r="1748" spans="1:11" hidden="1">
      <c r="A1748" s="386"/>
      <c r="I1748"/>
      <c r="J1748" s="4"/>
      <c r="K1748" s="6" t="s">
        <v>1667</v>
      </c>
    </row>
    <row r="1749" spans="1:11" hidden="1">
      <c r="A1749" s="386"/>
      <c r="H1749" s="244" t="s">
        <v>1622</v>
      </c>
      <c r="I1749"/>
      <c r="J1749" s="4"/>
      <c r="K1749" s="6">
        <f>(K1747/30)</f>
        <v>29.77</v>
      </c>
    </row>
    <row r="1750" spans="1:11" hidden="1">
      <c r="A1750" s="386"/>
      <c r="I1750"/>
      <c r="J1750" s="4"/>
      <c r="K1750" s="6" t="s">
        <v>1667</v>
      </c>
    </row>
    <row r="1751" spans="1:11" hidden="1">
      <c r="A1751" s="386"/>
      <c r="G1751" s="250" t="s">
        <v>519</v>
      </c>
      <c r="H1751" s="244" t="s">
        <v>967</v>
      </c>
      <c r="I1751"/>
      <c r="J1751" s="4"/>
      <c r="K1751" s="6" t="s">
        <v>22</v>
      </c>
    </row>
    <row r="1752" spans="1:11" hidden="1">
      <c r="A1752" s="386"/>
      <c r="H1752" s="248" t="s">
        <v>1667</v>
      </c>
      <c r="I1752"/>
      <c r="J1752" s="4"/>
      <c r="K1752" s="6" t="s">
        <v>2130</v>
      </c>
    </row>
    <row r="1753" spans="1:11" hidden="1">
      <c r="A1753" s="386"/>
      <c r="F1753" s="251">
        <v>30</v>
      </c>
      <c r="G1753" s="250" t="s">
        <v>1854</v>
      </c>
      <c r="H1753" s="244" t="s">
        <v>1750</v>
      </c>
      <c r="I1753" s="8">
        <f>(C639)</f>
        <v>3</v>
      </c>
      <c r="J1753" s="2" t="s">
        <v>1854</v>
      </c>
      <c r="K1753" s="6">
        <f>(F1753*I1753)</f>
        <v>90</v>
      </c>
    </row>
    <row r="1754" spans="1:11" hidden="1">
      <c r="A1754" s="386"/>
      <c r="F1754" s="244" t="s">
        <v>995</v>
      </c>
      <c r="H1754" s="244" t="s">
        <v>1753</v>
      </c>
      <c r="I1754" s="1" t="s">
        <v>995</v>
      </c>
      <c r="J1754" s="4"/>
      <c r="K1754" s="6" t="s">
        <v>995</v>
      </c>
    </row>
    <row r="1755" spans="1:11" hidden="1">
      <c r="A1755" s="386"/>
      <c r="F1755" s="251">
        <v>8</v>
      </c>
      <c r="G1755" s="250" t="s">
        <v>883</v>
      </c>
      <c r="H1755" s="244" t="s">
        <v>2218</v>
      </c>
      <c r="I1755" s="8">
        <f>(C641)</f>
        <v>2.2000000000000002</v>
      </c>
      <c r="J1755" s="2" t="s">
        <v>883</v>
      </c>
      <c r="K1755" s="6">
        <f t="shared" ref="K1755:K1760" si="66">(F1755*I1755)</f>
        <v>17.600000000000001</v>
      </c>
    </row>
    <row r="1756" spans="1:11" hidden="1">
      <c r="A1756" s="386"/>
      <c r="F1756" s="251">
        <v>8</v>
      </c>
      <c r="G1756" s="250" t="s">
        <v>883</v>
      </c>
      <c r="H1756" s="244" t="s">
        <v>467</v>
      </c>
      <c r="I1756" s="8">
        <f>(D642)</f>
        <v>3.2</v>
      </c>
      <c r="J1756" s="2" t="s">
        <v>883</v>
      </c>
      <c r="K1756" s="6">
        <f t="shared" si="66"/>
        <v>25.6</v>
      </c>
    </row>
    <row r="1757" spans="1:11" hidden="1">
      <c r="A1757" s="386"/>
      <c r="F1757" s="251">
        <v>3</v>
      </c>
      <c r="G1757" s="250" t="s">
        <v>883</v>
      </c>
      <c r="H1757" s="244" t="s">
        <v>1922</v>
      </c>
      <c r="I1757" s="8">
        <f>(C41)</f>
        <v>110</v>
      </c>
      <c r="J1757" s="2" t="s">
        <v>883</v>
      </c>
      <c r="K1757" s="6">
        <f t="shared" si="66"/>
        <v>330</v>
      </c>
    </row>
    <row r="1758" spans="1:11" hidden="1">
      <c r="A1758" s="386"/>
      <c r="F1758" s="251">
        <v>1</v>
      </c>
      <c r="G1758" s="250" t="s">
        <v>883</v>
      </c>
      <c r="H1758" s="244" t="s">
        <v>1440</v>
      </c>
      <c r="I1758" s="8">
        <f>(C10)</f>
        <v>150</v>
      </c>
      <c r="J1758" s="2" t="s">
        <v>883</v>
      </c>
      <c r="K1758" s="6">
        <f t="shared" si="66"/>
        <v>150</v>
      </c>
    </row>
    <row r="1759" spans="1:11" hidden="1">
      <c r="A1759" s="386"/>
      <c r="F1759" s="251">
        <v>2</v>
      </c>
      <c r="G1759" s="250" t="s">
        <v>883</v>
      </c>
      <c r="H1759" s="244" t="s">
        <v>1979</v>
      </c>
      <c r="I1759" s="8">
        <f>(C12)</f>
        <v>95</v>
      </c>
      <c r="J1759" s="2" t="s">
        <v>883</v>
      </c>
      <c r="K1759" s="6">
        <f t="shared" si="66"/>
        <v>190</v>
      </c>
    </row>
    <row r="1760" spans="1:11" hidden="1">
      <c r="A1760" s="386"/>
      <c r="F1760" s="251">
        <v>1</v>
      </c>
      <c r="G1760" s="250" t="s">
        <v>883</v>
      </c>
      <c r="H1760" s="244" t="s">
        <v>324</v>
      </c>
      <c r="I1760" s="8">
        <f>(C13)</f>
        <v>85</v>
      </c>
      <c r="J1760" s="2" t="s">
        <v>883</v>
      </c>
      <c r="K1760" s="6">
        <f t="shared" si="66"/>
        <v>85</v>
      </c>
    </row>
    <row r="1761" spans="1:11" hidden="1">
      <c r="A1761" s="386"/>
      <c r="G1761" s="250" t="s">
        <v>448</v>
      </c>
      <c r="H1761" s="244" t="s">
        <v>1441</v>
      </c>
      <c r="I1761" s="1" t="s">
        <v>995</v>
      </c>
      <c r="J1761" s="2" t="s">
        <v>448</v>
      </c>
      <c r="K1761" s="6">
        <v>5</v>
      </c>
    </row>
    <row r="1762" spans="1:11" hidden="1">
      <c r="A1762" s="386"/>
      <c r="H1762" s="244" t="s">
        <v>947</v>
      </c>
      <c r="I1762" s="1" t="s">
        <v>995</v>
      </c>
      <c r="J1762" s="4"/>
      <c r="K1762" s="6" t="s">
        <v>995</v>
      </c>
    </row>
    <row r="1763" spans="1:11" hidden="1">
      <c r="A1763" s="386"/>
      <c r="G1763" s="250" t="s">
        <v>448</v>
      </c>
      <c r="H1763" s="244" t="s">
        <v>449</v>
      </c>
      <c r="I1763"/>
      <c r="J1763" s="2" t="s">
        <v>448</v>
      </c>
      <c r="K1763" s="6">
        <v>0</v>
      </c>
    </row>
    <row r="1764" spans="1:11" hidden="1">
      <c r="A1764" s="386"/>
      <c r="I1764"/>
      <c r="J1764" s="4"/>
      <c r="K1764" s="6" t="s">
        <v>1667</v>
      </c>
    </row>
    <row r="1765" spans="1:11" hidden="1">
      <c r="A1765" s="386"/>
      <c r="H1765" s="244" t="s">
        <v>1927</v>
      </c>
      <c r="I1765"/>
      <c r="J1765" s="4"/>
      <c r="K1765" s="6">
        <f>SUM(K1753:K1763)</f>
        <v>893.2</v>
      </c>
    </row>
    <row r="1766" spans="1:11" hidden="1">
      <c r="A1766" s="386"/>
      <c r="I1766"/>
      <c r="J1766" s="4"/>
      <c r="K1766" s="6" t="s">
        <v>1667</v>
      </c>
    </row>
    <row r="1767" spans="1:11" hidden="1">
      <c r="A1767" s="386"/>
      <c r="H1767" s="244" t="s">
        <v>1622</v>
      </c>
      <c r="I1767"/>
      <c r="J1767" s="4"/>
      <c r="K1767" s="6">
        <f>(K1765/30)</f>
        <v>29.77</v>
      </c>
    </row>
    <row r="1768" spans="1:11" hidden="1">
      <c r="A1768" s="386"/>
      <c r="I1768"/>
      <c r="J1768" s="4"/>
      <c r="K1768" s="6" t="s">
        <v>1667</v>
      </c>
    </row>
    <row r="1769" spans="1:11" hidden="1">
      <c r="A1769" s="386"/>
      <c r="G1769" s="250" t="s">
        <v>1981</v>
      </c>
      <c r="H1769" s="244" t="s">
        <v>967</v>
      </c>
      <c r="I1769"/>
      <c r="J1769" s="4"/>
      <c r="K1769" s="6" t="s">
        <v>23</v>
      </c>
    </row>
    <row r="1770" spans="1:11" hidden="1">
      <c r="A1770" s="386"/>
      <c r="H1770" s="248" t="s">
        <v>1667</v>
      </c>
      <c r="I1770"/>
      <c r="J1770" s="4"/>
      <c r="K1770" s="6" t="s">
        <v>2130</v>
      </c>
    </row>
    <row r="1771" spans="1:11" hidden="1">
      <c r="A1771" s="386"/>
      <c r="F1771" s="251">
        <v>30</v>
      </c>
      <c r="G1771" s="250" t="s">
        <v>1854</v>
      </c>
      <c r="H1771" s="244" t="s">
        <v>1750</v>
      </c>
      <c r="I1771" s="8">
        <f>(C639)</f>
        <v>3</v>
      </c>
      <c r="J1771" s="2" t="s">
        <v>1854</v>
      </c>
      <c r="K1771" s="6">
        <f>(F1771*I1771)</f>
        <v>90</v>
      </c>
    </row>
    <row r="1772" spans="1:11" hidden="1">
      <c r="A1772" s="386"/>
      <c r="F1772" s="244" t="s">
        <v>995</v>
      </c>
      <c r="H1772" s="244" t="s">
        <v>1753</v>
      </c>
      <c r="I1772" s="1" t="s">
        <v>995</v>
      </c>
      <c r="J1772" s="4"/>
      <c r="K1772" s="6" t="s">
        <v>995</v>
      </c>
    </row>
    <row r="1773" spans="1:11" hidden="1">
      <c r="A1773" s="386"/>
      <c r="F1773" s="251">
        <v>8</v>
      </c>
      <c r="G1773" s="250" t="s">
        <v>883</v>
      </c>
      <c r="H1773" s="244" t="s">
        <v>2218</v>
      </c>
      <c r="I1773" s="8">
        <f>(D641)</f>
        <v>2.7</v>
      </c>
      <c r="J1773" s="2" t="s">
        <v>883</v>
      </c>
      <c r="K1773" s="6">
        <f t="shared" ref="K1773:K1778" si="67">(F1773*I1773)</f>
        <v>21.6</v>
      </c>
    </row>
    <row r="1774" spans="1:11" hidden="1">
      <c r="A1774" s="386"/>
      <c r="F1774" s="251">
        <v>8</v>
      </c>
      <c r="G1774" s="250" t="s">
        <v>883</v>
      </c>
      <c r="H1774" s="244" t="s">
        <v>467</v>
      </c>
      <c r="I1774" s="8">
        <f>(C647)</f>
        <v>6.4</v>
      </c>
      <c r="J1774" s="2" t="s">
        <v>883</v>
      </c>
      <c r="K1774" s="6">
        <f t="shared" si="67"/>
        <v>51.2</v>
      </c>
    </row>
    <row r="1775" spans="1:11" hidden="1">
      <c r="A1775" s="386"/>
      <c r="F1775" s="251">
        <v>3</v>
      </c>
      <c r="G1775" s="250" t="s">
        <v>883</v>
      </c>
      <c r="H1775" s="244" t="s">
        <v>1922</v>
      </c>
      <c r="I1775" s="8">
        <f>(C41)</f>
        <v>110</v>
      </c>
      <c r="J1775" s="2" t="s">
        <v>883</v>
      </c>
      <c r="K1775" s="6">
        <f t="shared" si="67"/>
        <v>330</v>
      </c>
    </row>
    <row r="1776" spans="1:11" hidden="1">
      <c r="A1776" s="386"/>
      <c r="F1776" s="251">
        <v>1</v>
      </c>
      <c r="G1776" s="250" t="s">
        <v>883</v>
      </c>
      <c r="H1776" s="244" t="s">
        <v>1440</v>
      </c>
      <c r="I1776" s="8">
        <f>(C10)</f>
        <v>150</v>
      </c>
      <c r="J1776" s="2" t="s">
        <v>883</v>
      </c>
      <c r="K1776" s="6">
        <f t="shared" si="67"/>
        <v>150</v>
      </c>
    </row>
    <row r="1777" spans="1:11" hidden="1">
      <c r="A1777" s="386"/>
      <c r="F1777" s="251">
        <v>2</v>
      </c>
      <c r="G1777" s="250" t="s">
        <v>883</v>
      </c>
      <c r="H1777" s="244" t="s">
        <v>1979</v>
      </c>
      <c r="I1777" s="8">
        <f>(C12)</f>
        <v>95</v>
      </c>
      <c r="J1777" s="2" t="s">
        <v>883</v>
      </c>
      <c r="K1777" s="6">
        <f t="shared" si="67"/>
        <v>190</v>
      </c>
    </row>
    <row r="1778" spans="1:11" hidden="1">
      <c r="A1778" s="386"/>
      <c r="F1778" s="251">
        <v>1</v>
      </c>
      <c r="G1778" s="250" t="s">
        <v>883</v>
      </c>
      <c r="H1778" s="244" t="s">
        <v>324</v>
      </c>
      <c r="I1778" s="8">
        <f>(C13)</f>
        <v>85</v>
      </c>
      <c r="J1778" s="2" t="s">
        <v>883</v>
      </c>
      <c r="K1778" s="6">
        <f t="shared" si="67"/>
        <v>85</v>
      </c>
    </row>
    <row r="1779" spans="1:11" hidden="1">
      <c r="A1779" s="386"/>
      <c r="G1779" s="250" t="s">
        <v>448</v>
      </c>
      <c r="H1779" s="244" t="s">
        <v>1441</v>
      </c>
      <c r="I1779" s="1" t="s">
        <v>995</v>
      </c>
      <c r="J1779" s="2" t="s">
        <v>448</v>
      </c>
      <c r="K1779" s="6">
        <v>5</v>
      </c>
    </row>
    <row r="1780" spans="1:11" hidden="1">
      <c r="A1780" s="386"/>
      <c r="H1780" s="244" t="s">
        <v>947</v>
      </c>
      <c r="I1780" s="1" t="s">
        <v>995</v>
      </c>
      <c r="J1780" s="4"/>
      <c r="K1780" s="6" t="s">
        <v>995</v>
      </c>
    </row>
    <row r="1781" spans="1:11" hidden="1">
      <c r="A1781" s="386"/>
      <c r="G1781" s="250" t="s">
        <v>448</v>
      </c>
      <c r="H1781" s="244" t="s">
        <v>449</v>
      </c>
      <c r="I1781"/>
      <c r="J1781" s="2" t="s">
        <v>448</v>
      </c>
      <c r="K1781" s="6">
        <v>0</v>
      </c>
    </row>
    <row r="1782" spans="1:11" hidden="1">
      <c r="A1782" s="386"/>
      <c r="I1782"/>
      <c r="J1782" s="4"/>
      <c r="K1782" s="6" t="s">
        <v>1667</v>
      </c>
    </row>
    <row r="1783" spans="1:11" hidden="1">
      <c r="A1783" s="386"/>
      <c r="H1783" s="244" t="s">
        <v>1927</v>
      </c>
      <c r="I1783"/>
      <c r="J1783" s="4"/>
      <c r="K1783" s="6">
        <f>SUM(K1771:K1781)</f>
        <v>922.8</v>
      </c>
    </row>
    <row r="1784" spans="1:11" hidden="1">
      <c r="A1784" s="386"/>
      <c r="I1784"/>
      <c r="J1784" s="4"/>
      <c r="K1784" s="6" t="s">
        <v>1667</v>
      </c>
    </row>
    <row r="1785" spans="1:11" hidden="1">
      <c r="A1785" s="386"/>
      <c r="H1785" s="244" t="s">
        <v>1622</v>
      </c>
      <c r="I1785"/>
      <c r="J1785" s="4"/>
      <c r="K1785" s="6">
        <f>(K1783/30)</f>
        <v>30.76</v>
      </c>
    </row>
    <row r="1786" spans="1:11" hidden="1">
      <c r="A1786" s="386"/>
      <c r="I1786"/>
      <c r="J1786" s="4"/>
      <c r="K1786" s="6" t="s">
        <v>1667</v>
      </c>
    </row>
    <row r="1787" spans="1:11" hidden="1">
      <c r="A1787" s="386"/>
      <c r="I1787"/>
      <c r="J1787" s="4"/>
      <c r="K1787" s="34"/>
    </row>
    <row r="1788" spans="1:11" hidden="1">
      <c r="A1788" s="386"/>
      <c r="F1788" s="393">
        <v>52</v>
      </c>
      <c r="G1788" s="250" t="s">
        <v>2338</v>
      </c>
      <c r="H1788" s="244" t="s">
        <v>102</v>
      </c>
      <c r="I1788"/>
      <c r="J1788" s="4"/>
      <c r="K1788" s="34"/>
    </row>
    <row r="1789" spans="1:11" hidden="1">
      <c r="A1789" s="386"/>
      <c r="H1789" s="244" t="s">
        <v>2244</v>
      </c>
      <c r="I1789"/>
      <c r="J1789" s="4"/>
      <c r="K1789" s="34"/>
    </row>
    <row r="1790" spans="1:11" hidden="1">
      <c r="A1790" s="386"/>
      <c r="H1790" s="244" t="s">
        <v>2245</v>
      </c>
      <c r="I1790"/>
      <c r="J1790" s="4"/>
      <c r="K1790" s="34"/>
    </row>
    <row r="1791" spans="1:11" hidden="1">
      <c r="A1791" s="386"/>
      <c r="H1791" s="244" t="s">
        <v>1466</v>
      </c>
      <c r="I1791"/>
      <c r="J1791" s="4"/>
      <c r="K1791" s="34"/>
    </row>
    <row r="1792" spans="1:11" hidden="1">
      <c r="A1792" s="386"/>
      <c r="H1792" s="244" t="s">
        <v>1467</v>
      </c>
      <c r="I1792"/>
      <c r="J1792" s="4"/>
      <c r="K1792" s="34"/>
    </row>
    <row r="1793" spans="1:11" hidden="1">
      <c r="A1793" s="386"/>
      <c r="H1793" s="244" t="s">
        <v>1412</v>
      </c>
      <c r="I1793"/>
      <c r="J1793" s="4"/>
      <c r="K1793" s="34"/>
    </row>
    <row r="1794" spans="1:11" hidden="1">
      <c r="A1794" s="386"/>
      <c r="H1794" s="244" t="s">
        <v>1413</v>
      </c>
      <c r="I1794"/>
      <c r="J1794" s="4"/>
      <c r="K1794" s="34"/>
    </row>
    <row r="1795" spans="1:11" hidden="1">
      <c r="A1795" s="386"/>
      <c r="H1795" s="244" t="s">
        <v>718</v>
      </c>
      <c r="I1795"/>
      <c r="J1795" s="4"/>
      <c r="K1795" s="34"/>
    </row>
    <row r="1796" spans="1:11" hidden="1">
      <c r="A1796" s="386"/>
      <c r="H1796" s="248" t="s">
        <v>2130</v>
      </c>
      <c r="I1796" s="5" t="s">
        <v>2130</v>
      </c>
      <c r="J1796" s="4"/>
      <c r="K1796" s="34"/>
    </row>
    <row r="1797" spans="1:11" hidden="1">
      <c r="A1797" s="386"/>
      <c r="G1797" s="250" t="s">
        <v>2338</v>
      </c>
      <c r="H1797" s="244" t="s">
        <v>934</v>
      </c>
      <c r="I1797"/>
      <c r="J1797" s="4"/>
      <c r="K1797" s="34"/>
    </row>
    <row r="1798" spans="1:11" hidden="1">
      <c r="A1798" s="386"/>
      <c r="H1798" s="244" t="s">
        <v>822</v>
      </c>
      <c r="I1798"/>
      <c r="J1798" s="4"/>
      <c r="K1798" s="34"/>
    </row>
    <row r="1799" spans="1:11" hidden="1">
      <c r="A1799" s="386"/>
      <c r="G1799" s="250" t="s">
        <v>321</v>
      </c>
      <c r="H1799" s="244" t="s">
        <v>823</v>
      </c>
      <c r="I1799"/>
      <c r="J1799" s="4"/>
      <c r="K1799" s="34"/>
    </row>
    <row r="1800" spans="1:11" hidden="1">
      <c r="A1800" s="386"/>
      <c r="H1800" s="248" t="s">
        <v>1667</v>
      </c>
      <c r="I1800"/>
      <c r="J1800" s="4"/>
      <c r="K1800" s="34"/>
    </row>
    <row r="1801" spans="1:11" hidden="1">
      <c r="A1801" s="386"/>
      <c r="F1801" s="251">
        <v>1</v>
      </c>
      <c r="G1801" s="250" t="s">
        <v>840</v>
      </c>
      <c r="H1801" s="244" t="s">
        <v>622</v>
      </c>
      <c r="I1801" s="8">
        <f>C509</f>
        <v>32.9</v>
      </c>
      <c r="J1801" s="2" t="s">
        <v>840</v>
      </c>
      <c r="K1801" s="6">
        <f>(F1801*I1801)</f>
        <v>32.9</v>
      </c>
    </row>
    <row r="1802" spans="1:11" hidden="1">
      <c r="A1802" s="386"/>
      <c r="F1802" s="251">
        <v>1</v>
      </c>
      <c r="G1802" s="250" t="s">
        <v>448</v>
      </c>
      <c r="H1802" s="244" t="s">
        <v>1881</v>
      </c>
      <c r="I1802" s="8">
        <f>I1801*0.7</f>
        <v>23.03</v>
      </c>
      <c r="J1802" s="2" t="s">
        <v>448</v>
      </c>
      <c r="K1802" s="6">
        <f>(F1802*I1802)</f>
        <v>23.03</v>
      </c>
    </row>
    <row r="1803" spans="1:11" hidden="1">
      <c r="A1803" s="386"/>
      <c r="F1803" s="251">
        <v>1</v>
      </c>
      <c r="G1803" s="250" t="s">
        <v>840</v>
      </c>
      <c r="H1803" s="244" t="s">
        <v>167</v>
      </c>
      <c r="I1803" s="8">
        <f>K1749</f>
        <v>29.77</v>
      </c>
      <c r="J1803" s="2" t="s">
        <v>840</v>
      </c>
      <c r="K1803" s="6">
        <f>(F1803*I1803)</f>
        <v>29.77</v>
      </c>
    </row>
    <row r="1804" spans="1:11" hidden="1">
      <c r="A1804" s="386"/>
      <c r="I1804" s="1" t="s">
        <v>995</v>
      </c>
      <c r="J1804" s="4"/>
      <c r="K1804" s="6" t="s">
        <v>1667</v>
      </c>
    </row>
    <row r="1805" spans="1:11" hidden="1">
      <c r="A1805" s="386"/>
      <c r="H1805" s="244" t="s">
        <v>379</v>
      </c>
      <c r="I1805"/>
      <c r="J1805" s="4"/>
      <c r="K1805" s="6">
        <f>SUM(K1801:K1803)</f>
        <v>85.7</v>
      </c>
    </row>
    <row r="1806" spans="1:11" hidden="1">
      <c r="A1806" s="386"/>
      <c r="H1806" s="244" t="s">
        <v>995</v>
      </c>
      <c r="I1806" s="1" t="s">
        <v>995</v>
      </c>
      <c r="J1806" s="4"/>
      <c r="K1806" s="6" t="s">
        <v>2130</v>
      </c>
    </row>
    <row r="1807" spans="1:11" hidden="1">
      <c r="A1807" s="386"/>
      <c r="G1807" s="250" t="s">
        <v>519</v>
      </c>
      <c r="H1807" s="244" t="s">
        <v>754</v>
      </c>
      <c r="I1807"/>
      <c r="J1807" s="4"/>
      <c r="K1807" s="34"/>
    </row>
    <row r="1808" spans="1:11" hidden="1">
      <c r="A1808" s="386"/>
      <c r="H1808" s="248" t="s">
        <v>1667</v>
      </c>
      <c r="I1808"/>
      <c r="J1808" s="4"/>
      <c r="K1808" s="34"/>
    </row>
    <row r="1809" spans="1:11" hidden="1">
      <c r="A1809" s="386"/>
      <c r="F1809" s="251">
        <v>1</v>
      </c>
      <c r="G1809" s="250" t="s">
        <v>840</v>
      </c>
      <c r="H1809" s="244" t="s">
        <v>755</v>
      </c>
      <c r="I1809" s="8">
        <f>C510</f>
        <v>48.8</v>
      </c>
      <c r="J1809" s="2" t="s">
        <v>840</v>
      </c>
      <c r="K1809" s="6">
        <f>(F1809*I1809)</f>
        <v>48.8</v>
      </c>
    </row>
    <row r="1810" spans="1:11" hidden="1">
      <c r="A1810" s="386"/>
      <c r="F1810" s="251">
        <v>1</v>
      </c>
      <c r="G1810" s="250" t="s">
        <v>448</v>
      </c>
      <c r="H1810" s="244" t="s">
        <v>909</v>
      </c>
      <c r="I1810" s="8">
        <f>I1809*0.4</f>
        <v>19.52</v>
      </c>
      <c r="J1810" s="2" t="s">
        <v>448</v>
      </c>
      <c r="K1810" s="6">
        <f>(F1810*I1810)</f>
        <v>19.52</v>
      </c>
    </row>
    <row r="1811" spans="1:11" hidden="1">
      <c r="A1811" s="386"/>
      <c r="F1811" s="251">
        <v>1</v>
      </c>
      <c r="G1811" s="250" t="s">
        <v>840</v>
      </c>
      <c r="H1811" s="244" t="s">
        <v>167</v>
      </c>
      <c r="I1811" s="8">
        <f>K1767</f>
        <v>29.77</v>
      </c>
      <c r="J1811" s="2" t="s">
        <v>840</v>
      </c>
      <c r="K1811" s="6">
        <f>(F1811*I1811)</f>
        <v>29.77</v>
      </c>
    </row>
    <row r="1812" spans="1:11" hidden="1">
      <c r="A1812" s="386"/>
      <c r="I1812" s="1" t="s">
        <v>995</v>
      </c>
      <c r="J1812" s="4"/>
      <c r="K1812" s="6" t="s">
        <v>1667</v>
      </c>
    </row>
    <row r="1813" spans="1:11" hidden="1">
      <c r="A1813" s="386"/>
      <c r="H1813" s="244" t="s">
        <v>379</v>
      </c>
      <c r="I1813"/>
      <c r="J1813" s="4"/>
      <c r="K1813" s="6">
        <f>SUM(K1809:K1811)</f>
        <v>98.09</v>
      </c>
    </row>
    <row r="1814" spans="1:11" hidden="1">
      <c r="A1814" s="386"/>
      <c r="I1814" s="1" t="s">
        <v>995</v>
      </c>
      <c r="J1814" s="4"/>
      <c r="K1814" s="6" t="s">
        <v>2130</v>
      </c>
    </row>
    <row r="1815" spans="1:11" hidden="1">
      <c r="A1815" s="386"/>
      <c r="G1815" s="250" t="s">
        <v>1981</v>
      </c>
      <c r="H1815" s="244" t="s">
        <v>377</v>
      </c>
      <c r="I1815"/>
      <c r="J1815" s="4"/>
      <c r="K1815" s="34"/>
    </row>
    <row r="1816" spans="1:11" hidden="1">
      <c r="A1816" s="386"/>
      <c r="H1816" s="248" t="s">
        <v>1667</v>
      </c>
      <c r="I1816"/>
      <c r="J1816" s="4"/>
      <c r="K1816" s="34"/>
    </row>
    <row r="1817" spans="1:11" hidden="1">
      <c r="A1817" s="386"/>
      <c r="F1817" s="251">
        <v>1</v>
      </c>
      <c r="G1817" s="250" t="s">
        <v>840</v>
      </c>
      <c r="H1817" s="244" t="s">
        <v>1757</v>
      </c>
      <c r="I1817" s="8">
        <f>C511</f>
        <v>65.7</v>
      </c>
      <c r="J1817" s="2" t="s">
        <v>840</v>
      </c>
      <c r="K1817" s="6">
        <f>(F1817*I1817)</f>
        <v>65.7</v>
      </c>
    </row>
    <row r="1818" spans="1:11" hidden="1">
      <c r="A1818" s="386"/>
      <c r="F1818" s="251">
        <v>1</v>
      </c>
      <c r="G1818" s="250" t="s">
        <v>448</v>
      </c>
      <c r="H1818" s="244" t="s">
        <v>1758</v>
      </c>
      <c r="I1818" s="8">
        <f>I1817*0.2</f>
        <v>13.14</v>
      </c>
      <c r="J1818" s="2" t="s">
        <v>448</v>
      </c>
      <c r="K1818" s="6">
        <f>(F1818*I1818)</f>
        <v>13.14</v>
      </c>
    </row>
    <row r="1819" spans="1:11" hidden="1">
      <c r="A1819" s="386"/>
      <c r="F1819" s="251">
        <v>1</v>
      </c>
      <c r="G1819" s="250" t="s">
        <v>840</v>
      </c>
      <c r="H1819" s="244" t="s">
        <v>167</v>
      </c>
      <c r="I1819" s="8">
        <f>K1785</f>
        <v>30.76</v>
      </c>
      <c r="J1819" s="2" t="s">
        <v>840</v>
      </c>
      <c r="K1819" s="6">
        <f>(F1819*I1819)</f>
        <v>30.76</v>
      </c>
    </row>
    <row r="1820" spans="1:11" hidden="1">
      <c r="A1820" s="386"/>
      <c r="I1820" s="1" t="s">
        <v>995</v>
      </c>
      <c r="J1820" s="4"/>
      <c r="K1820" s="6" t="s">
        <v>1667</v>
      </c>
    </row>
    <row r="1821" spans="1:11" hidden="1">
      <c r="A1821" s="386"/>
      <c r="H1821" s="244" t="s">
        <v>379</v>
      </c>
      <c r="I1821"/>
      <c r="J1821" s="4"/>
      <c r="K1821" s="6">
        <f>SUM(K1817:K1819)</f>
        <v>109.6</v>
      </c>
    </row>
    <row r="1822" spans="1:11" hidden="1">
      <c r="A1822" s="386"/>
      <c r="I1822" s="1" t="s">
        <v>995</v>
      </c>
      <c r="J1822" s="4"/>
      <c r="K1822" s="6" t="s">
        <v>2130</v>
      </c>
    </row>
    <row r="1823" spans="1:11" hidden="1">
      <c r="A1823" s="386"/>
      <c r="I1823" s="1"/>
      <c r="J1823" s="4"/>
      <c r="K1823" s="6"/>
    </row>
    <row r="1824" spans="1:11" ht="31.5" hidden="1">
      <c r="A1824" s="386"/>
      <c r="F1824" s="372">
        <v>52.1</v>
      </c>
      <c r="H1824" s="394" t="s">
        <v>2277</v>
      </c>
      <c r="I1824" s="1"/>
      <c r="J1824" s="4"/>
      <c r="K1824" s="6"/>
    </row>
    <row r="1825" spans="1:11" hidden="1">
      <c r="A1825" s="386"/>
      <c r="I1825" s="1"/>
      <c r="J1825" s="4"/>
      <c r="K1825" s="6"/>
    </row>
    <row r="1826" spans="1:11" hidden="1">
      <c r="A1826" s="386"/>
      <c r="F1826" s="354"/>
      <c r="G1826" s="250"/>
      <c r="H1826" s="244" t="s">
        <v>2124</v>
      </c>
      <c r="I1826" s="1"/>
      <c r="J1826" s="4"/>
      <c r="K1826" s="6"/>
    </row>
    <row r="1827" spans="1:11" hidden="1">
      <c r="A1827" s="386"/>
      <c r="G1827" s="250"/>
      <c r="H1827" s="244" t="s">
        <v>2278</v>
      </c>
      <c r="I1827" s="1"/>
      <c r="J1827" s="4"/>
      <c r="K1827" s="6"/>
    </row>
    <row r="1828" spans="1:11" hidden="1">
      <c r="A1828" s="386"/>
      <c r="H1828" s="248" t="s">
        <v>1667</v>
      </c>
      <c r="I1828" s="1"/>
      <c r="J1828" s="4"/>
      <c r="K1828" s="6"/>
    </row>
    <row r="1829" spans="1:11" hidden="1">
      <c r="A1829" s="386"/>
      <c r="F1829" s="251">
        <v>30</v>
      </c>
      <c r="G1829" s="250" t="s">
        <v>1854</v>
      </c>
      <c r="H1829" s="244" t="s">
        <v>153</v>
      </c>
      <c r="I1829" s="6">
        <f>E639</f>
        <v>5</v>
      </c>
      <c r="J1829" s="2" t="s">
        <v>1854</v>
      </c>
      <c r="K1829" s="6">
        <f t="shared" ref="K1829:K1835" si="68">(F1829*I1829)</f>
        <v>150</v>
      </c>
    </row>
    <row r="1830" spans="1:11" hidden="1">
      <c r="A1830" s="386"/>
      <c r="F1830" s="251">
        <v>8</v>
      </c>
      <c r="G1830" s="250" t="s">
        <v>883</v>
      </c>
      <c r="H1830" s="244" t="s">
        <v>2218</v>
      </c>
      <c r="I1830" s="6">
        <f>I1737</f>
        <v>2.2000000000000002</v>
      </c>
      <c r="J1830" s="2" t="s">
        <v>883</v>
      </c>
      <c r="K1830" s="6">
        <f t="shared" si="68"/>
        <v>17.600000000000001</v>
      </c>
    </row>
    <row r="1831" spans="1:11" hidden="1">
      <c r="A1831" s="386"/>
      <c r="F1831" s="251">
        <v>8</v>
      </c>
      <c r="G1831" s="250" t="s">
        <v>883</v>
      </c>
      <c r="H1831" s="244" t="s">
        <v>467</v>
      </c>
      <c r="I1831" s="6">
        <f>I1738</f>
        <v>3.2</v>
      </c>
      <c r="J1831" s="2" t="s">
        <v>883</v>
      </c>
      <c r="K1831" s="6">
        <f t="shared" si="68"/>
        <v>25.6</v>
      </c>
    </row>
    <row r="1832" spans="1:11" hidden="1">
      <c r="A1832" s="386"/>
      <c r="F1832" s="251">
        <v>3</v>
      </c>
      <c r="G1832" s="250" t="s">
        <v>883</v>
      </c>
      <c r="H1832" s="244" t="s">
        <v>1922</v>
      </c>
      <c r="I1832" s="6">
        <f>C41</f>
        <v>110</v>
      </c>
      <c r="J1832" s="2" t="s">
        <v>883</v>
      </c>
      <c r="K1832" s="6">
        <f t="shared" si="68"/>
        <v>330</v>
      </c>
    </row>
    <row r="1833" spans="1:11" hidden="1">
      <c r="A1833" s="386"/>
      <c r="F1833" s="251">
        <v>1</v>
      </c>
      <c r="G1833" s="250" t="s">
        <v>883</v>
      </c>
      <c r="H1833" s="244" t="s">
        <v>1440</v>
      </c>
      <c r="I1833" s="6">
        <f>C10</f>
        <v>150</v>
      </c>
      <c r="J1833" s="2" t="s">
        <v>883</v>
      </c>
      <c r="K1833" s="6">
        <f t="shared" si="68"/>
        <v>150</v>
      </c>
    </row>
    <row r="1834" spans="1:11" hidden="1">
      <c r="A1834" s="386"/>
      <c r="F1834" s="251">
        <v>2</v>
      </c>
      <c r="G1834" s="250" t="s">
        <v>883</v>
      </c>
      <c r="H1834" s="244" t="s">
        <v>1979</v>
      </c>
      <c r="I1834" s="6">
        <f>C12</f>
        <v>95</v>
      </c>
      <c r="J1834" s="2" t="s">
        <v>883</v>
      </c>
      <c r="K1834" s="6">
        <f t="shared" si="68"/>
        <v>190</v>
      </c>
    </row>
    <row r="1835" spans="1:11" hidden="1">
      <c r="A1835" s="386"/>
      <c r="F1835" s="251">
        <v>1</v>
      </c>
      <c r="G1835" s="250" t="s">
        <v>883</v>
      </c>
      <c r="H1835" s="244" t="s">
        <v>324</v>
      </c>
      <c r="I1835" s="6">
        <f>C13</f>
        <v>85</v>
      </c>
      <c r="J1835" s="2" t="s">
        <v>883</v>
      </c>
      <c r="K1835" s="6">
        <f t="shared" si="68"/>
        <v>85</v>
      </c>
    </row>
    <row r="1836" spans="1:11" hidden="1">
      <c r="A1836" s="386"/>
      <c r="I1836"/>
      <c r="J1836" s="4"/>
      <c r="K1836" s="6" t="s">
        <v>1667</v>
      </c>
    </row>
    <row r="1837" spans="1:11" hidden="1">
      <c r="A1837" s="386"/>
      <c r="H1837" s="244" t="s">
        <v>1927</v>
      </c>
      <c r="I1837"/>
      <c r="J1837" s="4"/>
      <c r="K1837" s="6">
        <f>SUM(K1829:K1835)</f>
        <v>948.2</v>
      </c>
    </row>
    <row r="1838" spans="1:11" hidden="1">
      <c r="A1838" s="386"/>
      <c r="I1838"/>
      <c r="J1838" s="4"/>
      <c r="K1838" s="6" t="s">
        <v>1667</v>
      </c>
    </row>
    <row r="1839" spans="1:11" hidden="1">
      <c r="A1839" s="386"/>
      <c r="H1839" s="244" t="s">
        <v>1622</v>
      </c>
      <c r="I1839"/>
      <c r="J1839" s="4"/>
      <c r="K1839" s="6">
        <f>(K1837/30)</f>
        <v>31.61</v>
      </c>
    </row>
    <row r="1840" spans="1:11" hidden="1">
      <c r="A1840" s="386"/>
      <c r="I1840"/>
      <c r="J1840" s="4"/>
      <c r="K1840" s="6" t="s">
        <v>1667</v>
      </c>
    </row>
    <row r="1841" spans="1:11" hidden="1">
      <c r="A1841" s="386"/>
      <c r="I1841" s="1"/>
      <c r="J1841" s="4"/>
      <c r="K1841" s="6"/>
    </row>
    <row r="1842" spans="1:11" hidden="1">
      <c r="A1842" s="386"/>
      <c r="H1842" s="245" t="s">
        <v>342</v>
      </c>
      <c r="I1842" s="1"/>
      <c r="J1842" s="4"/>
      <c r="K1842" s="6"/>
    </row>
    <row r="1843" spans="1:11" hidden="1">
      <c r="A1843" s="386"/>
      <c r="H1843" s="248" t="s">
        <v>1667</v>
      </c>
      <c r="I1843" s="1"/>
      <c r="J1843" s="4"/>
      <c r="K1843" s="6"/>
    </row>
    <row r="1844" spans="1:11" hidden="1">
      <c r="A1844" s="386"/>
      <c r="F1844" s="251">
        <v>1</v>
      </c>
      <c r="G1844" s="250" t="s">
        <v>840</v>
      </c>
      <c r="H1844" s="244" t="s">
        <v>343</v>
      </c>
      <c r="I1844" s="6">
        <f>E509</f>
        <v>70</v>
      </c>
      <c r="J1844" s="2" t="s">
        <v>840</v>
      </c>
      <c r="K1844" s="6">
        <f>(F1844*I1844)</f>
        <v>70</v>
      </c>
    </row>
    <row r="1845" spans="1:11" hidden="1">
      <c r="A1845" s="386"/>
      <c r="F1845" s="251">
        <v>1</v>
      </c>
      <c r="G1845" s="250" t="s">
        <v>448</v>
      </c>
      <c r="H1845" s="244" t="s">
        <v>344</v>
      </c>
      <c r="I1845" s="6">
        <f>I1844*0.2</f>
        <v>14</v>
      </c>
      <c r="J1845" s="2" t="s">
        <v>448</v>
      </c>
      <c r="K1845" s="6">
        <f>(F1845*I1845)</f>
        <v>14</v>
      </c>
    </row>
    <row r="1846" spans="1:11" hidden="1">
      <c r="A1846" s="386"/>
      <c r="F1846" s="251">
        <v>1</v>
      </c>
      <c r="G1846" s="250" t="s">
        <v>840</v>
      </c>
      <c r="H1846" s="244" t="s">
        <v>167</v>
      </c>
      <c r="I1846" s="6">
        <f>K1839</f>
        <v>31.61</v>
      </c>
      <c r="J1846" s="2" t="s">
        <v>840</v>
      </c>
      <c r="K1846" s="6">
        <f>(F1846*I1846)</f>
        <v>31.61</v>
      </c>
    </row>
    <row r="1847" spans="1:11" ht="31.5" hidden="1">
      <c r="A1847" s="386"/>
      <c r="F1847" s="251"/>
      <c r="G1847" s="250"/>
      <c r="H1847" s="368" t="s">
        <v>1116</v>
      </c>
      <c r="I1847" s="6"/>
      <c r="J1847" s="2" t="s">
        <v>448</v>
      </c>
      <c r="K1847" s="6">
        <v>1.25</v>
      </c>
    </row>
    <row r="1848" spans="1:11" hidden="1">
      <c r="A1848" s="386"/>
      <c r="I1848" s="1"/>
      <c r="J1848" s="4"/>
      <c r="K1848" s="6" t="s">
        <v>1667</v>
      </c>
    </row>
    <row r="1849" spans="1:11" hidden="1">
      <c r="A1849" s="386"/>
      <c r="H1849" s="244" t="s">
        <v>379</v>
      </c>
      <c r="I1849" s="1"/>
      <c r="J1849" s="4"/>
      <c r="K1849" s="6">
        <f>SUM(K1844:K1847)</f>
        <v>116.86</v>
      </c>
    </row>
    <row r="1850" spans="1:11" hidden="1">
      <c r="A1850" s="386"/>
      <c r="I1850" s="1"/>
      <c r="J1850" s="4"/>
      <c r="K1850" s="6" t="s">
        <v>2130</v>
      </c>
    </row>
    <row r="1851" spans="1:11" hidden="1">
      <c r="A1851" s="386"/>
      <c r="I1851" s="1"/>
      <c r="J1851" s="4"/>
      <c r="K1851" s="6"/>
    </row>
    <row r="1852" spans="1:11" hidden="1">
      <c r="A1852" s="386"/>
      <c r="I1852" s="1"/>
      <c r="J1852" s="4"/>
      <c r="K1852" s="6"/>
    </row>
    <row r="1853" spans="1:11" hidden="1">
      <c r="A1853" s="386"/>
      <c r="F1853" s="364">
        <v>53.1</v>
      </c>
      <c r="G1853" s="250" t="s">
        <v>2338</v>
      </c>
      <c r="H1853" s="244" t="s">
        <v>2299</v>
      </c>
      <c r="I1853"/>
      <c r="J1853" s="4"/>
      <c r="K1853" s="34"/>
    </row>
    <row r="1854" spans="1:11" hidden="1">
      <c r="A1854" s="386"/>
      <c r="H1854" s="366" t="s">
        <v>1511</v>
      </c>
      <c r="I1854"/>
      <c r="J1854" s="4"/>
      <c r="K1854" s="34"/>
    </row>
    <row r="1855" spans="1:11" hidden="1">
      <c r="A1855" s="386"/>
      <c r="H1855" s="244" t="s">
        <v>1189</v>
      </c>
      <c r="I1855"/>
      <c r="J1855" s="4"/>
      <c r="K1855" s="34"/>
    </row>
    <row r="1856" spans="1:11" hidden="1">
      <c r="A1856" s="386"/>
      <c r="H1856" s="244" t="s">
        <v>1190</v>
      </c>
      <c r="I1856"/>
      <c r="J1856" s="4"/>
      <c r="K1856" s="34"/>
    </row>
    <row r="1857" spans="1:11" hidden="1">
      <c r="A1857" s="386"/>
      <c r="H1857" s="248" t="s">
        <v>1667</v>
      </c>
      <c r="I1857"/>
      <c r="J1857" s="4"/>
      <c r="K1857" s="34"/>
    </row>
    <row r="1858" spans="1:11" ht="57" hidden="1" customHeight="1">
      <c r="A1858" s="386"/>
      <c r="F1858" s="395">
        <v>1</v>
      </c>
      <c r="G1858" s="395" t="s">
        <v>883</v>
      </c>
      <c r="H1858" s="368" t="s">
        <v>2791</v>
      </c>
      <c r="I1858" s="23">
        <f>(C595)</f>
        <v>1050</v>
      </c>
      <c r="J1858" s="23" t="s">
        <v>883</v>
      </c>
      <c r="K1858" s="553">
        <f>(F1858*I1858)</f>
        <v>1050</v>
      </c>
    </row>
    <row r="1859" spans="1:11" hidden="1">
      <c r="A1859" s="386"/>
      <c r="F1859" s="251"/>
      <c r="G1859" s="250"/>
      <c r="H1859" s="244"/>
      <c r="I1859" s="8"/>
      <c r="J1859" s="2"/>
      <c r="K1859" s="6"/>
    </row>
    <row r="1860" spans="1:11" hidden="1">
      <c r="A1860" s="386"/>
      <c r="F1860" s="251"/>
      <c r="G1860" s="250"/>
      <c r="H1860" s="244"/>
      <c r="I1860" s="8"/>
      <c r="J1860" s="2"/>
      <c r="K1860" s="6"/>
    </row>
    <row r="1861" spans="1:11" hidden="1">
      <c r="A1861" s="386"/>
      <c r="F1861" s="251"/>
      <c r="G1861" s="250"/>
      <c r="H1861" s="244"/>
      <c r="I1861" s="8"/>
      <c r="J1861" s="2"/>
      <c r="K1861" s="6"/>
    </row>
    <row r="1862" spans="1:11" hidden="1">
      <c r="A1862" s="386"/>
      <c r="F1862" s="251"/>
      <c r="G1862" s="250"/>
      <c r="H1862" s="244"/>
      <c r="I1862" s="8"/>
      <c r="J1862" s="2"/>
      <c r="K1862" s="6"/>
    </row>
    <row r="1863" spans="1:11" hidden="1">
      <c r="A1863" s="386"/>
      <c r="F1863" s="251"/>
      <c r="G1863" s="250"/>
      <c r="H1863" s="244"/>
      <c r="I1863" s="8"/>
      <c r="J1863" s="2"/>
      <c r="K1863" s="6"/>
    </row>
    <row r="1864" spans="1:11" hidden="1">
      <c r="A1864" s="386"/>
      <c r="F1864" s="251"/>
      <c r="G1864" s="250"/>
      <c r="H1864" s="244"/>
      <c r="I1864" s="8"/>
      <c r="J1864" s="2"/>
      <c r="K1864" s="6"/>
    </row>
    <row r="1865" spans="1:11" hidden="1">
      <c r="A1865" s="386"/>
      <c r="F1865" s="251">
        <v>0.5</v>
      </c>
      <c r="G1865" s="250" t="s">
        <v>883</v>
      </c>
      <c r="H1865" s="244" t="s">
        <v>2176</v>
      </c>
      <c r="I1865" s="8">
        <f>(C15)</f>
        <v>130</v>
      </c>
      <c r="J1865" s="2" t="s">
        <v>883</v>
      </c>
      <c r="K1865" s="6">
        <f>(F1865*I1865)</f>
        <v>65</v>
      </c>
    </row>
    <row r="1866" spans="1:11" hidden="1">
      <c r="A1866" s="386"/>
      <c r="F1866" s="251">
        <v>1</v>
      </c>
      <c r="G1866" s="250" t="s">
        <v>883</v>
      </c>
      <c r="H1866" s="244" t="s">
        <v>1979</v>
      </c>
      <c r="I1866" s="8">
        <f>(C12)</f>
        <v>95</v>
      </c>
      <c r="J1866" s="2" t="s">
        <v>883</v>
      </c>
      <c r="K1866" s="6">
        <f>(F1866*I1866)</f>
        <v>95</v>
      </c>
    </row>
    <row r="1867" spans="1:11" hidden="1">
      <c r="A1867" s="386"/>
      <c r="F1867" s="251">
        <v>0.5</v>
      </c>
      <c r="G1867" s="250" t="s">
        <v>883</v>
      </c>
      <c r="H1867" s="244" t="s">
        <v>2082</v>
      </c>
      <c r="I1867" s="8">
        <f>(C10)</f>
        <v>150</v>
      </c>
      <c r="J1867" s="2" t="s">
        <v>883</v>
      </c>
      <c r="K1867" s="6">
        <f>(F1867*I1867)</f>
        <v>75</v>
      </c>
    </row>
    <row r="1868" spans="1:11" hidden="1">
      <c r="A1868" s="386"/>
      <c r="G1868" s="250" t="s">
        <v>448</v>
      </c>
      <c r="H1868" s="244" t="s">
        <v>1191</v>
      </c>
      <c r="I1868"/>
      <c r="J1868" s="2" t="s">
        <v>448</v>
      </c>
      <c r="K1868" s="6">
        <v>0.5</v>
      </c>
    </row>
    <row r="1869" spans="1:11" hidden="1">
      <c r="A1869" s="386"/>
      <c r="I1869"/>
      <c r="J1869" s="4"/>
      <c r="K1869" s="6" t="s">
        <v>1667</v>
      </c>
    </row>
    <row r="1870" spans="1:11" hidden="1">
      <c r="A1870" s="386"/>
      <c r="H1870" s="244" t="s">
        <v>1834</v>
      </c>
      <c r="I1870"/>
      <c r="J1870" s="4"/>
      <c r="K1870" s="6">
        <f>SUM(K1858:K1868)</f>
        <v>1285.5</v>
      </c>
    </row>
    <row r="1871" spans="1:11" hidden="1">
      <c r="A1871" s="386"/>
      <c r="I1871"/>
      <c r="J1871" s="4"/>
      <c r="K1871" s="6" t="s">
        <v>1667</v>
      </c>
    </row>
    <row r="1872" spans="1:11" hidden="1">
      <c r="A1872" s="386"/>
      <c r="F1872" s="354" t="s">
        <v>1462</v>
      </c>
      <c r="H1872" s="244" t="s">
        <v>1463</v>
      </c>
      <c r="I1872"/>
      <c r="J1872" s="4"/>
      <c r="K1872" s="6" t="s">
        <v>2792</v>
      </c>
    </row>
    <row r="1873" spans="1:11" hidden="1">
      <c r="A1873" s="386"/>
      <c r="I1873"/>
      <c r="J1873" s="4"/>
      <c r="K1873" s="34"/>
    </row>
    <row r="1874" spans="1:11" hidden="1">
      <c r="A1874" s="386"/>
      <c r="F1874" s="354" t="s">
        <v>1464</v>
      </c>
      <c r="H1874" s="244" t="s">
        <v>2793</v>
      </c>
      <c r="I1874"/>
      <c r="J1874" s="4"/>
      <c r="K1874" s="6" t="s">
        <v>2794</v>
      </c>
    </row>
    <row r="1875" spans="1:11" hidden="1">
      <c r="A1875" s="386"/>
      <c r="F1875" s="354"/>
      <c r="H1875" s="244"/>
      <c r="I1875"/>
      <c r="J1875" s="4"/>
      <c r="K1875" s="6"/>
    </row>
    <row r="1876" spans="1:11" hidden="1">
      <c r="A1876" s="386"/>
      <c r="F1876" s="360">
        <v>54</v>
      </c>
      <c r="G1876" s="250" t="s">
        <v>2338</v>
      </c>
      <c r="H1876" s="244" t="s">
        <v>1186</v>
      </c>
      <c r="I1876"/>
      <c r="J1876" s="2" t="s">
        <v>1458</v>
      </c>
      <c r="K1876" s="6">
        <v>140</v>
      </c>
    </row>
    <row r="1877" spans="1:11" hidden="1">
      <c r="A1877" s="386"/>
      <c r="I1877"/>
      <c r="J1877" s="4"/>
      <c r="K1877" s="6" t="s">
        <v>2130</v>
      </c>
    </row>
    <row r="1878" spans="1:11" hidden="1">
      <c r="A1878" s="386"/>
      <c r="I1878"/>
      <c r="J1878" s="4"/>
      <c r="K1878" s="34"/>
    </row>
    <row r="1879" spans="1:11" hidden="1">
      <c r="A1879" s="386"/>
      <c r="F1879" s="364">
        <v>54.1</v>
      </c>
      <c r="G1879" s="250" t="s">
        <v>2338</v>
      </c>
      <c r="H1879" s="244" t="s">
        <v>1352</v>
      </c>
      <c r="I1879"/>
      <c r="J1879" s="2" t="s">
        <v>1458</v>
      </c>
      <c r="K1879" s="6">
        <v>240</v>
      </c>
    </row>
    <row r="1880" spans="1:11" hidden="1">
      <c r="A1880" s="386"/>
      <c r="I1880"/>
      <c r="J1880" s="4"/>
      <c r="K1880" s="6" t="s">
        <v>2130</v>
      </c>
    </row>
    <row r="1881" spans="1:11" hidden="1">
      <c r="A1881" s="386"/>
      <c r="I1881"/>
      <c r="J1881" s="4"/>
      <c r="K1881" s="34"/>
    </row>
    <row r="1882" spans="1:11" hidden="1">
      <c r="A1882" s="386"/>
      <c r="F1882" s="364">
        <v>54.2</v>
      </c>
      <c r="G1882" s="250" t="s">
        <v>2338</v>
      </c>
      <c r="H1882" s="244" t="s">
        <v>953</v>
      </c>
      <c r="I1882"/>
      <c r="J1882" s="2" t="s">
        <v>1458</v>
      </c>
      <c r="K1882" s="6">
        <v>270</v>
      </c>
    </row>
    <row r="1883" spans="1:11" hidden="1">
      <c r="A1883" s="386"/>
      <c r="I1883"/>
      <c r="J1883" s="4"/>
      <c r="K1883" s="6" t="s">
        <v>2130</v>
      </c>
    </row>
    <row r="1884" spans="1:11" hidden="1">
      <c r="A1884" s="386"/>
      <c r="I1884"/>
      <c r="J1884" s="4"/>
      <c r="K1884" s="34"/>
    </row>
    <row r="1885" spans="1:11" hidden="1">
      <c r="A1885" s="386"/>
      <c r="F1885" s="354" t="s">
        <v>1187</v>
      </c>
      <c r="G1885" s="250" t="s">
        <v>2338</v>
      </c>
      <c r="H1885" s="244" t="s">
        <v>85</v>
      </c>
      <c r="I1885"/>
      <c r="J1885" s="4"/>
      <c r="K1885" s="34"/>
    </row>
    <row r="1886" spans="1:11" hidden="1">
      <c r="A1886" s="386"/>
      <c r="H1886" s="244" t="s">
        <v>1139</v>
      </c>
      <c r="I1886"/>
      <c r="J1886" s="4"/>
      <c r="K1886" s="34"/>
    </row>
    <row r="1887" spans="1:11" hidden="1">
      <c r="A1887" s="386"/>
      <c r="H1887" s="244" t="s">
        <v>1140</v>
      </c>
      <c r="I1887"/>
      <c r="J1887" s="4"/>
      <c r="K1887" s="34"/>
    </row>
    <row r="1888" spans="1:11" hidden="1">
      <c r="A1888" s="386"/>
      <c r="H1888" s="244" t="s">
        <v>1141</v>
      </c>
      <c r="I1888"/>
      <c r="J1888" s="4"/>
      <c r="K1888" s="34"/>
    </row>
    <row r="1889" spans="1:22" hidden="1">
      <c r="A1889" s="386"/>
      <c r="H1889" s="248" t="s">
        <v>1667</v>
      </c>
      <c r="I1889"/>
      <c r="J1889" s="4"/>
      <c r="K1889" s="34"/>
    </row>
    <row r="1890" spans="1:22" hidden="1">
      <c r="A1890" s="386"/>
      <c r="F1890" s="251">
        <v>1</v>
      </c>
      <c r="G1890" s="250" t="s">
        <v>883</v>
      </c>
      <c r="H1890" s="244" t="s">
        <v>720</v>
      </c>
      <c r="I1890" s="8">
        <f>(C200)</f>
        <v>750</v>
      </c>
      <c r="J1890" s="2" t="s">
        <v>883</v>
      </c>
      <c r="K1890" s="6">
        <f t="shared" ref="K1890:K1896" si="69">(F1890*I1890)</f>
        <v>750</v>
      </c>
    </row>
    <row r="1891" spans="1:22" hidden="1">
      <c r="A1891" s="386"/>
      <c r="F1891" s="251">
        <v>0.65</v>
      </c>
      <c r="G1891" s="250" t="s">
        <v>884</v>
      </c>
      <c r="H1891" s="244" t="s">
        <v>247</v>
      </c>
      <c r="I1891" s="8">
        <f>(C61*2)</f>
        <v>50</v>
      </c>
      <c r="J1891" s="2" t="s">
        <v>884</v>
      </c>
      <c r="K1891" s="6">
        <f t="shared" si="69"/>
        <v>32.5</v>
      </c>
    </row>
    <row r="1892" spans="1:22" hidden="1">
      <c r="A1892" s="386"/>
      <c r="F1892" s="251">
        <v>0.56999999999999995</v>
      </c>
      <c r="G1892" s="250" t="s">
        <v>884</v>
      </c>
      <c r="H1892" s="244" t="s">
        <v>248</v>
      </c>
      <c r="I1892" s="8">
        <f>(C26)</f>
        <v>8.8000000000000007</v>
      </c>
      <c r="J1892" s="2" t="s">
        <v>884</v>
      </c>
      <c r="K1892" s="6">
        <f t="shared" si="69"/>
        <v>5.0199999999999996</v>
      </c>
    </row>
    <row r="1893" spans="1:22" hidden="1">
      <c r="A1893" s="386"/>
      <c r="F1893" s="363">
        <v>8.1000000000000003E-2</v>
      </c>
      <c r="G1893" s="250" t="s">
        <v>884</v>
      </c>
      <c r="H1893" s="244" t="s">
        <v>249</v>
      </c>
      <c r="I1893" s="8" t="e">
        <f>(R60)</f>
        <v>#REF!</v>
      </c>
      <c r="J1893" s="2" t="s">
        <v>884</v>
      </c>
      <c r="K1893" s="6" t="e">
        <f t="shared" si="69"/>
        <v>#REF!</v>
      </c>
    </row>
    <row r="1894" spans="1:22" hidden="1">
      <c r="A1894" s="386"/>
      <c r="F1894" s="251">
        <v>1</v>
      </c>
      <c r="G1894" s="250" t="s">
        <v>883</v>
      </c>
      <c r="H1894" s="244" t="s">
        <v>2176</v>
      </c>
      <c r="I1894" s="8">
        <f>(C15)</f>
        <v>130</v>
      </c>
      <c r="J1894" s="2" t="s">
        <v>883</v>
      </c>
      <c r="K1894" s="6">
        <f t="shared" si="69"/>
        <v>130</v>
      </c>
    </row>
    <row r="1895" spans="1:22" hidden="1">
      <c r="A1895" s="386"/>
      <c r="F1895" s="251">
        <v>0.5</v>
      </c>
      <c r="G1895" s="250" t="s">
        <v>883</v>
      </c>
      <c r="H1895" s="244" t="s">
        <v>1791</v>
      </c>
      <c r="I1895" s="8">
        <f>(C11)</f>
        <v>135</v>
      </c>
      <c r="J1895" s="2" t="s">
        <v>883</v>
      </c>
      <c r="K1895" s="6">
        <f t="shared" si="69"/>
        <v>67.5</v>
      </c>
    </row>
    <row r="1896" spans="1:22" hidden="1">
      <c r="A1896" s="386"/>
      <c r="F1896" s="251">
        <v>0.5</v>
      </c>
      <c r="G1896" s="250" t="s">
        <v>883</v>
      </c>
      <c r="H1896" s="244" t="s">
        <v>1979</v>
      </c>
      <c r="I1896" s="8">
        <f>(C12)</f>
        <v>95</v>
      </c>
      <c r="J1896" s="2" t="s">
        <v>883</v>
      </c>
      <c r="K1896" s="6">
        <f t="shared" si="69"/>
        <v>47.5</v>
      </c>
    </row>
    <row r="1897" spans="1:22" hidden="1">
      <c r="A1897" s="386"/>
      <c r="G1897" s="250" t="s">
        <v>448</v>
      </c>
      <c r="H1897" s="244" t="s">
        <v>449</v>
      </c>
      <c r="I1897" s="1" t="s">
        <v>995</v>
      </c>
      <c r="J1897" s="2" t="s">
        <v>448</v>
      </c>
      <c r="K1897" s="6">
        <v>0</v>
      </c>
    </row>
    <row r="1898" spans="1:22" hidden="1">
      <c r="A1898" s="386"/>
      <c r="I1898"/>
      <c r="J1898" s="4"/>
      <c r="K1898" s="6" t="s">
        <v>1667</v>
      </c>
    </row>
    <row r="1899" spans="1:22" hidden="1">
      <c r="A1899" s="386"/>
      <c r="H1899" s="244" t="s">
        <v>1834</v>
      </c>
      <c r="I1899"/>
      <c r="J1899" s="4"/>
      <c r="K1899" s="6" t="e">
        <f>SUM(K1890:K1897)</f>
        <v>#REF!</v>
      </c>
    </row>
    <row r="1900" spans="1:22" hidden="1">
      <c r="A1900" s="386"/>
      <c r="I1900"/>
      <c r="J1900" s="4"/>
      <c r="K1900" s="6" t="s">
        <v>2130</v>
      </c>
    </row>
    <row r="1901" spans="1:22" hidden="1">
      <c r="A1901" s="386"/>
      <c r="G1901" s="250" t="s">
        <v>995</v>
      </c>
      <c r="H1901" s="244" t="s">
        <v>995</v>
      </c>
      <c r="I1901"/>
      <c r="J1901" s="4"/>
      <c r="K1901" s="6" t="s">
        <v>995</v>
      </c>
    </row>
    <row r="1902" spans="1:22" hidden="1">
      <c r="A1902" s="386"/>
      <c r="I1902"/>
      <c r="J1902" s="2" t="s">
        <v>995</v>
      </c>
      <c r="K1902" s="6" t="s">
        <v>995</v>
      </c>
    </row>
    <row r="1903" spans="1:22" hidden="1">
      <c r="A1903" s="386"/>
      <c r="F1903" s="354" t="s">
        <v>250</v>
      </c>
      <c r="G1903" s="250" t="s">
        <v>2338</v>
      </c>
      <c r="H1903" s="244" t="s">
        <v>85</v>
      </c>
      <c r="I1903"/>
      <c r="J1903" s="4"/>
      <c r="K1903" s="34"/>
    </row>
    <row r="1904" spans="1:22" hidden="1">
      <c r="A1904" s="386"/>
      <c r="H1904" s="244" t="s">
        <v>1139</v>
      </c>
      <c r="I1904"/>
      <c r="J1904" s="4"/>
      <c r="K1904" s="34"/>
      <c r="V1904" s="244" t="s">
        <v>1514</v>
      </c>
    </row>
    <row r="1905" spans="1:11" hidden="1">
      <c r="A1905" s="386"/>
      <c r="H1905" s="244" t="s">
        <v>1140</v>
      </c>
      <c r="I1905"/>
      <c r="J1905" s="4"/>
      <c r="K1905" s="34"/>
    </row>
    <row r="1906" spans="1:11" hidden="1">
      <c r="A1906" s="386"/>
      <c r="H1906" s="244" t="s">
        <v>251</v>
      </c>
      <c r="I1906"/>
      <c r="J1906" s="4"/>
      <c r="K1906" s="34"/>
    </row>
    <row r="1907" spans="1:11" hidden="1">
      <c r="A1907" s="386"/>
      <c r="H1907" s="248" t="s">
        <v>1667</v>
      </c>
      <c r="I1907"/>
      <c r="J1907" s="4"/>
      <c r="K1907" s="34"/>
    </row>
    <row r="1908" spans="1:11" hidden="1">
      <c r="A1908" s="386"/>
      <c r="F1908" s="251">
        <v>1</v>
      </c>
      <c r="G1908" s="250" t="s">
        <v>883</v>
      </c>
      <c r="H1908" s="244" t="s">
        <v>720</v>
      </c>
      <c r="I1908" s="8">
        <f>(C200)</f>
        <v>750</v>
      </c>
      <c r="J1908" s="2" t="s">
        <v>883</v>
      </c>
      <c r="K1908" s="6">
        <f>(F1908*I1908)</f>
        <v>750</v>
      </c>
    </row>
    <row r="1909" spans="1:11" hidden="1">
      <c r="A1909" s="386"/>
      <c r="F1909" s="363">
        <v>0.40500000000000003</v>
      </c>
      <c r="G1909" s="250" t="s">
        <v>884</v>
      </c>
      <c r="H1909" s="244" t="s">
        <v>2766</v>
      </c>
      <c r="I1909" s="8" t="e">
        <f>(K1262)</f>
        <v>#REF!</v>
      </c>
      <c r="J1909" s="2" t="s">
        <v>884</v>
      </c>
      <c r="K1909" s="6" t="e">
        <f>(F1909*I1909)</f>
        <v>#REF!</v>
      </c>
    </row>
    <row r="1910" spans="1:11" hidden="1">
      <c r="A1910" s="386"/>
      <c r="H1910" s="244" t="s">
        <v>1134</v>
      </c>
      <c r="I1910" s="1" t="s">
        <v>995</v>
      </c>
      <c r="J1910" s="4"/>
      <c r="K1910" s="6" t="s">
        <v>995</v>
      </c>
    </row>
    <row r="1911" spans="1:11" hidden="1">
      <c r="A1911" s="386"/>
      <c r="F1911" s="251">
        <v>1.89</v>
      </c>
      <c r="G1911" s="250" t="s">
        <v>611</v>
      </c>
      <c r="H1911" s="244" t="s">
        <v>263</v>
      </c>
      <c r="I1911" s="8" t="e">
        <f>(K1373)</f>
        <v>#REF!</v>
      </c>
      <c r="J1911" s="2" t="s">
        <v>611</v>
      </c>
      <c r="K1911" s="6" t="e">
        <f>(F1911*I1911)</f>
        <v>#REF!</v>
      </c>
    </row>
    <row r="1912" spans="1:11" hidden="1">
      <c r="A1912" s="386"/>
      <c r="H1912" s="244" t="s">
        <v>264</v>
      </c>
      <c r="I1912" s="1" t="s">
        <v>995</v>
      </c>
      <c r="J1912" s="4"/>
      <c r="K1912" s="6" t="s">
        <v>995</v>
      </c>
    </row>
    <row r="1913" spans="1:11" hidden="1">
      <c r="A1913" s="386"/>
      <c r="F1913" s="363">
        <v>8.1000000000000003E-2</v>
      </c>
      <c r="G1913" s="250" t="s">
        <v>884</v>
      </c>
      <c r="H1913" s="244" t="s">
        <v>265</v>
      </c>
      <c r="I1913" s="8" t="e">
        <f>(R60)</f>
        <v>#REF!</v>
      </c>
      <c r="J1913" s="2" t="s">
        <v>884</v>
      </c>
      <c r="K1913" s="6" t="e">
        <f>(F1913*I1913)</f>
        <v>#REF!</v>
      </c>
    </row>
    <row r="1914" spans="1:11" hidden="1">
      <c r="A1914" s="386"/>
      <c r="H1914" s="244" t="s">
        <v>266</v>
      </c>
      <c r="I1914"/>
      <c r="J1914" s="4"/>
      <c r="K1914" s="34"/>
    </row>
    <row r="1915" spans="1:11" hidden="1">
      <c r="A1915" s="386"/>
      <c r="F1915" s="251">
        <v>1</v>
      </c>
      <c r="G1915" s="250" t="s">
        <v>781</v>
      </c>
      <c r="H1915" s="244" t="s">
        <v>2176</v>
      </c>
      <c r="I1915" s="8">
        <f>(C15)</f>
        <v>130</v>
      </c>
      <c r="J1915" s="2" t="s">
        <v>781</v>
      </c>
      <c r="K1915" s="6">
        <f>(F1915*I1915)</f>
        <v>130</v>
      </c>
    </row>
    <row r="1916" spans="1:11" hidden="1">
      <c r="A1916" s="386"/>
      <c r="F1916" s="251">
        <v>0.5</v>
      </c>
      <c r="G1916" s="250" t="s">
        <v>883</v>
      </c>
      <c r="H1916" s="244" t="s">
        <v>1791</v>
      </c>
      <c r="I1916" s="8">
        <f>(C11)</f>
        <v>135</v>
      </c>
      <c r="J1916" s="2" t="s">
        <v>883</v>
      </c>
      <c r="K1916" s="6">
        <f>(F1916*I1916)</f>
        <v>67.5</v>
      </c>
    </row>
    <row r="1917" spans="1:11" hidden="1">
      <c r="A1917" s="386"/>
      <c r="F1917" s="251">
        <v>0.5</v>
      </c>
      <c r="G1917" s="250" t="s">
        <v>883</v>
      </c>
      <c r="H1917" s="244" t="s">
        <v>1979</v>
      </c>
      <c r="I1917" s="8">
        <f>(C12)</f>
        <v>95</v>
      </c>
      <c r="J1917" s="2" t="s">
        <v>883</v>
      </c>
      <c r="K1917" s="6">
        <f>(F1917*I1917)</f>
        <v>47.5</v>
      </c>
    </row>
    <row r="1918" spans="1:11" hidden="1">
      <c r="A1918" s="386"/>
      <c r="G1918" s="250" t="s">
        <v>448</v>
      </c>
      <c r="H1918" s="244" t="s">
        <v>449</v>
      </c>
      <c r="I1918" s="1" t="s">
        <v>995</v>
      </c>
      <c r="J1918" s="2" t="s">
        <v>448</v>
      </c>
      <c r="K1918" s="6">
        <v>0</v>
      </c>
    </row>
    <row r="1919" spans="1:11" hidden="1">
      <c r="A1919" s="386"/>
      <c r="H1919" s="244" t="s">
        <v>995</v>
      </c>
      <c r="I1919"/>
      <c r="J1919" s="4"/>
      <c r="K1919" s="6" t="s">
        <v>1667</v>
      </c>
    </row>
    <row r="1920" spans="1:11" hidden="1">
      <c r="A1920" s="386"/>
      <c r="H1920" s="244" t="s">
        <v>1834</v>
      </c>
      <c r="I1920"/>
      <c r="J1920" s="4"/>
      <c r="K1920" s="6" t="e">
        <f>SUM(K1908:K1918)</f>
        <v>#REF!</v>
      </c>
    </row>
    <row r="1921" spans="1:11" hidden="1">
      <c r="A1921" s="386"/>
      <c r="I1921"/>
      <c r="J1921" s="4"/>
      <c r="K1921" s="6" t="s">
        <v>2130</v>
      </c>
    </row>
    <row r="1922" spans="1:11" hidden="1">
      <c r="A1922" s="386"/>
      <c r="G1922" s="250" t="s">
        <v>995</v>
      </c>
      <c r="H1922" s="244" t="s">
        <v>995</v>
      </c>
      <c r="I1922"/>
      <c r="J1922" s="4"/>
      <c r="K1922" s="6" t="s">
        <v>995</v>
      </c>
    </row>
    <row r="1923" spans="1:11" hidden="1">
      <c r="A1923" s="386"/>
      <c r="I1923"/>
      <c r="J1923" s="2" t="s">
        <v>995</v>
      </c>
      <c r="K1923" s="6" t="s">
        <v>246</v>
      </c>
    </row>
    <row r="1924" spans="1:11" hidden="1">
      <c r="A1924" s="386"/>
      <c r="F1924" s="360">
        <v>57</v>
      </c>
      <c r="G1924" s="250" t="s">
        <v>2338</v>
      </c>
      <c r="H1924" s="244" t="s">
        <v>256</v>
      </c>
      <c r="I1924"/>
      <c r="J1924" s="4"/>
      <c r="K1924" s="34"/>
    </row>
    <row r="1925" spans="1:11" hidden="1">
      <c r="A1925" s="386"/>
      <c r="H1925" s="244" t="s">
        <v>204</v>
      </c>
      <c r="I1925"/>
      <c r="J1925" s="4"/>
      <c r="K1925" s="34"/>
    </row>
    <row r="1926" spans="1:11" hidden="1">
      <c r="A1926" s="386"/>
      <c r="H1926" s="244" t="s">
        <v>1855</v>
      </c>
      <c r="I1926"/>
      <c r="J1926" s="4"/>
      <c r="K1926" s="34"/>
    </row>
    <row r="1927" spans="1:11" hidden="1">
      <c r="A1927" s="386"/>
      <c r="H1927" s="248" t="s">
        <v>1667</v>
      </c>
      <c r="I1927"/>
      <c r="J1927" s="4"/>
      <c r="K1927" s="34"/>
    </row>
    <row r="1928" spans="1:11" ht="95.25" hidden="1" customHeight="1">
      <c r="A1928" s="386"/>
      <c r="F1928" s="395">
        <v>1</v>
      </c>
      <c r="G1928" s="395" t="s">
        <v>799</v>
      </c>
      <c r="H1928" s="368" t="s">
        <v>1166</v>
      </c>
      <c r="I1928" s="23">
        <f>C591</f>
        <v>1700</v>
      </c>
      <c r="J1928" s="396" t="s">
        <v>799</v>
      </c>
      <c r="K1928" s="553">
        <f>(F1928*I1928)</f>
        <v>1700</v>
      </c>
    </row>
    <row r="1929" spans="1:11" hidden="1">
      <c r="A1929" s="386"/>
      <c r="F1929" s="251"/>
      <c r="G1929" s="250"/>
      <c r="H1929" s="397" t="s">
        <v>1208</v>
      </c>
      <c r="I1929" s="8"/>
      <c r="J1929" s="2"/>
      <c r="K1929" s="6"/>
    </row>
    <row r="1930" spans="1:11" hidden="1">
      <c r="A1930" s="386"/>
      <c r="F1930" s="251">
        <v>1</v>
      </c>
      <c r="G1930" s="250" t="s">
        <v>883</v>
      </c>
      <c r="H1930" s="244" t="s">
        <v>2082</v>
      </c>
      <c r="I1930" s="8">
        <f>(C10)</f>
        <v>150</v>
      </c>
      <c r="J1930" s="2" t="s">
        <v>883</v>
      </c>
      <c r="K1930" s="6">
        <f>(F1930*I1930)</f>
        <v>150</v>
      </c>
    </row>
    <row r="1931" spans="1:11" hidden="1">
      <c r="A1931" s="386"/>
      <c r="F1931" s="251">
        <v>2</v>
      </c>
      <c r="G1931" s="250" t="s">
        <v>883</v>
      </c>
      <c r="H1931" s="244" t="s">
        <v>2176</v>
      </c>
      <c r="I1931" s="8">
        <f>(C15)</f>
        <v>130</v>
      </c>
      <c r="J1931" s="2" t="s">
        <v>883</v>
      </c>
      <c r="K1931" s="6">
        <f>(F1931*I1931)</f>
        <v>260</v>
      </c>
    </row>
    <row r="1932" spans="1:11" hidden="1">
      <c r="A1932" s="386"/>
      <c r="F1932" s="251">
        <v>1</v>
      </c>
      <c r="G1932" s="250" t="s">
        <v>883</v>
      </c>
      <c r="H1932" s="244" t="s">
        <v>324</v>
      </c>
      <c r="I1932" s="8">
        <f>(C13)</f>
        <v>85</v>
      </c>
      <c r="J1932" s="2" t="s">
        <v>883</v>
      </c>
      <c r="K1932" s="6">
        <f>(F1932*I1932)</f>
        <v>85</v>
      </c>
    </row>
    <row r="1933" spans="1:11" hidden="1">
      <c r="A1933" s="386"/>
      <c r="F1933" s="251"/>
      <c r="G1933" s="250"/>
      <c r="H1933" s="397" t="s">
        <v>721</v>
      </c>
      <c r="I1933" s="8"/>
      <c r="J1933" s="2"/>
      <c r="K1933" s="6"/>
    </row>
    <row r="1934" spans="1:11" hidden="1">
      <c r="A1934" s="386"/>
      <c r="F1934" s="251">
        <v>0.5</v>
      </c>
      <c r="G1934" s="250" t="s">
        <v>883</v>
      </c>
      <c r="H1934" s="244" t="s">
        <v>2176</v>
      </c>
      <c r="I1934" s="8">
        <f>(C15)</f>
        <v>130</v>
      </c>
      <c r="J1934" s="2" t="s">
        <v>883</v>
      </c>
      <c r="K1934" s="6">
        <f>(F1934*I1934)</f>
        <v>65</v>
      </c>
    </row>
    <row r="1935" spans="1:11" hidden="1">
      <c r="A1935" s="386"/>
      <c r="F1935" s="251">
        <v>0.5</v>
      </c>
      <c r="G1935" s="250" t="s">
        <v>883</v>
      </c>
      <c r="H1935" s="244" t="s">
        <v>1979</v>
      </c>
      <c r="I1935" s="8">
        <f>(C12)</f>
        <v>95</v>
      </c>
      <c r="J1935" s="2" t="s">
        <v>883</v>
      </c>
      <c r="K1935" s="6">
        <f>(F1935*I1935)</f>
        <v>47.5</v>
      </c>
    </row>
    <row r="1936" spans="1:11" hidden="1">
      <c r="A1936" s="386"/>
      <c r="G1936" s="250" t="s">
        <v>448</v>
      </c>
      <c r="H1936" s="244" t="s">
        <v>449</v>
      </c>
      <c r="I1936"/>
      <c r="J1936" s="2" t="s">
        <v>448</v>
      </c>
      <c r="K1936" s="6">
        <v>0</v>
      </c>
    </row>
    <row r="1937" spans="1:11" hidden="1">
      <c r="A1937" s="386"/>
      <c r="I1937"/>
      <c r="J1937" s="4"/>
      <c r="K1937" s="6" t="s">
        <v>1667</v>
      </c>
    </row>
    <row r="1938" spans="1:11" hidden="1">
      <c r="A1938" s="386"/>
      <c r="H1938" s="244" t="s">
        <v>1834</v>
      </c>
      <c r="I1938"/>
      <c r="J1938" s="4"/>
      <c r="K1938" s="6">
        <f>SUM(K1928:K1936)</f>
        <v>2307.5</v>
      </c>
    </row>
    <row r="1939" spans="1:11" hidden="1">
      <c r="A1939" s="386"/>
      <c r="F1939" s="244" t="s">
        <v>995</v>
      </c>
      <c r="I1939"/>
      <c r="J1939" s="4"/>
      <c r="K1939" s="34"/>
    </row>
    <row r="1940" spans="1:11" hidden="1">
      <c r="A1940" s="386"/>
      <c r="I1940"/>
      <c r="J1940" s="4"/>
      <c r="K1940" s="6" t="s">
        <v>1667</v>
      </c>
    </row>
    <row r="1941" spans="1:11" hidden="1">
      <c r="A1941" s="386"/>
      <c r="G1941" s="250" t="s">
        <v>995</v>
      </c>
      <c r="H1941" s="244" t="s">
        <v>995</v>
      </c>
      <c r="I1941"/>
      <c r="J1941" s="4"/>
      <c r="K1941" s="6" t="s">
        <v>995</v>
      </c>
    </row>
    <row r="1942" spans="1:11" hidden="1">
      <c r="A1942" s="386"/>
      <c r="H1942" s="244" t="s">
        <v>995</v>
      </c>
      <c r="I1942"/>
      <c r="J1942" s="4"/>
      <c r="K1942" s="34"/>
    </row>
    <row r="1943" spans="1:11" hidden="1">
      <c r="A1943" s="386"/>
      <c r="F1943" s="364">
        <v>57.1</v>
      </c>
      <c r="G1943" s="250" t="s">
        <v>2338</v>
      </c>
      <c r="H1943" s="244" t="s">
        <v>1639</v>
      </c>
      <c r="I1943"/>
      <c r="J1943" s="4"/>
      <c r="K1943" s="34"/>
    </row>
    <row r="1944" spans="1:11" hidden="1">
      <c r="A1944" s="386"/>
      <c r="H1944" s="244" t="s">
        <v>204</v>
      </c>
      <c r="I1944"/>
      <c r="J1944" s="4"/>
      <c r="K1944" s="34"/>
    </row>
    <row r="1945" spans="1:11" hidden="1">
      <c r="A1945" s="386"/>
      <c r="H1945" s="244" t="s">
        <v>1855</v>
      </c>
      <c r="I1945"/>
      <c r="J1945" s="4"/>
      <c r="K1945" s="34"/>
    </row>
    <row r="1946" spans="1:11" hidden="1">
      <c r="A1946" s="386"/>
      <c r="H1946" s="248" t="s">
        <v>1667</v>
      </c>
      <c r="I1946"/>
      <c r="J1946" s="4"/>
      <c r="K1946" s="34"/>
    </row>
    <row r="1947" spans="1:11" ht="78.75" hidden="1">
      <c r="A1947" s="386"/>
      <c r="F1947" s="395">
        <v>1</v>
      </c>
      <c r="G1947" s="395" t="s">
        <v>799</v>
      </c>
      <c r="H1947" s="368" t="s">
        <v>1166</v>
      </c>
      <c r="I1947">
        <f>E591</f>
        <v>2000</v>
      </c>
      <c r="J1947" s="396" t="s">
        <v>799</v>
      </c>
      <c r="K1947" s="553">
        <f>(F1947*I1947)</f>
        <v>2000</v>
      </c>
    </row>
    <row r="1948" spans="1:11" hidden="1">
      <c r="A1948" s="386"/>
      <c r="F1948" s="251"/>
      <c r="G1948" s="250"/>
      <c r="H1948" s="397" t="s">
        <v>1208</v>
      </c>
      <c r="I1948"/>
      <c r="J1948" s="2"/>
      <c r="K1948" s="6"/>
    </row>
    <row r="1949" spans="1:11" hidden="1">
      <c r="A1949" s="386"/>
      <c r="F1949" s="251">
        <v>1</v>
      </c>
      <c r="G1949" s="250" t="s">
        <v>883</v>
      </c>
      <c r="H1949" s="244" t="s">
        <v>2082</v>
      </c>
      <c r="I1949">
        <f>C10</f>
        <v>150</v>
      </c>
      <c r="J1949" s="2" t="s">
        <v>883</v>
      </c>
      <c r="K1949" s="6">
        <f>(F1949*I1949)</f>
        <v>150</v>
      </c>
    </row>
    <row r="1950" spans="1:11" hidden="1">
      <c r="A1950" s="386"/>
      <c r="F1950" s="251">
        <v>2</v>
      </c>
      <c r="G1950" s="250" t="s">
        <v>883</v>
      </c>
      <c r="H1950" s="244" t="s">
        <v>2176</v>
      </c>
      <c r="I1950">
        <f>C15</f>
        <v>130</v>
      </c>
      <c r="J1950" s="2" t="s">
        <v>883</v>
      </c>
      <c r="K1950" s="6">
        <f>(F1950*I1950)</f>
        <v>260</v>
      </c>
    </row>
    <row r="1951" spans="1:11" hidden="1">
      <c r="A1951" s="386"/>
      <c r="F1951" s="251">
        <v>1</v>
      </c>
      <c r="G1951" s="250" t="s">
        <v>883</v>
      </c>
      <c r="H1951" s="244" t="s">
        <v>324</v>
      </c>
      <c r="I1951">
        <f>C13</f>
        <v>85</v>
      </c>
      <c r="J1951" s="2" t="s">
        <v>883</v>
      </c>
      <c r="K1951" s="6">
        <f>(F1951*I1951)</f>
        <v>85</v>
      </c>
    </row>
    <row r="1952" spans="1:11" hidden="1">
      <c r="A1952" s="386"/>
      <c r="F1952" s="251"/>
      <c r="G1952" s="250"/>
      <c r="H1952" s="397" t="s">
        <v>721</v>
      </c>
      <c r="I1952"/>
      <c r="J1952" s="2"/>
      <c r="K1952" s="6"/>
    </row>
    <row r="1953" spans="1:11" hidden="1">
      <c r="A1953" s="386"/>
      <c r="F1953" s="251">
        <v>0.5</v>
      </c>
      <c r="G1953" s="250" t="s">
        <v>883</v>
      </c>
      <c r="H1953" s="244" t="s">
        <v>2176</v>
      </c>
      <c r="I1953">
        <f>C15</f>
        <v>130</v>
      </c>
      <c r="J1953" s="2" t="s">
        <v>883</v>
      </c>
      <c r="K1953" s="6">
        <f>(F1953*I1953)</f>
        <v>65</v>
      </c>
    </row>
    <row r="1954" spans="1:11" hidden="1">
      <c r="A1954" s="386"/>
      <c r="F1954" s="251">
        <v>0.5</v>
      </c>
      <c r="G1954" s="250" t="s">
        <v>883</v>
      </c>
      <c r="H1954" s="244" t="s">
        <v>1979</v>
      </c>
      <c r="I1954">
        <f>C12</f>
        <v>95</v>
      </c>
      <c r="J1954" s="2" t="s">
        <v>883</v>
      </c>
      <c r="K1954" s="6">
        <f>(F1954*I1954)</f>
        <v>47.5</v>
      </c>
    </row>
    <row r="1955" spans="1:11" hidden="1">
      <c r="A1955" s="386"/>
      <c r="G1955" s="250" t="s">
        <v>448</v>
      </c>
      <c r="H1955" s="244" t="s">
        <v>449</v>
      </c>
      <c r="I1955"/>
      <c r="J1955" s="2" t="s">
        <v>448</v>
      </c>
      <c r="K1955" s="6">
        <v>0</v>
      </c>
    </row>
    <row r="1956" spans="1:11" hidden="1">
      <c r="A1956" s="386"/>
      <c r="I1956"/>
      <c r="J1956" s="4"/>
      <c r="K1956" s="6" t="s">
        <v>1667</v>
      </c>
    </row>
    <row r="1957" spans="1:11" hidden="1">
      <c r="A1957" s="386"/>
      <c r="H1957" s="244" t="s">
        <v>1834</v>
      </c>
      <c r="I1957"/>
      <c r="J1957" s="4"/>
      <c r="K1957" s="6">
        <f>SUM(K1947:K1955)</f>
        <v>2607.5</v>
      </c>
    </row>
    <row r="1958" spans="1:11" hidden="1">
      <c r="A1958" s="386"/>
      <c r="H1958" s="244"/>
      <c r="I1958"/>
      <c r="J1958" s="4"/>
      <c r="K1958" s="34"/>
    </row>
    <row r="1959" spans="1:11" hidden="1">
      <c r="A1959" s="386"/>
      <c r="H1959" s="244"/>
      <c r="I1959"/>
      <c r="J1959" s="4"/>
      <c r="K1959" s="6" t="s">
        <v>1667</v>
      </c>
    </row>
    <row r="1960" spans="1:11" hidden="1">
      <c r="A1960" s="386"/>
      <c r="H1960" s="244"/>
      <c r="I1960"/>
      <c r="J1960" s="4"/>
      <c r="K1960" s="34"/>
    </row>
    <row r="1961" spans="1:11" hidden="1">
      <c r="A1961" s="386"/>
      <c r="F1961" s="354" t="s">
        <v>722</v>
      </c>
      <c r="G1961" s="250" t="s">
        <v>2338</v>
      </c>
      <c r="H1961" s="244" t="s">
        <v>824</v>
      </c>
      <c r="I1961"/>
      <c r="J1961" s="4"/>
      <c r="K1961" s="34"/>
    </row>
    <row r="1962" spans="1:11" hidden="1">
      <c r="A1962" s="386"/>
      <c r="H1962" s="244" t="s">
        <v>166</v>
      </c>
      <c r="I1962"/>
      <c r="J1962" s="4"/>
      <c r="K1962" s="34"/>
    </row>
    <row r="1963" spans="1:11" hidden="1">
      <c r="A1963" s="386"/>
      <c r="H1963" s="248" t="s">
        <v>1667</v>
      </c>
      <c r="I1963"/>
      <c r="J1963" s="4"/>
      <c r="K1963" s="34"/>
    </row>
    <row r="1964" spans="1:11" hidden="1">
      <c r="A1964" s="386"/>
      <c r="G1964" s="250" t="s">
        <v>699</v>
      </c>
      <c r="H1964" s="244" t="s">
        <v>46</v>
      </c>
      <c r="I1964"/>
      <c r="J1964" s="4"/>
      <c r="K1964" s="34"/>
    </row>
    <row r="1965" spans="1:11" hidden="1">
      <c r="A1965" s="386"/>
      <c r="H1965" s="244" t="s">
        <v>2767</v>
      </c>
      <c r="I1965"/>
      <c r="J1965" s="4"/>
      <c r="K1965" s="34"/>
    </row>
    <row r="1966" spans="1:11" hidden="1">
      <c r="A1966" s="386"/>
      <c r="H1966" s="244" t="s">
        <v>965</v>
      </c>
      <c r="I1966"/>
      <c r="J1966" s="4"/>
      <c r="K1966" s="34"/>
    </row>
    <row r="1967" spans="1:11" hidden="1">
      <c r="A1967" s="386"/>
      <c r="H1967" s="244" t="s">
        <v>966</v>
      </c>
      <c r="I1967"/>
      <c r="J1967" s="4"/>
      <c r="K1967" s="34"/>
    </row>
    <row r="1968" spans="1:11" hidden="1">
      <c r="A1968" s="386"/>
      <c r="H1968" s="244" t="s">
        <v>2177</v>
      </c>
      <c r="I1968"/>
      <c r="J1968" s="4"/>
      <c r="K1968" s="34"/>
    </row>
    <row r="1969" spans="1:11" hidden="1">
      <c r="A1969" s="386"/>
      <c r="H1969" s="244" t="s">
        <v>2178</v>
      </c>
      <c r="I1969"/>
      <c r="J1969" s="4"/>
      <c r="K1969" s="34"/>
    </row>
    <row r="1970" spans="1:11" hidden="1">
      <c r="A1970" s="386"/>
      <c r="H1970" s="244" t="s">
        <v>2768</v>
      </c>
      <c r="I1970"/>
      <c r="J1970" s="4"/>
      <c r="K1970" s="34"/>
    </row>
    <row r="1971" spans="1:11" hidden="1">
      <c r="A1971" s="386"/>
      <c r="H1971" s="248" t="s">
        <v>1667</v>
      </c>
      <c r="I1971"/>
      <c r="J1971" s="4"/>
      <c r="K1971" s="34"/>
    </row>
    <row r="1972" spans="1:11" hidden="1">
      <c r="A1972" s="386"/>
      <c r="F1972" s="251">
        <v>3</v>
      </c>
      <c r="G1972" s="250" t="s">
        <v>1854</v>
      </c>
      <c r="H1972" s="244" t="s">
        <v>2179</v>
      </c>
      <c r="I1972" s="8">
        <f>(C598)</f>
        <v>120</v>
      </c>
      <c r="J1972" s="2" t="s">
        <v>1854</v>
      </c>
      <c r="K1972" s="6">
        <f t="shared" ref="K1972:K1978" si="70">(F1972*I1972)</f>
        <v>360</v>
      </c>
    </row>
    <row r="1973" spans="1:11" hidden="1">
      <c r="A1973" s="386"/>
      <c r="F1973" s="251">
        <v>1</v>
      </c>
      <c r="G1973" s="250" t="s">
        <v>781</v>
      </c>
      <c r="H1973" s="244" t="s">
        <v>680</v>
      </c>
      <c r="I1973" s="8">
        <f>C601</f>
        <v>65</v>
      </c>
      <c r="J1973" s="2" t="s">
        <v>1796</v>
      </c>
      <c r="K1973" s="6">
        <f t="shared" si="70"/>
        <v>65</v>
      </c>
    </row>
    <row r="1974" spans="1:11" hidden="1">
      <c r="A1974" s="386"/>
      <c r="F1974" s="251">
        <v>1</v>
      </c>
      <c r="G1974" s="250" t="s">
        <v>781</v>
      </c>
      <c r="H1974" s="244" t="s">
        <v>681</v>
      </c>
      <c r="I1974" s="8">
        <f>C626</f>
        <v>12</v>
      </c>
      <c r="J1974" s="2" t="s">
        <v>1796</v>
      </c>
      <c r="K1974" s="6">
        <f t="shared" si="70"/>
        <v>12</v>
      </c>
    </row>
    <row r="1975" spans="1:11" hidden="1">
      <c r="A1975" s="386"/>
      <c r="F1975" s="251">
        <v>1</v>
      </c>
      <c r="G1975" s="250" t="s">
        <v>781</v>
      </c>
      <c r="H1975" s="244" t="s">
        <v>1583</v>
      </c>
      <c r="I1975" s="8">
        <f>C623</f>
        <v>110</v>
      </c>
      <c r="J1975" s="2" t="s">
        <v>1796</v>
      </c>
      <c r="K1975" s="6">
        <f t="shared" si="70"/>
        <v>110</v>
      </c>
    </row>
    <row r="1976" spans="1:11" hidden="1">
      <c r="A1976" s="386"/>
      <c r="F1976" s="251">
        <v>0.5</v>
      </c>
      <c r="G1976" s="250" t="s">
        <v>883</v>
      </c>
      <c r="H1976" s="244" t="s">
        <v>2176</v>
      </c>
      <c r="I1976" s="8">
        <f>(C15)</f>
        <v>130</v>
      </c>
      <c r="J1976" s="2" t="s">
        <v>1796</v>
      </c>
      <c r="K1976" s="6">
        <f t="shared" si="70"/>
        <v>65</v>
      </c>
    </row>
    <row r="1977" spans="1:11" hidden="1">
      <c r="A1977" s="386"/>
      <c r="F1977" s="251">
        <v>0.5</v>
      </c>
      <c r="G1977" s="250" t="s">
        <v>883</v>
      </c>
      <c r="H1977" s="244" t="s">
        <v>1791</v>
      </c>
      <c r="I1977" s="8">
        <f>(C11)</f>
        <v>135</v>
      </c>
      <c r="J1977" s="2" t="s">
        <v>1796</v>
      </c>
      <c r="K1977" s="6">
        <f t="shared" si="70"/>
        <v>67.5</v>
      </c>
    </row>
    <row r="1978" spans="1:11" hidden="1">
      <c r="A1978" s="386"/>
      <c r="F1978" s="251">
        <v>0.5</v>
      </c>
      <c r="G1978" s="250" t="s">
        <v>883</v>
      </c>
      <c r="H1978" s="244" t="s">
        <v>1979</v>
      </c>
      <c r="I1978" s="8">
        <f>(C12)</f>
        <v>95</v>
      </c>
      <c r="J1978" s="2" t="s">
        <v>1796</v>
      </c>
      <c r="K1978" s="6">
        <f t="shared" si="70"/>
        <v>47.5</v>
      </c>
    </row>
    <row r="1979" spans="1:11" hidden="1">
      <c r="A1979" s="386"/>
      <c r="G1979" s="250" t="s">
        <v>448</v>
      </c>
      <c r="H1979" s="244" t="s">
        <v>1584</v>
      </c>
      <c r="I1979" s="8">
        <v>2.79</v>
      </c>
      <c r="J1979" s="2" t="s">
        <v>448</v>
      </c>
      <c r="K1979" s="6">
        <v>2.79</v>
      </c>
    </row>
    <row r="1980" spans="1:11" hidden="1">
      <c r="A1980" s="386"/>
      <c r="H1980" s="244" t="s">
        <v>87</v>
      </c>
      <c r="I1980"/>
      <c r="J1980" s="4"/>
      <c r="K1980" s="34"/>
    </row>
    <row r="1981" spans="1:11" hidden="1">
      <c r="A1981" s="386"/>
      <c r="H1981" s="244" t="s">
        <v>191</v>
      </c>
      <c r="I1981"/>
      <c r="J1981" s="4"/>
      <c r="K1981" s="34"/>
    </row>
    <row r="1982" spans="1:11" hidden="1">
      <c r="A1982" s="386"/>
      <c r="H1982" s="244" t="s">
        <v>745</v>
      </c>
      <c r="I1982"/>
      <c r="J1982" s="2" t="s">
        <v>448</v>
      </c>
      <c r="K1982" s="6">
        <v>0</v>
      </c>
    </row>
    <row r="1983" spans="1:11" hidden="1">
      <c r="A1983" s="386"/>
      <c r="I1983"/>
      <c r="J1983" s="4"/>
      <c r="K1983" s="6" t="s">
        <v>1667</v>
      </c>
    </row>
    <row r="1984" spans="1:11" hidden="1">
      <c r="A1984" s="386"/>
      <c r="H1984" s="244" t="s">
        <v>1375</v>
      </c>
      <c r="I1984"/>
      <c r="J1984" s="4"/>
      <c r="K1984" s="6">
        <f>SUM(K1972:K1982)</f>
        <v>729.79</v>
      </c>
    </row>
    <row r="1985" spans="1:11" hidden="1">
      <c r="A1985" s="386"/>
      <c r="I1985"/>
      <c r="J1985" s="4"/>
      <c r="K1985" s="6" t="s">
        <v>1667</v>
      </c>
    </row>
    <row r="1986" spans="1:11" hidden="1">
      <c r="A1986" s="386"/>
      <c r="H1986" s="244" t="s">
        <v>1622</v>
      </c>
      <c r="I1986"/>
      <c r="J1986" s="4"/>
      <c r="K1986" s="6">
        <f>(K1984/3)</f>
        <v>243.26</v>
      </c>
    </row>
    <row r="1987" spans="1:11" hidden="1">
      <c r="A1987" s="386"/>
      <c r="I1987"/>
      <c r="J1987" s="4"/>
      <c r="K1987" s="6" t="s">
        <v>1667</v>
      </c>
    </row>
    <row r="1988" spans="1:11" hidden="1">
      <c r="A1988" s="386"/>
      <c r="F1988" s="354" t="s">
        <v>746</v>
      </c>
      <c r="G1988" s="250" t="s">
        <v>287</v>
      </c>
      <c r="H1988" s="244" t="s">
        <v>747</v>
      </c>
      <c r="I1988"/>
      <c r="J1988" s="4"/>
      <c r="K1988" s="34"/>
    </row>
    <row r="1989" spans="1:11" hidden="1">
      <c r="A1989" s="386"/>
      <c r="H1989" s="244" t="s">
        <v>3556</v>
      </c>
      <c r="I1989"/>
      <c r="J1989" s="4"/>
      <c r="K1989" s="34"/>
    </row>
    <row r="1990" spans="1:11" hidden="1">
      <c r="A1990" s="386"/>
      <c r="H1990" s="244" t="s">
        <v>965</v>
      </c>
      <c r="I1990"/>
      <c r="J1990" s="4"/>
      <c r="K1990" s="34"/>
    </row>
    <row r="1991" spans="1:11" hidden="1">
      <c r="A1991" s="386"/>
      <c r="H1991" s="244" t="s">
        <v>748</v>
      </c>
      <c r="I1991"/>
      <c r="J1991" s="4"/>
      <c r="K1991" s="34"/>
    </row>
    <row r="1992" spans="1:11" hidden="1">
      <c r="A1992" s="386"/>
      <c r="H1992" s="244" t="s">
        <v>541</v>
      </c>
      <c r="I1992"/>
      <c r="J1992" s="4"/>
      <c r="K1992" s="34"/>
    </row>
    <row r="1993" spans="1:11" hidden="1">
      <c r="A1993" s="386"/>
      <c r="H1993" s="244" t="s">
        <v>2178</v>
      </c>
      <c r="I1993"/>
      <c r="J1993" s="4"/>
      <c r="K1993" s="34"/>
    </row>
    <row r="1994" spans="1:11" hidden="1">
      <c r="A1994" s="386"/>
      <c r="H1994" s="244" t="s">
        <v>2768</v>
      </c>
      <c r="I1994"/>
      <c r="J1994" s="4"/>
      <c r="K1994" s="34"/>
    </row>
    <row r="1995" spans="1:11" hidden="1">
      <c r="A1995" s="386"/>
      <c r="H1995" s="248" t="s">
        <v>1667</v>
      </c>
      <c r="I1995"/>
      <c r="J1995" s="4"/>
      <c r="K1995" s="34"/>
    </row>
    <row r="1996" spans="1:11" hidden="1">
      <c r="A1996" s="386"/>
      <c r="F1996" s="251">
        <v>3</v>
      </c>
      <c r="G1996" s="250" t="s">
        <v>1854</v>
      </c>
      <c r="H1996" s="244" t="s">
        <v>1024</v>
      </c>
      <c r="I1996" s="8">
        <f>(C599)</f>
        <v>80</v>
      </c>
      <c r="J1996" s="2" t="s">
        <v>1854</v>
      </c>
      <c r="K1996" s="6">
        <f t="shared" ref="K1996:K2002" si="71">(F1996*I1996)</f>
        <v>240</v>
      </c>
    </row>
    <row r="1997" spans="1:11" hidden="1">
      <c r="A1997" s="386"/>
      <c r="F1997" s="251">
        <v>1</v>
      </c>
      <c r="G1997" s="250" t="s">
        <v>781</v>
      </c>
      <c r="H1997" s="244" t="s">
        <v>1025</v>
      </c>
      <c r="I1997" s="8">
        <f>C602</f>
        <v>40</v>
      </c>
      <c r="J1997" s="4" t="s">
        <v>781</v>
      </c>
      <c r="K1997" s="6">
        <f t="shared" si="71"/>
        <v>40</v>
      </c>
    </row>
    <row r="1998" spans="1:11" hidden="1">
      <c r="A1998" s="386"/>
      <c r="F1998" s="251">
        <v>1</v>
      </c>
      <c r="G1998" s="250" t="s">
        <v>781</v>
      </c>
      <c r="H1998" s="244" t="s">
        <v>1026</v>
      </c>
      <c r="I1998" s="8">
        <f>C627</f>
        <v>7.5</v>
      </c>
      <c r="J1998" s="4" t="s">
        <v>781</v>
      </c>
      <c r="K1998" s="6">
        <f t="shared" si="71"/>
        <v>7.5</v>
      </c>
    </row>
    <row r="1999" spans="1:11" hidden="1">
      <c r="A1999" s="386"/>
      <c r="F1999" s="251">
        <v>1</v>
      </c>
      <c r="G1999" s="250" t="s">
        <v>781</v>
      </c>
      <c r="H1999" s="244" t="s">
        <v>88</v>
      </c>
      <c r="I1999" s="8">
        <f>C624</f>
        <v>70</v>
      </c>
      <c r="J1999" s="4" t="s">
        <v>781</v>
      </c>
      <c r="K1999" s="6">
        <f t="shared" si="71"/>
        <v>70</v>
      </c>
    </row>
    <row r="2000" spans="1:11" hidden="1">
      <c r="A2000" s="386"/>
      <c r="F2000" s="251">
        <v>0.5</v>
      </c>
      <c r="G2000" s="250" t="s">
        <v>883</v>
      </c>
      <c r="H2000" s="244" t="s">
        <v>2176</v>
      </c>
      <c r="I2000" s="8">
        <f>(C15)</f>
        <v>130</v>
      </c>
      <c r="J2000" s="2" t="s">
        <v>883</v>
      </c>
      <c r="K2000" s="6">
        <f t="shared" si="71"/>
        <v>65</v>
      </c>
    </row>
    <row r="2001" spans="1:11" hidden="1">
      <c r="A2001" s="386"/>
      <c r="F2001" s="251">
        <v>0.5</v>
      </c>
      <c r="G2001" s="250" t="s">
        <v>883</v>
      </c>
      <c r="H2001" s="244" t="s">
        <v>1791</v>
      </c>
      <c r="I2001" s="8">
        <f>(C11)</f>
        <v>135</v>
      </c>
      <c r="J2001" s="2" t="s">
        <v>883</v>
      </c>
      <c r="K2001" s="6">
        <f t="shared" si="71"/>
        <v>67.5</v>
      </c>
    </row>
    <row r="2002" spans="1:11" hidden="1">
      <c r="A2002" s="386"/>
      <c r="F2002" s="251">
        <v>0.5</v>
      </c>
      <c r="G2002" s="250" t="s">
        <v>883</v>
      </c>
      <c r="H2002" s="244" t="s">
        <v>1979</v>
      </c>
      <c r="I2002" s="8">
        <f>(C12)</f>
        <v>95</v>
      </c>
      <c r="J2002" s="2" t="s">
        <v>883</v>
      </c>
      <c r="K2002" s="6">
        <f t="shared" si="71"/>
        <v>47.5</v>
      </c>
    </row>
    <row r="2003" spans="1:11" hidden="1">
      <c r="A2003" s="386"/>
      <c r="G2003" s="250" t="s">
        <v>448</v>
      </c>
      <c r="H2003" s="244" t="s">
        <v>1584</v>
      </c>
      <c r="I2003" s="1" t="s">
        <v>995</v>
      </c>
      <c r="J2003" s="2" t="s">
        <v>448</v>
      </c>
      <c r="K2003" s="6">
        <v>2.73</v>
      </c>
    </row>
    <row r="2004" spans="1:11" hidden="1">
      <c r="A2004" s="386"/>
      <c r="H2004" s="244" t="s">
        <v>87</v>
      </c>
      <c r="I2004"/>
      <c r="J2004" s="4"/>
      <c r="K2004" s="34"/>
    </row>
    <row r="2005" spans="1:11" hidden="1">
      <c r="A2005" s="386"/>
      <c r="H2005" s="244" t="s">
        <v>191</v>
      </c>
      <c r="I2005"/>
      <c r="J2005" s="4"/>
      <c r="K2005" s="34"/>
    </row>
    <row r="2006" spans="1:11" hidden="1">
      <c r="A2006" s="386"/>
      <c r="H2006" s="244" t="s">
        <v>745</v>
      </c>
      <c r="I2006"/>
      <c r="J2006" s="2" t="s">
        <v>448</v>
      </c>
      <c r="K2006" s="6">
        <v>0</v>
      </c>
    </row>
    <row r="2007" spans="1:11" hidden="1">
      <c r="A2007" s="386"/>
      <c r="I2007"/>
      <c r="J2007" s="4"/>
      <c r="K2007" s="6" t="s">
        <v>1667</v>
      </c>
    </row>
    <row r="2008" spans="1:11" hidden="1">
      <c r="A2008" s="386"/>
      <c r="H2008" s="244" t="s">
        <v>1375</v>
      </c>
      <c r="I2008"/>
      <c r="J2008" s="4"/>
      <c r="K2008" s="6">
        <f>SUM(K1996:K2006)</f>
        <v>540.23</v>
      </c>
    </row>
    <row r="2009" spans="1:11" hidden="1">
      <c r="A2009" s="386"/>
      <c r="I2009"/>
      <c r="J2009" s="4"/>
      <c r="K2009" s="6" t="s">
        <v>1667</v>
      </c>
    </row>
    <row r="2010" spans="1:11" hidden="1">
      <c r="A2010" s="386"/>
      <c r="H2010" s="244" t="s">
        <v>1622</v>
      </c>
      <c r="I2010"/>
      <c r="J2010" s="4"/>
      <c r="K2010" s="6">
        <f>(K2008/3)</f>
        <v>180.08</v>
      </c>
    </row>
    <row r="2011" spans="1:11" hidden="1">
      <c r="A2011" s="386"/>
      <c r="I2011"/>
      <c r="J2011" s="4"/>
      <c r="K2011" s="6" t="s">
        <v>1667</v>
      </c>
    </row>
    <row r="2012" spans="1:11" hidden="1">
      <c r="A2012" s="386"/>
      <c r="F2012" s="354" t="s">
        <v>89</v>
      </c>
      <c r="H2012" s="244" t="s">
        <v>209</v>
      </c>
      <c r="I2012"/>
      <c r="J2012" s="4"/>
      <c r="K2012" s="34"/>
    </row>
    <row r="2013" spans="1:11" hidden="1">
      <c r="A2013" s="386"/>
      <c r="H2013" s="244" t="s">
        <v>1897</v>
      </c>
      <c r="I2013"/>
      <c r="J2013" s="4"/>
      <c r="K2013" s="34"/>
    </row>
    <row r="2014" spans="1:11" hidden="1">
      <c r="A2014" s="386"/>
      <c r="F2014" s="244" t="s">
        <v>995</v>
      </c>
      <c r="H2014" s="244" t="s">
        <v>2271</v>
      </c>
      <c r="I2014"/>
      <c r="J2014" s="4"/>
      <c r="K2014" s="34"/>
    </row>
    <row r="2015" spans="1:11" hidden="1">
      <c r="A2015" s="386"/>
      <c r="H2015" s="248" t="s">
        <v>1667</v>
      </c>
      <c r="I2015"/>
      <c r="J2015" s="4"/>
      <c r="K2015" s="34"/>
    </row>
    <row r="2016" spans="1:11" hidden="1">
      <c r="A2016" s="386"/>
      <c r="F2016" s="251">
        <v>3</v>
      </c>
      <c r="G2016" s="250" t="s">
        <v>2272</v>
      </c>
      <c r="H2016" s="244" t="s">
        <v>2273</v>
      </c>
      <c r="I2016" s="8">
        <v>108</v>
      </c>
      <c r="J2016" s="2" t="s">
        <v>2272</v>
      </c>
      <c r="K2016" s="6">
        <f>(F2016*I2016)</f>
        <v>324</v>
      </c>
    </row>
    <row r="2017" spans="1:11" hidden="1">
      <c r="A2017" s="386"/>
      <c r="F2017" s="251">
        <v>1</v>
      </c>
      <c r="G2017" s="250" t="s">
        <v>1843</v>
      </c>
      <c r="H2017" s="244" t="s">
        <v>2274</v>
      </c>
      <c r="I2017" s="8">
        <v>12</v>
      </c>
      <c r="J2017" s="2" t="s">
        <v>1843</v>
      </c>
      <c r="K2017" s="6">
        <f>(F2017*I2017)</f>
        <v>12</v>
      </c>
    </row>
    <row r="2018" spans="1:11" hidden="1">
      <c r="A2018" s="386"/>
      <c r="F2018" s="251">
        <v>1</v>
      </c>
      <c r="G2018" s="250" t="s">
        <v>1843</v>
      </c>
      <c r="H2018" s="244" t="s">
        <v>2275</v>
      </c>
      <c r="I2018" s="8">
        <v>8</v>
      </c>
      <c r="J2018" s="2" t="s">
        <v>1843</v>
      </c>
      <c r="K2018" s="6">
        <f>(F2018*I2018)</f>
        <v>8</v>
      </c>
    </row>
    <row r="2019" spans="1:11" hidden="1">
      <c r="A2019" s="386"/>
      <c r="F2019" s="354" t="s">
        <v>744</v>
      </c>
      <c r="H2019" s="244" t="s">
        <v>2276</v>
      </c>
      <c r="I2019" s="2" t="s">
        <v>744</v>
      </c>
      <c r="J2019" s="4"/>
      <c r="K2019" s="6">
        <v>1.21</v>
      </c>
    </row>
    <row r="2020" spans="1:11" hidden="1">
      <c r="A2020" s="386"/>
      <c r="I2020"/>
      <c r="J2020" s="4"/>
      <c r="K2020" s="6" t="s">
        <v>1667</v>
      </c>
    </row>
    <row r="2021" spans="1:11" hidden="1">
      <c r="A2021" s="386"/>
      <c r="H2021" s="244" t="s">
        <v>395</v>
      </c>
      <c r="I2021"/>
      <c r="J2021" s="4"/>
      <c r="K2021" s="6">
        <f>SUM(K2016:K2019)</f>
        <v>345.21</v>
      </c>
    </row>
    <row r="2022" spans="1:11" hidden="1">
      <c r="A2022" s="386"/>
      <c r="I2022"/>
      <c r="J2022" s="4"/>
      <c r="K2022" s="6" t="s">
        <v>1667</v>
      </c>
    </row>
    <row r="2023" spans="1:11" hidden="1">
      <c r="A2023" s="386"/>
      <c r="I2023"/>
      <c r="J2023" s="4"/>
      <c r="K2023" s="34"/>
    </row>
    <row r="2024" spans="1:11" hidden="1">
      <c r="A2024" s="386"/>
      <c r="F2024" s="354" t="s">
        <v>396</v>
      </c>
      <c r="G2024" s="250" t="s">
        <v>2338</v>
      </c>
      <c r="H2024" s="244" t="s">
        <v>1177</v>
      </c>
      <c r="I2024"/>
      <c r="J2024" s="4"/>
      <c r="K2024" s="34"/>
    </row>
    <row r="2025" spans="1:11" hidden="1">
      <c r="A2025" s="386"/>
      <c r="H2025" s="244" t="s">
        <v>298</v>
      </c>
      <c r="I2025"/>
      <c r="J2025" s="4"/>
      <c r="K2025" s="34"/>
    </row>
    <row r="2026" spans="1:11" hidden="1">
      <c r="A2026" s="386"/>
      <c r="H2026" s="248" t="s">
        <v>1667</v>
      </c>
      <c r="I2026"/>
      <c r="J2026" s="4"/>
      <c r="K2026" s="34"/>
    </row>
    <row r="2027" spans="1:11" hidden="1">
      <c r="A2027" s="386"/>
      <c r="F2027" s="251">
        <v>1</v>
      </c>
      <c r="G2027" s="250" t="s">
        <v>883</v>
      </c>
      <c r="H2027" s="244" t="s">
        <v>298</v>
      </c>
      <c r="I2027" s="8">
        <f>(C265)</f>
        <v>115</v>
      </c>
      <c r="J2027" s="2" t="s">
        <v>883</v>
      </c>
      <c r="K2027" s="6">
        <f>(F2027*I2027)</f>
        <v>115</v>
      </c>
    </row>
    <row r="2028" spans="1:11" hidden="1">
      <c r="A2028" s="386"/>
      <c r="F2028" s="251">
        <v>0.05</v>
      </c>
      <c r="G2028" s="250" t="s">
        <v>884</v>
      </c>
      <c r="H2028" s="244" t="s">
        <v>1225</v>
      </c>
      <c r="I2028" s="8" t="e">
        <f>(R60)</f>
        <v>#REF!</v>
      </c>
      <c r="J2028" s="2" t="s">
        <v>884</v>
      </c>
      <c r="K2028" s="6" t="e">
        <f>(F2028*I2028)</f>
        <v>#REF!</v>
      </c>
    </row>
    <row r="2029" spans="1:11" hidden="1">
      <c r="A2029" s="386"/>
      <c r="F2029" s="251">
        <v>0.5</v>
      </c>
      <c r="G2029" s="250" t="s">
        <v>883</v>
      </c>
      <c r="H2029" s="244" t="s">
        <v>2176</v>
      </c>
      <c r="I2029" s="8">
        <f>(C15)</f>
        <v>130</v>
      </c>
      <c r="J2029" s="2" t="s">
        <v>883</v>
      </c>
      <c r="K2029" s="6">
        <f>(F2029*I2029)</f>
        <v>65</v>
      </c>
    </row>
    <row r="2030" spans="1:11" hidden="1">
      <c r="A2030" s="386"/>
      <c r="F2030" s="251">
        <v>1</v>
      </c>
      <c r="G2030" s="250" t="s">
        <v>883</v>
      </c>
      <c r="H2030" s="244" t="s">
        <v>1979</v>
      </c>
      <c r="I2030" s="8">
        <f>(C12)</f>
        <v>95</v>
      </c>
      <c r="J2030" s="2" t="s">
        <v>883</v>
      </c>
      <c r="K2030" s="6">
        <f>(F2030*I2030)</f>
        <v>95</v>
      </c>
    </row>
    <row r="2031" spans="1:11" hidden="1">
      <c r="A2031" s="386"/>
      <c r="F2031" s="251">
        <v>1</v>
      </c>
      <c r="G2031" s="250" t="s">
        <v>883</v>
      </c>
      <c r="H2031" s="244" t="s">
        <v>324</v>
      </c>
      <c r="I2031" s="8">
        <f>(C13)</f>
        <v>85</v>
      </c>
      <c r="J2031" s="2" t="s">
        <v>883</v>
      </c>
      <c r="K2031" s="6">
        <f>(F2031*I2031)</f>
        <v>85</v>
      </c>
    </row>
    <row r="2032" spans="1:11" hidden="1">
      <c r="A2032" s="386"/>
      <c r="G2032" s="250" t="s">
        <v>448</v>
      </c>
      <c r="H2032" s="244" t="s">
        <v>449</v>
      </c>
      <c r="I2032" s="1" t="s">
        <v>995</v>
      </c>
      <c r="J2032" s="2" t="s">
        <v>448</v>
      </c>
      <c r="K2032" s="6">
        <v>0</v>
      </c>
    </row>
    <row r="2033" spans="1:11" hidden="1">
      <c r="A2033" s="386"/>
      <c r="H2033" s="244" t="s">
        <v>995</v>
      </c>
      <c r="I2033"/>
      <c r="J2033" s="4"/>
      <c r="K2033" s="6" t="s">
        <v>1667</v>
      </c>
    </row>
    <row r="2034" spans="1:11" hidden="1">
      <c r="A2034" s="386"/>
      <c r="H2034" s="244" t="s">
        <v>1834</v>
      </c>
      <c r="I2034"/>
      <c r="J2034" s="4"/>
      <c r="K2034" s="6" t="e">
        <f>SUM(K2027:K2032)</f>
        <v>#REF!</v>
      </c>
    </row>
    <row r="2035" spans="1:11" hidden="1">
      <c r="A2035" s="386"/>
      <c r="I2035"/>
      <c r="J2035" s="4"/>
      <c r="K2035" s="6" t="s">
        <v>2130</v>
      </c>
    </row>
    <row r="2036" spans="1:11" hidden="1">
      <c r="A2036" s="386"/>
      <c r="F2036" s="354" t="s">
        <v>1226</v>
      </c>
      <c r="G2036" s="250" t="s">
        <v>2338</v>
      </c>
      <c r="H2036" s="244" t="s">
        <v>2305</v>
      </c>
      <c r="I2036"/>
      <c r="J2036" s="4"/>
      <c r="K2036" s="34"/>
    </row>
    <row r="2037" spans="1:11" hidden="1">
      <c r="A2037" s="386"/>
      <c r="H2037" s="244" t="s">
        <v>2483</v>
      </c>
      <c r="I2037"/>
      <c r="J2037" s="4"/>
      <c r="K2037" s="34"/>
    </row>
    <row r="2038" spans="1:11" hidden="1">
      <c r="A2038" s="386"/>
      <c r="H2038" s="248" t="s">
        <v>1667</v>
      </c>
      <c r="I2038"/>
      <c r="J2038" s="4"/>
      <c r="K2038" s="34"/>
    </row>
    <row r="2039" spans="1:11" hidden="1">
      <c r="A2039" s="386"/>
      <c r="F2039" s="251">
        <v>1</v>
      </c>
      <c r="G2039" s="250" t="s">
        <v>883</v>
      </c>
      <c r="H2039" s="244" t="s">
        <v>2306</v>
      </c>
      <c r="I2039" s="8">
        <f>(D266)</f>
        <v>90</v>
      </c>
      <c r="J2039" s="2" t="s">
        <v>883</v>
      </c>
      <c r="K2039" s="6">
        <f>(F2039*I2039)</f>
        <v>90</v>
      </c>
    </row>
    <row r="2040" spans="1:11" hidden="1">
      <c r="A2040" s="386"/>
      <c r="G2040" s="250" t="s">
        <v>448</v>
      </c>
      <c r="H2040" s="244" t="s">
        <v>1772</v>
      </c>
      <c r="I2040"/>
      <c r="J2040" s="2" t="s">
        <v>448</v>
      </c>
      <c r="K2040" s="6">
        <v>4</v>
      </c>
    </row>
    <row r="2041" spans="1:11" hidden="1">
      <c r="A2041" s="386"/>
      <c r="I2041"/>
      <c r="J2041" s="2" t="s">
        <v>995</v>
      </c>
      <c r="K2041" s="6" t="s">
        <v>1667</v>
      </c>
    </row>
    <row r="2042" spans="1:11" hidden="1">
      <c r="A2042" s="386"/>
      <c r="H2042" s="244" t="s">
        <v>1834</v>
      </c>
      <c r="I2042"/>
      <c r="J2042" s="4"/>
      <c r="K2042" s="6">
        <f>SUM(K2039:K2041)</f>
        <v>94</v>
      </c>
    </row>
    <row r="2043" spans="1:11" hidden="1">
      <c r="A2043" s="386"/>
      <c r="I2043"/>
      <c r="J2043" s="4"/>
      <c r="K2043" s="6" t="s">
        <v>1667</v>
      </c>
    </row>
    <row r="2044" spans="1:11" hidden="1">
      <c r="A2044" s="386"/>
      <c r="F2044" s="354" t="s">
        <v>1773</v>
      </c>
      <c r="G2044" s="250" t="s">
        <v>2338</v>
      </c>
      <c r="H2044" s="244" t="s">
        <v>57</v>
      </c>
      <c r="I2044"/>
      <c r="J2044" s="4"/>
      <c r="K2044" s="34"/>
    </row>
    <row r="2045" spans="1:11" hidden="1">
      <c r="A2045" s="386"/>
      <c r="H2045" s="244" t="s">
        <v>58</v>
      </c>
      <c r="I2045"/>
      <c r="J2045" s="4"/>
      <c r="K2045" s="34"/>
    </row>
    <row r="2046" spans="1:11" hidden="1">
      <c r="A2046" s="386"/>
      <c r="H2046" s="248" t="s">
        <v>1667</v>
      </c>
      <c r="I2046"/>
      <c r="J2046" s="4"/>
      <c r="K2046" s="34"/>
    </row>
    <row r="2047" spans="1:11" hidden="1">
      <c r="A2047" s="386"/>
      <c r="F2047" s="251">
        <v>50</v>
      </c>
      <c r="G2047" s="250" t="s">
        <v>883</v>
      </c>
      <c r="H2047" s="244" t="s">
        <v>806</v>
      </c>
      <c r="I2047" s="8">
        <f>(C203)</f>
        <v>40</v>
      </c>
      <c r="J2047" s="2" t="s">
        <v>883</v>
      </c>
      <c r="K2047" s="6">
        <f t="shared" ref="K2047:K2056" si="72">(F2047*I2047)</f>
        <v>2000</v>
      </c>
    </row>
    <row r="2048" spans="1:11" hidden="1">
      <c r="A2048" s="386"/>
      <c r="F2048" s="251">
        <v>21.6</v>
      </c>
      <c r="G2048" s="250" t="s">
        <v>884</v>
      </c>
      <c r="H2048" s="244" t="s">
        <v>807</v>
      </c>
      <c r="I2048" s="8">
        <f>(C61*2)</f>
        <v>50</v>
      </c>
      <c r="J2048" s="2" t="s">
        <v>884</v>
      </c>
      <c r="K2048" s="6">
        <f t="shared" si="72"/>
        <v>1080</v>
      </c>
    </row>
    <row r="2049" spans="1:11" hidden="1">
      <c r="A2049" s="386"/>
      <c r="F2049" s="251">
        <v>21.6</v>
      </c>
      <c r="G2049" s="250" t="s">
        <v>884</v>
      </c>
      <c r="H2049" s="244" t="s">
        <v>248</v>
      </c>
      <c r="I2049" s="8">
        <f>(C26)</f>
        <v>8.8000000000000007</v>
      </c>
      <c r="J2049" s="2" t="s">
        <v>884</v>
      </c>
      <c r="K2049" s="6">
        <f t="shared" si="72"/>
        <v>190.08</v>
      </c>
    </row>
    <row r="2050" spans="1:11" hidden="1">
      <c r="A2050" s="386"/>
      <c r="F2050" s="251">
        <v>45</v>
      </c>
      <c r="G2050" s="250" t="s">
        <v>1730</v>
      </c>
      <c r="H2050" s="244" t="s">
        <v>877</v>
      </c>
      <c r="I2050" s="8">
        <f>(C67/1000)</f>
        <v>3.8</v>
      </c>
      <c r="J2050" s="2" t="s">
        <v>1730</v>
      </c>
      <c r="K2050" s="6">
        <f t="shared" si="72"/>
        <v>171</v>
      </c>
    </row>
    <row r="2051" spans="1:11" hidden="1">
      <c r="A2051" s="386"/>
      <c r="F2051" s="251">
        <v>0.04</v>
      </c>
      <c r="G2051" s="250" t="s">
        <v>884</v>
      </c>
      <c r="H2051" s="244" t="s">
        <v>885</v>
      </c>
      <c r="I2051" s="8" t="e">
        <f>(C78)</f>
        <v>#REF!</v>
      </c>
      <c r="J2051" s="2" t="s">
        <v>884</v>
      </c>
      <c r="K2051" s="6" t="e">
        <f t="shared" si="72"/>
        <v>#REF!</v>
      </c>
    </row>
    <row r="2052" spans="1:11" hidden="1">
      <c r="A2052" s="386"/>
      <c r="F2052" s="251">
        <v>3.63</v>
      </c>
      <c r="G2052" s="250" t="s">
        <v>1730</v>
      </c>
      <c r="H2052" s="244" t="s">
        <v>808</v>
      </c>
      <c r="I2052" s="8">
        <f>(C585)</f>
        <v>7</v>
      </c>
      <c r="J2052" s="2" t="s">
        <v>1730</v>
      </c>
      <c r="K2052" s="6">
        <f t="shared" si="72"/>
        <v>25.41</v>
      </c>
    </row>
    <row r="2053" spans="1:11" hidden="1">
      <c r="A2053" s="386"/>
      <c r="F2053" s="251">
        <v>2</v>
      </c>
      <c r="G2053" s="250" t="s">
        <v>883</v>
      </c>
      <c r="H2053" s="244" t="s">
        <v>2082</v>
      </c>
      <c r="I2053" s="8">
        <f>(C10)</f>
        <v>150</v>
      </c>
      <c r="J2053" s="2" t="s">
        <v>883</v>
      </c>
      <c r="K2053" s="6">
        <f t="shared" si="72"/>
        <v>300</v>
      </c>
    </row>
    <row r="2054" spans="1:11" hidden="1">
      <c r="A2054" s="386"/>
      <c r="F2054" s="251">
        <v>1</v>
      </c>
      <c r="G2054" s="250" t="s">
        <v>883</v>
      </c>
      <c r="H2054" s="244" t="s">
        <v>809</v>
      </c>
      <c r="I2054" s="8">
        <f>AE37</f>
        <v>120</v>
      </c>
      <c r="J2054" s="2" t="s">
        <v>883</v>
      </c>
      <c r="K2054" s="6">
        <f t="shared" si="72"/>
        <v>120</v>
      </c>
    </row>
    <row r="2055" spans="1:11" hidden="1">
      <c r="A2055" s="386"/>
      <c r="F2055" s="251">
        <v>5</v>
      </c>
      <c r="G2055" s="250" t="s">
        <v>883</v>
      </c>
      <c r="H2055" s="244" t="s">
        <v>1979</v>
      </c>
      <c r="I2055" s="8">
        <f>(C12)</f>
        <v>95</v>
      </c>
      <c r="J2055" s="2" t="s">
        <v>883</v>
      </c>
      <c r="K2055" s="6">
        <f t="shared" si="72"/>
        <v>475</v>
      </c>
    </row>
    <row r="2056" spans="1:11" hidden="1">
      <c r="A2056" s="386"/>
      <c r="F2056" s="251">
        <v>2</v>
      </c>
      <c r="G2056" s="250" t="s">
        <v>883</v>
      </c>
      <c r="H2056" s="244" t="s">
        <v>324</v>
      </c>
      <c r="I2056" s="8">
        <f>(C13)</f>
        <v>85</v>
      </c>
      <c r="J2056" s="2" t="s">
        <v>883</v>
      </c>
      <c r="K2056" s="6">
        <f t="shared" si="72"/>
        <v>170</v>
      </c>
    </row>
    <row r="2057" spans="1:11" hidden="1">
      <c r="A2057" s="386"/>
      <c r="G2057" s="250" t="s">
        <v>448</v>
      </c>
      <c r="H2057" s="244" t="s">
        <v>2210</v>
      </c>
      <c r="I2057"/>
      <c r="J2057" s="2" t="s">
        <v>448</v>
      </c>
      <c r="K2057" s="6">
        <f>SUM(K2053:K2056)/10</f>
        <v>106.5</v>
      </c>
    </row>
    <row r="2058" spans="1:11" hidden="1">
      <c r="A2058" s="386"/>
      <c r="I2058"/>
      <c r="J2058" s="4"/>
      <c r="K2058" s="6" t="s">
        <v>1667</v>
      </c>
    </row>
    <row r="2059" spans="1:11" hidden="1">
      <c r="A2059" s="386"/>
      <c r="H2059" s="244" t="s">
        <v>2211</v>
      </c>
      <c r="I2059"/>
      <c r="J2059" s="4"/>
      <c r="K2059" s="6" t="e">
        <f>SUM(K2047:K2057)</f>
        <v>#REF!</v>
      </c>
    </row>
    <row r="2060" spans="1:11" hidden="1">
      <c r="A2060" s="386"/>
      <c r="I2060"/>
      <c r="J2060" s="4"/>
      <c r="K2060" s="6" t="s">
        <v>1667</v>
      </c>
    </row>
    <row r="2061" spans="1:11" hidden="1">
      <c r="A2061" s="386"/>
      <c r="H2061" s="244" t="s">
        <v>1167</v>
      </c>
      <c r="I2061"/>
      <c r="J2061" s="4"/>
      <c r="K2061" s="6" t="e">
        <f>(K2059/30)</f>
        <v>#REF!</v>
      </c>
    </row>
    <row r="2062" spans="1:11" hidden="1">
      <c r="A2062" s="386"/>
      <c r="I2062"/>
      <c r="J2062" s="4"/>
      <c r="K2062" s="6" t="s">
        <v>2130</v>
      </c>
    </row>
    <row r="2063" spans="1:11" hidden="1">
      <c r="A2063" s="386"/>
      <c r="I2063"/>
      <c r="J2063" s="4"/>
      <c r="K2063" s="34"/>
    </row>
    <row r="2064" spans="1:11" hidden="1">
      <c r="A2064" s="386"/>
      <c r="F2064" s="354" t="s">
        <v>1168</v>
      </c>
      <c r="G2064" s="250" t="s">
        <v>2338</v>
      </c>
      <c r="H2064" s="244" t="s">
        <v>1041</v>
      </c>
      <c r="I2064"/>
      <c r="J2064" s="4"/>
      <c r="K2064" s="34"/>
    </row>
    <row r="2065" spans="1:11" hidden="1">
      <c r="A2065" s="386"/>
      <c r="H2065" s="244" t="s">
        <v>58</v>
      </c>
      <c r="I2065"/>
      <c r="J2065" s="4"/>
      <c r="K2065" s="34"/>
    </row>
    <row r="2066" spans="1:11" hidden="1">
      <c r="A2066" s="386"/>
      <c r="H2066" s="248" t="s">
        <v>1667</v>
      </c>
      <c r="I2066"/>
      <c r="J2066" s="4"/>
      <c r="K2066" s="34"/>
    </row>
    <row r="2067" spans="1:11" hidden="1">
      <c r="A2067" s="386"/>
      <c r="F2067" s="251">
        <v>50</v>
      </c>
      <c r="G2067" s="250" t="s">
        <v>883</v>
      </c>
      <c r="H2067" s="244" t="s">
        <v>571</v>
      </c>
      <c r="I2067" s="8">
        <f>C204</f>
        <v>65</v>
      </c>
      <c r="J2067" s="2" t="s">
        <v>883</v>
      </c>
      <c r="K2067" s="6">
        <f t="shared" ref="K2067:K2076" si="73">(F2067*I2067)</f>
        <v>3250</v>
      </c>
    </row>
    <row r="2068" spans="1:11" hidden="1">
      <c r="A2068" s="386"/>
      <c r="F2068" s="251">
        <v>21.6</v>
      </c>
      <c r="G2068" s="250" t="s">
        <v>884</v>
      </c>
      <c r="H2068" s="244" t="s">
        <v>807</v>
      </c>
      <c r="I2068" s="8">
        <f>(C61*2)</f>
        <v>50</v>
      </c>
      <c r="J2068" s="2" t="s">
        <v>884</v>
      </c>
      <c r="K2068" s="6">
        <f t="shared" si="73"/>
        <v>1080</v>
      </c>
    </row>
    <row r="2069" spans="1:11" hidden="1">
      <c r="A2069" s="386"/>
      <c r="F2069" s="251">
        <v>21.6</v>
      </c>
      <c r="G2069" s="250" t="s">
        <v>884</v>
      </c>
      <c r="H2069" s="244" t="s">
        <v>248</v>
      </c>
      <c r="I2069" s="8">
        <f>(C26)</f>
        <v>8.8000000000000007</v>
      </c>
      <c r="J2069" s="2" t="s">
        <v>884</v>
      </c>
      <c r="K2069" s="6">
        <f t="shared" si="73"/>
        <v>190.08</v>
      </c>
    </row>
    <row r="2070" spans="1:11" hidden="1">
      <c r="A2070" s="386"/>
      <c r="F2070" s="251">
        <v>68</v>
      </c>
      <c r="G2070" s="250" t="s">
        <v>1730</v>
      </c>
      <c r="H2070" s="244" t="s">
        <v>877</v>
      </c>
      <c r="I2070" s="8">
        <f>(C67/1000)</f>
        <v>3.8</v>
      </c>
      <c r="J2070" s="2" t="s">
        <v>1730</v>
      </c>
      <c r="K2070" s="6">
        <f t="shared" si="73"/>
        <v>258.39999999999998</v>
      </c>
    </row>
    <row r="2071" spans="1:11" hidden="1">
      <c r="A2071" s="386"/>
      <c r="F2071" s="251">
        <v>7.0000000000000007E-2</v>
      </c>
      <c r="G2071" s="250" t="s">
        <v>884</v>
      </c>
      <c r="H2071" s="244" t="s">
        <v>885</v>
      </c>
      <c r="I2071" s="8" t="e">
        <f>(C78)</f>
        <v>#REF!</v>
      </c>
      <c r="J2071" s="2" t="s">
        <v>884</v>
      </c>
      <c r="K2071" s="6" t="e">
        <f t="shared" si="73"/>
        <v>#REF!</v>
      </c>
    </row>
    <row r="2072" spans="1:11" hidden="1">
      <c r="A2072" s="386"/>
      <c r="F2072" s="251">
        <v>5.45</v>
      </c>
      <c r="G2072" s="250" t="s">
        <v>1730</v>
      </c>
      <c r="H2072" s="244" t="s">
        <v>808</v>
      </c>
      <c r="I2072" s="8">
        <f>(C585)</f>
        <v>7</v>
      </c>
      <c r="J2072" s="2" t="s">
        <v>1730</v>
      </c>
      <c r="K2072" s="6">
        <f t="shared" si="73"/>
        <v>38.15</v>
      </c>
    </row>
    <row r="2073" spans="1:11" hidden="1">
      <c r="A2073" s="386"/>
      <c r="F2073" s="251">
        <v>3</v>
      </c>
      <c r="G2073" s="250" t="s">
        <v>883</v>
      </c>
      <c r="H2073" s="244" t="s">
        <v>2082</v>
      </c>
      <c r="I2073" s="8">
        <f>(C10)</f>
        <v>150</v>
      </c>
      <c r="J2073" s="2" t="s">
        <v>883</v>
      </c>
      <c r="K2073" s="6">
        <f t="shared" si="73"/>
        <v>450</v>
      </c>
    </row>
    <row r="2074" spans="1:11" hidden="1">
      <c r="A2074" s="386"/>
      <c r="F2074" s="251">
        <v>2</v>
      </c>
      <c r="G2074" s="250" t="s">
        <v>883</v>
      </c>
      <c r="H2074" s="244" t="s">
        <v>809</v>
      </c>
      <c r="I2074" s="8">
        <f>AE37</f>
        <v>120</v>
      </c>
      <c r="J2074" s="2" t="s">
        <v>883</v>
      </c>
      <c r="K2074" s="6">
        <f t="shared" si="73"/>
        <v>240</v>
      </c>
    </row>
    <row r="2075" spans="1:11" hidden="1">
      <c r="A2075" s="386"/>
      <c r="F2075" s="251">
        <v>6</v>
      </c>
      <c r="G2075" s="250" t="s">
        <v>883</v>
      </c>
      <c r="H2075" s="244" t="s">
        <v>1979</v>
      </c>
      <c r="I2075" s="8">
        <f>(C12)</f>
        <v>95</v>
      </c>
      <c r="J2075" s="2" t="s">
        <v>883</v>
      </c>
      <c r="K2075" s="6">
        <f t="shared" si="73"/>
        <v>570</v>
      </c>
    </row>
    <row r="2076" spans="1:11" hidden="1">
      <c r="A2076" s="386"/>
      <c r="F2076" s="251">
        <v>3</v>
      </c>
      <c r="G2076" s="250" t="s">
        <v>883</v>
      </c>
      <c r="H2076" s="244" t="s">
        <v>324</v>
      </c>
      <c r="I2076" s="8">
        <f>(C13)</f>
        <v>85</v>
      </c>
      <c r="J2076" s="2" t="s">
        <v>883</v>
      </c>
      <c r="K2076" s="6">
        <f t="shared" si="73"/>
        <v>255</v>
      </c>
    </row>
    <row r="2077" spans="1:11" hidden="1">
      <c r="A2077" s="386"/>
      <c r="G2077" s="250" t="s">
        <v>448</v>
      </c>
      <c r="H2077" s="244" t="s">
        <v>2210</v>
      </c>
      <c r="I2077"/>
      <c r="J2077" s="2" t="s">
        <v>448</v>
      </c>
      <c r="K2077" s="6">
        <f>SUM(K2073:K2076)/10</f>
        <v>151.5</v>
      </c>
    </row>
    <row r="2078" spans="1:11" hidden="1">
      <c r="A2078" s="386"/>
      <c r="I2078"/>
      <c r="J2078" s="4"/>
      <c r="K2078" s="6" t="s">
        <v>1667</v>
      </c>
    </row>
    <row r="2079" spans="1:11" hidden="1">
      <c r="A2079" s="386"/>
      <c r="H2079" s="244" t="s">
        <v>2211</v>
      </c>
      <c r="I2079"/>
      <c r="J2079" s="4"/>
      <c r="K2079" s="6" t="e">
        <f>SUM(K2067:K2077)</f>
        <v>#REF!</v>
      </c>
    </row>
    <row r="2080" spans="1:11" hidden="1">
      <c r="A2080" s="386"/>
      <c r="I2080"/>
      <c r="J2080" s="4"/>
      <c r="K2080" s="6" t="s">
        <v>1667</v>
      </c>
    </row>
    <row r="2081" spans="1:11" hidden="1">
      <c r="A2081" s="386"/>
      <c r="H2081" s="244" t="s">
        <v>1167</v>
      </c>
      <c r="I2081"/>
      <c r="J2081" s="4"/>
      <c r="K2081" s="6" t="e">
        <f>(K2079/30)</f>
        <v>#REF!</v>
      </c>
    </row>
    <row r="2082" spans="1:11" hidden="1">
      <c r="A2082" s="386"/>
      <c r="I2082"/>
      <c r="J2082" s="4"/>
      <c r="K2082" s="6" t="s">
        <v>2130</v>
      </c>
    </row>
    <row r="2083" spans="1:11" hidden="1">
      <c r="A2083" s="386"/>
      <c r="F2083" s="354" t="s">
        <v>572</v>
      </c>
      <c r="G2083" s="250" t="s">
        <v>2338</v>
      </c>
      <c r="H2083" s="244" t="s">
        <v>57</v>
      </c>
      <c r="I2083"/>
      <c r="J2083" s="4"/>
      <c r="K2083" s="34"/>
    </row>
    <row r="2084" spans="1:11" hidden="1">
      <c r="A2084" s="386"/>
      <c r="H2084" s="244" t="s">
        <v>223</v>
      </c>
      <c r="I2084"/>
      <c r="J2084" s="4"/>
      <c r="K2084" s="34"/>
    </row>
    <row r="2085" spans="1:11" hidden="1">
      <c r="A2085" s="386"/>
      <c r="H2085" s="248" t="s">
        <v>1667</v>
      </c>
      <c r="I2085"/>
      <c r="J2085" s="4"/>
      <c r="K2085" s="34"/>
    </row>
    <row r="2086" spans="1:11" hidden="1">
      <c r="A2086" s="386"/>
      <c r="F2086" s="251">
        <v>50</v>
      </c>
      <c r="G2086" s="250" t="s">
        <v>883</v>
      </c>
      <c r="H2086" s="244" t="s">
        <v>224</v>
      </c>
      <c r="I2086" s="8">
        <f>C203</f>
        <v>40</v>
      </c>
      <c r="J2086" s="2" t="s">
        <v>883</v>
      </c>
      <c r="K2086" s="6">
        <f>(F2086*I2086)</f>
        <v>2000</v>
      </c>
    </row>
    <row r="2087" spans="1:11" hidden="1">
      <c r="A2087" s="386"/>
      <c r="F2087" s="251">
        <v>1</v>
      </c>
      <c r="G2087" s="250" t="s">
        <v>883</v>
      </c>
      <c r="H2087" s="244" t="s">
        <v>809</v>
      </c>
      <c r="I2087" s="8">
        <f>AE37</f>
        <v>120</v>
      </c>
      <c r="J2087" s="2" t="s">
        <v>883</v>
      </c>
      <c r="K2087" s="6">
        <f>(F2087*I2087)</f>
        <v>120</v>
      </c>
    </row>
    <row r="2088" spans="1:11" hidden="1">
      <c r="A2088" s="386"/>
      <c r="F2088" s="251">
        <v>5</v>
      </c>
      <c r="G2088" s="250" t="s">
        <v>883</v>
      </c>
      <c r="H2088" s="244" t="s">
        <v>1979</v>
      </c>
      <c r="I2088" s="8">
        <f>C12</f>
        <v>95</v>
      </c>
      <c r="J2088" s="2" t="s">
        <v>883</v>
      </c>
      <c r="K2088" s="6">
        <f>(F2088*I2088)</f>
        <v>475</v>
      </c>
    </row>
    <row r="2089" spans="1:11" hidden="1">
      <c r="A2089" s="386"/>
      <c r="I2089"/>
      <c r="J2089" s="4"/>
      <c r="K2089" s="6" t="s">
        <v>1667</v>
      </c>
    </row>
    <row r="2090" spans="1:11" hidden="1">
      <c r="A2090" s="386"/>
      <c r="H2090" s="244" t="s">
        <v>2211</v>
      </c>
      <c r="I2090"/>
      <c r="J2090" s="4"/>
      <c r="K2090" s="6">
        <f>SUM(K2086:K2088)</f>
        <v>2595</v>
      </c>
    </row>
    <row r="2091" spans="1:11" hidden="1">
      <c r="A2091" s="386"/>
      <c r="F2091" s="244" t="s">
        <v>995</v>
      </c>
      <c r="I2091"/>
      <c r="J2091" s="4"/>
      <c r="K2091" s="6" t="s">
        <v>1667</v>
      </c>
    </row>
    <row r="2092" spans="1:11" hidden="1">
      <c r="A2092" s="386"/>
      <c r="H2092" s="244" t="s">
        <v>1167</v>
      </c>
      <c r="I2092"/>
      <c r="J2092" s="4"/>
      <c r="K2092" s="6">
        <f>(K2090/30)</f>
        <v>86.5</v>
      </c>
    </row>
    <row r="2093" spans="1:11" hidden="1">
      <c r="A2093" s="386"/>
      <c r="F2093" s="244" t="s">
        <v>995</v>
      </c>
      <c r="I2093"/>
      <c r="J2093" s="4"/>
      <c r="K2093" s="34"/>
    </row>
    <row r="2094" spans="1:11" hidden="1">
      <c r="A2094" s="386"/>
      <c r="F2094" s="244" t="s">
        <v>995</v>
      </c>
      <c r="I2094"/>
      <c r="J2094" s="4"/>
      <c r="K2094" s="34"/>
    </row>
    <row r="2095" spans="1:11" hidden="1">
      <c r="A2095" s="386"/>
      <c r="I2095"/>
      <c r="J2095" s="4"/>
      <c r="K2095" s="6" t="s">
        <v>2130</v>
      </c>
    </row>
    <row r="2096" spans="1:11" hidden="1">
      <c r="A2096" s="386"/>
      <c r="F2096" s="354" t="s">
        <v>1168</v>
      </c>
      <c r="G2096" s="250" t="s">
        <v>2338</v>
      </c>
      <c r="H2096" s="244" t="s">
        <v>1041</v>
      </c>
      <c r="I2096"/>
      <c r="J2096" s="4"/>
      <c r="K2096" s="34"/>
    </row>
    <row r="2097" spans="1:11" hidden="1">
      <c r="A2097" s="386"/>
      <c r="H2097" s="251" t="str">
        <f>H2084</f>
        <v>DIA S.W.PIPE(LOOSE JOINTING)</v>
      </c>
      <c r="I2097"/>
      <c r="J2097" s="4"/>
      <c r="K2097" s="34"/>
    </row>
    <row r="2098" spans="1:11" hidden="1">
      <c r="A2098" s="386"/>
      <c r="H2098" s="248" t="s">
        <v>1667</v>
      </c>
      <c r="I2098"/>
      <c r="J2098" s="4"/>
      <c r="K2098" s="34"/>
    </row>
    <row r="2099" spans="1:11" hidden="1">
      <c r="A2099" s="386"/>
      <c r="F2099" s="251">
        <v>50</v>
      </c>
      <c r="G2099" s="250" t="s">
        <v>883</v>
      </c>
      <c r="H2099" s="244" t="s">
        <v>225</v>
      </c>
      <c r="I2099" s="8">
        <f>C204</f>
        <v>65</v>
      </c>
      <c r="J2099" s="2" t="s">
        <v>883</v>
      </c>
      <c r="K2099" s="6">
        <f>(F2099*I2099)</f>
        <v>3250</v>
      </c>
    </row>
    <row r="2100" spans="1:11" hidden="1">
      <c r="A2100" s="386"/>
      <c r="F2100" s="251">
        <v>2</v>
      </c>
      <c r="G2100" s="250" t="s">
        <v>883</v>
      </c>
      <c r="H2100" s="244" t="s">
        <v>809</v>
      </c>
      <c r="I2100" s="8">
        <f>AE37</f>
        <v>120</v>
      </c>
      <c r="J2100" s="2" t="s">
        <v>883</v>
      </c>
      <c r="K2100" s="6">
        <f>(F2100*I2100)</f>
        <v>240</v>
      </c>
    </row>
    <row r="2101" spans="1:11" hidden="1">
      <c r="A2101" s="386"/>
      <c r="F2101" s="251">
        <v>6</v>
      </c>
      <c r="G2101" s="250" t="s">
        <v>883</v>
      </c>
      <c r="H2101" s="244" t="s">
        <v>1979</v>
      </c>
      <c r="I2101" s="8">
        <f>C12</f>
        <v>95</v>
      </c>
      <c r="J2101" s="2" t="s">
        <v>883</v>
      </c>
      <c r="K2101" s="6">
        <f>(F2101*I2101)</f>
        <v>570</v>
      </c>
    </row>
    <row r="2102" spans="1:11" hidden="1">
      <c r="A2102" s="386"/>
      <c r="I2102"/>
      <c r="J2102" s="4"/>
      <c r="K2102" s="6" t="s">
        <v>1667</v>
      </c>
    </row>
    <row r="2103" spans="1:11" hidden="1">
      <c r="A2103" s="386"/>
      <c r="H2103" s="244" t="s">
        <v>2211</v>
      </c>
      <c r="I2103"/>
      <c r="J2103" s="4"/>
      <c r="K2103" s="6">
        <f>SUM(K2099:K2101)</f>
        <v>4060</v>
      </c>
    </row>
    <row r="2104" spans="1:11" hidden="1">
      <c r="A2104" s="386"/>
      <c r="I2104"/>
      <c r="J2104" s="4"/>
      <c r="K2104" s="6" t="s">
        <v>1667</v>
      </c>
    </row>
    <row r="2105" spans="1:11" hidden="1">
      <c r="A2105" s="386"/>
      <c r="H2105" s="244" t="s">
        <v>1167</v>
      </c>
      <c r="I2105"/>
      <c r="J2105" s="4"/>
      <c r="K2105" s="6">
        <f>(K2103/30)</f>
        <v>135.33000000000001</v>
      </c>
    </row>
    <row r="2106" spans="1:11" hidden="1">
      <c r="A2106" s="386"/>
      <c r="I2106"/>
      <c r="J2106" s="4"/>
      <c r="K2106" s="6" t="s">
        <v>2130</v>
      </c>
    </row>
    <row r="2107" spans="1:11" hidden="1">
      <c r="A2107" s="386"/>
      <c r="H2107" s="354" t="s">
        <v>226</v>
      </c>
      <c r="I2107"/>
      <c r="J2107" s="4"/>
      <c r="K2107" s="6">
        <f>SUM(K2104:K2105)</f>
        <v>135.33000000000001</v>
      </c>
    </row>
    <row r="2108" spans="1:11" hidden="1">
      <c r="A2108" s="386"/>
      <c r="I2108"/>
      <c r="J2108" s="4"/>
      <c r="K2108" s="6" t="s">
        <v>2130</v>
      </c>
    </row>
    <row r="2109" spans="1:11" hidden="1">
      <c r="A2109" s="386"/>
      <c r="F2109" s="354" t="s">
        <v>1946</v>
      </c>
      <c r="G2109" s="250" t="s">
        <v>2338</v>
      </c>
      <c r="H2109" s="244" t="s">
        <v>57</v>
      </c>
      <c r="I2109"/>
      <c r="J2109" s="4"/>
      <c r="K2109" s="34"/>
    </row>
    <row r="2110" spans="1:11" hidden="1">
      <c r="A2110" s="386"/>
      <c r="H2110" s="244" t="s">
        <v>61</v>
      </c>
      <c r="I2110"/>
      <c r="J2110" s="4"/>
      <c r="K2110" s="34"/>
    </row>
    <row r="2111" spans="1:11" hidden="1">
      <c r="A2111" s="386"/>
      <c r="H2111" s="248" t="s">
        <v>1667</v>
      </c>
      <c r="I2111"/>
      <c r="J2111" s="4"/>
      <c r="K2111" s="34"/>
    </row>
    <row r="2112" spans="1:11" hidden="1">
      <c r="A2112" s="386"/>
      <c r="F2112" s="251">
        <v>1</v>
      </c>
      <c r="G2112" s="250" t="s">
        <v>883</v>
      </c>
      <c r="H2112" s="244" t="s">
        <v>1126</v>
      </c>
      <c r="I2112" s="8">
        <f>C205</f>
        <v>65</v>
      </c>
      <c r="J2112" s="2" t="s">
        <v>883</v>
      </c>
      <c r="K2112" s="6">
        <f>(F2112*I2112)</f>
        <v>65</v>
      </c>
    </row>
    <row r="2113" spans="1:11" hidden="1">
      <c r="A2113" s="386"/>
      <c r="F2113" s="244" t="s">
        <v>995</v>
      </c>
      <c r="H2113" s="244" t="s">
        <v>62</v>
      </c>
      <c r="I2113"/>
      <c r="J2113" s="4"/>
      <c r="K2113" s="34"/>
    </row>
    <row r="2114" spans="1:11" hidden="1">
      <c r="A2114" s="386"/>
      <c r="F2114" s="244" t="s">
        <v>995</v>
      </c>
      <c r="H2114" s="244" t="s">
        <v>63</v>
      </c>
      <c r="I2114" s="2" t="s">
        <v>448</v>
      </c>
      <c r="J2114" s="4"/>
      <c r="K2114" s="6">
        <v>2.5</v>
      </c>
    </row>
    <row r="2115" spans="1:11" hidden="1">
      <c r="A2115" s="386"/>
      <c r="I2115"/>
      <c r="J2115" s="4"/>
      <c r="K2115" s="6" t="s">
        <v>1667</v>
      </c>
    </row>
    <row r="2116" spans="1:11" hidden="1">
      <c r="A2116" s="386"/>
      <c r="H2116" s="244" t="s">
        <v>2211</v>
      </c>
      <c r="I2116"/>
      <c r="J2116" s="4"/>
      <c r="K2116" s="6">
        <f>SUM(K2112:K2114)</f>
        <v>67.5</v>
      </c>
    </row>
    <row r="2117" spans="1:11" hidden="1">
      <c r="A2117" s="386"/>
      <c r="F2117" s="354" t="s">
        <v>1946</v>
      </c>
      <c r="G2117" s="250" t="s">
        <v>2338</v>
      </c>
      <c r="H2117" s="244" t="s">
        <v>1041</v>
      </c>
      <c r="I2117"/>
      <c r="J2117" s="4"/>
      <c r="K2117" s="6" t="s">
        <v>1667</v>
      </c>
    </row>
    <row r="2118" spans="1:11" hidden="1">
      <c r="A2118" s="386"/>
      <c r="H2118" s="244" t="s">
        <v>61</v>
      </c>
      <c r="I2118"/>
      <c r="J2118" s="4"/>
      <c r="K2118" s="6"/>
    </row>
    <row r="2119" spans="1:11" hidden="1">
      <c r="A2119" s="386"/>
      <c r="H2119" s="248" t="s">
        <v>1667</v>
      </c>
      <c r="I2119"/>
      <c r="J2119" s="4"/>
      <c r="K2119" s="6" t="s">
        <v>1667</v>
      </c>
    </row>
    <row r="2120" spans="1:11" hidden="1">
      <c r="A2120" s="386"/>
      <c r="F2120" s="245">
        <v>1</v>
      </c>
      <c r="G2120" s="243" t="s">
        <v>781</v>
      </c>
      <c r="H2120" s="244" t="s">
        <v>1125</v>
      </c>
      <c r="I2120"/>
      <c r="J2120" s="4" t="s">
        <v>1454</v>
      </c>
      <c r="K2120" s="6">
        <v>92.5</v>
      </c>
    </row>
    <row r="2121" spans="1:11" hidden="1">
      <c r="A2121" s="386"/>
      <c r="I2121"/>
      <c r="J2121" s="4"/>
      <c r="K2121" s="6" t="s">
        <v>1667</v>
      </c>
    </row>
    <row r="2122" spans="1:11" hidden="1">
      <c r="A2122" s="386"/>
      <c r="F2122" s="354" t="s">
        <v>1324</v>
      </c>
      <c r="G2122" s="250" t="s">
        <v>2338</v>
      </c>
      <c r="H2122" s="244" t="s">
        <v>57</v>
      </c>
      <c r="I2122"/>
      <c r="J2122" s="4"/>
      <c r="K2122" s="34"/>
    </row>
    <row r="2123" spans="1:11" hidden="1">
      <c r="A2123" s="386"/>
      <c r="H2123" s="244" t="s">
        <v>1331</v>
      </c>
      <c r="I2123"/>
      <c r="J2123" s="4"/>
      <c r="K2123" s="34"/>
    </row>
    <row r="2124" spans="1:11" hidden="1">
      <c r="A2124" s="386"/>
      <c r="H2124" s="248" t="s">
        <v>1667</v>
      </c>
      <c r="I2124"/>
      <c r="J2124" s="4"/>
      <c r="K2124" s="34"/>
    </row>
    <row r="2125" spans="1:11" hidden="1">
      <c r="A2125" s="386"/>
      <c r="F2125" s="251">
        <v>1</v>
      </c>
      <c r="G2125" s="250" t="s">
        <v>883</v>
      </c>
      <c r="H2125" s="244" t="s">
        <v>1124</v>
      </c>
      <c r="I2125" s="8">
        <f>C202</f>
        <v>75</v>
      </c>
      <c r="J2125" s="2" t="s">
        <v>883</v>
      </c>
      <c r="K2125" s="6">
        <f>(F2125*I2125)</f>
        <v>75</v>
      </c>
    </row>
    <row r="2126" spans="1:11" hidden="1">
      <c r="A2126" s="386"/>
      <c r="F2126" s="244" t="s">
        <v>995</v>
      </c>
      <c r="H2126" s="244" t="s">
        <v>62</v>
      </c>
      <c r="I2126"/>
      <c r="J2126" s="4"/>
      <c r="K2126" s="34"/>
    </row>
    <row r="2127" spans="1:11" hidden="1">
      <c r="A2127" s="386"/>
      <c r="F2127" s="244" t="s">
        <v>995</v>
      </c>
      <c r="H2127" s="244" t="s">
        <v>63</v>
      </c>
      <c r="I2127" s="2" t="s">
        <v>448</v>
      </c>
      <c r="J2127" s="4"/>
      <c r="K2127" s="6">
        <v>3</v>
      </c>
    </row>
    <row r="2128" spans="1:11" hidden="1">
      <c r="A2128" s="386"/>
      <c r="I2128"/>
      <c r="J2128" s="4"/>
      <c r="K2128" s="6" t="s">
        <v>1667</v>
      </c>
    </row>
    <row r="2129" spans="1:11" hidden="1">
      <c r="A2129" s="386"/>
      <c r="H2129" s="244" t="s">
        <v>2211</v>
      </c>
      <c r="I2129"/>
      <c r="J2129" s="4"/>
      <c r="K2129" s="6">
        <f>SUM(K2125:K2127)</f>
        <v>78</v>
      </c>
    </row>
    <row r="2130" spans="1:11" hidden="1">
      <c r="A2130" s="386"/>
      <c r="I2130"/>
      <c r="J2130" s="4"/>
      <c r="K2130" s="6" t="s">
        <v>1667</v>
      </c>
    </row>
    <row r="2131" spans="1:11" hidden="1">
      <c r="A2131" s="386"/>
      <c r="I2131"/>
      <c r="J2131" s="4"/>
      <c r="K2131" s="34"/>
    </row>
    <row r="2132" spans="1:11" hidden="1">
      <c r="A2132" s="386"/>
      <c r="F2132" s="354" t="s">
        <v>1883</v>
      </c>
      <c r="G2132" s="250" t="s">
        <v>2338</v>
      </c>
      <c r="H2132" s="244" t="s">
        <v>1041</v>
      </c>
      <c r="I2132"/>
      <c r="J2132" s="4"/>
      <c r="K2132" s="34"/>
    </row>
    <row r="2133" spans="1:11" hidden="1">
      <c r="A2133" s="386"/>
      <c r="H2133" s="244" t="s">
        <v>1331</v>
      </c>
      <c r="I2133"/>
      <c r="J2133" s="4"/>
      <c r="K2133" s="34"/>
    </row>
    <row r="2134" spans="1:11" hidden="1">
      <c r="A2134" s="386"/>
      <c r="H2134" s="248" t="s">
        <v>1667</v>
      </c>
      <c r="I2134"/>
      <c r="J2134" s="4"/>
      <c r="K2134" s="34"/>
    </row>
    <row r="2135" spans="1:11" hidden="1">
      <c r="A2135" s="386"/>
      <c r="F2135" s="251">
        <v>1</v>
      </c>
      <c r="G2135" s="250" t="s">
        <v>883</v>
      </c>
      <c r="H2135" s="244" t="s">
        <v>821</v>
      </c>
      <c r="I2135" s="8">
        <f>C207</f>
        <v>100</v>
      </c>
      <c r="J2135" s="2" t="s">
        <v>883</v>
      </c>
      <c r="K2135" s="6">
        <f>(F2135*I2135)</f>
        <v>100</v>
      </c>
    </row>
    <row r="2136" spans="1:11" hidden="1">
      <c r="A2136" s="386"/>
      <c r="F2136" s="244" t="s">
        <v>995</v>
      </c>
      <c r="H2136" s="244" t="s">
        <v>62</v>
      </c>
      <c r="I2136"/>
      <c r="J2136" s="4"/>
      <c r="K2136" s="34"/>
    </row>
    <row r="2137" spans="1:11" hidden="1">
      <c r="A2137" s="386"/>
      <c r="F2137" s="244" t="s">
        <v>995</v>
      </c>
      <c r="H2137" s="244" t="s">
        <v>63</v>
      </c>
      <c r="I2137" s="2" t="s">
        <v>448</v>
      </c>
      <c r="J2137" s="4"/>
      <c r="K2137" s="6">
        <v>3</v>
      </c>
    </row>
    <row r="2138" spans="1:11" hidden="1">
      <c r="A2138" s="386"/>
      <c r="I2138"/>
      <c r="J2138" s="4"/>
      <c r="K2138" s="6" t="s">
        <v>1667</v>
      </c>
    </row>
    <row r="2139" spans="1:11" hidden="1">
      <c r="A2139" s="386"/>
      <c r="H2139" s="244" t="s">
        <v>2211</v>
      </c>
      <c r="I2139"/>
      <c r="J2139" s="4"/>
      <c r="K2139" s="6">
        <f>SUM(K2135:K2137)</f>
        <v>103</v>
      </c>
    </row>
    <row r="2140" spans="1:11" hidden="1">
      <c r="A2140" s="386"/>
      <c r="I2140"/>
      <c r="J2140" s="4"/>
      <c r="K2140" s="6" t="s">
        <v>1667</v>
      </c>
    </row>
    <row r="2141" spans="1:11" hidden="1">
      <c r="A2141" s="386"/>
      <c r="F2141" s="354" t="s">
        <v>1603</v>
      </c>
      <c r="H2141" s="244" t="s">
        <v>1604</v>
      </c>
      <c r="I2141"/>
      <c r="J2141" s="4"/>
      <c r="K2141" s="34"/>
    </row>
    <row r="2142" spans="1:11" hidden="1">
      <c r="A2142" s="386"/>
      <c r="H2142" s="244" t="s">
        <v>1110</v>
      </c>
      <c r="I2142"/>
      <c r="J2142" s="4"/>
      <c r="K2142" s="34"/>
    </row>
    <row r="2143" spans="1:11" hidden="1">
      <c r="A2143" s="386"/>
      <c r="H2143" s="248" t="s">
        <v>1667</v>
      </c>
      <c r="I2143"/>
      <c r="J2143" s="4"/>
      <c r="K2143" s="34"/>
    </row>
    <row r="2144" spans="1:11" hidden="1">
      <c r="A2144" s="386"/>
      <c r="F2144" s="251">
        <v>2.5</v>
      </c>
      <c r="G2144" s="250" t="s">
        <v>1111</v>
      </c>
      <c r="H2144" s="244" t="s">
        <v>1604</v>
      </c>
      <c r="I2144" s="8">
        <f>C566</f>
        <v>28.5</v>
      </c>
      <c r="J2144" s="2">
        <v>2.5</v>
      </c>
      <c r="K2144" s="6">
        <f>(F2144*I2144)/F2144</f>
        <v>28.5</v>
      </c>
    </row>
    <row r="2145" spans="1:11" hidden="1">
      <c r="A2145" s="386"/>
      <c r="H2145" s="244" t="s">
        <v>1112</v>
      </c>
      <c r="I2145"/>
      <c r="J2145" s="2" t="s">
        <v>1111</v>
      </c>
      <c r="K2145" s="34"/>
    </row>
    <row r="2146" spans="1:11" hidden="1">
      <c r="A2146" s="386"/>
      <c r="G2146" s="250" t="s">
        <v>448</v>
      </c>
      <c r="H2146" s="244" t="s">
        <v>1113</v>
      </c>
      <c r="I2146"/>
      <c r="J2146" s="2" t="s">
        <v>448</v>
      </c>
      <c r="K2146" s="6">
        <v>1.5</v>
      </c>
    </row>
    <row r="2147" spans="1:11" hidden="1">
      <c r="A2147" s="386"/>
      <c r="I2147"/>
      <c r="J2147" s="4"/>
      <c r="K2147" s="6" t="s">
        <v>1667</v>
      </c>
    </row>
    <row r="2148" spans="1:11" hidden="1">
      <c r="A2148" s="386"/>
      <c r="H2148" s="354" t="s">
        <v>226</v>
      </c>
      <c r="I2148"/>
      <c r="J2148" s="4"/>
      <c r="K2148" s="6">
        <f>SUM(K2144:K2146)</f>
        <v>30</v>
      </c>
    </row>
    <row r="2149" spans="1:11" hidden="1">
      <c r="A2149" s="386"/>
      <c r="I2149"/>
      <c r="J2149" s="4"/>
      <c r="K2149" s="6" t="s">
        <v>2130</v>
      </c>
    </row>
    <row r="2150" spans="1:11" hidden="1">
      <c r="A2150" s="386"/>
      <c r="I2150"/>
      <c r="J2150" s="4"/>
      <c r="K2150" s="34"/>
    </row>
    <row r="2151" spans="1:11" hidden="1">
      <c r="A2151" s="386"/>
      <c r="F2151" s="354" t="s">
        <v>1114</v>
      </c>
      <c r="G2151" s="250" t="s">
        <v>2338</v>
      </c>
      <c r="H2151" s="244" t="s">
        <v>269</v>
      </c>
      <c r="I2151"/>
      <c r="J2151" s="4"/>
      <c r="K2151" s="34"/>
    </row>
    <row r="2152" spans="1:11" hidden="1">
      <c r="A2152" s="386"/>
      <c r="H2152" s="244" t="s">
        <v>67</v>
      </c>
      <c r="I2152"/>
      <c r="J2152" s="4"/>
      <c r="K2152" s="34"/>
    </row>
    <row r="2153" spans="1:11" hidden="1">
      <c r="A2153" s="386"/>
      <c r="H2153" s="244" t="s">
        <v>372</v>
      </c>
      <c r="I2153"/>
      <c r="J2153" s="4"/>
      <c r="K2153" s="34"/>
    </row>
    <row r="2154" spans="1:11" hidden="1">
      <c r="A2154" s="386"/>
      <c r="H2154" s="244" t="s">
        <v>356</v>
      </c>
      <c r="I2154"/>
      <c r="J2154" s="4"/>
      <c r="K2154" s="34"/>
    </row>
    <row r="2155" spans="1:11" hidden="1">
      <c r="A2155" s="386"/>
      <c r="H2155" s="244" t="s">
        <v>430</v>
      </c>
      <c r="I2155"/>
      <c r="J2155" s="4"/>
      <c r="K2155" s="34"/>
    </row>
    <row r="2156" spans="1:11" hidden="1">
      <c r="A2156" s="386"/>
      <c r="H2156" s="244" t="s">
        <v>1542</v>
      </c>
      <c r="I2156"/>
      <c r="J2156" s="4"/>
      <c r="K2156" s="34"/>
    </row>
    <row r="2157" spans="1:11" hidden="1">
      <c r="A2157" s="386"/>
      <c r="H2157" s="244" t="s">
        <v>1944</v>
      </c>
      <c r="I2157"/>
      <c r="J2157" s="4"/>
      <c r="K2157" s="34"/>
    </row>
    <row r="2158" spans="1:11" hidden="1">
      <c r="A2158" s="386"/>
      <c r="H2158" s="244" t="s">
        <v>2279</v>
      </c>
      <c r="I2158"/>
      <c r="J2158" s="4"/>
      <c r="K2158" s="34"/>
    </row>
    <row r="2159" spans="1:11" hidden="1">
      <c r="A2159" s="386"/>
      <c r="H2159" s="244" t="s">
        <v>569</v>
      </c>
      <c r="I2159"/>
      <c r="J2159" s="4"/>
      <c r="K2159" s="34"/>
    </row>
    <row r="2160" spans="1:11" hidden="1">
      <c r="A2160" s="386"/>
      <c r="H2160" s="244" t="s">
        <v>1334</v>
      </c>
      <c r="I2160"/>
      <c r="J2160" s="4"/>
      <c r="K2160" s="34"/>
    </row>
    <row r="2161" spans="1:11" hidden="1">
      <c r="A2161" s="386"/>
      <c r="H2161" s="244" t="s">
        <v>1335</v>
      </c>
      <c r="I2161"/>
      <c r="J2161" s="4"/>
      <c r="K2161" s="34"/>
    </row>
    <row r="2162" spans="1:11" hidden="1">
      <c r="A2162" s="386"/>
      <c r="H2162" s="244" t="s">
        <v>1336</v>
      </c>
      <c r="I2162"/>
      <c r="J2162" s="4"/>
      <c r="K2162" s="34"/>
    </row>
    <row r="2163" spans="1:11" hidden="1">
      <c r="A2163" s="386"/>
      <c r="H2163" s="248" t="s">
        <v>1667</v>
      </c>
      <c r="I2163" s="5" t="s">
        <v>1667</v>
      </c>
      <c r="J2163" s="4"/>
      <c r="K2163" s="34"/>
    </row>
    <row r="2164" spans="1:11" hidden="1">
      <c r="A2164" s="386"/>
      <c r="F2164" s="244" t="s">
        <v>995</v>
      </c>
      <c r="I2164"/>
      <c r="J2164" s="4"/>
      <c r="K2164" s="34"/>
    </row>
    <row r="2165" spans="1:11" hidden="1">
      <c r="A2165" s="386"/>
      <c r="F2165" s="374">
        <v>1.7399999999999999E-2</v>
      </c>
      <c r="G2165" s="250" t="s">
        <v>2226</v>
      </c>
      <c r="H2165" s="244" t="s">
        <v>1337</v>
      </c>
      <c r="I2165" s="8">
        <f>C86</f>
        <v>20605</v>
      </c>
      <c r="J2165" s="2" t="s">
        <v>2226</v>
      </c>
      <c r="K2165" s="6">
        <f t="shared" ref="K2165:K2172" si="74">F2165*I2165</f>
        <v>358.53</v>
      </c>
    </row>
    <row r="2166" spans="1:11" hidden="1">
      <c r="A2166" s="386"/>
      <c r="F2166" s="374">
        <v>2.93E-2</v>
      </c>
      <c r="G2166" s="250" t="s">
        <v>2226</v>
      </c>
      <c r="H2166" s="244" t="s">
        <v>1338</v>
      </c>
      <c r="I2166" s="8">
        <f>C87</f>
        <v>23685</v>
      </c>
      <c r="J2166" s="2" t="s">
        <v>2226</v>
      </c>
      <c r="K2166" s="6">
        <f t="shared" si="74"/>
        <v>693.97</v>
      </c>
    </row>
    <row r="2167" spans="1:11" hidden="1">
      <c r="A2167" s="386"/>
      <c r="F2167" s="374">
        <v>1.093</v>
      </c>
      <c r="G2167" s="250" t="s">
        <v>2371</v>
      </c>
      <c r="H2167" s="244" t="s">
        <v>1339</v>
      </c>
      <c r="I2167" s="57">
        <f>C198</f>
        <v>212</v>
      </c>
      <c r="J2167" s="2" t="s">
        <v>2371</v>
      </c>
      <c r="K2167" s="6">
        <f t="shared" si="74"/>
        <v>231.72</v>
      </c>
    </row>
    <row r="2168" spans="1:11" hidden="1">
      <c r="A2168" s="386"/>
      <c r="F2168" s="251">
        <v>6</v>
      </c>
      <c r="G2168" s="250" t="s">
        <v>563</v>
      </c>
      <c r="H2168" s="244" t="s">
        <v>2484</v>
      </c>
      <c r="I2168" s="8">
        <f>C296</f>
        <v>3.25</v>
      </c>
      <c r="J2168" s="2" t="s">
        <v>1458</v>
      </c>
      <c r="K2168" s="6">
        <f t="shared" si="74"/>
        <v>19.5</v>
      </c>
    </row>
    <row r="2169" spans="1:11" hidden="1">
      <c r="A2169" s="386"/>
      <c r="F2169" s="251">
        <v>1</v>
      </c>
      <c r="G2169" s="250" t="s">
        <v>563</v>
      </c>
      <c r="H2169" s="244" t="s">
        <v>2433</v>
      </c>
      <c r="I2169" s="8">
        <f>C286</f>
        <v>80</v>
      </c>
      <c r="J2169" s="2" t="s">
        <v>1458</v>
      </c>
      <c r="K2169" s="6">
        <f t="shared" si="74"/>
        <v>80</v>
      </c>
    </row>
    <row r="2170" spans="1:11" hidden="1">
      <c r="A2170" s="386"/>
      <c r="F2170" s="251">
        <v>2</v>
      </c>
      <c r="G2170" s="250" t="s">
        <v>563</v>
      </c>
      <c r="H2170" s="244" t="s">
        <v>1832</v>
      </c>
      <c r="I2170" s="8">
        <f>C307</f>
        <v>0.9</v>
      </c>
      <c r="J2170" s="2" t="s">
        <v>1458</v>
      </c>
      <c r="K2170" s="6">
        <f t="shared" si="74"/>
        <v>1.8</v>
      </c>
    </row>
    <row r="2171" spans="1:11" hidden="1">
      <c r="A2171" s="386"/>
      <c r="F2171" s="251">
        <v>6</v>
      </c>
      <c r="G2171" s="250" t="s">
        <v>563</v>
      </c>
      <c r="H2171" s="244" t="s">
        <v>143</v>
      </c>
      <c r="I2171" s="8">
        <v>8</v>
      </c>
      <c r="J2171" s="2" t="s">
        <v>1458</v>
      </c>
      <c r="K2171" s="6">
        <f t="shared" si="74"/>
        <v>48</v>
      </c>
    </row>
    <row r="2172" spans="1:11" hidden="1">
      <c r="A2172" s="386"/>
      <c r="F2172" s="363">
        <v>1.62</v>
      </c>
      <c r="G2172" s="250" t="s">
        <v>2371</v>
      </c>
      <c r="H2172" s="244" t="s">
        <v>144</v>
      </c>
      <c r="I2172" s="8">
        <f>D33</f>
        <v>240</v>
      </c>
      <c r="J2172" s="2" t="s">
        <v>2371</v>
      </c>
      <c r="K2172" s="6">
        <f t="shared" si="74"/>
        <v>388.8</v>
      </c>
    </row>
    <row r="2173" spans="1:11" hidden="1">
      <c r="A2173" s="386"/>
      <c r="G2173" s="250" t="s">
        <v>448</v>
      </c>
      <c r="H2173" s="244" t="s">
        <v>507</v>
      </c>
      <c r="I2173"/>
      <c r="J2173" s="2" t="s">
        <v>448</v>
      </c>
      <c r="K2173" s="6">
        <v>0.25</v>
      </c>
    </row>
    <row r="2174" spans="1:11" hidden="1">
      <c r="A2174" s="386"/>
      <c r="I2174"/>
      <c r="J2174" s="4"/>
      <c r="K2174" s="6" t="s">
        <v>1667</v>
      </c>
    </row>
    <row r="2175" spans="1:11" hidden="1">
      <c r="A2175" s="386"/>
      <c r="H2175" s="354" t="s">
        <v>145</v>
      </c>
      <c r="I2175"/>
      <c r="J2175" s="4"/>
      <c r="K2175" s="6">
        <f>SUM(K2165:K2173)</f>
        <v>1822.57</v>
      </c>
    </row>
    <row r="2176" spans="1:11" hidden="1">
      <c r="A2176" s="386"/>
      <c r="I2176"/>
      <c r="J2176" s="4"/>
      <c r="K2176" s="6" t="s">
        <v>1667</v>
      </c>
    </row>
    <row r="2177" spans="1:11" hidden="1">
      <c r="A2177" s="386"/>
      <c r="I2177"/>
      <c r="J2177" s="4"/>
      <c r="K2177" s="34"/>
    </row>
    <row r="2178" spans="1:11" hidden="1">
      <c r="A2178" s="386"/>
      <c r="H2178" s="354" t="s">
        <v>146</v>
      </c>
      <c r="I2178" s="1" t="s">
        <v>995</v>
      </c>
      <c r="J2178" s="4"/>
      <c r="K2178" s="6">
        <f>K2175/1.62</f>
        <v>1125.04</v>
      </c>
    </row>
    <row r="2179" spans="1:11" hidden="1">
      <c r="A2179" s="386"/>
      <c r="F2179" s="244" t="s">
        <v>995</v>
      </c>
      <c r="G2179" s="250" t="s">
        <v>995</v>
      </c>
      <c r="H2179" s="244" t="s">
        <v>995</v>
      </c>
      <c r="I2179" s="1" t="s">
        <v>995</v>
      </c>
      <c r="J2179" s="2" t="s">
        <v>995</v>
      </c>
      <c r="K2179" s="34"/>
    </row>
    <row r="2180" spans="1:11" hidden="1">
      <c r="A2180" s="386"/>
      <c r="I2180"/>
      <c r="J2180" s="4"/>
      <c r="K2180" s="34"/>
    </row>
    <row r="2181" spans="1:11" hidden="1">
      <c r="A2181" s="386"/>
      <c r="G2181" s="250" t="s">
        <v>1602</v>
      </c>
      <c r="H2181" s="244" t="s">
        <v>1453</v>
      </c>
      <c r="I2181"/>
      <c r="J2181" s="4"/>
      <c r="K2181" s="34"/>
    </row>
    <row r="2182" spans="1:11" hidden="1">
      <c r="A2182" s="386"/>
      <c r="H2182" s="244" t="s">
        <v>813</v>
      </c>
      <c r="I2182"/>
      <c r="J2182" s="4"/>
      <c r="K2182" s="34"/>
    </row>
    <row r="2183" spans="1:11" hidden="1">
      <c r="A2183" s="386"/>
      <c r="F2183" s="244" t="s">
        <v>995</v>
      </c>
      <c r="H2183" s="244" t="s">
        <v>814</v>
      </c>
      <c r="I2183"/>
      <c r="J2183" s="4"/>
      <c r="K2183" s="34"/>
    </row>
    <row r="2184" spans="1:11" hidden="1">
      <c r="A2184" s="386"/>
      <c r="F2184" s="354" t="s">
        <v>815</v>
      </c>
      <c r="H2184" s="244" t="s">
        <v>2254</v>
      </c>
      <c r="I2184"/>
      <c r="J2184" s="4"/>
      <c r="K2184" s="6">
        <f>K2860</f>
        <v>766</v>
      </c>
    </row>
    <row r="2185" spans="1:11" hidden="1">
      <c r="A2185" s="386"/>
      <c r="F2185" s="354" t="s">
        <v>816</v>
      </c>
      <c r="H2185" s="354" t="s">
        <v>786</v>
      </c>
      <c r="I2185"/>
      <c r="J2185" s="4"/>
      <c r="K2185" s="6">
        <f>K2884</f>
        <v>769</v>
      </c>
    </row>
    <row r="2186" spans="1:11" hidden="1">
      <c r="A2186" s="386"/>
      <c r="F2186" s="354" t="s">
        <v>817</v>
      </c>
      <c r="H2186" s="244" t="s">
        <v>1328</v>
      </c>
      <c r="I2186"/>
      <c r="J2186" s="4"/>
      <c r="K2186" s="6">
        <f>K2899</f>
        <v>805</v>
      </c>
    </row>
    <row r="2187" spans="1:11" hidden="1">
      <c r="A2187" s="386"/>
      <c r="F2187" s="360">
        <v>65</v>
      </c>
      <c r="H2187" s="244" t="s">
        <v>788</v>
      </c>
      <c r="I2187"/>
      <c r="J2187" s="4"/>
      <c r="K2187" s="6">
        <f>K2921</f>
        <v>834</v>
      </c>
    </row>
    <row r="2188" spans="1:11" hidden="1">
      <c r="A2188" s="386"/>
      <c r="F2188" s="360">
        <v>66</v>
      </c>
      <c r="H2188" s="244" t="s">
        <v>615</v>
      </c>
      <c r="I2188"/>
      <c r="J2188" s="4"/>
      <c r="K2188" s="6">
        <f>K2945</f>
        <v>1342</v>
      </c>
    </row>
    <row r="2189" spans="1:11" hidden="1">
      <c r="A2189" s="386"/>
      <c r="F2189" s="360">
        <v>67</v>
      </c>
      <c r="H2189" s="244" t="s">
        <v>573</v>
      </c>
      <c r="I2189"/>
      <c r="J2189" s="4"/>
      <c r="K2189" s="6">
        <f>K2977</f>
        <v>357</v>
      </c>
    </row>
    <row r="2190" spans="1:11" hidden="1">
      <c r="A2190" s="386"/>
      <c r="F2190" s="360">
        <v>68</v>
      </c>
      <c r="H2190" s="244" t="s">
        <v>853</v>
      </c>
      <c r="I2190"/>
      <c r="J2190" s="4"/>
      <c r="K2190" s="6">
        <f>K2965</f>
        <v>546</v>
      </c>
    </row>
    <row r="2191" spans="1:11" hidden="1">
      <c r="A2191" s="386"/>
      <c r="F2191" s="360">
        <v>69</v>
      </c>
      <c r="H2191" s="244" t="s">
        <v>818</v>
      </c>
      <c r="I2191"/>
      <c r="J2191" s="4"/>
      <c r="K2191" s="6">
        <f>K2988</f>
        <v>141</v>
      </c>
    </row>
    <row r="2192" spans="1:11" hidden="1">
      <c r="A2192" s="386"/>
      <c r="F2192" s="360" t="s">
        <v>819</v>
      </c>
      <c r="H2192" s="244" t="s">
        <v>496</v>
      </c>
      <c r="I2192"/>
      <c r="J2192" s="4"/>
      <c r="K2192" s="6">
        <f>K3135</f>
        <v>385</v>
      </c>
    </row>
    <row r="2193" spans="1:11" hidden="1">
      <c r="A2193" s="386"/>
      <c r="F2193" s="360" t="s">
        <v>297</v>
      </c>
      <c r="H2193" s="244" t="s">
        <v>2434</v>
      </c>
      <c r="I2193"/>
      <c r="J2193" s="4"/>
      <c r="K2193" s="6"/>
    </row>
    <row r="2194" spans="1:11" hidden="1">
      <c r="A2194" s="386"/>
      <c r="F2194" s="360" t="s">
        <v>2018</v>
      </c>
      <c r="H2194" s="244" t="s">
        <v>1565</v>
      </c>
      <c r="I2194"/>
      <c r="J2194" s="4"/>
      <c r="K2194" s="6">
        <v>10</v>
      </c>
    </row>
    <row r="2195" spans="1:11" hidden="1">
      <c r="A2195" s="386"/>
      <c r="F2195" s="360" t="s">
        <v>2019</v>
      </c>
      <c r="H2195" s="244" t="s">
        <v>584</v>
      </c>
      <c r="I2195"/>
      <c r="J2195" s="4"/>
      <c r="K2195" s="6">
        <v>8</v>
      </c>
    </row>
    <row r="2196" spans="1:11" hidden="1">
      <c r="A2196" s="386"/>
      <c r="F2196" s="360">
        <v>71</v>
      </c>
      <c r="H2196" s="244" t="s">
        <v>1203</v>
      </c>
      <c r="I2196"/>
      <c r="J2196" s="4"/>
      <c r="K2196" s="6">
        <f>K3154</f>
        <v>423</v>
      </c>
    </row>
    <row r="2197" spans="1:11" hidden="1">
      <c r="A2197" s="386"/>
      <c r="F2197" s="360">
        <v>72</v>
      </c>
      <c r="H2197" s="244" t="s">
        <v>820</v>
      </c>
      <c r="I2197"/>
      <c r="J2197" s="4"/>
      <c r="K2197" s="6">
        <v>31</v>
      </c>
    </row>
    <row r="2198" spans="1:11" hidden="1">
      <c r="A2198" s="386"/>
      <c r="F2198" s="360" t="s">
        <v>585</v>
      </c>
      <c r="H2198" s="244" t="s">
        <v>272</v>
      </c>
      <c r="I2198"/>
      <c r="J2198" s="4"/>
      <c r="K2198" s="6">
        <f>K3233</f>
        <v>3876</v>
      </c>
    </row>
    <row r="2199" spans="1:11" hidden="1">
      <c r="A2199" s="386"/>
      <c r="F2199" s="360" t="s">
        <v>586</v>
      </c>
      <c r="H2199" s="244" t="s">
        <v>587</v>
      </c>
      <c r="I2199"/>
      <c r="J2199" s="4"/>
      <c r="K2199" s="6">
        <f>K3221</f>
        <v>3036</v>
      </c>
    </row>
    <row r="2200" spans="1:11" hidden="1">
      <c r="A2200" s="386"/>
      <c r="F2200" s="360">
        <v>74</v>
      </c>
      <c r="H2200" s="244" t="s">
        <v>168</v>
      </c>
      <c r="I2200"/>
      <c r="J2200" s="4"/>
      <c r="K2200" s="6">
        <f>K3277</f>
        <v>182</v>
      </c>
    </row>
    <row r="2201" spans="1:11" hidden="1">
      <c r="A2201" s="386"/>
      <c r="F2201" s="360" t="s">
        <v>640</v>
      </c>
      <c r="H2201" s="244" t="s">
        <v>1442</v>
      </c>
      <c r="I2201"/>
      <c r="J2201" s="4"/>
      <c r="K2201" s="6">
        <f>K3763</f>
        <v>1368</v>
      </c>
    </row>
    <row r="2202" spans="1:11" hidden="1">
      <c r="A2202" s="386"/>
      <c r="F2202" s="360" t="s">
        <v>641</v>
      </c>
      <c r="H2202" s="244" t="s">
        <v>135</v>
      </c>
      <c r="I2202"/>
      <c r="J2202" s="4"/>
      <c r="K2202" s="6">
        <v>0</v>
      </c>
    </row>
    <row r="2203" spans="1:11" hidden="1">
      <c r="A2203" s="386"/>
      <c r="F2203" s="360">
        <v>112</v>
      </c>
      <c r="H2203" s="244" t="s">
        <v>758</v>
      </c>
      <c r="I2203"/>
      <c r="J2203" s="4"/>
      <c r="K2203" s="6">
        <f>K3740</f>
        <v>1558</v>
      </c>
    </row>
    <row r="2204" spans="1:11" hidden="1">
      <c r="A2204" s="386"/>
      <c r="F2204" s="360">
        <v>76</v>
      </c>
      <c r="H2204" s="244" t="s">
        <v>2007</v>
      </c>
      <c r="I2204"/>
      <c r="J2204" s="4"/>
      <c r="K2204" s="6">
        <f>K3294</f>
        <v>14</v>
      </c>
    </row>
    <row r="2205" spans="1:11" hidden="1">
      <c r="A2205" s="386"/>
      <c r="F2205" s="360">
        <v>77</v>
      </c>
      <c r="H2205" s="244" t="s">
        <v>2355</v>
      </c>
      <c r="I2205"/>
      <c r="J2205" s="4"/>
      <c r="K2205" s="6">
        <f>K3080</f>
        <v>105.3</v>
      </c>
    </row>
    <row r="2206" spans="1:11" ht="47.25" hidden="1">
      <c r="A2206" s="386"/>
      <c r="F2206" s="398">
        <v>77.099999999999994</v>
      </c>
      <c r="H2206" s="368" t="s">
        <v>1886</v>
      </c>
      <c r="I2206"/>
      <c r="J2206" s="4"/>
      <c r="K2206" s="399">
        <f>K3105</f>
        <v>149.80000000000001</v>
      </c>
    </row>
    <row r="2207" spans="1:11" hidden="1">
      <c r="A2207" s="386"/>
      <c r="F2207" s="364">
        <v>77.2</v>
      </c>
      <c r="H2207" s="244" t="s">
        <v>1887</v>
      </c>
      <c r="I2207"/>
      <c r="J2207" s="4"/>
      <c r="K2207" s="6">
        <v>500</v>
      </c>
    </row>
    <row r="2208" spans="1:11" hidden="1">
      <c r="A2208" s="386"/>
      <c r="F2208" s="364">
        <v>77.3</v>
      </c>
      <c r="H2208" s="244" t="s">
        <v>1564</v>
      </c>
      <c r="I2208"/>
      <c r="J2208" s="4"/>
      <c r="K2208" s="6">
        <f>K3708</f>
        <v>52</v>
      </c>
    </row>
    <row r="2209" spans="1:11" hidden="1">
      <c r="A2209" s="386"/>
      <c r="F2209" s="360">
        <v>78</v>
      </c>
      <c r="H2209" s="244" t="s">
        <v>83</v>
      </c>
      <c r="I2209"/>
      <c r="J2209" s="4"/>
      <c r="K2209" s="6">
        <f>K3319</f>
        <v>1577</v>
      </c>
    </row>
    <row r="2210" spans="1:11" hidden="1">
      <c r="A2210" s="386"/>
      <c r="F2210" s="360">
        <v>80</v>
      </c>
      <c r="H2210" s="244" t="s">
        <v>2189</v>
      </c>
      <c r="I2210"/>
      <c r="J2210" s="4"/>
      <c r="K2210" s="6">
        <f>K3441</f>
        <v>396</v>
      </c>
    </row>
    <row r="2211" spans="1:11" hidden="1">
      <c r="A2211" s="386"/>
      <c r="F2211" s="360">
        <v>81</v>
      </c>
      <c r="H2211" s="244" t="s">
        <v>94</v>
      </c>
      <c r="I2211"/>
      <c r="J2211" s="4"/>
      <c r="K2211" s="6">
        <f>K2178</f>
        <v>1125.04</v>
      </c>
    </row>
    <row r="2212" spans="1:11" hidden="1">
      <c r="A2212" s="386"/>
      <c r="F2212" s="360">
        <v>82</v>
      </c>
      <c r="H2212" s="244" t="s">
        <v>1627</v>
      </c>
      <c r="I2212"/>
      <c r="J2212" s="4"/>
      <c r="K2212" s="6">
        <f>K3637</f>
        <v>1734</v>
      </c>
    </row>
    <row r="2213" spans="1:11" hidden="1">
      <c r="A2213" s="386"/>
      <c r="F2213" s="360">
        <v>87</v>
      </c>
      <c r="H2213" s="244" t="s">
        <v>1845</v>
      </c>
      <c r="I2213"/>
      <c r="J2213" s="4"/>
      <c r="K2213" s="6">
        <f>K3458</f>
        <v>2547</v>
      </c>
    </row>
    <row r="2214" spans="1:11" hidden="1">
      <c r="A2214" s="386"/>
      <c r="I2214"/>
      <c r="J2214" s="4"/>
      <c r="K2214" s="34"/>
    </row>
    <row r="2215" spans="1:11" hidden="1">
      <c r="A2215" s="386"/>
      <c r="I2215"/>
      <c r="J2215" s="4"/>
      <c r="K2215" s="34"/>
    </row>
    <row r="2216" spans="1:11" ht="31.5" hidden="1">
      <c r="A2216" s="386"/>
      <c r="F2216" s="400">
        <v>77.400000000000006</v>
      </c>
      <c r="H2216" s="371" t="s">
        <v>1802</v>
      </c>
      <c r="I2216"/>
      <c r="J2216" s="4"/>
      <c r="K2216" s="34"/>
    </row>
    <row r="2217" spans="1:11" hidden="1">
      <c r="A2217" s="386"/>
      <c r="H2217" s="244" t="s">
        <v>813</v>
      </c>
      <c r="I2217"/>
      <c r="J2217" s="4"/>
      <c r="K2217" s="34"/>
    </row>
    <row r="2218" spans="1:11" ht="31.5" hidden="1">
      <c r="A2218" s="386"/>
      <c r="F2218" s="245">
        <v>90</v>
      </c>
      <c r="G2218" s="243" t="s">
        <v>374</v>
      </c>
      <c r="H2218" s="394" t="s">
        <v>2293</v>
      </c>
      <c r="I2218">
        <v>16.95</v>
      </c>
      <c r="J2218" s="4" t="s">
        <v>374</v>
      </c>
      <c r="K2218" s="34">
        <f>I2218*F2218</f>
        <v>1525.5</v>
      </c>
    </row>
    <row r="2219" spans="1:11" hidden="1">
      <c r="A2219" s="386"/>
      <c r="F2219" s="245">
        <v>0.15</v>
      </c>
      <c r="G2219" s="243" t="s">
        <v>528</v>
      </c>
      <c r="H2219" s="245" t="s">
        <v>877</v>
      </c>
      <c r="I2219">
        <f>AC31</f>
        <v>3800</v>
      </c>
      <c r="J2219" s="4" t="s">
        <v>528</v>
      </c>
      <c r="K2219" s="34">
        <f>I2219*F2219</f>
        <v>570</v>
      </c>
    </row>
    <row r="2220" spans="1:11" hidden="1">
      <c r="A2220" s="386"/>
      <c r="F2220" s="245">
        <v>1</v>
      </c>
      <c r="G2220" s="243" t="s">
        <v>781</v>
      </c>
      <c r="H2220" s="245" t="s">
        <v>373</v>
      </c>
      <c r="I2220">
        <f>C780</f>
        <v>160</v>
      </c>
      <c r="J2220" s="4" t="s">
        <v>781</v>
      </c>
      <c r="K2220" s="34">
        <f>I2220*F2220</f>
        <v>160</v>
      </c>
    </row>
    <row r="2221" spans="1:11" hidden="1">
      <c r="A2221" s="386"/>
      <c r="F2221" s="245">
        <v>2</v>
      </c>
      <c r="G2221" s="243" t="s">
        <v>781</v>
      </c>
      <c r="H2221" s="245" t="s">
        <v>1791</v>
      </c>
      <c r="I2221">
        <f>AE10</f>
        <v>135</v>
      </c>
      <c r="J2221" s="4" t="s">
        <v>781</v>
      </c>
      <c r="K2221" s="34">
        <f>I2221*F2221</f>
        <v>270</v>
      </c>
    </row>
    <row r="2222" spans="1:11" hidden="1">
      <c r="A2222" s="386"/>
      <c r="F2222" s="245">
        <v>4</v>
      </c>
      <c r="G2222" s="243" t="s">
        <v>781</v>
      </c>
      <c r="H2222" s="245" t="s">
        <v>1343</v>
      </c>
      <c r="I2222">
        <f>C781</f>
        <v>110</v>
      </c>
      <c r="J2222" s="4" t="s">
        <v>781</v>
      </c>
      <c r="K2222" s="34">
        <f>I2222*F2222</f>
        <v>440</v>
      </c>
    </row>
    <row r="2223" spans="1:11" hidden="1">
      <c r="A2223" s="386"/>
      <c r="H2223" s="245" t="s">
        <v>375</v>
      </c>
      <c r="I2223"/>
      <c r="J2223" s="4"/>
      <c r="K2223" s="34">
        <v>8.5</v>
      </c>
    </row>
    <row r="2224" spans="1:11" hidden="1">
      <c r="A2224" s="386"/>
      <c r="I2224"/>
      <c r="J2224" s="4"/>
      <c r="K2224" s="6" t="s">
        <v>1667</v>
      </c>
    </row>
    <row r="2225" spans="1:11" hidden="1">
      <c r="A2225" s="386"/>
      <c r="H2225" s="244" t="s">
        <v>2354</v>
      </c>
      <c r="I2225"/>
      <c r="J2225" s="4"/>
      <c r="K2225" s="6">
        <f>SUM(K2218:K2223)</f>
        <v>2974</v>
      </c>
    </row>
    <row r="2226" spans="1:11" hidden="1">
      <c r="A2226" s="386"/>
      <c r="I2226"/>
      <c r="J2226" s="4"/>
      <c r="K2226" s="6" t="s">
        <v>1667</v>
      </c>
    </row>
    <row r="2227" spans="1:11" hidden="1">
      <c r="A2227" s="386"/>
      <c r="H2227" s="244" t="s">
        <v>1167</v>
      </c>
      <c r="I2227"/>
      <c r="J2227" s="4"/>
      <c r="K2227" s="6">
        <f>(K2225/90)</f>
        <v>33.04</v>
      </c>
    </row>
    <row r="2228" spans="1:11" hidden="1">
      <c r="A2228" s="386"/>
      <c r="I2228"/>
      <c r="J2228" s="4"/>
      <c r="K2228" s="6" t="s">
        <v>2130</v>
      </c>
    </row>
    <row r="2229" spans="1:11" hidden="1">
      <c r="A2229" s="386"/>
      <c r="I2229"/>
      <c r="J2229" s="4"/>
      <c r="K2229" s="34"/>
    </row>
    <row r="2230" spans="1:11" hidden="1">
      <c r="A2230" s="386"/>
      <c r="F2230" s="375">
        <v>78.099999999999994</v>
      </c>
      <c r="H2230" s="244" t="s">
        <v>1641</v>
      </c>
      <c r="I2230"/>
      <c r="J2230" s="4"/>
      <c r="K2230" s="34"/>
    </row>
    <row r="2231" spans="1:11" hidden="1">
      <c r="A2231" s="386"/>
      <c r="H2231" s="244" t="s">
        <v>813</v>
      </c>
      <c r="I2231"/>
      <c r="J2231" s="4"/>
      <c r="K2231" s="34"/>
    </row>
    <row r="2232" spans="1:11" hidden="1">
      <c r="A2232" s="386"/>
      <c r="F2232" s="245">
        <v>2.5</v>
      </c>
      <c r="G2232" s="243" t="s">
        <v>781</v>
      </c>
      <c r="H2232" s="245" t="s">
        <v>1642</v>
      </c>
      <c r="I2232">
        <v>120</v>
      </c>
      <c r="J2232" s="4" t="s">
        <v>781</v>
      </c>
      <c r="K2232" s="34">
        <f t="shared" ref="K2232:K2237" si="75">I2232*F2232</f>
        <v>300</v>
      </c>
    </row>
    <row r="2233" spans="1:11" hidden="1">
      <c r="A2233" s="386"/>
      <c r="F2233" s="245">
        <v>20</v>
      </c>
      <c r="G2233" s="243" t="s">
        <v>364</v>
      </c>
      <c r="H2233" s="245" t="s">
        <v>1643</v>
      </c>
      <c r="I2233">
        <v>4</v>
      </c>
      <c r="J2233" s="4" t="s">
        <v>364</v>
      </c>
      <c r="K2233" s="34">
        <f t="shared" si="75"/>
        <v>80</v>
      </c>
    </row>
    <row r="2234" spans="1:11" hidden="1">
      <c r="A2234" s="386"/>
      <c r="F2234" s="245">
        <v>9</v>
      </c>
      <c r="G2234" s="243" t="s">
        <v>364</v>
      </c>
      <c r="H2234" s="245" t="s">
        <v>1644</v>
      </c>
      <c r="I2234">
        <v>4</v>
      </c>
      <c r="J2234" s="4" t="s">
        <v>364</v>
      </c>
      <c r="K2234" s="34">
        <f t="shared" si="75"/>
        <v>36</v>
      </c>
    </row>
    <row r="2235" spans="1:11" hidden="1">
      <c r="A2235" s="386"/>
      <c r="F2235" s="245">
        <v>0.5</v>
      </c>
      <c r="G2235" s="243" t="s">
        <v>364</v>
      </c>
      <c r="H2235" s="245" t="s">
        <v>1341</v>
      </c>
      <c r="I2235">
        <v>30</v>
      </c>
      <c r="J2235" s="4" t="s">
        <v>364</v>
      </c>
      <c r="K2235" s="34">
        <f t="shared" si="75"/>
        <v>15</v>
      </c>
    </row>
    <row r="2236" spans="1:11" hidden="1">
      <c r="A2236" s="386"/>
      <c r="F2236" s="245">
        <v>0.5</v>
      </c>
      <c r="G2236" s="243" t="s">
        <v>781</v>
      </c>
      <c r="H2236" s="245" t="s">
        <v>1342</v>
      </c>
      <c r="I2236">
        <f>C780</f>
        <v>160</v>
      </c>
      <c r="J2236" s="4" t="s">
        <v>781</v>
      </c>
      <c r="K2236" s="34">
        <f t="shared" si="75"/>
        <v>80</v>
      </c>
    </row>
    <row r="2237" spans="1:11" hidden="1">
      <c r="A2237" s="386"/>
      <c r="F2237" s="245">
        <v>1</v>
      </c>
      <c r="G2237" s="243" t="s">
        <v>781</v>
      </c>
      <c r="H2237" s="245" t="s">
        <v>1343</v>
      </c>
      <c r="I2237">
        <f>C781</f>
        <v>110</v>
      </c>
      <c r="J2237" s="4" t="s">
        <v>781</v>
      </c>
      <c r="K2237" s="34">
        <f t="shared" si="75"/>
        <v>110</v>
      </c>
    </row>
    <row r="2238" spans="1:11" ht="31.5" hidden="1">
      <c r="A2238" s="386"/>
      <c r="G2238" s="243" t="s">
        <v>667</v>
      </c>
      <c r="H2238" s="394" t="s">
        <v>1344</v>
      </c>
      <c r="I2238"/>
      <c r="J2238" s="4" t="s">
        <v>667</v>
      </c>
      <c r="K2238" s="34">
        <v>165</v>
      </c>
    </row>
    <row r="2239" spans="1:11" hidden="1">
      <c r="A2239" s="386"/>
      <c r="G2239" s="243" t="s">
        <v>667</v>
      </c>
      <c r="H2239" s="245" t="s">
        <v>1268</v>
      </c>
      <c r="I2239"/>
      <c r="J2239" s="4" t="s">
        <v>667</v>
      </c>
      <c r="K2239" s="34">
        <v>9.5</v>
      </c>
    </row>
    <row r="2240" spans="1:11" hidden="1">
      <c r="A2240" s="386"/>
      <c r="I2240"/>
      <c r="J2240" s="4"/>
      <c r="K2240" s="6" t="s">
        <v>1667</v>
      </c>
    </row>
    <row r="2241" spans="1:11" hidden="1">
      <c r="A2241" s="386"/>
      <c r="H2241" s="245" t="s">
        <v>286</v>
      </c>
      <c r="I2241"/>
      <c r="J2241" s="4"/>
      <c r="K2241" s="6">
        <f>SUM(K2232:K2239)</f>
        <v>795.5</v>
      </c>
    </row>
    <row r="2242" spans="1:11" hidden="1">
      <c r="A2242" s="386"/>
      <c r="I2242"/>
      <c r="J2242" s="4"/>
      <c r="K2242" s="6" t="s">
        <v>1667</v>
      </c>
    </row>
    <row r="2243" spans="1:11" hidden="1">
      <c r="A2243" s="386"/>
    </row>
    <row r="2244" spans="1:11" ht="21.75" hidden="1">
      <c r="A2244" s="386"/>
      <c r="E2244" s="401"/>
      <c r="F2244" s="401"/>
      <c r="G2244" s="402"/>
      <c r="H2244" s="403" t="s">
        <v>3063</v>
      </c>
      <c r="I2244" s="401"/>
      <c r="J2244" s="404"/>
      <c r="K2244" s="554"/>
    </row>
    <row r="2245" spans="1:11" ht="17.25" hidden="1">
      <c r="A2245" s="386"/>
      <c r="E2245" s="401"/>
      <c r="F2245" s="402"/>
      <c r="G2245" s="401"/>
      <c r="H2245" s="401"/>
      <c r="I2245" s="404"/>
      <c r="J2245" s="401"/>
      <c r="K2245" s="406"/>
    </row>
    <row r="2246" spans="1:11" ht="17.25" hidden="1">
      <c r="A2246" s="386"/>
      <c r="E2246" s="401"/>
      <c r="F2246" s="402">
        <v>53.3</v>
      </c>
      <c r="G2246" s="401"/>
      <c r="H2246" s="401" t="s">
        <v>3064</v>
      </c>
      <c r="I2246" s="404"/>
      <c r="J2246" s="401"/>
      <c r="K2246" s="406">
        <v>957</v>
      </c>
    </row>
    <row r="2247" spans="1:11" ht="17.25" hidden="1">
      <c r="A2247" s="386"/>
      <c r="E2247" s="401"/>
      <c r="F2247" s="402"/>
      <c r="G2247" s="401"/>
      <c r="H2247" s="401"/>
      <c r="I2247" s="404"/>
      <c r="J2247" s="401"/>
      <c r="K2247" s="406"/>
    </row>
    <row r="2248" spans="1:11" ht="34.5" hidden="1">
      <c r="A2248" s="386"/>
      <c r="E2248" s="401"/>
      <c r="F2248" s="406" t="s">
        <v>3065</v>
      </c>
      <c r="G2248" s="401"/>
      <c r="H2248" s="407" t="s">
        <v>2072</v>
      </c>
      <c r="I2248" s="404"/>
      <c r="J2248" s="401"/>
      <c r="K2248" s="406"/>
    </row>
    <row r="2249" spans="1:11" ht="17.25" hidden="1">
      <c r="A2249" s="386"/>
      <c r="E2249" s="401"/>
      <c r="F2249" s="402"/>
      <c r="G2249" s="401"/>
      <c r="H2249" s="408" t="s">
        <v>1667</v>
      </c>
      <c r="I2249" s="408" t="s">
        <v>1667</v>
      </c>
      <c r="J2249" s="408" t="s">
        <v>1667</v>
      </c>
      <c r="K2249" s="406"/>
    </row>
    <row r="2250" spans="1:11" ht="17.25" hidden="1">
      <c r="A2250" s="386"/>
      <c r="E2250" s="401"/>
      <c r="F2250" s="402"/>
      <c r="G2250" s="401"/>
      <c r="H2250" s="401"/>
      <c r="I2250" s="404"/>
      <c r="J2250" s="401"/>
      <c r="K2250" s="406"/>
    </row>
    <row r="2251" spans="1:11" ht="17.25" hidden="1">
      <c r="A2251" s="386"/>
      <c r="E2251" s="401"/>
      <c r="F2251" s="402"/>
      <c r="G2251" s="401"/>
      <c r="H2251" s="401" t="s">
        <v>2073</v>
      </c>
      <c r="I2251" s="404"/>
      <c r="J2251" s="401"/>
      <c r="K2251" s="406"/>
    </row>
    <row r="2252" spans="1:11" ht="17.25" hidden="1">
      <c r="A2252" s="386"/>
      <c r="E2252" s="401"/>
      <c r="F2252" s="402"/>
      <c r="G2252" s="401"/>
      <c r="H2252" s="401" t="s">
        <v>2074</v>
      </c>
      <c r="I2252" s="404"/>
      <c r="J2252" s="401"/>
      <c r="K2252" s="406"/>
    </row>
    <row r="2253" spans="1:11" ht="17.25" hidden="1">
      <c r="A2253" s="386"/>
      <c r="E2253" s="401"/>
      <c r="F2253" s="402"/>
      <c r="G2253" s="401"/>
      <c r="H2253" s="401" t="s">
        <v>454</v>
      </c>
      <c r="I2253" s="404"/>
      <c r="J2253" s="401"/>
      <c r="K2253" s="406"/>
    </row>
    <row r="2254" spans="1:11" ht="17.25" hidden="1">
      <c r="A2254" s="386"/>
      <c r="E2254" s="401"/>
      <c r="F2254" s="402"/>
      <c r="G2254" s="401"/>
      <c r="H2254" s="401" t="s">
        <v>455</v>
      </c>
      <c r="I2254" s="404"/>
      <c r="J2254" s="401"/>
      <c r="K2254" s="406"/>
    </row>
    <row r="2255" spans="1:11" ht="17.25" hidden="1">
      <c r="A2255" s="386"/>
      <c r="E2255" s="401"/>
      <c r="F2255" s="402"/>
      <c r="G2255" s="401"/>
      <c r="H2255" s="401" t="s">
        <v>456</v>
      </c>
      <c r="I2255" s="404"/>
      <c r="J2255" s="401"/>
      <c r="K2255" s="406"/>
    </row>
    <row r="2256" spans="1:11" ht="17.25" hidden="1">
      <c r="A2256" s="386"/>
      <c r="E2256" s="401"/>
      <c r="F2256" s="402"/>
      <c r="G2256" s="401"/>
      <c r="H2256" s="401" t="s">
        <v>3066</v>
      </c>
      <c r="I2256" s="404"/>
      <c r="J2256" s="401" t="s">
        <v>995</v>
      </c>
      <c r="K2256" s="406">
        <v>3.32E-2</v>
      </c>
    </row>
    <row r="2257" spans="1:11" ht="17.25" hidden="1">
      <c r="A2257" s="386"/>
      <c r="E2257" s="401"/>
      <c r="F2257" s="402"/>
      <c r="G2257" s="401"/>
      <c r="H2257" s="401" t="s">
        <v>3067</v>
      </c>
      <c r="I2257" s="404"/>
      <c r="J2257" s="401" t="s">
        <v>995</v>
      </c>
      <c r="K2257" s="406" t="s">
        <v>995</v>
      </c>
    </row>
    <row r="2258" spans="1:11" ht="17.25" hidden="1">
      <c r="A2258" s="386"/>
      <c r="E2258" s="401"/>
      <c r="F2258" s="402"/>
      <c r="G2258" s="401"/>
      <c r="H2258" s="401" t="s">
        <v>1907</v>
      </c>
      <c r="I2258" s="404"/>
      <c r="J2258" s="401"/>
      <c r="K2258" s="406" t="s">
        <v>995</v>
      </c>
    </row>
    <row r="2259" spans="1:11" ht="17.25" hidden="1">
      <c r="A2259" s="386"/>
      <c r="E2259" s="401"/>
      <c r="F2259" s="402"/>
      <c r="G2259" s="401"/>
      <c r="H2259" s="401"/>
      <c r="I2259" s="404"/>
      <c r="J2259" s="401"/>
      <c r="K2259" s="406"/>
    </row>
    <row r="2260" spans="1:11" ht="17.25" hidden="1">
      <c r="A2260" s="386"/>
      <c r="E2260" s="401"/>
      <c r="F2260" s="409">
        <v>1.18E-2</v>
      </c>
      <c r="G2260" s="401" t="s">
        <v>884</v>
      </c>
      <c r="H2260" s="401" t="s">
        <v>702</v>
      </c>
      <c r="I2260" s="404">
        <f>I1083</f>
        <v>65420</v>
      </c>
      <c r="J2260" s="401" t="s">
        <v>884</v>
      </c>
      <c r="K2260" s="406">
        <f t="shared" ref="K2260:K2269" si="76">I2260*F2260</f>
        <v>771.96</v>
      </c>
    </row>
    <row r="2261" spans="1:11" ht="17.25" hidden="1">
      <c r="A2261" s="386"/>
      <c r="E2261" s="401"/>
      <c r="F2261" s="409">
        <v>3.7699999999999997E-2</v>
      </c>
      <c r="G2261" s="401" t="s">
        <v>884</v>
      </c>
      <c r="H2261" s="401" t="s">
        <v>703</v>
      </c>
      <c r="I2261" s="404">
        <f>I1084</f>
        <v>57165</v>
      </c>
      <c r="J2261" s="401" t="s">
        <v>884</v>
      </c>
      <c r="K2261" s="406">
        <f t="shared" si="76"/>
        <v>2155.12</v>
      </c>
    </row>
    <row r="2262" spans="1:11" ht="17.25" hidden="1">
      <c r="A2262" s="386"/>
      <c r="E2262" s="401"/>
      <c r="F2262" s="409">
        <v>1.8550000000000001E-2</v>
      </c>
      <c r="G2262" s="401" t="s">
        <v>884</v>
      </c>
      <c r="H2262" s="401" t="s">
        <v>902</v>
      </c>
      <c r="I2262" s="404">
        <f>I1085</f>
        <v>3035</v>
      </c>
      <c r="J2262" s="401" t="s">
        <v>884</v>
      </c>
      <c r="K2262" s="406">
        <f t="shared" si="76"/>
        <v>56.3</v>
      </c>
    </row>
    <row r="2263" spans="1:11" ht="17.25" hidden="1">
      <c r="A2263" s="386"/>
      <c r="E2263" s="401"/>
      <c r="F2263" s="409">
        <v>1.36</v>
      </c>
      <c r="G2263" s="401" t="s">
        <v>611</v>
      </c>
      <c r="H2263" s="401" t="s">
        <v>903</v>
      </c>
      <c r="I2263" s="404">
        <v>385.89</v>
      </c>
      <c r="J2263" s="401" t="s">
        <v>611</v>
      </c>
      <c r="K2263" s="406">
        <f t="shared" si="76"/>
        <v>524.80999999999995</v>
      </c>
    </row>
    <row r="2264" spans="1:11" ht="17.25" hidden="1">
      <c r="A2264" s="386"/>
      <c r="E2264" s="401"/>
      <c r="F2264" s="409">
        <v>2.0499999999999998</v>
      </c>
      <c r="G2264" s="401" t="s">
        <v>611</v>
      </c>
      <c r="H2264" s="401" t="s">
        <v>1568</v>
      </c>
      <c r="I2264" s="404">
        <f>I1087</f>
        <v>287</v>
      </c>
      <c r="J2264" s="401" t="s">
        <v>611</v>
      </c>
      <c r="K2264" s="406">
        <f t="shared" si="76"/>
        <v>588.35</v>
      </c>
    </row>
    <row r="2265" spans="1:11" ht="17.25" hidden="1">
      <c r="A2265" s="386"/>
      <c r="E2265" s="401"/>
      <c r="F2265" s="410">
        <v>2</v>
      </c>
      <c r="G2265" s="401" t="s">
        <v>883</v>
      </c>
      <c r="H2265" s="401" t="s">
        <v>1449</v>
      </c>
      <c r="I2265" s="404">
        <v>25</v>
      </c>
      <c r="J2265" s="401" t="s">
        <v>883</v>
      </c>
      <c r="K2265" s="406">
        <f t="shared" si="76"/>
        <v>50</v>
      </c>
    </row>
    <row r="2266" spans="1:11" ht="17.25" hidden="1">
      <c r="A2266" s="386"/>
      <c r="E2266" s="401"/>
      <c r="F2266" s="410">
        <v>6</v>
      </c>
      <c r="G2266" s="401" t="s">
        <v>883</v>
      </c>
      <c r="H2266" s="401" t="s">
        <v>1404</v>
      </c>
      <c r="I2266" s="404">
        <v>25</v>
      </c>
      <c r="J2266" s="401" t="s">
        <v>883</v>
      </c>
      <c r="K2266" s="406">
        <f t="shared" si="76"/>
        <v>150</v>
      </c>
    </row>
    <row r="2267" spans="1:11" ht="17.25" hidden="1">
      <c r="A2267" s="386"/>
      <c r="E2267" s="401"/>
      <c r="F2267" s="410">
        <v>2</v>
      </c>
      <c r="G2267" s="401" t="s">
        <v>883</v>
      </c>
      <c r="H2267" s="401" t="s">
        <v>2531</v>
      </c>
      <c r="I2267" s="404">
        <v>35</v>
      </c>
      <c r="J2267" s="401" t="s">
        <v>883</v>
      </c>
      <c r="K2267" s="406">
        <f t="shared" si="76"/>
        <v>70</v>
      </c>
    </row>
    <row r="2268" spans="1:11" ht="17.25" hidden="1">
      <c r="A2268" s="386"/>
      <c r="E2268" s="401"/>
      <c r="F2268" s="410">
        <v>1</v>
      </c>
      <c r="G2268" s="401" t="s">
        <v>883</v>
      </c>
      <c r="H2268" s="401" t="s">
        <v>1477</v>
      </c>
      <c r="I2268" s="404">
        <v>60</v>
      </c>
      <c r="J2268" s="401" t="s">
        <v>883</v>
      </c>
      <c r="K2268" s="406">
        <f t="shared" si="76"/>
        <v>60</v>
      </c>
    </row>
    <row r="2269" spans="1:11" ht="17.25" hidden="1">
      <c r="A2269" s="386"/>
      <c r="E2269" s="401"/>
      <c r="F2269" s="409">
        <v>2.52</v>
      </c>
      <c r="G2269" s="401" t="s">
        <v>611</v>
      </c>
      <c r="H2269" s="401" t="s">
        <v>1792</v>
      </c>
      <c r="I2269" s="404">
        <f>K1122</f>
        <v>51.25</v>
      </c>
      <c r="J2269" s="401" t="s">
        <v>611</v>
      </c>
      <c r="K2269" s="406">
        <f t="shared" si="76"/>
        <v>129.15</v>
      </c>
    </row>
    <row r="2270" spans="1:11" ht="17.25" hidden="1">
      <c r="A2270" s="386"/>
      <c r="E2270" s="401"/>
      <c r="F2270" s="402"/>
      <c r="G2270" s="401"/>
      <c r="H2270" s="401" t="s">
        <v>1474</v>
      </c>
      <c r="I2270" s="404" t="s">
        <v>448</v>
      </c>
      <c r="J2270" s="401"/>
      <c r="K2270" s="406">
        <v>0.28000000000000003</v>
      </c>
    </row>
    <row r="2271" spans="1:11" ht="17.25" hidden="1">
      <c r="A2271" s="386"/>
      <c r="E2271" s="401"/>
      <c r="F2271" s="402"/>
      <c r="G2271" s="401"/>
      <c r="H2271" s="401"/>
      <c r="I2271" s="404"/>
      <c r="J2271" s="401"/>
      <c r="K2271" s="554" t="s">
        <v>1667</v>
      </c>
    </row>
    <row r="2272" spans="1:11" ht="17.25" hidden="1">
      <c r="A2272" s="386"/>
      <c r="E2272" s="401"/>
      <c r="F2272" s="402"/>
      <c r="G2272" s="401"/>
      <c r="H2272" s="401" t="s">
        <v>1475</v>
      </c>
      <c r="I2272" s="404"/>
      <c r="J2272" s="401"/>
      <c r="K2272" s="406">
        <f>SUM(K2260:K2271)</f>
        <v>4555.97</v>
      </c>
    </row>
    <row r="2273" spans="1:11" ht="17.25" hidden="1">
      <c r="A2273" s="386"/>
      <c r="E2273" s="401"/>
      <c r="F2273" s="402"/>
      <c r="G2273" s="401" t="s">
        <v>995</v>
      </c>
      <c r="H2273" s="401"/>
      <c r="I2273" s="404"/>
      <c r="J2273" s="401"/>
      <c r="K2273" s="554" t="s">
        <v>1667</v>
      </c>
    </row>
    <row r="2274" spans="1:11" ht="17.25" hidden="1">
      <c r="A2274" s="386"/>
      <c r="E2274" s="401"/>
      <c r="F2274" s="402"/>
      <c r="G2274" s="401"/>
      <c r="H2274" s="401" t="s">
        <v>555</v>
      </c>
      <c r="I2274" s="404"/>
      <c r="J2274" s="401"/>
      <c r="K2274" s="406">
        <f>K2272/F2269</f>
        <v>1807.92</v>
      </c>
    </row>
    <row r="2275" spans="1:11" ht="17.25" hidden="1">
      <c r="A2275" s="386"/>
      <c r="E2275" s="401"/>
      <c r="F2275" s="402"/>
      <c r="G2275" s="401"/>
      <c r="H2275" s="401"/>
      <c r="I2275" s="404"/>
      <c r="J2275" s="401"/>
      <c r="K2275" s="406"/>
    </row>
    <row r="2276" spans="1:11" ht="17.25" hidden="1">
      <c r="A2276" s="386"/>
      <c r="E2276" s="401"/>
      <c r="F2276" s="401"/>
      <c r="G2276" s="402"/>
      <c r="H2276" s="401"/>
      <c r="I2276" s="401"/>
      <c r="J2276" s="404"/>
      <c r="K2276" s="406"/>
    </row>
    <row r="2277" spans="1:11" ht="17.25" hidden="1">
      <c r="A2277" s="386"/>
      <c r="E2277" s="401"/>
      <c r="F2277" s="401"/>
      <c r="G2277" s="402"/>
      <c r="H2277" s="401"/>
      <c r="I2277" s="401"/>
      <c r="J2277" s="404"/>
      <c r="K2277" s="406"/>
    </row>
    <row r="2278" spans="1:11" ht="51.75" hidden="1">
      <c r="A2278" s="386"/>
      <c r="E2278" s="401"/>
      <c r="F2278" s="401"/>
      <c r="G2278" s="402"/>
      <c r="H2278" s="408" t="s">
        <v>3649</v>
      </c>
      <c r="I2278" s="401"/>
      <c r="J2278" s="404" t="s">
        <v>1458</v>
      </c>
      <c r="K2278" s="406">
        <v>600</v>
      </c>
    </row>
    <row r="2279" spans="1:11" ht="17.25" hidden="1">
      <c r="A2279" s="386"/>
      <c r="E2279" s="401"/>
      <c r="F2279" s="401"/>
      <c r="G2279" s="402"/>
      <c r="H2279" s="401"/>
      <c r="I2279" s="401"/>
      <c r="J2279" s="404"/>
      <c r="K2279" s="406"/>
    </row>
    <row r="2280" spans="1:11" ht="17.25" hidden="1">
      <c r="A2280" s="386"/>
      <c r="E2280" s="401"/>
      <c r="F2280" s="401"/>
      <c r="G2280" s="402"/>
      <c r="H2280" s="401"/>
      <c r="I2280" s="401"/>
      <c r="J2280" s="404"/>
      <c r="K2280" s="406"/>
    </row>
    <row r="2281" spans="1:11" ht="17.25" hidden="1">
      <c r="A2281" s="386"/>
      <c r="E2281" s="401"/>
      <c r="F2281" s="401"/>
      <c r="G2281" s="402"/>
      <c r="H2281" s="408" t="s">
        <v>2515</v>
      </c>
      <c r="I2281" s="401"/>
      <c r="J2281" s="404" t="s">
        <v>1458</v>
      </c>
      <c r="K2281" s="406">
        <v>300</v>
      </c>
    </row>
    <row r="2282" spans="1:11" ht="17.25" hidden="1">
      <c r="A2282" s="386"/>
      <c r="E2282" s="401"/>
      <c r="F2282" s="401"/>
      <c r="G2282" s="402"/>
      <c r="H2282" s="401"/>
      <c r="I2282" s="401"/>
      <c r="J2282" s="404"/>
      <c r="K2282" s="406"/>
    </row>
    <row r="2283" spans="1:11" ht="17.25" hidden="1">
      <c r="A2283" s="386"/>
      <c r="E2283" s="401"/>
      <c r="F2283" s="401"/>
      <c r="G2283" s="402"/>
      <c r="H2283" s="401"/>
      <c r="I2283" s="401"/>
      <c r="J2283" s="404"/>
      <c r="K2283" s="406"/>
    </row>
    <row r="2284" spans="1:11" ht="17.25" hidden="1">
      <c r="A2284" s="386"/>
      <c r="E2284" s="401"/>
      <c r="F2284" s="401"/>
      <c r="G2284" s="402"/>
      <c r="H2284" s="401"/>
      <c r="I2284" s="401"/>
      <c r="J2284" s="404"/>
      <c r="K2284" s="406"/>
    </row>
    <row r="2285" spans="1:11" ht="17.25" hidden="1">
      <c r="A2285" s="386"/>
      <c r="E2285" s="401"/>
      <c r="F2285" s="401"/>
      <c r="G2285" s="402"/>
      <c r="H2285" s="408" t="s">
        <v>2516</v>
      </c>
      <c r="I2285" s="401"/>
      <c r="J2285" s="404" t="s">
        <v>1458</v>
      </c>
      <c r="K2285" s="406">
        <v>260</v>
      </c>
    </row>
    <row r="2286" spans="1:11" ht="17.25" hidden="1">
      <c r="A2286" s="386"/>
      <c r="E2286" s="401"/>
      <c r="F2286" s="401"/>
      <c r="G2286" s="402"/>
      <c r="H2286" s="401"/>
      <c r="I2286" s="401"/>
      <c r="J2286" s="404"/>
      <c r="K2286" s="406"/>
    </row>
    <row r="2287" spans="1:11" ht="17.25" hidden="1">
      <c r="A2287" s="386"/>
      <c r="E2287" s="401"/>
      <c r="F2287" s="401"/>
      <c r="G2287" s="402"/>
      <c r="H2287" s="401"/>
      <c r="I2287" s="401"/>
      <c r="J2287" s="404"/>
      <c r="K2287" s="406"/>
    </row>
    <row r="2288" spans="1:11" ht="17.25" hidden="1">
      <c r="A2288" s="386"/>
      <c r="E2288" s="401"/>
      <c r="F2288" s="401"/>
      <c r="G2288" s="402"/>
      <c r="H2288" s="401"/>
      <c r="I2288" s="401"/>
      <c r="J2288" s="404"/>
      <c r="K2288" s="406"/>
    </row>
    <row r="2289" spans="1:11" ht="34.5" hidden="1">
      <c r="A2289" s="386"/>
      <c r="E2289" s="401"/>
      <c r="F2289" s="401"/>
      <c r="G2289" s="402"/>
      <c r="H2289" s="408" t="s">
        <v>2517</v>
      </c>
      <c r="I2289" s="401"/>
      <c r="J2289" s="404" t="s">
        <v>1458</v>
      </c>
      <c r="K2289" s="406">
        <v>650</v>
      </c>
    </row>
    <row r="2290" spans="1:11" ht="17.25" hidden="1">
      <c r="A2290" s="386"/>
      <c r="E2290" s="401"/>
      <c r="F2290" s="401"/>
      <c r="G2290" s="402"/>
      <c r="H2290" s="401"/>
      <c r="I2290" s="401"/>
      <c r="J2290" s="404"/>
      <c r="K2290" s="406"/>
    </row>
    <row r="2291" spans="1:11" ht="17.25" hidden="1">
      <c r="A2291" s="386"/>
      <c r="E2291" s="401"/>
      <c r="F2291" s="401"/>
      <c r="G2291" s="402"/>
      <c r="H2291" s="401"/>
      <c r="I2291" s="401"/>
      <c r="J2291" s="404"/>
      <c r="K2291" s="406"/>
    </row>
    <row r="2292" spans="1:11" ht="17.25" hidden="1">
      <c r="A2292" s="386"/>
      <c r="E2292" s="401"/>
      <c r="F2292" s="401"/>
      <c r="G2292" s="402"/>
      <c r="H2292" s="401" t="s">
        <v>3602</v>
      </c>
      <c r="I2292" s="401"/>
      <c r="J2292" s="404" t="s">
        <v>1458</v>
      </c>
      <c r="K2292" s="406">
        <v>436</v>
      </c>
    </row>
    <row r="2293" spans="1:11" ht="17.25" hidden="1">
      <c r="A2293" s="386"/>
      <c r="E2293" s="401"/>
      <c r="F2293" s="401"/>
      <c r="G2293" s="402"/>
      <c r="H2293" s="401"/>
      <c r="I2293" s="401"/>
      <c r="J2293" s="404"/>
      <c r="K2293" s="406"/>
    </row>
    <row r="2294" spans="1:11" ht="17.25" hidden="1">
      <c r="A2294" s="386"/>
      <c r="E2294" s="401"/>
      <c r="F2294" s="401"/>
      <c r="G2294" s="402"/>
      <c r="H2294" s="401"/>
      <c r="I2294" s="401"/>
      <c r="J2294" s="404"/>
      <c r="K2294" s="406"/>
    </row>
    <row r="2295" spans="1:11" ht="17.25" hidden="1">
      <c r="A2295" s="386"/>
      <c r="E2295" s="401"/>
      <c r="F2295" s="401"/>
      <c r="G2295" s="402"/>
      <c r="H2295" s="401" t="s">
        <v>3603</v>
      </c>
      <c r="I2295" s="401"/>
      <c r="J2295" s="404" t="s">
        <v>1458</v>
      </c>
      <c r="K2295" s="406">
        <v>518</v>
      </c>
    </row>
    <row r="2296" spans="1:11" ht="17.25" hidden="1">
      <c r="A2296" s="386"/>
      <c r="E2296" s="401"/>
      <c r="F2296" s="401"/>
      <c r="G2296" s="402"/>
      <c r="H2296" s="401"/>
      <c r="I2296" s="401"/>
      <c r="J2296" s="404"/>
      <c r="K2296" s="406"/>
    </row>
    <row r="2297" spans="1:11" ht="17.25" hidden="1">
      <c r="A2297" s="386"/>
      <c r="E2297" s="401"/>
      <c r="F2297" s="401"/>
      <c r="G2297" s="402"/>
      <c r="H2297" s="401"/>
      <c r="I2297" s="401"/>
      <c r="J2297" s="404"/>
      <c r="K2297" s="406"/>
    </row>
    <row r="2298" spans="1:11" ht="17.25" hidden="1">
      <c r="A2298" s="386"/>
      <c r="E2298" s="401"/>
      <c r="F2298" s="401"/>
      <c r="G2298" s="402"/>
      <c r="H2298" s="401"/>
      <c r="I2298" s="401"/>
      <c r="J2298" s="404"/>
      <c r="K2298" s="406"/>
    </row>
    <row r="2299" spans="1:11" ht="34.5" hidden="1">
      <c r="A2299" s="386"/>
      <c r="E2299" s="401"/>
      <c r="F2299" s="401"/>
      <c r="G2299" s="402"/>
      <c r="H2299" s="408" t="s">
        <v>3604</v>
      </c>
      <c r="I2299" s="401"/>
      <c r="J2299" s="404"/>
      <c r="K2299" s="406"/>
    </row>
    <row r="2300" spans="1:11" ht="17.25" hidden="1">
      <c r="A2300" s="386"/>
      <c r="E2300" s="401"/>
      <c r="F2300" s="401"/>
      <c r="G2300" s="402"/>
      <c r="H2300" s="401"/>
      <c r="I2300" s="401"/>
      <c r="J2300" s="404"/>
      <c r="K2300" s="406"/>
    </row>
    <row r="2301" spans="1:11" ht="17.25" hidden="1">
      <c r="A2301" s="386"/>
      <c r="E2301" s="401"/>
      <c r="F2301" s="401"/>
      <c r="G2301" s="402"/>
      <c r="H2301" s="401" t="s">
        <v>3605</v>
      </c>
      <c r="I2301" s="401"/>
      <c r="J2301" s="404"/>
      <c r="K2301" s="406"/>
    </row>
    <row r="2302" spans="1:11" ht="17.25" hidden="1">
      <c r="A2302" s="386"/>
      <c r="E2302" s="401"/>
      <c r="F2302" s="401"/>
      <c r="G2302" s="402"/>
      <c r="H2302" s="401" t="s">
        <v>3606</v>
      </c>
      <c r="I2302" s="401"/>
      <c r="J2302" s="404"/>
      <c r="K2302" s="406"/>
    </row>
    <row r="2303" spans="1:11" ht="17.25" hidden="1">
      <c r="A2303" s="386"/>
      <c r="E2303" s="401"/>
      <c r="F2303" s="401"/>
      <c r="G2303" s="402"/>
      <c r="H2303" s="401"/>
      <c r="I2303" s="401"/>
      <c r="J2303" s="404"/>
      <c r="K2303" s="406"/>
    </row>
    <row r="2304" spans="1:11" ht="17.25" hidden="1">
      <c r="A2304" s="386"/>
      <c r="E2304" s="401"/>
      <c r="F2304" s="401"/>
      <c r="G2304" s="402"/>
      <c r="H2304" s="401"/>
      <c r="I2304" s="401"/>
      <c r="J2304" s="404"/>
      <c r="K2304" s="406"/>
    </row>
    <row r="2305" spans="1:11" ht="17.25" hidden="1">
      <c r="A2305" s="386"/>
      <c r="E2305" s="401"/>
      <c r="F2305" s="401"/>
      <c r="G2305" s="402"/>
      <c r="H2305" s="401"/>
      <c r="I2305" s="401"/>
      <c r="J2305" s="404"/>
      <c r="K2305" s="406"/>
    </row>
    <row r="2306" spans="1:11" ht="17.25" hidden="1">
      <c r="A2306" s="386"/>
      <c r="E2306" s="401"/>
      <c r="F2306" s="401">
        <v>1.96</v>
      </c>
      <c r="G2306" s="402" t="s">
        <v>2226</v>
      </c>
      <c r="H2306" s="401" t="s">
        <v>3607</v>
      </c>
      <c r="I2306" s="401" t="e">
        <f>K1644</f>
        <v>#REF!</v>
      </c>
      <c r="J2306" s="404" t="s">
        <v>2226</v>
      </c>
      <c r="K2306" s="406" t="e">
        <f t="shared" ref="K2306:K2311" si="77">I2306*F2306</f>
        <v>#REF!</v>
      </c>
    </row>
    <row r="2307" spans="1:11" ht="17.25" hidden="1">
      <c r="A2307" s="386"/>
      <c r="E2307" s="401"/>
      <c r="F2307" s="401">
        <v>2</v>
      </c>
      <c r="G2307" s="402" t="s">
        <v>1454</v>
      </c>
      <c r="H2307" s="401" t="s">
        <v>3608</v>
      </c>
      <c r="I2307" s="401">
        <f>C10</f>
        <v>150</v>
      </c>
      <c r="J2307" s="404" t="s">
        <v>1454</v>
      </c>
      <c r="K2307" s="406">
        <f t="shared" si="77"/>
        <v>300</v>
      </c>
    </row>
    <row r="2308" spans="1:11" ht="17.25" hidden="1">
      <c r="A2308" s="386"/>
      <c r="E2308" s="401"/>
      <c r="F2308" s="401">
        <v>2</v>
      </c>
      <c r="G2308" s="402" t="s">
        <v>1454</v>
      </c>
      <c r="H2308" s="401" t="s">
        <v>3609</v>
      </c>
      <c r="I2308" s="401">
        <f>C13</f>
        <v>85</v>
      </c>
      <c r="J2308" s="404" t="s">
        <v>1454</v>
      </c>
      <c r="K2308" s="406">
        <f t="shared" si="77"/>
        <v>170</v>
      </c>
    </row>
    <row r="2309" spans="1:11" ht="17.25" hidden="1">
      <c r="A2309" s="386"/>
      <c r="E2309" s="401"/>
      <c r="F2309" s="401">
        <v>500</v>
      </c>
      <c r="G2309" s="402" t="s">
        <v>1454</v>
      </c>
      <c r="H2309" s="401" t="s">
        <v>3610</v>
      </c>
      <c r="I2309" s="401">
        <v>2</v>
      </c>
      <c r="J2309" s="404" t="s">
        <v>1454</v>
      </c>
      <c r="K2309" s="406">
        <f t="shared" si="77"/>
        <v>1000</v>
      </c>
    </row>
    <row r="2310" spans="1:11" ht="17.25" hidden="1">
      <c r="A2310" s="386"/>
      <c r="E2310" s="401"/>
      <c r="F2310" s="401">
        <v>8.5</v>
      </c>
      <c r="G2310" s="402" t="s">
        <v>2221</v>
      </c>
      <c r="H2310" s="401" t="s">
        <v>3611</v>
      </c>
      <c r="I2310" s="401">
        <v>25</v>
      </c>
      <c r="J2310" s="404" t="s">
        <v>2221</v>
      </c>
      <c r="K2310" s="406">
        <f t="shared" si="77"/>
        <v>212.5</v>
      </c>
    </row>
    <row r="2311" spans="1:11" ht="17.25" hidden="1">
      <c r="A2311" s="386"/>
      <c r="E2311" s="401"/>
      <c r="F2311" s="401">
        <v>0.28000000000000003</v>
      </c>
      <c r="G2311" s="402" t="s">
        <v>2371</v>
      </c>
      <c r="H2311" s="401" t="s">
        <v>3612</v>
      </c>
      <c r="I2311" s="401">
        <f>K2448</f>
        <v>168.13</v>
      </c>
      <c r="J2311" s="404" t="s">
        <v>2371</v>
      </c>
      <c r="K2311" s="406">
        <f t="shared" si="77"/>
        <v>47.08</v>
      </c>
    </row>
    <row r="2312" spans="1:11" ht="17.25" hidden="1">
      <c r="A2312" s="386"/>
      <c r="E2312" s="401"/>
      <c r="F2312" s="401"/>
      <c r="G2312" s="402"/>
      <c r="H2312" s="401"/>
      <c r="I2312" s="401"/>
      <c r="J2312" s="404"/>
      <c r="K2312" s="406" t="s">
        <v>3613</v>
      </c>
    </row>
    <row r="2313" spans="1:11" ht="17.25" hidden="1">
      <c r="A2313" s="386"/>
      <c r="E2313" s="401"/>
      <c r="F2313" s="401"/>
      <c r="G2313" s="402"/>
      <c r="H2313" s="401"/>
      <c r="I2313" s="401" t="s">
        <v>3614</v>
      </c>
      <c r="J2313" s="404">
        <v>39.200000000000003</v>
      </c>
      <c r="K2313" s="406" t="e">
        <f>SUM(K2306:K2312)</f>
        <v>#REF!</v>
      </c>
    </row>
    <row r="2314" spans="1:11" ht="17.25" hidden="1">
      <c r="A2314" s="386"/>
      <c r="E2314" s="401"/>
      <c r="F2314" s="401"/>
      <c r="G2314" s="402"/>
      <c r="H2314" s="401"/>
      <c r="I2314" s="401"/>
      <c r="J2314" s="404"/>
      <c r="K2314" s="406" t="s">
        <v>3615</v>
      </c>
    </row>
    <row r="2315" spans="1:11" ht="17.25" hidden="1">
      <c r="A2315" s="386"/>
      <c r="E2315" s="401"/>
      <c r="F2315" s="401"/>
      <c r="G2315" s="402"/>
      <c r="H2315" s="401"/>
      <c r="I2315" s="401"/>
      <c r="J2315" s="404"/>
      <c r="K2315" s="406"/>
    </row>
    <row r="2316" spans="1:11" ht="17.25" hidden="1">
      <c r="A2316" s="386"/>
      <c r="E2316" s="401"/>
      <c r="F2316" s="401"/>
      <c r="G2316" s="402"/>
      <c r="H2316" s="401"/>
      <c r="I2316" s="401" t="s">
        <v>3616</v>
      </c>
      <c r="J2316" s="404"/>
      <c r="K2316" s="555" t="e">
        <f>K2313/J2313</f>
        <v>#REF!</v>
      </c>
    </row>
    <row r="2317" spans="1:11" ht="17.25" hidden="1">
      <c r="A2317" s="386"/>
      <c r="E2317" s="401"/>
      <c r="F2317" s="401"/>
      <c r="G2317" s="402"/>
      <c r="H2317" s="401"/>
      <c r="I2317" s="401"/>
      <c r="J2317" s="404"/>
      <c r="K2317" s="554" t="s">
        <v>2130</v>
      </c>
    </row>
    <row r="2318" spans="1:11" ht="17.25" hidden="1">
      <c r="A2318" s="386"/>
      <c r="E2318" s="401"/>
      <c r="F2318" s="401"/>
      <c r="G2318" s="402"/>
      <c r="H2318" s="401"/>
      <c r="I2318" s="401"/>
      <c r="J2318" s="404"/>
      <c r="K2318" s="406"/>
    </row>
    <row r="2319" spans="1:11" ht="34.5" hidden="1">
      <c r="A2319" s="386"/>
      <c r="E2319" s="401"/>
      <c r="F2319" s="401"/>
      <c r="G2319" s="402"/>
      <c r="H2319" s="408" t="s">
        <v>3617</v>
      </c>
      <c r="I2319" s="401"/>
      <c r="J2319" s="404"/>
      <c r="K2319" s="406"/>
    </row>
    <row r="2320" spans="1:11" ht="17.25" hidden="1">
      <c r="A2320" s="386"/>
      <c r="E2320" s="401"/>
      <c r="F2320" s="401"/>
      <c r="G2320" s="402"/>
      <c r="H2320" s="401"/>
      <c r="I2320" s="401"/>
      <c r="J2320" s="404"/>
      <c r="K2320" s="406"/>
    </row>
    <row r="2321" spans="1:11" ht="17.25" hidden="1">
      <c r="A2321" s="386"/>
      <c r="E2321" s="401"/>
      <c r="F2321" s="401">
        <v>4</v>
      </c>
      <c r="G2321" s="402" t="s">
        <v>840</v>
      </c>
      <c r="H2321" s="401" t="s">
        <v>3650</v>
      </c>
      <c r="I2321" s="401">
        <v>110</v>
      </c>
      <c r="J2321" s="404" t="s">
        <v>840</v>
      </c>
      <c r="K2321" s="406">
        <f t="shared" ref="K2321:K2328" si="78">I2321*F2321</f>
        <v>440</v>
      </c>
    </row>
    <row r="2322" spans="1:11" ht="17.25" hidden="1">
      <c r="A2322" s="386"/>
      <c r="E2322" s="401"/>
      <c r="F2322" s="401">
        <v>2.52</v>
      </c>
      <c r="G2322" s="402" t="s">
        <v>1730</v>
      </c>
      <c r="H2322" s="401" t="s">
        <v>2919</v>
      </c>
      <c r="I2322" s="401">
        <v>30</v>
      </c>
      <c r="J2322" s="404" t="s">
        <v>1730</v>
      </c>
      <c r="K2322" s="406">
        <f t="shared" si="78"/>
        <v>75.599999999999994</v>
      </c>
    </row>
    <row r="2323" spans="1:11" ht="17.25" hidden="1">
      <c r="A2323" s="386"/>
      <c r="E2323" s="401"/>
      <c r="F2323" s="401">
        <v>1.1299999999999999</v>
      </c>
      <c r="G2323" s="402" t="s">
        <v>1730</v>
      </c>
      <c r="H2323" s="401" t="s">
        <v>2920</v>
      </c>
      <c r="I2323" s="401">
        <v>30</v>
      </c>
      <c r="J2323" s="404" t="s">
        <v>1730</v>
      </c>
      <c r="K2323" s="406">
        <f t="shared" si="78"/>
        <v>33.9</v>
      </c>
    </row>
    <row r="2324" spans="1:11" ht="17.25" hidden="1">
      <c r="A2324" s="386"/>
      <c r="E2324" s="401"/>
      <c r="F2324" s="401">
        <v>0.35</v>
      </c>
      <c r="G2324" s="402" t="s">
        <v>1730</v>
      </c>
      <c r="H2324" s="401" t="s">
        <v>2921</v>
      </c>
      <c r="I2324" s="401">
        <v>30</v>
      </c>
      <c r="J2324" s="404" t="s">
        <v>1730</v>
      </c>
      <c r="K2324" s="406">
        <f t="shared" si="78"/>
        <v>10.5</v>
      </c>
    </row>
    <row r="2325" spans="1:11" ht="17.25" hidden="1">
      <c r="A2325" s="386"/>
      <c r="E2325" s="401"/>
      <c r="F2325" s="401">
        <v>4</v>
      </c>
      <c r="G2325" s="402" t="s">
        <v>1730</v>
      </c>
      <c r="H2325" s="401" t="s">
        <v>110</v>
      </c>
      <c r="I2325" s="401">
        <v>12.25</v>
      </c>
      <c r="J2325" s="404" t="s">
        <v>1730</v>
      </c>
      <c r="K2325" s="406">
        <f t="shared" si="78"/>
        <v>49</v>
      </c>
    </row>
    <row r="2326" spans="1:11" ht="17.25" hidden="1">
      <c r="A2326" s="386"/>
      <c r="E2326" s="401"/>
      <c r="F2326" s="401">
        <v>6</v>
      </c>
      <c r="G2326" s="402" t="s">
        <v>1492</v>
      </c>
      <c r="H2326" s="401" t="s">
        <v>2922</v>
      </c>
      <c r="I2326" s="401">
        <v>1</v>
      </c>
      <c r="J2326" s="404" t="s">
        <v>1458</v>
      </c>
      <c r="K2326" s="406">
        <f t="shared" si="78"/>
        <v>6</v>
      </c>
    </row>
    <row r="2327" spans="1:11" ht="17.25" hidden="1">
      <c r="A2327" s="386"/>
      <c r="E2327" s="401"/>
      <c r="F2327" s="401">
        <v>0.5</v>
      </c>
      <c r="G2327" s="402" t="s">
        <v>1492</v>
      </c>
      <c r="H2327" s="401" t="s">
        <v>2923</v>
      </c>
      <c r="I2327" s="401">
        <f>C12</f>
        <v>95</v>
      </c>
      <c r="J2327" s="404" t="s">
        <v>1458</v>
      </c>
      <c r="K2327" s="406">
        <f t="shared" si="78"/>
        <v>47.5</v>
      </c>
    </row>
    <row r="2328" spans="1:11" ht="17.25" hidden="1">
      <c r="A2328" s="386"/>
      <c r="E2328" s="401"/>
      <c r="F2328" s="401">
        <v>0.5</v>
      </c>
      <c r="G2328" s="402" t="s">
        <v>1492</v>
      </c>
      <c r="H2328" s="401" t="s">
        <v>2924</v>
      </c>
      <c r="I2328" s="401">
        <f>C13</f>
        <v>85</v>
      </c>
      <c r="J2328" s="404" t="s">
        <v>1458</v>
      </c>
      <c r="K2328" s="406">
        <f t="shared" si="78"/>
        <v>42.5</v>
      </c>
    </row>
    <row r="2329" spans="1:11" ht="17.25" hidden="1">
      <c r="A2329" s="386"/>
      <c r="E2329" s="401"/>
      <c r="F2329" s="406" t="s">
        <v>448</v>
      </c>
      <c r="G2329" s="402"/>
      <c r="H2329" s="401" t="s">
        <v>2925</v>
      </c>
      <c r="I2329" s="401"/>
      <c r="J2329" s="404" t="s">
        <v>448</v>
      </c>
      <c r="K2329" s="406">
        <v>19.22</v>
      </c>
    </row>
    <row r="2330" spans="1:11" ht="17.25" hidden="1">
      <c r="A2330" s="386"/>
      <c r="E2330" s="401"/>
      <c r="F2330" s="401"/>
      <c r="G2330" s="402"/>
      <c r="H2330" s="401"/>
      <c r="I2330" s="401"/>
      <c r="J2330" s="404"/>
      <c r="K2330" s="406"/>
    </row>
    <row r="2331" spans="1:11" ht="17.25" hidden="1">
      <c r="A2331" s="386"/>
      <c r="E2331" s="401"/>
      <c r="F2331" s="401"/>
      <c r="G2331" s="402"/>
      <c r="H2331" s="401"/>
      <c r="I2331" s="401"/>
      <c r="J2331" s="404"/>
      <c r="K2331" s="406" t="s">
        <v>2926</v>
      </c>
    </row>
    <row r="2332" spans="1:11" ht="17.25" hidden="1">
      <c r="A2332" s="386"/>
      <c r="E2332" s="401"/>
      <c r="F2332" s="401"/>
      <c r="G2332" s="402"/>
      <c r="H2332" s="401"/>
      <c r="I2332" s="401" t="s">
        <v>2927</v>
      </c>
      <c r="J2332" s="404" t="s">
        <v>2928</v>
      </c>
      <c r="K2332" s="406">
        <f>SUM(K2321:K2331)</f>
        <v>724.22</v>
      </c>
    </row>
    <row r="2333" spans="1:11" ht="17.25" hidden="1">
      <c r="A2333" s="386"/>
      <c r="E2333" s="401"/>
      <c r="F2333" s="401"/>
      <c r="G2333" s="402"/>
      <c r="H2333" s="401"/>
      <c r="I2333" s="401">
        <v>2</v>
      </c>
      <c r="J2333" s="413" t="s">
        <v>1492</v>
      </c>
      <c r="K2333" s="406" t="s">
        <v>3615</v>
      </c>
    </row>
    <row r="2334" spans="1:11" ht="17.25" hidden="1">
      <c r="A2334" s="386"/>
      <c r="E2334" s="401"/>
      <c r="F2334" s="401"/>
      <c r="G2334" s="402"/>
      <c r="H2334" s="401"/>
      <c r="I2334" s="408"/>
      <c r="J2334" s="404"/>
      <c r="K2334" s="406"/>
    </row>
    <row r="2335" spans="1:11" ht="17.25" hidden="1">
      <c r="A2335" s="386"/>
      <c r="E2335" s="401"/>
      <c r="F2335" s="401"/>
      <c r="G2335" s="402"/>
      <c r="H2335" s="401"/>
      <c r="I2335" s="401"/>
      <c r="J2335" s="404"/>
      <c r="K2335" s="406"/>
    </row>
    <row r="2336" spans="1:11" ht="17.25" hidden="1">
      <c r="A2336" s="386"/>
      <c r="E2336" s="401"/>
      <c r="F2336" s="401"/>
      <c r="G2336" s="402"/>
      <c r="H2336" s="401"/>
      <c r="I2336" s="401" t="s">
        <v>2929</v>
      </c>
      <c r="J2336" s="404"/>
      <c r="K2336" s="555">
        <f>K2332/I2333</f>
        <v>362.11</v>
      </c>
    </row>
    <row r="2337" spans="1:12" ht="17.25" hidden="1">
      <c r="A2337" s="386"/>
      <c r="E2337" s="401"/>
      <c r="F2337" s="401"/>
      <c r="G2337" s="402"/>
      <c r="H2337" s="401"/>
      <c r="I2337" s="401"/>
      <c r="J2337" s="404"/>
      <c r="K2337" s="554" t="s">
        <v>2130</v>
      </c>
    </row>
    <row r="2338" spans="1:12" ht="17.25" hidden="1">
      <c r="A2338" s="386"/>
      <c r="E2338" s="401"/>
      <c r="F2338" s="401"/>
      <c r="G2338" s="402"/>
      <c r="H2338" s="401"/>
      <c r="I2338" s="401"/>
      <c r="J2338" s="404"/>
      <c r="K2338" s="406"/>
    </row>
    <row r="2339" spans="1:12" ht="19.5" hidden="1">
      <c r="A2339" s="386"/>
      <c r="E2339" s="401"/>
      <c r="F2339" s="414"/>
      <c r="G2339" s="414"/>
      <c r="H2339" s="414"/>
      <c r="I2339" s="414"/>
      <c r="J2339" s="414"/>
      <c r="K2339" s="556"/>
      <c r="L2339" s="415"/>
    </row>
    <row r="2340" spans="1:12" ht="17.25" hidden="1">
      <c r="A2340" s="386"/>
      <c r="E2340" s="401"/>
      <c r="F2340" s="401"/>
      <c r="G2340" s="401"/>
      <c r="H2340" s="401"/>
      <c r="I2340" s="401"/>
      <c r="J2340" s="401"/>
      <c r="K2340" s="406"/>
    </row>
    <row r="2341" spans="1:12" ht="18" hidden="1">
      <c r="A2341" s="386"/>
      <c r="E2341" s="1198" t="s">
        <v>2930</v>
      </c>
      <c r="F2341" s="1198"/>
      <c r="G2341" s="1198"/>
      <c r="H2341" s="1198"/>
      <c r="I2341" s="1198"/>
      <c r="J2341" s="1198"/>
      <c r="K2341" s="1198"/>
      <c r="L2341" s="416"/>
    </row>
    <row r="2342" spans="1:12" ht="18" hidden="1">
      <c r="A2342" s="386"/>
      <c r="E2342" s="175"/>
      <c r="F2342" s="175"/>
      <c r="G2342" s="175"/>
      <c r="H2342" s="175"/>
      <c r="I2342" s="175"/>
      <c r="J2342" s="175"/>
      <c r="K2342" s="181"/>
      <c r="L2342" s="417"/>
    </row>
    <row r="2343" spans="1:12" ht="18" hidden="1">
      <c r="A2343" s="386"/>
      <c r="E2343" s="418"/>
      <c r="F2343" s="416" t="s">
        <v>1070</v>
      </c>
      <c r="G2343" s="415"/>
      <c r="H2343" s="419" t="s">
        <v>1860</v>
      </c>
      <c r="I2343" s="416" t="s">
        <v>100</v>
      </c>
      <c r="J2343" s="419" t="s">
        <v>2931</v>
      </c>
      <c r="K2343" s="557" t="s">
        <v>994</v>
      </c>
      <c r="L2343" s="420"/>
    </row>
    <row r="2344" spans="1:12" ht="18" hidden="1">
      <c r="A2344" s="386"/>
      <c r="E2344" s="421">
        <v>18.100000000000001</v>
      </c>
      <c r="F2344" s="422" t="s">
        <v>2932</v>
      </c>
      <c r="G2344" s="175"/>
      <c r="H2344" s="423" t="s">
        <v>2533</v>
      </c>
      <c r="I2344" s="417"/>
      <c r="J2344" s="417"/>
      <c r="K2344" s="558"/>
      <c r="L2344" s="420"/>
    </row>
    <row r="2345" spans="1:12" ht="18" hidden="1">
      <c r="A2345" s="386"/>
      <c r="E2345" s="418"/>
      <c r="F2345" s="420"/>
      <c r="G2345" s="418"/>
      <c r="H2345" s="424" t="s">
        <v>2933</v>
      </c>
      <c r="I2345" s="420"/>
      <c r="J2345" s="418"/>
      <c r="K2345" s="559"/>
      <c r="L2345" s="420"/>
    </row>
    <row r="2346" spans="1:12" ht="21" hidden="1">
      <c r="A2346" s="386"/>
      <c r="E2346" s="418"/>
      <c r="F2346" s="420"/>
      <c r="G2346" s="418"/>
      <c r="H2346" s="424" t="s">
        <v>2534</v>
      </c>
      <c r="I2346" s="420"/>
      <c r="J2346" s="418"/>
      <c r="K2346" s="559"/>
      <c r="L2346" s="420"/>
    </row>
    <row r="2347" spans="1:12" ht="21" hidden="1">
      <c r="A2347" s="386"/>
      <c r="E2347" s="418"/>
      <c r="F2347" s="420"/>
      <c r="G2347" s="418"/>
      <c r="H2347" s="424" t="s">
        <v>2535</v>
      </c>
      <c r="I2347" s="420"/>
      <c r="J2347" s="418"/>
      <c r="K2347" s="559"/>
      <c r="L2347" s="420"/>
    </row>
    <row r="2348" spans="1:12" ht="18" hidden="1">
      <c r="A2348" s="386"/>
      <c r="E2348" s="418"/>
      <c r="F2348" s="420"/>
      <c r="G2348" s="418"/>
      <c r="H2348" s="424" t="s">
        <v>2934</v>
      </c>
      <c r="I2348" s="420"/>
      <c r="J2348" s="418"/>
      <c r="K2348" s="559"/>
      <c r="L2348" s="420"/>
    </row>
    <row r="2349" spans="1:12" ht="39" hidden="1">
      <c r="A2349" s="386"/>
      <c r="E2349" s="418"/>
      <c r="F2349" s="420"/>
      <c r="G2349" s="418"/>
      <c r="H2349" s="424" t="s">
        <v>2536</v>
      </c>
      <c r="I2349" s="420"/>
      <c r="J2349" s="418"/>
      <c r="K2349" s="559"/>
      <c r="L2349" s="420"/>
    </row>
    <row r="2350" spans="1:12" ht="72" hidden="1">
      <c r="A2350" s="386"/>
      <c r="E2350" s="418"/>
      <c r="F2350" s="420"/>
      <c r="G2350" s="418"/>
      <c r="H2350" s="424" t="s">
        <v>2935</v>
      </c>
      <c r="I2350" s="420"/>
      <c r="J2350" s="418"/>
      <c r="K2350" s="559"/>
      <c r="L2350" s="420"/>
    </row>
    <row r="2351" spans="1:12" ht="36" hidden="1">
      <c r="A2351" s="386"/>
      <c r="E2351" s="418"/>
      <c r="F2351" s="420"/>
      <c r="G2351" s="418"/>
      <c r="H2351" s="424" t="s">
        <v>2936</v>
      </c>
      <c r="I2351" s="420"/>
      <c r="J2351" s="418"/>
      <c r="K2351" s="559"/>
      <c r="L2351" s="420"/>
    </row>
    <row r="2352" spans="1:12" ht="39" hidden="1">
      <c r="A2352" s="386"/>
      <c r="E2352" s="418"/>
      <c r="F2352" s="420"/>
      <c r="G2352" s="418"/>
      <c r="H2352" s="424" t="s">
        <v>2537</v>
      </c>
      <c r="I2352" s="420"/>
      <c r="J2352" s="418"/>
      <c r="K2352" s="559"/>
      <c r="L2352" s="420"/>
    </row>
    <row r="2353" spans="1:12" ht="18" hidden="1">
      <c r="A2353" s="386"/>
      <c r="E2353" s="418"/>
      <c r="F2353" s="420"/>
      <c r="G2353" s="418"/>
      <c r="H2353" s="418"/>
      <c r="I2353" s="420"/>
      <c r="J2353" s="418"/>
      <c r="K2353" s="559"/>
      <c r="L2353" s="420"/>
    </row>
    <row r="2354" spans="1:12" ht="21" hidden="1">
      <c r="A2354" s="386"/>
      <c r="E2354" s="418"/>
      <c r="F2354" s="425">
        <v>62</v>
      </c>
      <c r="G2354" s="426" t="s">
        <v>2538</v>
      </c>
      <c r="H2354" s="427" t="s">
        <v>3383</v>
      </c>
      <c r="I2354" s="425">
        <f>K2378</f>
        <v>217.41</v>
      </c>
      <c r="J2354" s="426" t="s">
        <v>2538</v>
      </c>
      <c r="K2354" s="559">
        <f>I2354*F2354</f>
        <v>13479.42</v>
      </c>
      <c r="L2354" s="420"/>
    </row>
    <row r="2355" spans="1:12" ht="21" hidden="1">
      <c r="A2355" s="386"/>
      <c r="E2355" s="418"/>
      <c r="F2355" s="425">
        <v>121.64</v>
      </c>
      <c r="G2355" s="426" t="s">
        <v>2538</v>
      </c>
      <c r="H2355" s="427" t="s">
        <v>3384</v>
      </c>
      <c r="I2355" s="425">
        <f>I2383</f>
        <v>168.13</v>
      </c>
      <c r="J2355" s="426" t="s">
        <v>2539</v>
      </c>
      <c r="K2355" s="559">
        <f>I2355*F2355</f>
        <v>20451.330000000002</v>
      </c>
      <c r="L2355" s="428"/>
    </row>
    <row r="2356" spans="1:12" ht="21" hidden="1">
      <c r="A2356" s="386"/>
      <c r="E2356" s="418"/>
      <c r="F2356" s="420"/>
      <c r="G2356" s="418"/>
      <c r="H2356" s="427" t="s">
        <v>2861</v>
      </c>
      <c r="I2356" s="420"/>
      <c r="J2356" s="418"/>
      <c r="K2356" s="559">
        <f>SUM(K2354:K2355)</f>
        <v>33930.75</v>
      </c>
      <c r="L2356" s="429"/>
    </row>
    <row r="2357" spans="1:12" ht="21" hidden="1">
      <c r="A2357" s="386"/>
      <c r="E2357" s="418"/>
      <c r="F2357" s="420"/>
      <c r="G2357" s="418"/>
      <c r="H2357" s="427" t="s">
        <v>2862</v>
      </c>
      <c r="I2357" s="420"/>
      <c r="J2357" s="418"/>
      <c r="K2357" s="560">
        <f>K2356/F2354</f>
        <v>547.27</v>
      </c>
      <c r="L2357" s="420"/>
    </row>
    <row r="2358" spans="1:12" ht="18" hidden="1">
      <c r="A2358" s="386"/>
      <c r="E2358" s="418"/>
      <c r="F2358" s="420"/>
      <c r="G2358" s="418"/>
      <c r="H2358" s="426"/>
      <c r="I2358" s="420"/>
      <c r="J2358" s="418"/>
      <c r="K2358" s="561"/>
      <c r="L2358" s="420"/>
    </row>
    <row r="2359" spans="1:12" ht="36" hidden="1">
      <c r="A2359" s="386"/>
      <c r="E2359" s="430">
        <v>18.100000000000001</v>
      </c>
      <c r="F2359" s="422" t="s">
        <v>3385</v>
      </c>
      <c r="G2359" s="418"/>
      <c r="H2359" s="431" t="s">
        <v>2878</v>
      </c>
      <c r="I2359" s="420"/>
      <c r="J2359" s="418"/>
      <c r="K2359" s="559"/>
      <c r="L2359" s="420"/>
    </row>
    <row r="2360" spans="1:12" ht="18" hidden="1">
      <c r="A2360" s="386"/>
      <c r="E2360" s="418"/>
      <c r="F2360" s="420"/>
      <c r="G2360" s="418"/>
      <c r="H2360" s="418"/>
      <c r="I2360" s="420"/>
      <c r="J2360" s="418"/>
      <c r="K2360" s="559"/>
      <c r="L2360" s="420"/>
    </row>
    <row r="2361" spans="1:12" ht="18" hidden="1">
      <c r="A2361" s="386"/>
      <c r="E2361" s="418"/>
      <c r="F2361" s="425">
        <v>13.46</v>
      </c>
      <c r="G2361" s="426" t="s">
        <v>1730</v>
      </c>
      <c r="H2361" s="424" t="s">
        <v>2879</v>
      </c>
      <c r="I2361" s="425">
        <f>I706</f>
        <v>30</v>
      </c>
      <c r="J2361" s="426" t="s">
        <v>1730</v>
      </c>
      <c r="K2361" s="559">
        <f>I2361*F2361</f>
        <v>403.8</v>
      </c>
      <c r="L2361" s="420"/>
    </row>
    <row r="2362" spans="1:12" ht="18" hidden="1">
      <c r="A2362" s="386"/>
      <c r="E2362" s="418"/>
      <c r="F2362" s="425">
        <v>4</v>
      </c>
      <c r="G2362" s="426" t="s">
        <v>1730</v>
      </c>
      <c r="H2362" s="424" t="s">
        <v>2880</v>
      </c>
      <c r="I2362" s="425">
        <f>I708</f>
        <v>30</v>
      </c>
      <c r="J2362" s="426" t="s">
        <v>1730</v>
      </c>
      <c r="K2362" s="559">
        <f>I2362*F2362</f>
        <v>120</v>
      </c>
      <c r="L2362" s="432"/>
    </row>
    <row r="2363" spans="1:12" ht="36" hidden="1">
      <c r="A2363" s="386"/>
      <c r="E2363" s="418"/>
      <c r="F2363" s="425">
        <v>1</v>
      </c>
      <c r="G2363" s="426" t="s">
        <v>2881</v>
      </c>
      <c r="H2363" s="424" t="s">
        <v>3641</v>
      </c>
      <c r="I2363" s="425">
        <v>40</v>
      </c>
      <c r="J2363" s="426" t="s">
        <v>448</v>
      </c>
      <c r="K2363" s="559">
        <f>I2363*F2363</f>
        <v>40</v>
      </c>
      <c r="L2363" s="420"/>
    </row>
    <row r="2364" spans="1:12" ht="18" hidden="1">
      <c r="A2364" s="386"/>
      <c r="E2364" s="418"/>
      <c r="F2364" s="420"/>
      <c r="G2364" s="418"/>
      <c r="H2364" s="433" t="s">
        <v>3642</v>
      </c>
      <c r="I2364" s="420"/>
      <c r="J2364" s="418"/>
      <c r="K2364" s="562">
        <f>SUM(K2361:K2363)</f>
        <v>563.79999999999995</v>
      </c>
      <c r="L2364" s="420"/>
    </row>
    <row r="2365" spans="1:12" ht="18" hidden="1">
      <c r="A2365" s="386"/>
      <c r="E2365" s="418"/>
      <c r="F2365" s="420"/>
      <c r="G2365" s="418"/>
      <c r="H2365" s="433" t="s">
        <v>3643</v>
      </c>
      <c r="I2365" s="429">
        <f>K2364/40</f>
        <v>14.1</v>
      </c>
      <c r="J2365" s="418"/>
      <c r="K2365" s="559"/>
      <c r="L2365" s="420"/>
    </row>
    <row r="2366" spans="1:12" ht="18" hidden="1">
      <c r="A2366" s="386"/>
      <c r="E2366" s="418"/>
      <c r="F2366" s="420"/>
      <c r="G2366" s="418"/>
      <c r="H2366" s="418"/>
      <c r="I2366" s="420"/>
      <c r="J2366" s="418"/>
      <c r="K2366" s="559"/>
      <c r="L2366" s="420"/>
    </row>
    <row r="2367" spans="1:12" ht="18" hidden="1">
      <c r="A2367" s="386"/>
      <c r="E2367" s="418"/>
      <c r="F2367" s="425">
        <v>19</v>
      </c>
      <c r="G2367" s="426" t="s">
        <v>1454</v>
      </c>
      <c r="H2367" s="418" t="s">
        <v>3644</v>
      </c>
      <c r="I2367" s="425">
        <f>I2365</f>
        <v>14.1</v>
      </c>
      <c r="J2367" s="426" t="s">
        <v>1843</v>
      </c>
      <c r="K2367" s="559">
        <f>I2367*F2367</f>
        <v>267.89999999999998</v>
      </c>
      <c r="L2367" s="420"/>
    </row>
    <row r="2368" spans="1:12" ht="18" hidden="1">
      <c r="A2368" s="386"/>
      <c r="E2368" s="418"/>
      <c r="F2368" s="425">
        <v>0.12</v>
      </c>
      <c r="G2368" s="426" t="s">
        <v>369</v>
      </c>
      <c r="H2368" s="418" t="s">
        <v>3645</v>
      </c>
      <c r="I2368" s="425">
        <f>C268/5</f>
        <v>1879</v>
      </c>
      <c r="J2368" s="426" t="s">
        <v>369</v>
      </c>
      <c r="K2368" s="559">
        <f>I2368*F2368</f>
        <v>225.48</v>
      </c>
      <c r="L2368" s="420"/>
    </row>
    <row r="2369" spans="1:12" ht="18" hidden="1">
      <c r="A2369" s="386"/>
      <c r="E2369" s="418"/>
      <c r="F2369" s="425">
        <v>98.5</v>
      </c>
      <c r="G2369" s="426" t="s">
        <v>3646</v>
      </c>
      <c r="H2369" s="418" t="s">
        <v>2729</v>
      </c>
      <c r="I2369" s="425">
        <f>C269/5</f>
        <v>3</v>
      </c>
      <c r="J2369" s="426" t="s">
        <v>3646</v>
      </c>
      <c r="K2369" s="559">
        <f>I2369*F2369</f>
        <v>295.5</v>
      </c>
      <c r="L2369" s="434"/>
    </row>
    <row r="2370" spans="1:12" ht="18" hidden="1">
      <c r="A2370" s="386"/>
      <c r="E2370" s="418"/>
      <c r="F2370" s="1199" t="s">
        <v>448</v>
      </c>
      <c r="G2370" s="1199"/>
      <c r="H2370" s="418" t="s">
        <v>2730</v>
      </c>
      <c r="I2370" s="425">
        <v>11</v>
      </c>
      <c r="J2370" s="426" t="s">
        <v>448</v>
      </c>
      <c r="K2370" s="559">
        <f>I2370</f>
        <v>11</v>
      </c>
      <c r="L2370" s="434"/>
    </row>
    <row r="2371" spans="1:12" ht="21" hidden="1">
      <c r="A2371" s="386"/>
      <c r="E2371" s="418"/>
      <c r="F2371" s="425">
        <v>3.8</v>
      </c>
      <c r="G2371" s="426" t="s">
        <v>1454</v>
      </c>
      <c r="H2371" s="418" t="s">
        <v>2863</v>
      </c>
      <c r="I2371" s="425">
        <f>C16</f>
        <v>150</v>
      </c>
      <c r="J2371" s="426" t="s">
        <v>1454</v>
      </c>
      <c r="K2371" s="563">
        <f>I2371*F2371</f>
        <v>570</v>
      </c>
      <c r="L2371" s="434"/>
    </row>
    <row r="2372" spans="1:12" ht="21" hidden="1">
      <c r="A2372" s="386"/>
      <c r="E2372" s="418"/>
      <c r="F2372" s="425">
        <v>5.4</v>
      </c>
      <c r="G2372" s="426" t="s">
        <v>1454</v>
      </c>
      <c r="H2372" s="418" t="s">
        <v>2864</v>
      </c>
      <c r="I2372" s="425">
        <f>C12</f>
        <v>95</v>
      </c>
      <c r="J2372" s="426" t="s">
        <v>1454</v>
      </c>
      <c r="K2372" s="563">
        <f>I2372*F2372</f>
        <v>513</v>
      </c>
      <c r="L2372" s="420"/>
    </row>
    <row r="2373" spans="1:12" ht="21" hidden="1">
      <c r="A2373" s="386"/>
      <c r="E2373" s="418"/>
      <c r="F2373" s="425">
        <v>1</v>
      </c>
      <c r="G2373" s="426" t="s">
        <v>1454</v>
      </c>
      <c r="H2373" s="418" t="s">
        <v>2865</v>
      </c>
      <c r="I2373" s="425">
        <f>D17</f>
        <v>120</v>
      </c>
      <c r="J2373" s="426" t="s">
        <v>1454</v>
      </c>
      <c r="K2373" s="563">
        <f>I2373*F2373</f>
        <v>120</v>
      </c>
      <c r="L2373" s="435"/>
    </row>
    <row r="2374" spans="1:12" ht="18" hidden="1">
      <c r="A2374" s="386"/>
      <c r="E2374" s="418"/>
      <c r="F2374" s="1199" t="s">
        <v>448</v>
      </c>
      <c r="G2374" s="1199"/>
      <c r="H2374" s="418" t="s">
        <v>2731</v>
      </c>
      <c r="I2374" s="1199" t="s">
        <v>448</v>
      </c>
      <c r="J2374" s="1199"/>
      <c r="K2374" s="559">
        <v>10</v>
      </c>
      <c r="L2374" s="429"/>
    </row>
    <row r="2375" spans="1:12" ht="18" hidden="1">
      <c r="A2375" s="386"/>
      <c r="E2375" s="418"/>
      <c r="F2375" s="425">
        <v>19</v>
      </c>
      <c r="G2375" s="426" t="s">
        <v>1843</v>
      </c>
      <c r="H2375" s="418" t="s">
        <v>2732</v>
      </c>
      <c r="I2375" s="425">
        <v>2</v>
      </c>
      <c r="J2375" s="426" t="s">
        <v>448</v>
      </c>
      <c r="K2375" s="435">
        <f>I2375*F2375</f>
        <v>38</v>
      </c>
      <c r="L2375" s="420"/>
    </row>
    <row r="2376" spans="1:12" ht="18" hidden="1">
      <c r="A2376" s="386"/>
      <c r="E2376" s="418"/>
      <c r="F2376" s="420"/>
      <c r="G2376" s="418"/>
      <c r="H2376" s="418"/>
      <c r="I2376" s="420"/>
      <c r="J2376" s="418"/>
      <c r="K2376" s="561">
        <f>SUM(K2367:K2375)</f>
        <v>2050.88</v>
      </c>
      <c r="L2376" s="429"/>
    </row>
    <row r="2377" spans="1:12" ht="21" hidden="1">
      <c r="A2377" s="386"/>
      <c r="E2377" s="418"/>
      <c r="F2377" s="420"/>
      <c r="G2377" s="418"/>
      <c r="H2377" s="433" t="s">
        <v>2866</v>
      </c>
      <c r="I2377" s="429">
        <f>K2376/10</f>
        <v>205.09</v>
      </c>
      <c r="J2377" s="418"/>
      <c r="K2377" s="559"/>
      <c r="L2377" s="420"/>
    </row>
    <row r="2378" spans="1:12" ht="36" hidden="1">
      <c r="A2378" s="386"/>
      <c r="E2378" s="418"/>
      <c r="F2378" s="420"/>
      <c r="G2378" s="418"/>
      <c r="H2378" s="419" t="s">
        <v>2733</v>
      </c>
      <c r="I2378" s="429">
        <f>I2377</f>
        <v>205.09</v>
      </c>
      <c r="J2378" s="436">
        <f>I2393</f>
        <v>12.32</v>
      </c>
      <c r="K2378" s="561">
        <f>I2378+J2378</f>
        <v>217.41</v>
      </c>
      <c r="L2378" s="420"/>
    </row>
    <row r="2379" spans="1:12" ht="54" hidden="1">
      <c r="A2379" s="386"/>
      <c r="E2379" s="430">
        <v>18.100000000000001</v>
      </c>
      <c r="F2379" s="422" t="s">
        <v>2734</v>
      </c>
      <c r="G2379" s="418"/>
      <c r="H2379" s="437" t="s">
        <v>3566</v>
      </c>
      <c r="I2379" s="420"/>
      <c r="J2379" s="418"/>
      <c r="K2379" s="559"/>
      <c r="L2379" s="420"/>
    </row>
    <row r="2380" spans="1:12" ht="18" hidden="1">
      <c r="A2380" s="386"/>
      <c r="E2380" s="418"/>
      <c r="F2380" s="420"/>
      <c r="G2380" s="418"/>
      <c r="H2380" s="418" t="s">
        <v>3567</v>
      </c>
      <c r="I2380" s="425">
        <f>K2376</f>
        <v>2050.88</v>
      </c>
      <c r="J2380" s="418"/>
      <c r="K2380" s="559"/>
      <c r="L2380" s="420"/>
    </row>
    <row r="2381" spans="1:12" ht="18" hidden="1">
      <c r="A2381" s="386"/>
      <c r="E2381" s="418"/>
      <c r="F2381" s="420"/>
      <c r="G2381" s="418"/>
      <c r="H2381" s="418" t="s">
        <v>2729</v>
      </c>
      <c r="I2381" s="425">
        <f>K2391</f>
        <v>369.6</v>
      </c>
      <c r="J2381" s="430" t="s">
        <v>3568</v>
      </c>
      <c r="K2381" s="559"/>
      <c r="L2381" s="420"/>
    </row>
    <row r="2382" spans="1:12" ht="18" hidden="1">
      <c r="A2382" s="386"/>
      <c r="E2382" s="418"/>
      <c r="F2382" s="420"/>
      <c r="G2382" s="418"/>
      <c r="H2382" s="418"/>
      <c r="I2382" s="422">
        <f>I2380-I2381</f>
        <v>1681.28</v>
      </c>
      <c r="J2382" s="418"/>
      <c r="K2382" s="559"/>
      <c r="L2382" s="420"/>
    </row>
    <row r="2383" spans="1:12" ht="21" hidden="1">
      <c r="A2383" s="386"/>
      <c r="E2383" s="418"/>
      <c r="F2383" s="420"/>
      <c r="G2383" s="418"/>
      <c r="H2383" s="433" t="s">
        <v>2866</v>
      </c>
      <c r="I2383" s="422">
        <f>I2382/10</f>
        <v>168.13</v>
      </c>
      <c r="J2383" s="418"/>
      <c r="K2383" s="559"/>
      <c r="L2383" s="420"/>
    </row>
    <row r="2384" spans="1:12" ht="18" hidden="1">
      <c r="A2384" s="386"/>
      <c r="E2384" s="418"/>
      <c r="F2384" s="420"/>
      <c r="G2384" s="418"/>
      <c r="H2384" s="418"/>
      <c r="I2384" s="420"/>
      <c r="J2384" s="418"/>
      <c r="K2384" s="559"/>
      <c r="L2384" s="420"/>
    </row>
    <row r="2385" spans="1:12" ht="18" hidden="1">
      <c r="A2385" s="386"/>
      <c r="E2385" s="418"/>
      <c r="F2385" s="420"/>
      <c r="G2385" s="418"/>
      <c r="H2385" s="430" t="s">
        <v>3569</v>
      </c>
      <c r="I2385" s="420"/>
      <c r="J2385" s="418"/>
      <c r="K2385" s="559"/>
      <c r="L2385" s="425"/>
    </row>
    <row r="2386" spans="1:12" ht="36" hidden="1">
      <c r="A2386" s="386"/>
      <c r="E2386" s="418"/>
      <c r="F2386" s="420"/>
      <c r="G2386" s="418"/>
      <c r="H2386" s="437" t="s">
        <v>2462</v>
      </c>
      <c r="I2386" s="420"/>
      <c r="J2386" s="418"/>
      <c r="K2386" s="559"/>
      <c r="L2386" s="425"/>
    </row>
    <row r="2387" spans="1:12" ht="36" hidden="1">
      <c r="A2387" s="386"/>
      <c r="E2387" s="418"/>
      <c r="F2387" s="425">
        <v>98.5</v>
      </c>
      <c r="G2387" s="426" t="s">
        <v>3646</v>
      </c>
      <c r="H2387" s="438" t="s">
        <v>2463</v>
      </c>
      <c r="I2387" s="425">
        <f>I2369</f>
        <v>3</v>
      </c>
      <c r="J2387" s="426" t="s">
        <v>3646</v>
      </c>
      <c r="K2387" s="435">
        <f>I2387*F2387</f>
        <v>295.5</v>
      </c>
      <c r="L2387" s="425"/>
    </row>
    <row r="2388" spans="1:12" ht="21" hidden="1">
      <c r="A2388" s="386"/>
      <c r="E2388" s="418"/>
      <c r="F2388" s="425">
        <v>0.3</v>
      </c>
      <c r="G2388" s="426" t="s">
        <v>1843</v>
      </c>
      <c r="H2388" s="438" t="s">
        <v>2867</v>
      </c>
      <c r="I2388" s="425">
        <f>I2371</f>
        <v>150</v>
      </c>
      <c r="J2388" s="426" t="s">
        <v>1843</v>
      </c>
      <c r="K2388" s="435">
        <f>I2388*F2388</f>
        <v>45</v>
      </c>
      <c r="L2388" s="425"/>
    </row>
    <row r="2389" spans="1:12" ht="21" hidden="1">
      <c r="A2389" s="386"/>
      <c r="E2389" s="418"/>
      <c r="F2389" s="425">
        <v>0.3</v>
      </c>
      <c r="G2389" s="426" t="s">
        <v>1843</v>
      </c>
      <c r="H2389" s="438" t="s">
        <v>2868</v>
      </c>
      <c r="I2389" s="425">
        <f>I2372</f>
        <v>95</v>
      </c>
      <c r="J2389" s="426" t="s">
        <v>1843</v>
      </c>
      <c r="K2389" s="435">
        <f>I2389*F2389</f>
        <v>28.5</v>
      </c>
      <c r="L2389" s="422"/>
    </row>
    <row r="2390" spans="1:12" ht="18" hidden="1">
      <c r="A2390" s="386"/>
      <c r="E2390" s="418"/>
      <c r="F2390" s="420"/>
      <c r="G2390" s="418"/>
      <c r="H2390" s="439" t="s">
        <v>2464</v>
      </c>
      <c r="I2390" s="1197" t="s">
        <v>448</v>
      </c>
      <c r="J2390" s="1197"/>
      <c r="K2390" s="435">
        <v>0.6</v>
      </c>
      <c r="L2390" s="420"/>
    </row>
    <row r="2391" spans="1:12" ht="21" hidden="1">
      <c r="A2391" s="386"/>
      <c r="E2391" s="418"/>
      <c r="F2391" s="420"/>
      <c r="G2391" s="418"/>
      <c r="H2391" s="439" t="s">
        <v>2869</v>
      </c>
      <c r="I2391" s="420"/>
      <c r="J2391" s="418"/>
      <c r="K2391" s="564">
        <f>SUM(K2387:K2390)</f>
        <v>369.6</v>
      </c>
      <c r="L2391" s="420"/>
    </row>
    <row r="2392" spans="1:12" ht="21" hidden="1">
      <c r="A2392" s="386"/>
      <c r="E2392" s="418"/>
      <c r="F2392" s="420"/>
      <c r="G2392" s="418"/>
      <c r="H2392" s="439" t="s">
        <v>2870</v>
      </c>
      <c r="I2392" s="429">
        <f>K2391/10</f>
        <v>36.96</v>
      </c>
      <c r="J2392" s="418"/>
      <c r="K2392" s="559"/>
      <c r="L2392" s="420"/>
    </row>
    <row r="2393" spans="1:12" ht="18" hidden="1">
      <c r="A2393" s="386"/>
      <c r="E2393" s="418"/>
      <c r="F2393" s="420"/>
      <c r="G2393" s="418"/>
      <c r="H2393" s="439" t="s">
        <v>2465</v>
      </c>
      <c r="I2393" s="429">
        <f>I2392/3</f>
        <v>12.32</v>
      </c>
      <c r="J2393" s="418"/>
      <c r="K2393" s="559"/>
      <c r="L2393" s="420"/>
    </row>
    <row r="2394" spans="1:12" ht="18" hidden="1">
      <c r="A2394" s="386"/>
      <c r="E2394" s="418"/>
      <c r="F2394" s="420"/>
      <c r="G2394" s="418"/>
      <c r="H2394" s="438"/>
      <c r="I2394" s="420"/>
      <c r="J2394" s="418"/>
      <c r="K2394" s="559"/>
      <c r="L2394" s="420"/>
    </row>
    <row r="2395" spans="1:12" ht="54" hidden="1">
      <c r="A2395" s="386"/>
      <c r="E2395" s="430">
        <v>18.100000000000001</v>
      </c>
      <c r="F2395" s="422" t="s">
        <v>2366</v>
      </c>
      <c r="G2395" s="418"/>
      <c r="H2395" s="440" t="s">
        <v>3182</v>
      </c>
      <c r="I2395" s="422">
        <f>I2377*1.2</f>
        <v>246.11</v>
      </c>
      <c r="J2395" s="418"/>
      <c r="K2395" s="559"/>
    </row>
    <row r="2396" spans="1:12" ht="36" hidden="1">
      <c r="A2396" s="386"/>
      <c r="E2396" s="421">
        <v>18.100000000000001</v>
      </c>
      <c r="F2396" s="422" t="s">
        <v>3183</v>
      </c>
      <c r="G2396" s="418"/>
      <c r="H2396" s="441" t="s">
        <v>3184</v>
      </c>
      <c r="I2396" s="422">
        <f>I2377*1.1</f>
        <v>225.6</v>
      </c>
      <c r="J2396" s="418"/>
      <c r="K2396" s="559"/>
    </row>
    <row r="2397" spans="1:12" hidden="1">
      <c r="A2397" s="386"/>
      <c r="E2397" s="175"/>
      <c r="F2397" s="175"/>
      <c r="G2397" s="176"/>
      <c r="H2397" s="175"/>
      <c r="I2397" s="175"/>
      <c r="J2397" s="177"/>
      <c r="K2397" s="181"/>
    </row>
    <row r="2398" spans="1:12" hidden="1">
      <c r="A2398" s="386"/>
      <c r="E2398" s="175"/>
      <c r="F2398" s="175"/>
      <c r="G2398" s="176"/>
      <c r="H2398" s="175"/>
      <c r="I2398" s="175"/>
      <c r="J2398" s="177"/>
      <c r="K2398" s="181"/>
    </row>
    <row r="2399" spans="1:12" ht="23.25" hidden="1">
      <c r="A2399" s="386"/>
      <c r="E2399" s="175"/>
      <c r="F2399"/>
      <c r="G2399" s="3"/>
      <c r="H2399" s="442" t="s">
        <v>2491</v>
      </c>
      <c r="I2399"/>
      <c r="J2399" s="4"/>
      <c r="K2399" s="6"/>
    </row>
    <row r="2400" spans="1:12" hidden="1">
      <c r="A2400" s="386"/>
      <c r="E2400" s="175"/>
      <c r="F2400" s="443">
        <v>18.100000000000001</v>
      </c>
      <c r="G2400" s="7" t="s">
        <v>2338</v>
      </c>
      <c r="H2400" s="1" t="s">
        <v>10</v>
      </c>
      <c r="I2400"/>
      <c r="J2400" s="4"/>
      <c r="K2400" s="34"/>
    </row>
    <row r="2401" spans="1:11" hidden="1">
      <c r="A2401" s="386"/>
      <c r="E2401" s="175"/>
      <c r="F2401"/>
      <c r="G2401" s="3"/>
      <c r="H2401" s="1" t="s">
        <v>657</v>
      </c>
      <c r="I2401"/>
      <c r="J2401" s="4"/>
      <c r="K2401" s="34"/>
    </row>
    <row r="2402" spans="1:11" hidden="1">
      <c r="A2402" s="386"/>
      <c r="E2402" s="175"/>
      <c r="F2402"/>
      <c r="G2402" s="3"/>
      <c r="H2402" s="1" t="s">
        <v>659</v>
      </c>
      <c r="I2402"/>
      <c r="J2402" s="4"/>
      <c r="K2402" s="34"/>
    </row>
    <row r="2403" spans="1:11" hidden="1">
      <c r="A2403" s="386"/>
      <c r="E2403" s="175"/>
      <c r="F2403"/>
      <c r="G2403" s="3"/>
      <c r="H2403" s="1" t="s">
        <v>516</v>
      </c>
      <c r="I2403"/>
      <c r="J2403" s="4"/>
      <c r="K2403" s="34"/>
    </row>
    <row r="2404" spans="1:11" hidden="1">
      <c r="A2404" s="386"/>
      <c r="E2404" s="175"/>
      <c r="F2404"/>
      <c r="G2404" s="3"/>
      <c r="H2404" s="1" t="s">
        <v>518</v>
      </c>
      <c r="I2404"/>
      <c r="J2404" s="4"/>
      <c r="K2404" s="34"/>
    </row>
    <row r="2405" spans="1:11" hidden="1">
      <c r="A2405" s="386"/>
      <c r="E2405" s="175"/>
      <c r="F2405"/>
      <c r="G2405" s="3"/>
      <c r="H2405" s="1" t="s">
        <v>1</v>
      </c>
      <c r="I2405"/>
      <c r="J2405" s="4"/>
      <c r="K2405" s="34"/>
    </row>
    <row r="2406" spans="1:11" hidden="1">
      <c r="A2406" s="386"/>
      <c r="E2406" s="175"/>
      <c r="F2406"/>
      <c r="G2406" s="3"/>
      <c r="H2406" s="1" t="s">
        <v>1285</v>
      </c>
      <c r="I2406"/>
      <c r="J2406" s="4"/>
      <c r="K2406" s="34"/>
    </row>
    <row r="2407" spans="1:11" hidden="1">
      <c r="A2407" s="386"/>
      <c r="E2407" s="175"/>
      <c r="F2407"/>
      <c r="G2407" s="3"/>
      <c r="H2407" s="5" t="s">
        <v>1667</v>
      </c>
      <c r="I2407" s="5" t="s">
        <v>1667</v>
      </c>
      <c r="J2407" s="2" t="s">
        <v>1667</v>
      </c>
      <c r="K2407" s="34"/>
    </row>
    <row r="2408" spans="1:11" hidden="1">
      <c r="A2408" s="386"/>
      <c r="E2408" s="175"/>
      <c r="F2408" s="8">
        <v>13.46</v>
      </c>
      <c r="G2408" s="7" t="s">
        <v>267</v>
      </c>
      <c r="H2408" s="1" t="s">
        <v>268</v>
      </c>
      <c r="I2408" s="8">
        <f>I2361</f>
        <v>30</v>
      </c>
      <c r="J2408" s="2" t="s">
        <v>267</v>
      </c>
      <c r="K2408" s="6">
        <f>(F2408*I2408)</f>
        <v>403.8</v>
      </c>
    </row>
    <row r="2409" spans="1:11" hidden="1">
      <c r="A2409" s="386"/>
      <c r="E2409" s="175"/>
      <c r="F2409"/>
      <c r="G2409" s="3"/>
      <c r="H2409" s="1" t="s">
        <v>999</v>
      </c>
      <c r="I2409"/>
      <c r="J2409" s="4"/>
      <c r="K2409" s="34"/>
    </row>
    <row r="2410" spans="1:11" hidden="1">
      <c r="A2410" s="386"/>
      <c r="E2410" s="175"/>
      <c r="F2410" s="8">
        <v>4</v>
      </c>
      <c r="G2410" s="7" t="s">
        <v>267</v>
      </c>
      <c r="H2410" s="1" t="s">
        <v>1001</v>
      </c>
      <c r="I2410" s="8">
        <f>I2362</f>
        <v>30</v>
      </c>
      <c r="J2410" s="2" t="s">
        <v>267</v>
      </c>
      <c r="K2410" s="6">
        <f>(F2410*I2410)</f>
        <v>120</v>
      </c>
    </row>
    <row r="2411" spans="1:11" hidden="1">
      <c r="A2411" s="386"/>
      <c r="E2411" s="175"/>
      <c r="F2411"/>
      <c r="G2411" s="3"/>
      <c r="H2411" s="1" t="s">
        <v>1058</v>
      </c>
      <c r="I2411"/>
      <c r="J2411" s="4"/>
      <c r="K2411" s="34"/>
    </row>
    <row r="2412" spans="1:11" hidden="1">
      <c r="A2412" s="386"/>
      <c r="E2412" s="175"/>
      <c r="F2412" s="8"/>
      <c r="G2412" s="7" t="s">
        <v>448</v>
      </c>
      <c r="H2412" s="1" t="s">
        <v>1742</v>
      </c>
      <c r="I2412"/>
      <c r="J2412" s="2" t="s">
        <v>448</v>
      </c>
      <c r="K2412" s="6">
        <v>40</v>
      </c>
    </row>
    <row r="2413" spans="1:11" hidden="1">
      <c r="A2413" s="386"/>
      <c r="E2413" s="175"/>
      <c r="F2413"/>
      <c r="G2413" s="3"/>
      <c r="H2413" s="1" t="s">
        <v>1744</v>
      </c>
      <c r="I2413"/>
      <c r="J2413" s="4"/>
      <c r="K2413" s="6" t="s">
        <v>1667</v>
      </c>
    </row>
    <row r="2414" spans="1:11" hidden="1">
      <c r="A2414" s="386"/>
      <c r="E2414" s="175"/>
      <c r="F2414"/>
      <c r="G2414" s="3"/>
      <c r="H2414" s="2" t="s">
        <v>24</v>
      </c>
      <c r="I2414"/>
      <c r="J2414" s="4"/>
      <c r="K2414" s="6">
        <f>SUM(K2408:K2412)</f>
        <v>563.79999999999995</v>
      </c>
    </row>
    <row r="2415" spans="1:11" ht="17.25" hidden="1">
      <c r="A2415" s="386"/>
      <c r="E2415" s="401"/>
      <c r="F2415"/>
      <c r="G2415" s="3"/>
      <c r="H2415"/>
      <c r="I2415"/>
      <c r="J2415" s="4"/>
      <c r="K2415" s="6" t="s">
        <v>1667</v>
      </c>
    </row>
    <row r="2416" spans="1:11" ht="17.25" hidden="1">
      <c r="A2416" s="386"/>
      <c r="E2416" s="401"/>
      <c r="F2416"/>
      <c r="G2416" s="3"/>
      <c r="H2416" s="2" t="s">
        <v>28</v>
      </c>
      <c r="I2416"/>
      <c r="J2416" s="4"/>
      <c r="K2416" s="6">
        <f>K2414/40</f>
        <v>14.1</v>
      </c>
    </row>
    <row r="2417" spans="1:11" ht="17.25" hidden="1">
      <c r="A2417" s="386"/>
      <c r="E2417" s="401"/>
      <c r="F2417"/>
      <c r="G2417" s="3"/>
      <c r="H2417"/>
      <c r="I2417"/>
      <c r="J2417" s="4"/>
      <c r="K2417" s="6" t="s">
        <v>1667</v>
      </c>
    </row>
    <row r="2418" spans="1:11" ht="17.25" hidden="1">
      <c r="A2418" s="386"/>
      <c r="E2418" s="401"/>
      <c r="F2418"/>
      <c r="G2418" s="3"/>
      <c r="H2418" s="1" t="s">
        <v>915</v>
      </c>
      <c r="I2418"/>
      <c r="J2418" s="4"/>
      <c r="K2418" s="34"/>
    </row>
    <row r="2419" spans="1:11" ht="17.25" hidden="1">
      <c r="A2419" s="386"/>
      <c r="E2419" s="401"/>
      <c r="F2419"/>
      <c r="G2419" s="3"/>
      <c r="H2419" s="1" t="s">
        <v>318</v>
      </c>
      <c r="I2419"/>
      <c r="J2419" s="4"/>
      <c r="K2419" s="34"/>
    </row>
    <row r="2420" spans="1:11" ht="17.25" hidden="1">
      <c r="A2420" s="386"/>
      <c r="E2420" s="401"/>
      <c r="F2420"/>
      <c r="G2420" s="3"/>
      <c r="H2420" s="1" t="s">
        <v>320</v>
      </c>
      <c r="I2420"/>
      <c r="J2420" s="4"/>
      <c r="K2420" s="34"/>
    </row>
    <row r="2421" spans="1:11" ht="17.25" hidden="1">
      <c r="A2421" s="386"/>
      <c r="E2421" s="401"/>
      <c r="F2421"/>
      <c r="G2421" s="3"/>
      <c r="H2421"/>
      <c r="I2421"/>
      <c r="J2421" s="4"/>
      <c r="K2421" s="34"/>
    </row>
    <row r="2422" spans="1:11" ht="17.25" hidden="1">
      <c r="A2422" s="386"/>
      <c r="E2422" s="401"/>
      <c r="F2422" s="8">
        <v>19</v>
      </c>
      <c r="G2422" s="7" t="s">
        <v>1492</v>
      </c>
      <c r="H2422" s="1" t="s">
        <v>73</v>
      </c>
      <c r="I2422" s="8">
        <f>K2416</f>
        <v>14.1</v>
      </c>
      <c r="J2422" s="2" t="s">
        <v>258</v>
      </c>
      <c r="K2422" s="6">
        <f>(F2422*I2422)</f>
        <v>267.89999999999998</v>
      </c>
    </row>
    <row r="2423" spans="1:11" ht="17.25" hidden="1">
      <c r="A2423" s="386"/>
      <c r="E2423" s="401"/>
      <c r="F2423"/>
      <c r="G2423" s="3"/>
      <c r="H2423" s="1" t="s">
        <v>1746</v>
      </c>
      <c r="I2423"/>
      <c r="J2423" s="4"/>
      <c r="K2423" s="6"/>
    </row>
    <row r="2424" spans="1:11" ht="17.25" hidden="1">
      <c r="A2424" s="386"/>
      <c r="E2424" s="401"/>
      <c r="F2424" s="8">
        <v>0.12</v>
      </c>
      <c r="G2424" s="7" t="s">
        <v>2226</v>
      </c>
      <c r="H2424" s="1" t="s">
        <v>3102</v>
      </c>
      <c r="I2424" s="8">
        <f>9395/5</f>
        <v>1879</v>
      </c>
      <c r="J2424" s="2" t="s">
        <v>258</v>
      </c>
      <c r="K2424" s="6">
        <f t="shared" ref="K2424:K2431" si="79">(F2424*I2424)</f>
        <v>225.48</v>
      </c>
    </row>
    <row r="2425" spans="1:11" ht="17.25" hidden="1">
      <c r="A2425" s="386"/>
      <c r="E2425" s="401"/>
      <c r="F2425" s="8">
        <v>98.5</v>
      </c>
      <c r="G2425" s="7" t="s">
        <v>840</v>
      </c>
      <c r="H2425" s="1" t="s">
        <v>841</v>
      </c>
      <c r="I2425" s="8">
        <f>I2369</f>
        <v>3</v>
      </c>
      <c r="J2425" s="2" t="s">
        <v>258</v>
      </c>
      <c r="K2425" s="6">
        <f t="shared" si="79"/>
        <v>295.5</v>
      </c>
    </row>
    <row r="2426" spans="1:11" ht="17.25" hidden="1">
      <c r="A2426" s="386"/>
      <c r="E2426" s="401"/>
      <c r="F2426" s="8">
        <v>1</v>
      </c>
      <c r="G2426" s="7" t="s">
        <v>448</v>
      </c>
      <c r="H2426" s="1" t="s">
        <v>1451</v>
      </c>
      <c r="I2426" s="8">
        <v>11</v>
      </c>
      <c r="J2426" s="2" t="s">
        <v>448</v>
      </c>
      <c r="K2426" s="6">
        <f t="shared" si="79"/>
        <v>11</v>
      </c>
    </row>
    <row r="2427" spans="1:11" ht="17.25" hidden="1">
      <c r="A2427" s="386"/>
      <c r="E2427" s="401"/>
      <c r="F2427" s="8">
        <v>3.8</v>
      </c>
      <c r="G2427" s="7" t="s">
        <v>1454</v>
      </c>
      <c r="H2427" s="1" t="s">
        <v>1455</v>
      </c>
      <c r="I2427" s="8">
        <f>C16</f>
        <v>150</v>
      </c>
      <c r="J2427" s="2" t="s">
        <v>1458</v>
      </c>
      <c r="K2427" s="6">
        <f t="shared" si="79"/>
        <v>570</v>
      </c>
    </row>
    <row r="2428" spans="1:11" ht="17.25" hidden="1">
      <c r="A2428" s="386"/>
      <c r="E2428" s="401"/>
      <c r="F2428" s="8">
        <v>5.4</v>
      </c>
      <c r="G2428" s="7" t="s">
        <v>1454</v>
      </c>
      <c r="H2428" s="1" t="s">
        <v>838</v>
      </c>
      <c r="I2428" s="8">
        <f>C12</f>
        <v>95</v>
      </c>
      <c r="J2428" s="2" t="s">
        <v>1458</v>
      </c>
      <c r="K2428" s="6">
        <f t="shared" si="79"/>
        <v>513</v>
      </c>
    </row>
    <row r="2429" spans="1:11" ht="17.25" hidden="1">
      <c r="A2429" s="386"/>
      <c r="E2429" s="401"/>
      <c r="F2429" s="8">
        <v>1</v>
      </c>
      <c r="G2429" s="7" t="s">
        <v>1454</v>
      </c>
      <c r="H2429" s="1" t="s">
        <v>2374</v>
      </c>
      <c r="I2429" s="8">
        <f>D17</f>
        <v>120</v>
      </c>
      <c r="J2429" s="2" t="s">
        <v>1458</v>
      </c>
      <c r="K2429" s="6">
        <f t="shared" si="79"/>
        <v>120</v>
      </c>
    </row>
    <row r="2430" spans="1:11" ht="17.25" hidden="1">
      <c r="A2430" s="386"/>
      <c r="E2430" s="401"/>
      <c r="F2430" s="8">
        <v>1</v>
      </c>
      <c r="G2430" s="7" t="s">
        <v>448</v>
      </c>
      <c r="H2430" s="1" t="s">
        <v>787</v>
      </c>
      <c r="I2430" s="8">
        <v>10</v>
      </c>
      <c r="J2430" s="2" t="s">
        <v>448</v>
      </c>
      <c r="K2430" s="6">
        <f t="shared" si="79"/>
        <v>10</v>
      </c>
    </row>
    <row r="2431" spans="1:11" ht="17.25" hidden="1">
      <c r="A2431" s="386"/>
      <c r="E2431" s="401"/>
      <c r="F2431" s="8">
        <v>19</v>
      </c>
      <c r="G2431" s="7" t="s">
        <v>1492</v>
      </c>
      <c r="H2431" s="1" t="s">
        <v>789</v>
      </c>
      <c r="I2431" s="8">
        <v>2</v>
      </c>
      <c r="J2431" s="2" t="s">
        <v>1492</v>
      </c>
      <c r="K2431" s="6">
        <f t="shared" si="79"/>
        <v>38</v>
      </c>
    </row>
    <row r="2432" spans="1:11" ht="17.25" hidden="1">
      <c r="A2432" s="386"/>
      <c r="E2432" s="401"/>
      <c r="F2432"/>
      <c r="G2432" s="3"/>
      <c r="H2432" s="1" t="s">
        <v>502</v>
      </c>
      <c r="I2432"/>
      <c r="J2432" s="4"/>
      <c r="K2432" s="6" t="s">
        <v>1667</v>
      </c>
    </row>
    <row r="2433" spans="1:11" ht="17.25" hidden="1">
      <c r="A2433" s="386"/>
      <c r="E2433" s="401"/>
      <c r="F2433"/>
      <c r="G2433" s="3"/>
      <c r="H2433" s="2" t="s">
        <v>440</v>
      </c>
      <c r="I2433"/>
      <c r="J2433" s="4"/>
      <c r="K2433" s="6">
        <f>SUM(K2422:K2431)</f>
        <v>2050.88</v>
      </c>
    </row>
    <row r="2434" spans="1:11" ht="17.25" hidden="1">
      <c r="A2434" s="386"/>
      <c r="E2434" s="401"/>
      <c r="F2434"/>
      <c r="G2434" s="3"/>
      <c r="H2434"/>
      <c r="I2434"/>
      <c r="J2434" s="4"/>
      <c r="K2434" s="6" t="s">
        <v>1667</v>
      </c>
    </row>
    <row r="2435" spans="1:11" ht="17.25" hidden="1">
      <c r="A2435" s="386"/>
      <c r="E2435" s="401"/>
      <c r="F2435"/>
      <c r="G2435" s="3"/>
      <c r="H2435" s="2" t="s">
        <v>555</v>
      </c>
      <c r="I2435"/>
      <c r="J2435" s="4"/>
      <c r="K2435" s="6">
        <f>(K2433/10)</f>
        <v>205.09</v>
      </c>
    </row>
    <row r="2436" spans="1:11" ht="17.25" hidden="1">
      <c r="A2436" s="386"/>
      <c r="E2436" s="401"/>
      <c r="F2436" s="1" t="s">
        <v>995</v>
      </c>
      <c r="G2436" s="3"/>
      <c r="H2436"/>
      <c r="I2436"/>
      <c r="J2436" s="4"/>
      <c r="K2436" s="34"/>
    </row>
    <row r="2437" spans="1:11" ht="17.25" hidden="1">
      <c r="A2437" s="386"/>
      <c r="E2437" s="401"/>
      <c r="F2437"/>
      <c r="G2437" s="3"/>
      <c r="H2437"/>
      <c r="I2437"/>
      <c r="J2437" s="4"/>
      <c r="K2437" s="6" t="s">
        <v>2130</v>
      </c>
    </row>
    <row r="2438" spans="1:11" ht="30" hidden="1">
      <c r="A2438" s="386"/>
      <c r="E2438" s="401"/>
      <c r="F2438" s="444" t="s">
        <v>2734</v>
      </c>
      <c r="G2438" s="34"/>
      <c r="H2438" s="445" t="s">
        <v>3651</v>
      </c>
      <c r="I2438"/>
      <c r="J2438" s="4"/>
      <c r="K2438" s="34"/>
    </row>
    <row r="2439" spans="1:11" ht="17.25" hidden="1">
      <c r="A2439" s="386"/>
      <c r="E2439" s="401"/>
      <c r="F2439" s="34"/>
      <c r="G2439" s="3"/>
      <c r="H2439"/>
      <c r="I2439"/>
      <c r="J2439" s="4"/>
      <c r="K2439" s="565"/>
    </row>
    <row r="2440" spans="1:11" ht="17.25" hidden="1">
      <c r="A2440" s="386"/>
      <c r="E2440" s="401"/>
      <c r="F2440">
        <v>98.5</v>
      </c>
      <c r="G2440" s="3" t="s">
        <v>840</v>
      </c>
      <c r="H2440" s="1" t="s">
        <v>841</v>
      </c>
      <c r="I2440" s="8">
        <f>I2425</f>
        <v>3</v>
      </c>
      <c r="J2440" s="2" t="s">
        <v>258</v>
      </c>
      <c r="K2440" s="34">
        <f>(F2440*I2440)</f>
        <v>295.5</v>
      </c>
    </row>
    <row r="2441" spans="1:11" ht="17.25" hidden="1">
      <c r="A2441" s="386"/>
      <c r="E2441" s="401"/>
      <c r="F2441">
        <v>0.3</v>
      </c>
      <c r="G2441" s="3" t="s">
        <v>1454</v>
      </c>
      <c r="H2441" s="1" t="s">
        <v>1455</v>
      </c>
      <c r="I2441" s="8">
        <f>I2427</f>
        <v>150</v>
      </c>
      <c r="J2441" s="2" t="s">
        <v>1458</v>
      </c>
      <c r="K2441" s="34">
        <f>(F2441*I2441)</f>
        <v>45</v>
      </c>
    </row>
    <row r="2442" spans="1:11" ht="17.25" hidden="1">
      <c r="A2442" s="386"/>
      <c r="E2442" s="401"/>
      <c r="F2442">
        <v>0.3</v>
      </c>
      <c r="G2442" s="3" t="s">
        <v>1454</v>
      </c>
      <c r="H2442" s="1" t="s">
        <v>838</v>
      </c>
      <c r="I2442" s="8">
        <f>I2428</f>
        <v>95</v>
      </c>
      <c r="J2442" s="2" t="s">
        <v>1458</v>
      </c>
      <c r="K2442" s="34">
        <f>(F2442*I2442)</f>
        <v>28.5</v>
      </c>
    </row>
    <row r="2443" spans="1:11" ht="17.25" hidden="1">
      <c r="A2443" s="386"/>
      <c r="E2443" s="401"/>
      <c r="F2443"/>
      <c r="G2443" s="3"/>
      <c r="H2443" s="1" t="s">
        <v>2359</v>
      </c>
      <c r="I2443"/>
      <c r="J2443" s="4" t="s">
        <v>72</v>
      </c>
      <c r="K2443" s="565">
        <v>0.6</v>
      </c>
    </row>
    <row r="2444" spans="1:11" ht="17.25" hidden="1">
      <c r="A2444" s="386"/>
      <c r="E2444" s="401"/>
      <c r="F2444"/>
      <c r="G2444" s="3"/>
      <c r="H2444" s="2" t="s">
        <v>440</v>
      </c>
      <c r="I2444"/>
      <c r="J2444" s="4"/>
      <c r="K2444" s="34">
        <f>SUM(K2440:K2443)</f>
        <v>369.6</v>
      </c>
    </row>
    <row r="2445" spans="1:11" ht="17.25" hidden="1">
      <c r="A2445" s="386"/>
      <c r="E2445" s="401"/>
      <c r="F2445"/>
      <c r="G2445" s="3"/>
      <c r="H2445" s="1"/>
      <c r="I2445"/>
      <c r="J2445" s="4"/>
      <c r="K2445" s="565" t="s">
        <v>427</v>
      </c>
    </row>
    <row r="2446" spans="1:11" ht="17.25" hidden="1">
      <c r="A2446" s="386"/>
      <c r="E2446" s="401"/>
      <c r="F2446"/>
      <c r="G2446" s="3"/>
      <c r="H2446" s="2" t="s">
        <v>555</v>
      </c>
      <c r="I2446"/>
      <c r="J2446" s="4"/>
      <c r="K2446" s="34">
        <f>K2444/10</f>
        <v>36.96</v>
      </c>
    </row>
    <row r="2447" spans="1:11" ht="17.25" hidden="1">
      <c r="A2447" s="386"/>
      <c r="E2447" s="401"/>
      <c r="F2447"/>
      <c r="G2447" s="3"/>
      <c r="H2447" s="2"/>
      <c r="I2447"/>
      <c r="J2447" s="4"/>
      <c r="K2447" s="34"/>
    </row>
    <row r="2448" spans="1:11" ht="32.25" hidden="1">
      <c r="A2448" s="386"/>
      <c r="E2448" s="401"/>
      <c r="F2448"/>
      <c r="G2448" s="3"/>
      <c r="H2448" s="24" t="s">
        <v>3652</v>
      </c>
      <c r="I2448"/>
      <c r="J2448" s="4" t="s">
        <v>3653</v>
      </c>
      <c r="K2448" s="34">
        <f>K2435-K2446</f>
        <v>168.13</v>
      </c>
    </row>
    <row r="2449" spans="1:11" ht="17.25" hidden="1">
      <c r="A2449" s="386"/>
      <c r="E2449" s="401"/>
      <c r="F2449"/>
      <c r="G2449" s="3"/>
      <c r="H2449" s="1"/>
      <c r="I2449"/>
      <c r="J2449" s="4"/>
      <c r="K2449" s="565" t="s">
        <v>38</v>
      </c>
    </row>
    <row r="2450" spans="1:11" ht="17.25" hidden="1">
      <c r="A2450" s="386"/>
      <c r="E2450" s="401"/>
      <c r="F2450"/>
      <c r="G2450" s="3"/>
      <c r="H2450"/>
      <c r="I2450"/>
      <c r="J2450" s="4"/>
      <c r="K2450" s="34"/>
    </row>
    <row r="2451" spans="1:11" ht="45" hidden="1">
      <c r="A2451" s="386"/>
      <c r="E2451" s="401"/>
      <c r="F2451" s="444" t="s">
        <v>3385</v>
      </c>
      <c r="G2451" s="3"/>
      <c r="H2451" s="445" t="s">
        <v>3185</v>
      </c>
      <c r="I2451"/>
      <c r="J2451" s="4" t="s">
        <v>3653</v>
      </c>
      <c r="K2451" s="34">
        <f>K2435</f>
        <v>205.09</v>
      </c>
    </row>
    <row r="2452" spans="1:11" ht="17.25" hidden="1">
      <c r="A2452" s="386"/>
      <c r="E2452" s="401"/>
      <c r="F2452"/>
      <c r="H2452" s="244"/>
      <c r="I2452"/>
      <c r="J2452" s="4"/>
      <c r="K2452" s="565" t="s">
        <v>38</v>
      </c>
    </row>
    <row r="2453" spans="1:11" ht="30" hidden="1">
      <c r="A2453" s="386"/>
      <c r="E2453" s="401"/>
      <c r="F2453" s="444" t="s">
        <v>2366</v>
      </c>
      <c r="H2453" s="445" t="s">
        <v>3182</v>
      </c>
      <c r="I2453"/>
      <c r="J2453" s="4" t="s">
        <v>3653</v>
      </c>
      <c r="K2453" s="565">
        <f>K2451*1.2</f>
        <v>246.11</v>
      </c>
    </row>
    <row r="2454" spans="1:11" ht="17.25" hidden="1">
      <c r="A2454" s="386"/>
      <c r="E2454" s="401"/>
      <c r="F2454"/>
      <c r="I2454"/>
      <c r="J2454" s="4"/>
      <c r="K2454" s="565" t="s">
        <v>1283</v>
      </c>
    </row>
    <row r="2455" spans="1:11" ht="30" hidden="1">
      <c r="A2455" s="386"/>
      <c r="E2455" s="401"/>
      <c r="F2455" s="444" t="s">
        <v>3183</v>
      </c>
      <c r="H2455" s="445" t="s">
        <v>3184</v>
      </c>
      <c r="I2455"/>
      <c r="J2455" s="4" t="s">
        <v>3653</v>
      </c>
      <c r="K2455" s="34">
        <f>K2451*1.1</f>
        <v>225.6</v>
      </c>
    </row>
    <row r="2456" spans="1:11" ht="17.25" hidden="1">
      <c r="A2456" s="386"/>
      <c r="E2456" s="401"/>
      <c r="F2456"/>
      <c r="G2456" s="3"/>
      <c r="H2456"/>
      <c r="I2456"/>
      <c r="J2456" s="4"/>
      <c r="K2456" s="565" t="s">
        <v>1283</v>
      </c>
    </row>
    <row r="2457" spans="1:11" ht="17.25" hidden="1">
      <c r="A2457" s="386"/>
      <c r="E2457" s="401"/>
      <c r="F2457"/>
      <c r="G2457" s="3"/>
      <c r="H2457"/>
      <c r="I2457"/>
      <c r="J2457" s="4"/>
      <c r="K2457" s="34"/>
    </row>
    <row r="2458" spans="1:11" ht="17.25" hidden="1">
      <c r="A2458" s="386"/>
      <c r="E2458" s="401"/>
      <c r="F2458">
        <v>50.6</v>
      </c>
      <c r="G2458" s="7" t="s">
        <v>685</v>
      </c>
      <c r="H2458" s="1" t="s">
        <v>1194</v>
      </c>
      <c r="I2458"/>
      <c r="J2458" s="4"/>
      <c r="K2458" s="34"/>
    </row>
    <row r="2459" spans="1:11" ht="32.25" hidden="1">
      <c r="A2459" s="386"/>
      <c r="E2459" s="401"/>
      <c r="F2459"/>
      <c r="G2459" s="3"/>
      <c r="H2459" s="24" t="s">
        <v>2871</v>
      </c>
      <c r="I2459"/>
      <c r="J2459" s="4"/>
      <c r="K2459" s="34"/>
    </row>
    <row r="2460" spans="1:11" ht="17.25" hidden="1">
      <c r="A2460" s="386"/>
      <c r="E2460" s="401"/>
      <c r="F2460"/>
      <c r="G2460" s="3"/>
      <c r="H2460" s="5" t="s">
        <v>1667</v>
      </c>
      <c r="I2460" s="5" t="s">
        <v>1667</v>
      </c>
      <c r="J2460" s="4"/>
      <c r="K2460" s="34"/>
    </row>
    <row r="2461" spans="1:11" ht="18.75" hidden="1">
      <c r="A2461" s="386"/>
      <c r="E2461" s="401"/>
      <c r="F2461"/>
      <c r="G2461" s="3"/>
      <c r="H2461" s="5" t="s">
        <v>2872</v>
      </c>
      <c r="I2461" s="5"/>
      <c r="J2461" s="4"/>
      <c r="K2461" s="34"/>
    </row>
    <row r="2462" spans="1:11" ht="18.75" hidden="1">
      <c r="A2462" s="386"/>
      <c r="E2462" s="401"/>
      <c r="F2462"/>
      <c r="G2462" s="3"/>
      <c r="H2462" s="5" t="s">
        <v>3228</v>
      </c>
      <c r="I2462" s="5"/>
      <c r="J2462" s="4"/>
      <c r="K2462" s="34"/>
    </row>
    <row r="2463" spans="1:11" ht="17.25" hidden="1">
      <c r="A2463" s="386"/>
      <c r="E2463" s="401"/>
      <c r="F2463"/>
      <c r="G2463" s="3"/>
      <c r="H2463" s="5"/>
      <c r="I2463" s="5"/>
      <c r="J2463" s="4"/>
      <c r="K2463" s="34"/>
    </row>
    <row r="2464" spans="1:11" ht="17.25" hidden="1">
      <c r="A2464" s="386"/>
      <c r="E2464" s="401"/>
      <c r="F2464"/>
      <c r="G2464" s="3"/>
      <c r="H2464"/>
      <c r="I2464"/>
      <c r="J2464" s="4"/>
      <c r="K2464" s="34"/>
    </row>
    <row r="2465" spans="1:11" ht="17.25" hidden="1">
      <c r="A2465" s="386"/>
      <c r="E2465" s="401"/>
      <c r="F2465" s="14">
        <v>1.96</v>
      </c>
      <c r="G2465" s="7" t="s">
        <v>2226</v>
      </c>
      <c r="H2465" s="1" t="s">
        <v>441</v>
      </c>
      <c r="I2465" s="8" t="e">
        <f>K1644</f>
        <v>#REF!</v>
      </c>
      <c r="J2465" s="2" t="s">
        <v>2226</v>
      </c>
      <c r="K2465" s="6" t="e">
        <f t="shared" ref="K2465:K2470" si="80">(F2465*I2465)</f>
        <v>#REF!</v>
      </c>
    </row>
    <row r="2466" spans="1:11" ht="17.25" hidden="1">
      <c r="A2466" s="386"/>
      <c r="E2466" s="401"/>
      <c r="F2466" s="8">
        <v>2</v>
      </c>
      <c r="G2466" s="7" t="s">
        <v>563</v>
      </c>
      <c r="H2466" s="1" t="s">
        <v>359</v>
      </c>
      <c r="I2466" s="8">
        <f>C10</f>
        <v>150</v>
      </c>
      <c r="J2466" s="2" t="s">
        <v>1458</v>
      </c>
      <c r="K2466" s="6">
        <f t="shared" si="80"/>
        <v>300</v>
      </c>
    </row>
    <row r="2467" spans="1:11" ht="17.25" hidden="1">
      <c r="A2467" s="386"/>
      <c r="E2467" s="401"/>
      <c r="F2467" s="8">
        <v>2</v>
      </c>
      <c r="G2467" s="7" t="s">
        <v>563</v>
      </c>
      <c r="H2467" s="1" t="s">
        <v>360</v>
      </c>
      <c r="I2467" s="8">
        <f>C13</f>
        <v>85</v>
      </c>
      <c r="J2467" s="2" t="s">
        <v>1458</v>
      </c>
      <c r="K2467" s="6">
        <f t="shared" si="80"/>
        <v>170</v>
      </c>
    </row>
    <row r="2468" spans="1:11" ht="17.25" hidden="1">
      <c r="A2468" s="386"/>
      <c r="E2468" s="401"/>
      <c r="F2468" s="8">
        <v>0.28000000000000003</v>
      </c>
      <c r="G2468" s="7" t="s">
        <v>2371</v>
      </c>
      <c r="H2468" s="1" t="s">
        <v>3186</v>
      </c>
      <c r="I2468" s="8">
        <f>K2448</f>
        <v>168.13</v>
      </c>
      <c r="J2468" s="2" t="s">
        <v>2371</v>
      </c>
      <c r="K2468" s="6">
        <f t="shared" si="80"/>
        <v>47.08</v>
      </c>
    </row>
    <row r="2469" spans="1:11" ht="17.25" hidden="1">
      <c r="A2469" s="386"/>
      <c r="E2469" s="401"/>
      <c r="F2469" s="8">
        <v>500</v>
      </c>
      <c r="G2469" s="7" t="s">
        <v>1492</v>
      </c>
      <c r="H2469" s="1" t="s">
        <v>3187</v>
      </c>
      <c r="I2469">
        <v>2</v>
      </c>
      <c r="J2469" s="4" t="s">
        <v>1458</v>
      </c>
      <c r="K2469" s="6">
        <f t="shared" si="80"/>
        <v>1000</v>
      </c>
    </row>
    <row r="2470" spans="1:11" ht="17.25" hidden="1">
      <c r="A2470" s="386"/>
      <c r="E2470" s="401"/>
      <c r="F2470" s="8">
        <v>8.5</v>
      </c>
      <c r="G2470" s="7" t="s">
        <v>3414</v>
      </c>
      <c r="H2470" s="1" t="s">
        <v>3415</v>
      </c>
      <c r="I2470">
        <v>25</v>
      </c>
      <c r="J2470" s="4" t="s">
        <v>2221</v>
      </c>
      <c r="K2470" s="6">
        <f t="shared" si="80"/>
        <v>212.5</v>
      </c>
    </row>
    <row r="2471" spans="1:11" ht="17.25" hidden="1">
      <c r="A2471" s="386"/>
      <c r="E2471" s="401"/>
      <c r="F2471"/>
      <c r="G2471" s="3"/>
      <c r="H2471"/>
      <c r="I2471"/>
      <c r="J2471" s="4"/>
      <c r="K2471" s="6" t="s">
        <v>1667</v>
      </c>
    </row>
    <row r="2472" spans="1:11" ht="17.25" hidden="1">
      <c r="A2472" s="386"/>
      <c r="E2472" s="401"/>
      <c r="F2472"/>
      <c r="G2472" s="3"/>
      <c r="H2472" s="2" t="s">
        <v>3416</v>
      </c>
      <c r="I2472"/>
      <c r="J2472" s="4"/>
      <c r="K2472" s="6" t="e">
        <f>SUM(K2465:K2471)</f>
        <v>#REF!</v>
      </c>
    </row>
    <row r="2473" spans="1:11" ht="17.25" hidden="1">
      <c r="A2473" s="386"/>
      <c r="E2473" s="401"/>
      <c r="F2473"/>
      <c r="G2473" s="3"/>
      <c r="H2473"/>
      <c r="I2473"/>
      <c r="J2473" s="4"/>
      <c r="K2473" s="566" t="s">
        <v>3417</v>
      </c>
    </row>
    <row r="2474" spans="1:11" ht="17.25" hidden="1">
      <c r="A2474" s="386"/>
      <c r="E2474" s="401"/>
      <c r="F2474"/>
      <c r="G2474" s="3"/>
      <c r="H2474" s="2" t="s">
        <v>3418</v>
      </c>
      <c r="I2474"/>
      <c r="J2474" s="4"/>
      <c r="K2474" s="34" t="e">
        <f>K2472/39.2</f>
        <v>#REF!</v>
      </c>
    </row>
    <row r="2475" spans="1:11" ht="17.25" hidden="1">
      <c r="A2475" s="386"/>
      <c r="E2475" s="401"/>
      <c r="F2475"/>
      <c r="G2475" s="3"/>
      <c r="H2475"/>
      <c r="I2475"/>
      <c r="J2475" s="4"/>
      <c r="K2475" s="565" t="s">
        <v>1283</v>
      </c>
    </row>
    <row r="2476" spans="1:11" ht="17.25" hidden="1">
      <c r="A2476" s="386"/>
      <c r="E2476" s="401"/>
      <c r="F2476"/>
      <c r="G2476" s="3"/>
      <c r="H2476" s="446" t="s">
        <v>3409</v>
      </c>
      <c r="I2476"/>
      <c r="J2476" s="4"/>
      <c r="K2476" s="34"/>
    </row>
    <row r="2477" spans="1:11" ht="17.25" hidden="1">
      <c r="A2477" s="386"/>
      <c r="E2477" s="401"/>
      <c r="F2477"/>
      <c r="G2477" s="3"/>
      <c r="H2477" t="s">
        <v>3410</v>
      </c>
      <c r="I2477" t="s">
        <v>3442</v>
      </c>
      <c r="J2477" s="4"/>
      <c r="K2477" s="34"/>
    </row>
    <row r="2478" spans="1:11" ht="17.25" hidden="1">
      <c r="A2478" s="386"/>
      <c r="E2478" s="401"/>
      <c r="F2478"/>
      <c r="G2478" s="3"/>
      <c r="H2478"/>
      <c r="I2478" s="61" t="s">
        <v>3443</v>
      </c>
      <c r="J2478" s="4" t="s">
        <v>3444</v>
      </c>
      <c r="K2478" s="34"/>
    </row>
    <row r="2479" spans="1:11" ht="17.25" hidden="1">
      <c r="A2479" s="386"/>
      <c r="E2479" s="401"/>
      <c r="F2479"/>
      <c r="G2479" s="3"/>
      <c r="H2479" t="s">
        <v>3445</v>
      </c>
      <c r="I2479" t="s">
        <v>3446</v>
      </c>
      <c r="J2479" s="4"/>
      <c r="K2479" s="34"/>
    </row>
    <row r="2480" spans="1:11" ht="17.25" hidden="1">
      <c r="A2480" s="386"/>
      <c r="E2480" s="401"/>
      <c r="F2480"/>
      <c r="G2480" s="3"/>
      <c r="H2480"/>
      <c r="I2480"/>
      <c r="J2480" s="4"/>
      <c r="K2480" s="34"/>
    </row>
    <row r="2481" spans="1:11" ht="17.25" hidden="1">
      <c r="A2481" s="386"/>
      <c r="E2481" s="401"/>
      <c r="F2481"/>
      <c r="G2481" s="3"/>
      <c r="H2481" t="s">
        <v>3447</v>
      </c>
      <c r="I2481"/>
      <c r="J2481" s="4"/>
      <c r="K2481" s="34"/>
    </row>
    <row r="2482" spans="1:11" ht="17.25" hidden="1">
      <c r="A2482" s="386"/>
      <c r="E2482" s="401"/>
      <c r="F2482"/>
      <c r="G2482" s="3"/>
      <c r="H2482" t="s">
        <v>3448</v>
      </c>
      <c r="I2482" t="s">
        <v>3449</v>
      </c>
      <c r="J2482" s="4"/>
      <c r="K2482" s="34"/>
    </row>
    <row r="2483" spans="1:11" ht="17.25" hidden="1">
      <c r="A2483" s="386"/>
      <c r="E2483" s="401"/>
      <c r="F2483"/>
      <c r="G2483" s="3"/>
      <c r="H2483" t="s">
        <v>3450</v>
      </c>
      <c r="I2483" t="s">
        <v>3451</v>
      </c>
      <c r="J2483" s="4"/>
      <c r="K2483" s="34"/>
    </row>
    <row r="2484" spans="1:11" ht="17.25" hidden="1">
      <c r="A2484" s="386"/>
      <c r="E2484" s="401"/>
      <c r="F2484"/>
      <c r="G2484" s="3"/>
      <c r="H2484" t="s">
        <v>3497</v>
      </c>
      <c r="I2484"/>
      <c r="J2484" s="4"/>
      <c r="K2484" s="34"/>
    </row>
    <row r="2485" spans="1:11" ht="17.25" hidden="1">
      <c r="A2485" s="386"/>
      <c r="E2485" s="401"/>
      <c r="F2485"/>
      <c r="G2485" s="3"/>
      <c r="H2485"/>
      <c r="I2485"/>
      <c r="J2485" s="4"/>
      <c r="K2485" s="34"/>
    </row>
    <row r="2486" spans="1:11" ht="17.25" hidden="1">
      <c r="A2486" s="386"/>
      <c r="E2486" s="401"/>
      <c r="F2486"/>
      <c r="G2486" s="3"/>
      <c r="H2486"/>
      <c r="I2486"/>
      <c r="J2486" s="4"/>
      <c r="K2486" s="34"/>
    </row>
    <row r="2487" spans="1:11" ht="17.25" hidden="1">
      <c r="A2487" s="386"/>
      <c r="E2487" s="401"/>
      <c r="F2487"/>
      <c r="G2487" s="3"/>
      <c r="H2487"/>
      <c r="I2487"/>
      <c r="J2487" s="4"/>
      <c r="K2487" s="34"/>
    </row>
    <row r="2488" spans="1:11" ht="48" hidden="1">
      <c r="A2488" s="386"/>
      <c r="E2488" s="401"/>
      <c r="F2488" s="447">
        <v>83</v>
      </c>
      <c r="G2488" s="3"/>
      <c r="H2488" s="29" t="s">
        <v>3498</v>
      </c>
      <c r="I2488"/>
      <c r="J2488" s="4"/>
      <c r="K2488" s="34"/>
    </row>
    <row r="2489" spans="1:11" ht="17.25" hidden="1">
      <c r="A2489" s="386"/>
      <c r="E2489" s="401"/>
      <c r="F2489"/>
      <c r="G2489" s="3"/>
      <c r="H2489" s="61" t="s">
        <v>3532</v>
      </c>
      <c r="I2489"/>
      <c r="J2489" s="4"/>
      <c r="K2489" s="34"/>
    </row>
    <row r="2490" spans="1:11" ht="63" hidden="1">
      <c r="A2490" s="386"/>
      <c r="E2490" s="401"/>
      <c r="F2490" s="304">
        <v>3.25</v>
      </c>
      <c r="G2490" s="448" t="s">
        <v>3533</v>
      </c>
      <c r="H2490" s="448" t="s">
        <v>3534</v>
      </c>
      <c r="I2490" s="448">
        <v>27</v>
      </c>
      <c r="J2490" s="448" t="s">
        <v>1730</v>
      </c>
      <c r="K2490" s="567">
        <f>I2490*F2490</f>
        <v>87.75</v>
      </c>
    </row>
    <row r="2491" spans="1:11" ht="17.25" hidden="1">
      <c r="A2491" s="386"/>
      <c r="E2491" s="401"/>
      <c r="F2491"/>
      <c r="G2491" s="3"/>
      <c r="H2491" t="s">
        <v>1238</v>
      </c>
      <c r="I2491"/>
      <c r="J2491" s="4"/>
      <c r="K2491" s="34">
        <v>0.25</v>
      </c>
    </row>
    <row r="2492" spans="1:11" ht="17.25" hidden="1">
      <c r="A2492" s="386"/>
      <c r="E2492" s="401"/>
      <c r="F2492"/>
      <c r="G2492" s="3"/>
      <c r="H2492"/>
      <c r="I2492"/>
      <c r="J2492" s="4"/>
      <c r="K2492" s="34" t="s">
        <v>1667</v>
      </c>
    </row>
    <row r="2493" spans="1:11" ht="17.25" hidden="1">
      <c r="A2493" s="386"/>
      <c r="E2493" s="401"/>
      <c r="F2493"/>
      <c r="G2493" s="3"/>
      <c r="H2493" t="s">
        <v>3535</v>
      </c>
      <c r="I2493"/>
      <c r="J2493" s="4"/>
      <c r="K2493" s="34">
        <f>SUM(K2490:K2492)</f>
        <v>88</v>
      </c>
    </row>
    <row r="2494" spans="1:11" ht="17.25" hidden="1">
      <c r="A2494" s="386"/>
      <c r="E2494" s="401"/>
      <c r="F2494"/>
      <c r="G2494" s="3"/>
      <c r="H2494"/>
      <c r="I2494"/>
      <c r="J2494" s="4"/>
      <c r="K2494" s="34" t="s">
        <v>2130</v>
      </c>
    </row>
    <row r="2495" spans="1:11" ht="19.5" hidden="1">
      <c r="A2495" s="386"/>
      <c r="E2495" s="401"/>
      <c r="F2495" s="450">
        <v>79.099999999999994</v>
      </c>
      <c r="G2495" s="3"/>
      <c r="H2495" t="s">
        <v>3536</v>
      </c>
      <c r="I2495"/>
      <c r="J2495" s="4"/>
      <c r="K2495" s="34"/>
    </row>
    <row r="2496" spans="1:11" ht="17.25" hidden="1">
      <c r="A2496" s="386"/>
      <c r="E2496" s="401"/>
      <c r="F2496"/>
      <c r="G2496" s="3"/>
      <c r="H2496" s="61" t="s">
        <v>3537</v>
      </c>
      <c r="I2496"/>
      <c r="J2496" s="4"/>
      <c r="K2496" s="34"/>
    </row>
    <row r="2497" spans="1:11" ht="17.25" hidden="1">
      <c r="A2497" s="386"/>
      <c r="E2497" s="401"/>
      <c r="F2497">
        <v>1</v>
      </c>
      <c r="G2497" s="3" t="s">
        <v>1454</v>
      </c>
      <c r="H2497" t="s">
        <v>3538</v>
      </c>
      <c r="I2497">
        <v>75</v>
      </c>
      <c r="J2497" s="4" t="s">
        <v>1458</v>
      </c>
      <c r="K2497" s="34">
        <f>I2497*F2497</f>
        <v>75</v>
      </c>
    </row>
    <row r="2498" spans="1:11" ht="17.25" hidden="1">
      <c r="A2498" s="386"/>
      <c r="E2498" s="401"/>
      <c r="F2498">
        <v>1</v>
      </c>
      <c r="G2498" s="3" t="s">
        <v>1454</v>
      </c>
      <c r="H2498" t="s">
        <v>3539</v>
      </c>
      <c r="I2498">
        <v>17.75</v>
      </c>
      <c r="J2498" s="4" t="s">
        <v>1458</v>
      </c>
      <c r="K2498" s="34">
        <f>I2498*F2498</f>
        <v>17.75</v>
      </c>
    </row>
    <row r="2499" spans="1:11" ht="17.25" hidden="1">
      <c r="A2499" s="386"/>
      <c r="E2499" s="401"/>
      <c r="F2499">
        <v>1</v>
      </c>
      <c r="G2499" s="3" t="s">
        <v>1454</v>
      </c>
      <c r="H2499" t="s">
        <v>144</v>
      </c>
      <c r="I2499">
        <f>K2510</f>
        <v>65.13</v>
      </c>
      <c r="J2499" s="4" t="s">
        <v>1458</v>
      </c>
      <c r="K2499" s="34">
        <f>I2499*F2499</f>
        <v>65.13</v>
      </c>
    </row>
    <row r="2500" spans="1:11" ht="17.25" hidden="1">
      <c r="A2500" s="386"/>
      <c r="E2500" s="401"/>
      <c r="F2500"/>
      <c r="G2500" s="3"/>
      <c r="H2500" t="s">
        <v>2426</v>
      </c>
      <c r="I2500"/>
      <c r="J2500" s="4" t="s">
        <v>448</v>
      </c>
      <c r="K2500" s="34">
        <v>3.12</v>
      </c>
    </row>
    <row r="2501" spans="1:11" ht="17.25" hidden="1">
      <c r="A2501" s="386"/>
      <c r="E2501" s="401"/>
      <c r="F2501"/>
      <c r="G2501" s="3"/>
      <c r="H2501"/>
      <c r="I2501"/>
      <c r="J2501" s="4"/>
      <c r="K2501" s="565" t="s">
        <v>2427</v>
      </c>
    </row>
    <row r="2502" spans="1:11" ht="17.25" hidden="1">
      <c r="A2502" s="386"/>
      <c r="E2502" s="401"/>
      <c r="F2502"/>
      <c r="G2502" s="3"/>
      <c r="H2502"/>
      <c r="I2502"/>
      <c r="J2502" s="4"/>
      <c r="K2502" s="34">
        <f>SUM(K2497:K2501)</f>
        <v>161</v>
      </c>
    </row>
    <row r="2503" spans="1:11" ht="17.25" hidden="1">
      <c r="A2503" s="386"/>
      <c r="E2503" s="401"/>
      <c r="F2503"/>
      <c r="G2503" s="3"/>
      <c r="H2503"/>
      <c r="I2503"/>
      <c r="J2503" s="4"/>
      <c r="K2503" s="565" t="s">
        <v>152</v>
      </c>
    </row>
    <row r="2504" spans="1:11" ht="17.25" hidden="1">
      <c r="A2504" s="386"/>
      <c r="E2504" s="401"/>
      <c r="F2504" t="s">
        <v>144</v>
      </c>
      <c r="G2504" s="3"/>
      <c r="H2504"/>
      <c r="I2504"/>
      <c r="J2504" s="4"/>
      <c r="K2504" s="34"/>
    </row>
    <row r="2505" spans="1:11" ht="17.25" hidden="1">
      <c r="A2505" s="386"/>
      <c r="E2505" s="401"/>
      <c r="F2505">
        <v>1</v>
      </c>
      <c r="G2505" s="3" t="s">
        <v>1454</v>
      </c>
      <c r="H2505" t="s">
        <v>2428</v>
      </c>
      <c r="I2505">
        <v>131</v>
      </c>
      <c r="J2505" s="4" t="s">
        <v>1458</v>
      </c>
      <c r="K2505" s="34">
        <f>I2505*F2505</f>
        <v>131</v>
      </c>
    </row>
    <row r="2506" spans="1:11" ht="17.25" hidden="1">
      <c r="A2506" s="386"/>
      <c r="E2506" s="401"/>
      <c r="F2506">
        <v>1</v>
      </c>
      <c r="G2506" s="3" t="s">
        <v>1454</v>
      </c>
      <c r="H2506" t="s">
        <v>2429</v>
      </c>
      <c r="I2506">
        <v>117</v>
      </c>
      <c r="J2506" s="4" t="s">
        <v>1458</v>
      </c>
      <c r="K2506" s="34">
        <f>I2506*F2506</f>
        <v>117</v>
      </c>
    </row>
    <row r="2507" spans="1:11" ht="17.25" hidden="1">
      <c r="A2507" s="386"/>
      <c r="E2507" s="401"/>
      <c r="F2507">
        <v>3</v>
      </c>
      <c r="G2507" s="3" t="s">
        <v>1492</v>
      </c>
      <c r="H2507" t="s">
        <v>2430</v>
      </c>
      <c r="I2507">
        <v>91</v>
      </c>
      <c r="J2507" s="4" t="s">
        <v>1458</v>
      </c>
      <c r="K2507" s="34">
        <f>I2507*F2507</f>
        <v>273</v>
      </c>
    </row>
    <row r="2508" spans="1:11" ht="17.25" hidden="1">
      <c r="A2508" s="386"/>
      <c r="E2508" s="401"/>
      <c r="F2508"/>
      <c r="G2508" s="3"/>
      <c r="H2508"/>
      <c r="I2508"/>
      <c r="J2508" s="4"/>
      <c r="K2508" s="565" t="s">
        <v>427</v>
      </c>
    </row>
    <row r="2509" spans="1:11" ht="17.25" hidden="1">
      <c r="A2509" s="386"/>
      <c r="E2509" s="401"/>
      <c r="F2509"/>
      <c r="G2509" s="3"/>
      <c r="H2509" t="s">
        <v>2431</v>
      </c>
      <c r="I2509"/>
      <c r="J2509" s="4"/>
      <c r="K2509" s="34">
        <f>SUM(K2505:K2508)</f>
        <v>521</v>
      </c>
    </row>
    <row r="2510" spans="1:11" ht="17.25" hidden="1">
      <c r="A2510" s="386"/>
      <c r="E2510" s="401"/>
      <c r="F2510"/>
      <c r="G2510" s="3"/>
      <c r="H2510" t="s">
        <v>2432</v>
      </c>
      <c r="I2510"/>
      <c r="J2510" s="4"/>
      <c r="K2510" s="34">
        <f>K2509/8</f>
        <v>65.13</v>
      </c>
    </row>
    <row r="2511" spans="1:11" ht="17.25" hidden="1">
      <c r="A2511" s="386"/>
      <c r="E2511" s="401"/>
      <c r="F2511"/>
      <c r="G2511" s="3"/>
      <c r="H2511"/>
      <c r="I2511"/>
      <c r="J2511" s="4"/>
      <c r="K2511" s="34"/>
    </row>
    <row r="2512" spans="1:11" ht="17.25" hidden="1">
      <c r="A2512" s="386"/>
      <c r="E2512" s="401"/>
      <c r="F2512"/>
      <c r="G2512" s="3"/>
      <c r="H2512"/>
      <c r="I2512"/>
      <c r="J2512" s="4"/>
      <c r="K2512" s="565"/>
    </row>
    <row r="2513" spans="1:11" ht="17.25" hidden="1">
      <c r="A2513" s="386"/>
      <c r="E2513" s="401"/>
      <c r="F2513" s="2" t="s">
        <v>3504</v>
      </c>
      <c r="G2513" s="7" t="s">
        <v>2338</v>
      </c>
      <c r="H2513" s="1" t="s">
        <v>2253</v>
      </c>
      <c r="I2513"/>
      <c r="J2513" s="4"/>
      <c r="K2513" s="34"/>
    </row>
    <row r="2514" spans="1:11" ht="17.25" hidden="1">
      <c r="A2514" s="386"/>
      <c r="E2514" s="401"/>
      <c r="F2514"/>
      <c r="G2514" s="3"/>
      <c r="H2514" s="1" t="s">
        <v>2255</v>
      </c>
      <c r="I2514"/>
      <c r="J2514" s="4"/>
      <c r="K2514" s="34"/>
    </row>
    <row r="2515" spans="1:11" ht="17.25" hidden="1">
      <c r="A2515" s="386"/>
      <c r="E2515" s="401"/>
      <c r="F2515"/>
      <c r="G2515" s="3"/>
      <c r="H2515" s="1" t="s">
        <v>2256</v>
      </c>
      <c r="I2515"/>
      <c r="J2515" s="4"/>
      <c r="K2515" s="34"/>
    </row>
    <row r="2516" spans="1:11" ht="17.25" hidden="1">
      <c r="A2516" s="386"/>
      <c r="E2516" s="401"/>
      <c r="F2516"/>
      <c r="G2516" s="3"/>
      <c r="H2516" s="1" t="s">
        <v>2257</v>
      </c>
      <c r="I2516"/>
      <c r="J2516" s="4"/>
      <c r="K2516" s="34"/>
    </row>
    <row r="2517" spans="1:11" ht="17.25" hidden="1">
      <c r="A2517" s="386"/>
      <c r="E2517" s="401"/>
      <c r="F2517"/>
      <c r="G2517" s="3"/>
      <c r="H2517" s="1" t="s">
        <v>2258</v>
      </c>
      <c r="I2517"/>
      <c r="J2517" s="4"/>
      <c r="K2517" s="34"/>
    </row>
    <row r="2518" spans="1:11" ht="17.25" hidden="1">
      <c r="A2518" s="386"/>
      <c r="E2518" s="401"/>
      <c r="F2518"/>
      <c r="G2518" s="3"/>
      <c r="H2518" s="1" t="s">
        <v>2259</v>
      </c>
      <c r="I2518"/>
      <c r="J2518" s="4"/>
      <c r="K2518" s="34"/>
    </row>
    <row r="2519" spans="1:11" ht="17.25" hidden="1">
      <c r="A2519" s="386"/>
      <c r="E2519" s="401"/>
      <c r="F2519"/>
      <c r="G2519" s="3"/>
      <c r="H2519" s="5" t="s">
        <v>1667</v>
      </c>
      <c r="I2519"/>
      <c r="J2519" s="4"/>
      <c r="K2519" s="34"/>
    </row>
    <row r="2520" spans="1:11" ht="17.25" hidden="1">
      <c r="A2520" s="386"/>
      <c r="E2520" s="401"/>
      <c r="F2520" s="2"/>
      <c r="G2520" s="7"/>
      <c r="H2520" s="1" t="s">
        <v>1892</v>
      </c>
      <c r="I2520"/>
      <c r="J2520" s="4"/>
      <c r="K2520" s="6" t="s">
        <v>995</v>
      </c>
    </row>
    <row r="2521" spans="1:11" ht="17.25" hidden="1">
      <c r="A2521" s="386"/>
      <c r="E2521" s="401"/>
      <c r="F2521"/>
      <c r="G2521" s="3"/>
      <c r="H2521" s="5" t="s">
        <v>1667</v>
      </c>
      <c r="I2521"/>
      <c r="J2521" s="4"/>
      <c r="K2521" s="34"/>
    </row>
    <row r="2522" spans="1:11" ht="17.25" hidden="1">
      <c r="A2522" s="386"/>
      <c r="E2522" s="401"/>
      <c r="F2522" s="20">
        <v>1.153E-2</v>
      </c>
      <c r="G2522" s="7" t="s">
        <v>884</v>
      </c>
      <c r="H2522" s="1" t="s">
        <v>702</v>
      </c>
      <c r="I2522" s="8">
        <f t="shared" ref="I2522:I2531" si="81">I1011</f>
        <v>65420</v>
      </c>
      <c r="J2522" s="2" t="s">
        <v>884</v>
      </c>
      <c r="K2522" s="6">
        <f t="shared" ref="K2522:K2531" si="82">(F2522*I2522)</f>
        <v>754.29</v>
      </c>
    </row>
    <row r="2523" spans="1:11" ht="17.25" hidden="1">
      <c r="A2523" s="386"/>
      <c r="E2523" s="401"/>
      <c r="F2523" s="20">
        <v>1.52E-2</v>
      </c>
      <c r="G2523" s="7" t="s">
        <v>884</v>
      </c>
      <c r="H2523" s="1" t="s">
        <v>703</v>
      </c>
      <c r="I2523" s="8">
        <f t="shared" si="81"/>
        <v>57165</v>
      </c>
      <c r="J2523" s="2" t="s">
        <v>884</v>
      </c>
      <c r="K2523" s="6">
        <f t="shared" si="82"/>
        <v>868.91</v>
      </c>
    </row>
    <row r="2524" spans="1:11" hidden="1">
      <c r="A2524" s="386"/>
      <c r="F2524" s="20">
        <v>1.2787999999999999</v>
      </c>
      <c r="G2524" s="7" t="s">
        <v>611</v>
      </c>
      <c r="H2524" s="1" t="s">
        <v>2163</v>
      </c>
      <c r="I2524" s="8">
        <f t="shared" si="81"/>
        <v>381.37</v>
      </c>
      <c r="J2524" s="2" t="s">
        <v>611</v>
      </c>
      <c r="K2524" s="6">
        <f t="shared" si="82"/>
        <v>487.7</v>
      </c>
    </row>
    <row r="2525" spans="1:11" hidden="1">
      <c r="A2525" s="386"/>
      <c r="F2525" s="20">
        <v>1.845</v>
      </c>
      <c r="G2525" s="7" t="s">
        <v>611</v>
      </c>
      <c r="H2525" s="1" t="s">
        <v>2164</v>
      </c>
      <c r="I2525" s="8">
        <f t="shared" si="81"/>
        <v>287</v>
      </c>
      <c r="J2525" s="2" t="s">
        <v>611</v>
      </c>
      <c r="K2525" s="6">
        <f t="shared" si="82"/>
        <v>529.52</v>
      </c>
    </row>
    <row r="2526" spans="1:11" hidden="1">
      <c r="A2526" s="386"/>
      <c r="F2526" s="8">
        <v>2</v>
      </c>
      <c r="G2526" s="7" t="s">
        <v>883</v>
      </c>
      <c r="H2526" s="1" t="s">
        <v>2165</v>
      </c>
      <c r="I2526" s="8">
        <f t="shared" si="81"/>
        <v>30</v>
      </c>
      <c r="J2526" s="2" t="s">
        <v>883</v>
      </c>
      <c r="K2526" s="6">
        <f t="shared" si="82"/>
        <v>60</v>
      </c>
    </row>
    <row r="2527" spans="1:11" hidden="1">
      <c r="A2527" s="386"/>
      <c r="F2527" s="8">
        <v>3</v>
      </c>
      <c r="G2527" s="7" t="s">
        <v>883</v>
      </c>
      <c r="H2527" s="1" t="s">
        <v>1579</v>
      </c>
      <c r="I2527" s="8">
        <f t="shared" si="81"/>
        <v>45</v>
      </c>
      <c r="J2527" s="2" t="s">
        <v>883</v>
      </c>
      <c r="K2527" s="6">
        <f t="shared" si="82"/>
        <v>135</v>
      </c>
    </row>
    <row r="2528" spans="1:11" hidden="1">
      <c r="A2528" s="386"/>
      <c r="F2528" s="8">
        <v>1</v>
      </c>
      <c r="G2528" s="7" t="s">
        <v>883</v>
      </c>
      <c r="H2528" s="1" t="s">
        <v>2055</v>
      </c>
      <c r="I2528" s="8">
        <f t="shared" si="81"/>
        <v>95</v>
      </c>
      <c r="J2528" s="2" t="s">
        <v>883</v>
      </c>
      <c r="K2528" s="6">
        <f t="shared" si="82"/>
        <v>95</v>
      </c>
    </row>
    <row r="2529" spans="1:11" hidden="1">
      <c r="A2529" s="386"/>
      <c r="F2529" s="8">
        <v>1</v>
      </c>
      <c r="G2529" s="7" t="s">
        <v>883</v>
      </c>
      <c r="H2529" s="1" t="s">
        <v>2056</v>
      </c>
      <c r="I2529" s="8">
        <f t="shared" si="81"/>
        <v>8</v>
      </c>
      <c r="J2529" s="2" t="s">
        <v>883</v>
      </c>
      <c r="K2529" s="6">
        <f t="shared" si="82"/>
        <v>8</v>
      </c>
    </row>
    <row r="2530" spans="1:11" hidden="1">
      <c r="A2530" s="386"/>
      <c r="F2530" s="8">
        <v>1</v>
      </c>
      <c r="G2530" s="7" t="s">
        <v>883</v>
      </c>
      <c r="H2530" s="1" t="s">
        <v>2057</v>
      </c>
      <c r="I2530" s="8">
        <f t="shared" si="81"/>
        <v>30</v>
      </c>
      <c r="J2530" s="2" t="s">
        <v>883</v>
      </c>
      <c r="K2530" s="6">
        <f t="shared" si="82"/>
        <v>30</v>
      </c>
    </row>
    <row r="2531" spans="1:11" hidden="1">
      <c r="A2531" s="386"/>
      <c r="F2531" s="8">
        <v>1</v>
      </c>
      <c r="G2531" s="7" t="s">
        <v>883</v>
      </c>
      <c r="H2531" s="1" t="s">
        <v>2058</v>
      </c>
      <c r="I2531" s="8">
        <f t="shared" si="81"/>
        <v>25</v>
      </c>
      <c r="J2531" s="2" t="s">
        <v>883</v>
      </c>
      <c r="K2531" s="6">
        <f t="shared" si="82"/>
        <v>25</v>
      </c>
    </row>
    <row r="2532" spans="1:11" hidden="1">
      <c r="A2532" s="386"/>
      <c r="F2532"/>
      <c r="G2532" s="3"/>
      <c r="H2532"/>
      <c r="I2532"/>
      <c r="J2532" s="4"/>
      <c r="K2532" s="6" t="s">
        <v>1667</v>
      </c>
    </row>
    <row r="2533" spans="1:11" hidden="1">
      <c r="A2533" s="386"/>
      <c r="F2533"/>
      <c r="G2533" s="3"/>
      <c r="H2533" s="2" t="s">
        <v>457</v>
      </c>
      <c r="I2533"/>
      <c r="J2533" s="4"/>
      <c r="K2533" s="6">
        <f>SUM(K2522:K2532)</f>
        <v>2993.42</v>
      </c>
    </row>
    <row r="2534" spans="1:11" hidden="1">
      <c r="A2534" s="386"/>
      <c r="F2534"/>
      <c r="G2534" s="7" t="s">
        <v>995</v>
      </c>
      <c r="H2534"/>
      <c r="I2534"/>
      <c r="J2534" s="4"/>
      <c r="K2534" s="6" t="s">
        <v>1667</v>
      </c>
    </row>
    <row r="2535" spans="1:11" hidden="1">
      <c r="A2535" s="386"/>
      <c r="F2535"/>
      <c r="G2535" s="3"/>
      <c r="H2535" s="2" t="s">
        <v>555</v>
      </c>
      <c r="I2535"/>
      <c r="J2535" s="4"/>
      <c r="K2535" s="6">
        <f>K2533/F2525</f>
        <v>1622.45</v>
      </c>
    </row>
    <row r="2536" spans="1:11" hidden="1">
      <c r="A2536" s="386"/>
      <c r="F2536"/>
      <c r="G2536" s="3"/>
      <c r="H2536"/>
      <c r="I2536"/>
      <c r="J2536" s="4"/>
      <c r="K2536" s="6" t="s">
        <v>2130</v>
      </c>
    </row>
    <row r="2537" spans="1:11" hidden="1">
      <c r="A2537" s="386"/>
      <c r="F2537" s="26">
        <v>98.1</v>
      </c>
      <c r="G2537" s="7" t="s">
        <v>2338</v>
      </c>
      <c r="H2537" s="1" t="s">
        <v>3505</v>
      </c>
      <c r="I2537"/>
      <c r="J2537" s="4"/>
      <c r="K2537" s="34"/>
    </row>
    <row r="2538" spans="1:11" hidden="1">
      <c r="A2538" s="386"/>
      <c r="F2538"/>
      <c r="G2538" s="3"/>
      <c r="H2538" s="1" t="s">
        <v>254</v>
      </c>
      <c r="I2538"/>
      <c r="J2538" s="4"/>
      <c r="K2538" s="34"/>
    </row>
    <row r="2539" spans="1:11" hidden="1">
      <c r="A2539" s="386"/>
      <c r="F2539"/>
      <c r="G2539" s="3"/>
      <c r="H2539" s="35" t="s">
        <v>2397</v>
      </c>
      <c r="I2539"/>
      <c r="J2539" s="4"/>
      <c r="K2539" s="34"/>
    </row>
    <row r="2540" spans="1:11" hidden="1">
      <c r="A2540" s="386"/>
      <c r="F2540"/>
      <c r="G2540" s="3"/>
      <c r="H2540" s="5" t="s">
        <v>1667</v>
      </c>
      <c r="I2540"/>
      <c r="J2540" s="4"/>
      <c r="K2540" s="34"/>
    </row>
    <row r="2541" spans="1:11" hidden="1">
      <c r="A2541" s="386"/>
      <c r="F2541"/>
      <c r="G2541" s="3"/>
      <c r="H2541" s="1" t="s">
        <v>2398</v>
      </c>
      <c r="I2541"/>
      <c r="J2541" s="451"/>
      <c r="K2541" s="34"/>
    </row>
    <row r="2542" spans="1:11" hidden="1">
      <c r="A2542" s="386"/>
      <c r="F2542"/>
      <c r="G2542" s="3"/>
      <c r="H2542" s="1" t="s">
        <v>2399</v>
      </c>
      <c r="I2542"/>
      <c r="J2542" s="4"/>
      <c r="K2542" s="34"/>
    </row>
    <row r="2543" spans="1:11" hidden="1">
      <c r="A2543" s="386"/>
      <c r="F2543"/>
      <c r="G2543" s="3"/>
      <c r="H2543"/>
      <c r="I2543"/>
      <c r="J2543" s="2" t="s">
        <v>1667</v>
      </c>
      <c r="K2543" s="34"/>
    </row>
    <row r="2544" spans="1:11" hidden="1">
      <c r="A2544" s="386"/>
      <c r="F2544"/>
      <c r="G2544" s="3"/>
      <c r="H2544" s="1" t="s">
        <v>2400</v>
      </c>
      <c r="I2544"/>
      <c r="J2544" s="4"/>
      <c r="K2544" s="34"/>
    </row>
    <row r="2545" spans="1:11" hidden="1">
      <c r="A2545" s="386"/>
      <c r="F2545"/>
      <c r="G2545" s="3"/>
      <c r="H2545" s="1" t="s">
        <v>2799</v>
      </c>
      <c r="I2545"/>
      <c r="J2545" s="4"/>
      <c r="K2545" s="552">
        <v>3.5400000000000001E-2</v>
      </c>
    </row>
    <row r="2546" spans="1:11" hidden="1">
      <c r="A2546" s="386"/>
      <c r="F2546"/>
      <c r="G2546" s="3"/>
      <c r="H2546"/>
      <c r="I2546"/>
      <c r="J2546" s="2" t="s">
        <v>995</v>
      </c>
      <c r="K2546" s="6" t="s">
        <v>1667</v>
      </c>
    </row>
    <row r="2547" spans="1:11" hidden="1">
      <c r="A2547" s="386"/>
      <c r="F2547"/>
      <c r="G2547" s="3"/>
      <c r="H2547" s="1" t="s">
        <v>2800</v>
      </c>
      <c r="I2547"/>
      <c r="J2547" s="389" t="s">
        <v>995</v>
      </c>
      <c r="K2547" s="552">
        <v>2.5899999999999999E-2</v>
      </c>
    </row>
    <row r="2548" spans="1:11" hidden="1">
      <c r="A2548" s="386"/>
      <c r="F2548"/>
      <c r="G2548" s="3"/>
      <c r="H2548" s="1" t="s">
        <v>2801</v>
      </c>
      <c r="I2548"/>
      <c r="J2548" s="2" t="s">
        <v>995</v>
      </c>
      <c r="K2548" s="552">
        <v>6.4999999999999997E-3</v>
      </c>
    </row>
    <row r="2549" spans="1:11" hidden="1">
      <c r="A2549" s="386"/>
      <c r="F2549"/>
      <c r="G2549" s="3"/>
      <c r="H2549"/>
      <c r="I2549"/>
      <c r="J2549" s="4"/>
      <c r="K2549" s="6" t="s">
        <v>1667</v>
      </c>
    </row>
    <row r="2550" spans="1:11" hidden="1">
      <c r="A2550" s="386"/>
      <c r="F2550"/>
      <c r="G2550" s="3"/>
      <c r="H2550"/>
      <c r="I2550"/>
      <c r="J2550" s="4"/>
      <c r="K2550" s="552">
        <v>3.2300000000000002E-2</v>
      </c>
    </row>
    <row r="2551" spans="1:11" hidden="1">
      <c r="A2551" s="386"/>
      <c r="F2551"/>
      <c r="G2551" s="3"/>
      <c r="H2551"/>
      <c r="I2551"/>
      <c r="J2551" s="4"/>
      <c r="K2551" s="6" t="s">
        <v>1667</v>
      </c>
    </row>
    <row r="2552" spans="1:11" hidden="1">
      <c r="A2552" s="386"/>
      <c r="F2552"/>
      <c r="G2552" s="3"/>
      <c r="H2552"/>
      <c r="I2552"/>
      <c r="J2552" s="4"/>
      <c r="K2552" s="34"/>
    </row>
    <row r="2553" spans="1:11" hidden="1">
      <c r="A2553" s="386"/>
      <c r="F2553"/>
      <c r="G2553" s="3"/>
      <c r="H2553"/>
      <c r="I2553"/>
      <c r="J2553" s="4"/>
      <c r="K2553" s="34"/>
    </row>
    <row r="2554" spans="1:11" hidden="1">
      <c r="A2554" s="386"/>
      <c r="F2554" s="16">
        <v>2.2800000000000001E-2</v>
      </c>
      <c r="G2554" s="7" t="s">
        <v>884</v>
      </c>
      <c r="H2554" s="1" t="s">
        <v>313</v>
      </c>
      <c r="I2554" s="8">
        <f>I910</f>
        <v>65420</v>
      </c>
      <c r="J2554" s="2" t="s">
        <v>884</v>
      </c>
      <c r="K2554" s="6">
        <f t="shared" ref="K2554:K2564" si="83">(F2554*I2554)</f>
        <v>1491.58</v>
      </c>
    </row>
    <row r="2555" spans="1:11" hidden="1">
      <c r="A2555" s="386"/>
      <c r="F2555" s="16">
        <v>3.5400000000000001E-2</v>
      </c>
      <c r="G2555" s="7" t="s">
        <v>884</v>
      </c>
      <c r="H2555" s="1" t="s">
        <v>314</v>
      </c>
      <c r="I2555" s="8">
        <f>I911</f>
        <v>57165</v>
      </c>
      <c r="J2555" s="2" t="s">
        <v>884</v>
      </c>
      <c r="K2555" s="6">
        <f t="shared" si="83"/>
        <v>2023.64</v>
      </c>
    </row>
    <row r="2556" spans="1:11" hidden="1">
      <c r="A2556" s="386"/>
      <c r="F2556" s="16">
        <v>3.2300000000000002E-2</v>
      </c>
      <c r="G2556" s="7" t="s">
        <v>884</v>
      </c>
      <c r="H2556" s="1" t="s">
        <v>315</v>
      </c>
      <c r="I2556" s="8">
        <f>I912</f>
        <v>63870</v>
      </c>
      <c r="J2556" s="2" t="s">
        <v>884</v>
      </c>
      <c r="K2556" s="6">
        <f t="shared" si="83"/>
        <v>2063</v>
      </c>
    </row>
    <row r="2557" spans="1:11" hidden="1">
      <c r="A2557" s="386"/>
      <c r="F2557" s="17"/>
      <c r="G2557" s="3"/>
      <c r="H2557" s="1" t="s">
        <v>963</v>
      </c>
      <c r="I2557" s="8"/>
      <c r="J2557" s="4"/>
      <c r="K2557" s="6">
        <f t="shared" si="83"/>
        <v>0</v>
      </c>
    </row>
    <row r="2558" spans="1:11" hidden="1">
      <c r="A2558" s="386"/>
      <c r="F2558" s="17">
        <v>2.835</v>
      </c>
      <c r="G2558" s="7" t="s">
        <v>611</v>
      </c>
      <c r="H2558" s="1" t="s">
        <v>446</v>
      </c>
      <c r="I2558" s="8">
        <f t="shared" ref="I2558:I2564" si="84">I914</f>
        <v>342</v>
      </c>
      <c r="J2558" s="2" t="s">
        <v>611</v>
      </c>
      <c r="K2558" s="6">
        <f t="shared" si="83"/>
        <v>969.57</v>
      </c>
    </row>
    <row r="2559" spans="1:11" hidden="1">
      <c r="A2559" s="386"/>
      <c r="F2559" s="8">
        <v>2</v>
      </c>
      <c r="G2559" s="7" t="s">
        <v>781</v>
      </c>
      <c r="H2559" s="1" t="s">
        <v>1526</v>
      </c>
      <c r="I2559" s="8">
        <f t="shared" si="84"/>
        <v>30</v>
      </c>
      <c r="J2559" s="2" t="s">
        <v>883</v>
      </c>
      <c r="K2559" s="6">
        <f t="shared" si="83"/>
        <v>60</v>
      </c>
    </row>
    <row r="2560" spans="1:11" hidden="1">
      <c r="A2560" s="386"/>
      <c r="F2560" s="8">
        <v>6</v>
      </c>
      <c r="G2560" s="7" t="s">
        <v>883</v>
      </c>
      <c r="H2560" s="1" t="s">
        <v>1527</v>
      </c>
      <c r="I2560" s="8">
        <f t="shared" si="84"/>
        <v>45</v>
      </c>
      <c r="J2560" s="2" t="s">
        <v>883</v>
      </c>
      <c r="K2560" s="6">
        <f t="shared" si="83"/>
        <v>270</v>
      </c>
    </row>
    <row r="2561" spans="1:11" hidden="1">
      <c r="A2561" s="386"/>
      <c r="F2561" s="8">
        <v>4</v>
      </c>
      <c r="G2561" s="7" t="s">
        <v>883</v>
      </c>
      <c r="H2561" s="1" t="s">
        <v>1528</v>
      </c>
      <c r="I2561" s="8">
        <f t="shared" si="84"/>
        <v>30</v>
      </c>
      <c r="J2561" s="2" t="s">
        <v>883</v>
      </c>
      <c r="K2561" s="6">
        <f t="shared" si="83"/>
        <v>120</v>
      </c>
    </row>
    <row r="2562" spans="1:11" hidden="1">
      <c r="A2562" s="386"/>
      <c r="F2562" s="8">
        <v>1</v>
      </c>
      <c r="G2562" s="7" t="s">
        <v>883</v>
      </c>
      <c r="H2562" s="1" t="s">
        <v>1529</v>
      </c>
      <c r="I2562" s="8">
        <f t="shared" si="84"/>
        <v>95</v>
      </c>
      <c r="J2562" s="2" t="s">
        <v>883</v>
      </c>
      <c r="K2562" s="6">
        <f t="shared" si="83"/>
        <v>95</v>
      </c>
    </row>
    <row r="2563" spans="1:11" hidden="1">
      <c r="A2563" s="386"/>
      <c r="F2563" s="8">
        <v>2</v>
      </c>
      <c r="G2563" s="7" t="s">
        <v>883</v>
      </c>
      <c r="H2563" s="1" t="s">
        <v>1530</v>
      </c>
      <c r="I2563" s="8">
        <f t="shared" si="84"/>
        <v>8</v>
      </c>
      <c r="J2563" s="2" t="s">
        <v>883</v>
      </c>
      <c r="K2563" s="6">
        <f t="shared" si="83"/>
        <v>16</v>
      </c>
    </row>
    <row r="2564" spans="1:11" hidden="1">
      <c r="A2564" s="386"/>
      <c r="F2564" s="8">
        <v>2</v>
      </c>
      <c r="G2564" s="7" t="s">
        <v>883</v>
      </c>
      <c r="H2564" s="1" t="s">
        <v>2058</v>
      </c>
      <c r="I2564" s="8">
        <f t="shared" si="84"/>
        <v>25</v>
      </c>
      <c r="J2564" s="2" t="s">
        <v>883</v>
      </c>
      <c r="K2564" s="6">
        <f t="shared" si="83"/>
        <v>50</v>
      </c>
    </row>
    <row r="2565" spans="1:11" hidden="1">
      <c r="A2565" s="386"/>
      <c r="F2565"/>
      <c r="G2565" s="3"/>
      <c r="H2565"/>
      <c r="I2565"/>
      <c r="J2565" s="4"/>
      <c r="K2565" s="6" t="s">
        <v>1667</v>
      </c>
    </row>
    <row r="2566" spans="1:11" hidden="1">
      <c r="A2566" s="386"/>
      <c r="F2566"/>
      <c r="G2566" s="3"/>
      <c r="H2566" s="1" t="s">
        <v>3506</v>
      </c>
      <c r="I2566"/>
      <c r="J2566" s="4"/>
      <c r="K2566" s="6">
        <f>SUM(K2554:K2564)</f>
        <v>7158.79</v>
      </c>
    </row>
    <row r="2567" spans="1:11" hidden="1">
      <c r="A2567" s="386"/>
      <c r="F2567"/>
      <c r="G2567" s="3"/>
      <c r="H2567"/>
      <c r="I2567"/>
      <c r="J2567" s="4"/>
      <c r="K2567" s="6" t="s">
        <v>1667</v>
      </c>
    </row>
    <row r="2568" spans="1:11" hidden="1">
      <c r="A2568" s="386"/>
      <c r="F2568"/>
      <c r="G2568" s="3"/>
      <c r="H2568" s="1" t="s">
        <v>555</v>
      </c>
      <c r="I2568"/>
      <c r="J2568" s="4"/>
      <c r="K2568" s="6">
        <f>K2566/F2558</f>
        <v>2525.15</v>
      </c>
    </row>
    <row r="2569" spans="1:11" hidden="1">
      <c r="A2569" s="386"/>
      <c r="F2569"/>
      <c r="G2569" s="3"/>
      <c r="H2569" s="1"/>
      <c r="I2569"/>
      <c r="J2569" s="4"/>
      <c r="K2569" s="6" t="s">
        <v>2130</v>
      </c>
    </row>
    <row r="2570" spans="1:11" hidden="1">
      <c r="A2570" s="386"/>
      <c r="F2570"/>
      <c r="G2570" s="3"/>
      <c r="H2570" s="35" t="s">
        <v>716</v>
      </c>
      <c r="I2570"/>
      <c r="J2570" s="4"/>
      <c r="K2570" s="34"/>
    </row>
    <row r="2571" spans="1:11" hidden="1">
      <c r="A2571" s="386"/>
      <c r="F2571"/>
      <c r="G2571" s="3"/>
      <c r="H2571" s="5" t="s">
        <v>1667</v>
      </c>
      <c r="I2571"/>
      <c r="J2571" s="4"/>
      <c r="K2571" s="34"/>
    </row>
    <row r="2572" spans="1:11" hidden="1">
      <c r="A2572" s="386"/>
      <c r="F2572"/>
      <c r="G2572" s="3"/>
      <c r="H2572" s="1" t="s">
        <v>421</v>
      </c>
      <c r="I2572"/>
      <c r="J2572" s="451"/>
      <c r="K2572" s="34"/>
    </row>
    <row r="2573" spans="1:11" hidden="1">
      <c r="A2573" s="386"/>
      <c r="F2573"/>
      <c r="G2573" s="3"/>
      <c r="H2573" s="1" t="s">
        <v>2399</v>
      </c>
      <c r="I2573"/>
      <c r="J2573" s="4"/>
      <c r="K2573" s="34"/>
    </row>
    <row r="2574" spans="1:11" hidden="1">
      <c r="A2574" s="386"/>
      <c r="F2574"/>
      <c r="G2574" s="3"/>
      <c r="H2574"/>
      <c r="I2574"/>
      <c r="J2574" s="2" t="s">
        <v>1667</v>
      </c>
      <c r="K2574" s="34"/>
    </row>
    <row r="2575" spans="1:11" hidden="1">
      <c r="A2575" s="386"/>
      <c r="F2575"/>
      <c r="G2575" s="3"/>
      <c r="H2575" s="1" t="s">
        <v>3507</v>
      </c>
      <c r="I2575"/>
      <c r="J2575" s="4"/>
      <c r="K2575" s="34"/>
    </row>
    <row r="2576" spans="1:11" hidden="1">
      <c r="A2576" s="386"/>
      <c r="F2576"/>
      <c r="G2576" s="3"/>
      <c r="H2576" s="1" t="s">
        <v>3508</v>
      </c>
      <c r="I2576"/>
      <c r="J2576" s="4"/>
      <c r="K2576" s="552">
        <v>2.5000000000000001E-2</v>
      </c>
    </row>
    <row r="2577" spans="1:11" hidden="1">
      <c r="A2577" s="386"/>
      <c r="F2577"/>
      <c r="G2577" s="3"/>
      <c r="H2577"/>
      <c r="I2577"/>
      <c r="J2577" s="2" t="s">
        <v>995</v>
      </c>
      <c r="K2577" s="6" t="s">
        <v>1667</v>
      </c>
    </row>
    <row r="2578" spans="1:11" hidden="1">
      <c r="A2578" s="386"/>
      <c r="F2578"/>
      <c r="G2578" s="3"/>
      <c r="H2578" s="1" t="s">
        <v>3509</v>
      </c>
      <c r="I2578"/>
      <c r="J2578" s="389" t="s">
        <v>995</v>
      </c>
      <c r="K2578" s="552">
        <v>1.7850000000000001E-2</v>
      </c>
    </row>
    <row r="2579" spans="1:11" hidden="1">
      <c r="A2579" s="386"/>
      <c r="F2579"/>
      <c r="G2579" s="3"/>
      <c r="H2579" s="1" t="s">
        <v>3229</v>
      </c>
      <c r="I2579"/>
      <c r="J2579" s="2" t="s">
        <v>995</v>
      </c>
      <c r="K2579" s="552">
        <v>1.4500000000000001E-2</v>
      </c>
    </row>
    <row r="2580" spans="1:11" hidden="1">
      <c r="A2580" s="386"/>
      <c r="F2580"/>
      <c r="G2580" s="3"/>
      <c r="H2580"/>
      <c r="I2580"/>
      <c r="J2580" s="4"/>
      <c r="K2580" s="6" t="s">
        <v>1667</v>
      </c>
    </row>
    <row r="2581" spans="1:11" hidden="1">
      <c r="A2581" s="386"/>
      <c r="F2581"/>
      <c r="G2581" s="3"/>
      <c r="H2581"/>
      <c r="I2581"/>
      <c r="J2581" s="4"/>
      <c r="K2581" s="552">
        <v>2.23E-2</v>
      </c>
    </row>
    <row r="2582" spans="1:11" hidden="1">
      <c r="A2582" s="386"/>
      <c r="F2582"/>
      <c r="G2582" s="3"/>
      <c r="H2582"/>
      <c r="I2582"/>
      <c r="J2582" s="4"/>
      <c r="K2582" s="6" t="s">
        <v>1667</v>
      </c>
    </row>
    <row r="2583" spans="1:11" hidden="1">
      <c r="A2583" s="386"/>
      <c r="F2583"/>
      <c r="G2583" s="3"/>
      <c r="H2583"/>
      <c r="I2583"/>
      <c r="J2583" s="4"/>
      <c r="K2583" s="34"/>
    </row>
    <row r="2584" spans="1:11" hidden="1">
      <c r="A2584" s="386"/>
      <c r="F2584"/>
      <c r="G2584" s="3"/>
      <c r="H2584"/>
      <c r="I2584"/>
      <c r="J2584" s="4"/>
      <c r="K2584" s="34"/>
    </row>
    <row r="2585" spans="1:11" hidden="1">
      <c r="A2585" s="386"/>
      <c r="F2585" s="16">
        <v>2.2800000000000001E-2</v>
      </c>
      <c r="G2585" s="7" t="s">
        <v>884</v>
      </c>
      <c r="H2585" s="1" t="s">
        <v>313</v>
      </c>
      <c r="I2585" s="8">
        <f>I2554</f>
        <v>65420</v>
      </c>
      <c r="J2585" s="2" t="s">
        <v>884</v>
      </c>
      <c r="K2585" s="6">
        <f>(F2585*I2585)</f>
        <v>1491.58</v>
      </c>
    </row>
    <row r="2586" spans="1:11" hidden="1">
      <c r="A2586" s="386"/>
      <c r="F2586" s="16">
        <v>2.5000000000000001E-2</v>
      </c>
      <c r="G2586" s="7" t="s">
        <v>884</v>
      </c>
      <c r="H2586" s="1" t="s">
        <v>314</v>
      </c>
      <c r="I2586" s="8">
        <f>I2555</f>
        <v>57165</v>
      </c>
      <c r="J2586" s="2" t="s">
        <v>884</v>
      </c>
      <c r="K2586" s="6">
        <f>(F2586*I2586)</f>
        <v>1429.13</v>
      </c>
    </row>
    <row r="2587" spans="1:11" hidden="1">
      <c r="A2587" s="386"/>
      <c r="F2587" s="16">
        <v>2.23E-2</v>
      </c>
      <c r="G2587" s="7" t="s">
        <v>884</v>
      </c>
      <c r="H2587" s="1" t="s">
        <v>315</v>
      </c>
      <c r="I2587" s="8">
        <f>I2556</f>
        <v>63870</v>
      </c>
      <c r="J2587" s="2" t="s">
        <v>884</v>
      </c>
      <c r="K2587" s="6">
        <f>(F2587*I2587)</f>
        <v>1424.3</v>
      </c>
    </row>
    <row r="2588" spans="1:11" hidden="1">
      <c r="A2588" s="386"/>
      <c r="F2588" s="17"/>
      <c r="G2588" s="3"/>
      <c r="H2588" s="1" t="s">
        <v>963</v>
      </c>
      <c r="I2588" s="8"/>
      <c r="J2588" s="4"/>
      <c r="K2588" s="6" t="s">
        <v>995</v>
      </c>
    </row>
    <row r="2589" spans="1:11" hidden="1">
      <c r="A2589" s="386"/>
      <c r="F2589" s="17">
        <v>2.2275</v>
      </c>
      <c r="G2589" s="7" t="s">
        <v>611</v>
      </c>
      <c r="H2589" s="1" t="s">
        <v>446</v>
      </c>
      <c r="I2589" s="8">
        <f t="shared" ref="I2589:I2595" si="85">I2558</f>
        <v>342</v>
      </c>
      <c r="J2589" s="2" t="s">
        <v>611</v>
      </c>
      <c r="K2589" s="6">
        <f t="shared" ref="K2589:K2595" si="86">(F2589*I2589)</f>
        <v>761.81</v>
      </c>
    </row>
    <row r="2590" spans="1:11" hidden="1">
      <c r="A2590" s="386"/>
      <c r="F2590" s="8">
        <v>2</v>
      </c>
      <c r="G2590" s="7" t="s">
        <v>781</v>
      </c>
      <c r="H2590" s="1" t="s">
        <v>1526</v>
      </c>
      <c r="I2590" s="8">
        <f t="shared" si="85"/>
        <v>30</v>
      </c>
      <c r="J2590" s="2" t="s">
        <v>883</v>
      </c>
      <c r="K2590" s="6">
        <f t="shared" si="86"/>
        <v>60</v>
      </c>
    </row>
    <row r="2591" spans="1:11" hidden="1">
      <c r="A2591" s="386"/>
      <c r="F2591" s="8">
        <v>6</v>
      </c>
      <c r="G2591" s="7" t="s">
        <v>883</v>
      </c>
      <c r="H2591" s="1" t="s">
        <v>1527</v>
      </c>
      <c r="I2591" s="8">
        <f t="shared" si="85"/>
        <v>45</v>
      </c>
      <c r="J2591" s="2" t="s">
        <v>883</v>
      </c>
      <c r="K2591" s="6">
        <f t="shared" si="86"/>
        <v>270</v>
      </c>
    </row>
    <row r="2592" spans="1:11" hidden="1">
      <c r="A2592" s="386"/>
      <c r="F2592" s="8">
        <v>4</v>
      </c>
      <c r="G2592" s="7" t="s">
        <v>883</v>
      </c>
      <c r="H2592" s="1" t="s">
        <v>1528</v>
      </c>
      <c r="I2592" s="8">
        <f t="shared" si="85"/>
        <v>30</v>
      </c>
      <c r="J2592" s="2" t="s">
        <v>883</v>
      </c>
      <c r="K2592" s="6">
        <f t="shared" si="86"/>
        <v>120</v>
      </c>
    </row>
    <row r="2593" spans="1:11" hidden="1">
      <c r="A2593" s="386"/>
      <c r="F2593" s="8">
        <v>1</v>
      </c>
      <c r="G2593" s="7" t="s">
        <v>883</v>
      </c>
      <c r="H2593" s="1" t="s">
        <v>1529</v>
      </c>
      <c r="I2593" s="8">
        <f t="shared" si="85"/>
        <v>95</v>
      </c>
      <c r="J2593" s="2" t="s">
        <v>883</v>
      </c>
      <c r="K2593" s="6">
        <f t="shared" si="86"/>
        <v>95</v>
      </c>
    </row>
    <row r="2594" spans="1:11" hidden="1">
      <c r="A2594" s="386"/>
      <c r="F2594" s="8">
        <v>2</v>
      </c>
      <c r="G2594" s="7" t="s">
        <v>883</v>
      </c>
      <c r="H2594" s="1" t="s">
        <v>1530</v>
      </c>
      <c r="I2594" s="8">
        <f t="shared" si="85"/>
        <v>8</v>
      </c>
      <c r="J2594" s="2" t="s">
        <v>883</v>
      </c>
      <c r="K2594" s="6">
        <f t="shared" si="86"/>
        <v>16</v>
      </c>
    </row>
    <row r="2595" spans="1:11" hidden="1">
      <c r="A2595" s="386"/>
      <c r="F2595" s="8">
        <v>2</v>
      </c>
      <c r="G2595" s="7" t="s">
        <v>883</v>
      </c>
      <c r="H2595" s="1" t="s">
        <v>2058</v>
      </c>
      <c r="I2595" s="8">
        <f t="shared" si="85"/>
        <v>25</v>
      </c>
      <c r="J2595" s="2" t="s">
        <v>883</v>
      </c>
      <c r="K2595" s="6">
        <f t="shared" si="86"/>
        <v>50</v>
      </c>
    </row>
    <row r="2596" spans="1:11" hidden="1">
      <c r="A2596" s="386"/>
      <c r="F2596"/>
      <c r="G2596" s="3"/>
      <c r="H2596"/>
      <c r="I2596"/>
      <c r="J2596" s="4"/>
      <c r="K2596" s="6" t="s">
        <v>1667</v>
      </c>
    </row>
    <row r="2597" spans="1:11" hidden="1">
      <c r="A2597" s="386"/>
      <c r="F2597"/>
      <c r="G2597" s="3"/>
      <c r="H2597" s="1" t="s">
        <v>771</v>
      </c>
      <c r="I2597"/>
      <c r="J2597" s="4"/>
      <c r="K2597" s="6">
        <f>SUM(K2585:K2595)</f>
        <v>5717.82</v>
      </c>
    </row>
    <row r="2598" spans="1:11" hidden="1">
      <c r="A2598" s="386"/>
      <c r="F2598"/>
      <c r="G2598" s="3"/>
      <c r="H2598"/>
      <c r="I2598"/>
      <c r="J2598" s="4"/>
      <c r="K2598" s="6" t="s">
        <v>1667</v>
      </c>
    </row>
    <row r="2599" spans="1:11" hidden="1">
      <c r="A2599" s="386"/>
      <c r="F2599"/>
      <c r="G2599" s="3"/>
      <c r="H2599" s="1" t="s">
        <v>555</v>
      </c>
      <c r="I2599"/>
      <c r="J2599" s="4"/>
      <c r="K2599" s="6">
        <f>K2597/F2589</f>
        <v>2566.92</v>
      </c>
    </row>
    <row r="2600" spans="1:11" hidden="1">
      <c r="A2600" s="386"/>
      <c r="F2600"/>
      <c r="G2600" s="3"/>
      <c r="H2600" s="1"/>
      <c r="I2600"/>
      <c r="J2600" s="4"/>
      <c r="K2600" s="6" t="s">
        <v>2130</v>
      </c>
    </row>
    <row r="2601" spans="1:11" hidden="1">
      <c r="A2601" s="386"/>
      <c r="F2601"/>
      <c r="G2601" s="3"/>
      <c r="H2601"/>
      <c r="I2601"/>
      <c r="J2601" s="4"/>
      <c r="K2601" s="34"/>
    </row>
    <row r="2602" spans="1:11" hidden="1">
      <c r="A2602" s="386"/>
      <c r="F2602">
        <v>55.2</v>
      </c>
      <c r="G2602" s="3"/>
      <c r="H2602" s="4" t="s">
        <v>3230</v>
      </c>
      <c r="I2602"/>
      <c r="J2602" s="4"/>
      <c r="K2602" s="34"/>
    </row>
    <row r="2603" spans="1:11" hidden="1">
      <c r="A2603" s="386"/>
      <c r="F2603"/>
      <c r="G2603" s="3"/>
      <c r="H2603" s="452" t="s">
        <v>1667</v>
      </c>
      <c r="I2603"/>
      <c r="J2603" s="4"/>
      <c r="K2603" s="34"/>
    </row>
    <row r="2604" spans="1:11" hidden="1">
      <c r="A2604" s="386"/>
      <c r="F2604">
        <v>1</v>
      </c>
      <c r="G2604" s="3" t="s">
        <v>1454</v>
      </c>
      <c r="H2604" t="s">
        <v>3231</v>
      </c>
      <c r="I2604">
        <v>650</v>
      </c>
      <c r="J2604" s="4" t="s">
        <v>1454</v>
      </c>
      <c r="K2604" s="34">
        <f>F2604*I2604</f>
        <v>650</v>
      </c>
    </row>
    <row r="2605" spans="1:11" hidden="1">
      <c r="A2605" s="386"/>
      <c r="F2605">
        <v>0.5</v>
      </c>
      <c r="G2605" s="3" t="s">
        <v>1454</v>
      </c>
      <c r="H2605" t="s">
        <v>2134</v>
      </c>
      <c r="I2605">
        <f>C15</f>
        <v>130</v>
      </c>
      <c r="J2605" s="4" t="s">
        <v>1454</v>
      </c>
      <c r="K2605" s="34">
        <f>F2605*I2605</f>
        <v>65</v>
      </c>
    </row>
    <row r="2606" spans="1:11" hidden="1">
      <c r="A2606" s="386"/>
      <c r="F2606">
        <v>0.5</v>
      </c>
      <c r="G2606" s="3" t="s">
        <v>1454</v>
      </c>
      <c r="H2606" t="s">
        <v>3232</v>
      </c>
      <c r="I2606">
        <f>C10</f>
        <v>150</v>
      </c>
      <c r="J2606" s="4" t="s">
        <v>1454</v>
      </c>
      <c r="K2606" s="34">
        <f>F2606*I2606</f>
        <v>75</v>
      </c>
    </row>
    <row r="2607" spans="1:11" hidden="1">
      <c r="A2607" s="386"/>
      <c r="F2607">
        <v>0.5</v>
      </c>
      <c r="G2607" s="3" t="s">
        <v>1454</v>
      </c>
      <c r="H2607" t="s">
        <v>2923</v>
      </c>
      <c r="I2607">
        <f>C12</f>
        <v>95</v>
      </c>
      <c r="J2607" s="4" t="s">
        <v>1454</v>
      </c>
      <c r="K2607" s="34">
        <f>F2607*I2607</f>
        <v>47.5</v>
      </c>
    </row>
    <row r="2608" spans="1:11" hidden="1">
      <c r="A2608" s="386"/>
      <c r="F2608"/>
      <c r="G2608" s="3"/>
      <c r="H2608"/>
      <c r="I2608"/>
      <c r="J2608" s="4"/>
      <c r="K2608" s="34" t="s">
        <v>1667</v>
      </c>
    </row>
    <row r="2609" spans="1:11" hidden="1">
      <c r="A2609" s="386"/>
      <c r="F2609"/>
      <c r="G2609" s="3"/>
      <c r="H2609"/>
      <c r="I2609"/>
      <c r="J2609" s="4"/>
      <c r="K2609" s="34">
        <f>SUM(K2604:K2608)</f>
        <v>837.5</v>
      </c>
    </row>
    <row r="2610" spans="1:11" hidden="1">
      <c r="A2610" s="386"/>
      <c r="F2610"/>
      <c r="G2610" s="3"/>
      <c r="H2610"/>
      <c r="I2610"/>
      <c r="J2610" s="4"/>
      <c r="K2610" s="34" t="s">
        <v>2130</v>
      </c>
    </row>
    <row r="2611" spans="1:11" hidden="1">
      <c r="A2611" s="386"/>
      <c r="F2611">
        <v>44.2</v>
      </c>
      <c r="G2611" s="3" t="s">
        <v>2338</v>
      </c>
      <c r="H2611" t="s">
        <v>3233</v>
      </c>
      <c r="I2611"/>
      <c r="J2611" s="4"/>
      <c r="K2611" s="34"/>
    </row>
    <row r="2612" spans="1:11" hidden="1">
      <c r="A2612" s="386"/>
      <c r="F2612"/>
      <c r="G2612" s="3"/>
      <c r="H2612" s="61" t="s">
        <v>3537</v>
      </c>
      <c r="I2612"/>
      <c r="J2612" s="4"/>
      <c r="K2612" s="34"/>
    </row>
    <row r="2613" spans="1:11" hidden="1">
      <c r="A2613" s="386"/>
      <c r="F2613">
        <v>0.47</v>
      </c>
      <c r="G2613" s="3" t="s">
        <v>1402</v>
      </c>
      <c r="H2613" t="s">
        <v>362</v>
      </c>
      <c r="I2613">
        <f>K88</f>
        <v>52.93</v>
      </c>
      <c r="J2613" s="4" t="s">
        <v>2226</v>
      </c>
      <c r="K2613" s="34">
        <f>I2613*F2613</f>
        <v>24.88</v>
      </c>
    </row>
    <row r="2614" spans="1:11" hidden="1">
      <c r="A2614" s="386"/>
      <c r="F2614">
        <v>4.9000000000000004</v>
      </c>
      <c r="G2614" s="3" t="s">
        <v>840</v>
      </c>
      <c r="H2614" t="s">
        <v>3234</v>
      </c>
      <c r="I2614">
        <f>K2629</f>
        <v>50.58</v>
      </c>
      <c r="J2614" s="4" t="s">
        <v>840</v>
      </c>
      <c r="K2614" s="34">
        <f>I2614*F2614</f>
        <v>247.84</v>
      </c>
    </row>
    <row r="2615" spans="1:11" hidden="1">
      <c r="A2615" s="386"/>
      <c r="F2615">
        <v>0.59</v>
      </c>
      <c r="G2615" s="3" t="s">
        <v>1402</v>
      </c>
      <c r="H2615" t="s">
        <v>1214</v>
      </c>
      <c r="I2615" t="e">
        <f>AC15</f>
        <v>#REF!</v>
      </c>
      <c r="J2615" s="4" t="s">
        <v>2226</v>
      </c>
      <c r="K2615" s="34" t="e">
        <f>I2615*F2615</f>
        <v>#REF!</v>
      </c>
    </row>
    <row r="2616" spans="1:11" hidden="1">
      <c r="A2616" s="386"/>
      <c r="F2616">
        <v>0.79</v>
      </c>
      <c r="G2616" s="3" t="s">
        <v>2371</v>
      </c>
      <c r="H2616" t="s">
        <v>1215</v>
      </c>
      <c r="I2616" t="e">
        <f>K630</f>
        <v>#REF!</v>
      </c>
      <c r="J2616" s="4" t="s">
        <v>2371</v>
      </c>
      <c r="K2616" s="34" t="e">
        <f>I2616*F2616</f>
        <v>#REF!</v>
      </c>
    </row>
    <row r="2617" spans="1:11" hidden="1">
      <c r="A2617" s="386"/>
      <c r="F2617">
        <v>0.24</v>
      </c>
      <c r="G2617" s="3" t="s">
        <v>1402</v>
      </c>
      <c r="H2617" t="s">
        <v>928</v>
      </c>
      <c r="I2617" t="e">
        <f>AC17</f>
        <v>#REF!</v>
      </c>
      <c r="J2617" s="4" t="s">
        <v>2226</v>
      </c>
      <c r="K2617" s="34" t="e">
        <f>I2617*F2617</f>
        <v>#REF!</v>
      </c>
    </row>
    <row r="2618" spans="1:11" hidden="1">
      <c r="A2618" s="386"/>
      <c r="F2618"/>
      <c r="G2618" s="3"/>
      <c r="H2618" t="s">
        <v>2359</v>
      </c>
      <c r="I2618"/>
      <c r="J2618" s="4"/>
      <c r="K2618" s="34"/>
    </row>
    <row r="2619" spans="1:11" hidden="1">
      <c r="A2619" s="386"/>
      <c r="F2619"/>
      <c r="G2619" s="3"/>
      <c r="H2619"/>
      <c r="I2619"/>
      <c r="J2619" s="4"/>
      <c r="K2619" s="565" t="s">
        <v>3235</v>
      </c>
    </row>
    <row r="2620" spans="1:11" hidden="1">
      <c r="A2620" s="386"/>
      <c r="F2620"/>
      <c r="G2620" s="3"/>
      <c r="H2620"/>
      <c r="I2620"/>
      <c r="J2620" s="4"/>
      <c r="K2620" s="34" t="e">
        <f>SUM(K2613:K2619)</f>
        <v>#REF!</v>
      </c>
    </row>
    <row r="2621" spans="1:11" hidden="1">
      <c r="A2621" s="386"/>
      <c r="F2621"/>
      <c r="G2621" s="3"/>
      <c r="H2621"/>
      <c r="I2621"/>
      <c r="J2621" s="4"/>
      <c r="K2621" s="565" t="s">
        <v>38</v>
      </c>
    </row>
    <row r="2622" spans="1:11" hidden="1">
      <c r="A2622" s="386"/>
      <c r="F2622"/>
      <c r="G2622" s="3"/>
      <c r="H2622" s="259" t="s">
        <v>3236</v>
      </c>
      <c r="I2622"/>
      <c r="J2622" s="4"/>
      <c r="K2622" s="34"/>
    </row>
    <row r="2623" spans="1:11" hidden="1">
      <c r="A2623" s="386"/>
      <c r="F2623"/>
      <c r="G2623" s="3"/>
      <c r="H2623"/>
      <c r="I2623"/>
      <c r="J2623" s="4"/>
      <c r="K2623" s="34"/>
    </row>
    <row r="2624" spans="1:11" hidden="1">
      <c r="A2624" s="386"/>
      <c r="F2624">
        <v>0.25</v>
      </c>
      <c r="G2624" s="3" t="s">
        <v>1454</v>
      </c>
      <c r="H2624" t="s">
        <v>465</v>
      </c>
      <c r="I2624">
        <f>C11</f>
        <v>135</v>
      </c>
      <c r="J2624" s="4" t="s">
        <v>1458</v>
      </c>
      <c r="K2624" s="34">
        <f>I2624*F2624</f>
        <v>33.75</v>
      </c>
    </row>
    <row r="2625" spans="1:11" hidden="1">
      <c r="A2625" s="386"/>
      <c r="F2625">
        <v>1</v>
      </c>
      <c r="G2625" s="3" t="s">
        <v>1454</v>
      </c>
      <c r="H2625" t="s">
        <v>353</v>
      </c>
      <c r="I2625">
        <f>C12</f>
        <v>95</v>
      </c>
      <c r="J2625" s="4" t="s">
        <v>1458</v>
      </c>
      <c r="K2625" s="34">
        <f>I2625*F2625</f>
        <v>95</v>
      </c>
    </row>
    <row r="2626" spans="1:11" hidden="1">
      <c r="A2626" s="386"/>
      <c r="F2626">
        <v>1</v>
      </c>
      <c r="G2626" s="3"/>
      <c r="H2626" t="s">
        <v>3237</v>
      </c>
      <c r="I2626">
        <v>23</v>
      </c>
      <c r="J2626" s="4" t="s">
        <v>448</v>
      </c>
      <c r="K2626" s="34">
        <f>I2626*F2626</f>
        <v>23</v>
      </c>
    </row>
    <row r="2627" spans="1:11" hidden="1">
      <c r="A2627" s="386"/>
      <c r="F2627"/>
      <c r="G2627" s="3"/>
      <c r="H2627"/>
      <c r="I2627"/>
      <c r="J2627" s="4"/>
      <c r="K2627" s="565" t="s">
        <v>3235</v>
      </c>
    </row>
    <row r="2628" spans="1:11" hidden="1">
      <c r="A2628" s="386"/>
      <c r="F2628"/>
      <c r="G2628" s="3"/>
      <c r="H2628" t="s">
        <v>3238</v>
      </c>
      <c r="I2628"/>
      <c r="J2628" s="4"/>
      <c r="K2628" s="34">
        <f>SUM(K2624:K2627)</f>
        <v>151.75</v>
      </c>
    </row>
    <row r="2629" spans="1:11" hidden="1">
      <c r="A2629" s="386"/>
      <c r="F2629"/>
      <c r="G2629" s="3"/>
      <c r="H2629" t="s">
        <v>3239</v>
      </c>
      <c r="I2629"/>
      <c r="J2629" s="4"/>
      <c r="K2629" s="34">
        <f>K2628/3</f>
        <v>50.58</v>
      </c>
    </row>
    <row r="2630" spans="1:11" hidden="1">
      <c r="A2630" s="386"/>
      <c r="F2630"/>
      <c r="G2630" s="3"/>
      <c r="H2630"/>
      <c r="I2630"/>
      <c r="J2630" s="4"/>
      <c r="K2630" s="34" t="s">
        <v>1667</v>
      </c>
    </row>
    <row r="2631" spans="1:11" ht="40.5" hidden="1" customHeight="1">
      <c r="A2631" s="386"/>
      <c r="F2631">
        <v>84</v>
      </c>
      <c r="G2631" s="3"/>
      <c r="H2631" s="448" t="s">
        <v>3240</v>
      </c>
      <c r="I2631"/>
      <c r="J2631" s="4"/>
      <c r="K2631" s="34"/>
    </row>
    <row r="2632" spans="1:11" hidden="1">
      <c r="A2632" s="386"/>
      <c r="F2632"/>
      <c r="G2632" s="3"/>
      <c r="H2632" s="449" t="s">
        <v>1667</v>
      </c>
      <c r="I2632"/>
      <c r="J2632" s="4"/>
      <c r="K2632" s="34"/>
    </row>
    <row r="2633" spans="1:11" ht="31.5" hidden="1">
      <c r="A2633" s="386"/>
      <c r="F2633" s="448">
        <v>180</v>
      </c>
      <c r="G2633" s="448" t="s">
        <v>840</v>
      </c>
      <c r="H2633" s="448" t="s">
        <v>3241</v>
      </c>
      <c r="I2633" s="448">
        <v>15.6</v>
      </c>
      <c r="J2633" s="448" t="s">
        <v>840</v>
      </c>
      <c r="K2633" s="567">
        <f t="shared" ref="K2633:K2640" si="87">I2633*F2633</f>
        <v>2808</v>
      </c>
    </row>
    <row r="2634" spans="1:11" hidden="1">
      <c r="A2634" s="386"/>
      <c r="F2634" s="448">
        <v>4</v>
      </c>
      <c r="G2634" s="448" t="s">
        <v>1730</v>
      </c>
      <c r="H2634" s="448" t="s">
        <v>3517</v>
      </c>
      <c r="I2634" s="448">
        <v>37</v>
      </c>
      <c r="J2634" s="448" t="s">
        <v>1730</v>
      </c>
      <c r="K2634" s="567">
        <f t="shared" si="87"/>
        <v>148</v>
      </c>
    </row>
    <row r="2635" spans="1:11" hidden="1">
      <c r="A2635" s="386"/>
      <c r="F2635" s="448">
        <v>180</v>
      </c>
      <c r="G2635" s="448" t="s">
        <v>1492</v>
      </c>
      <c r="H2635" s="448" t="s">
        <v>3518</v>
      </c>
      <c r="I2635" s="448">
        <v>0.25</v>
      </c>
      <c r="J2635" s="448" t="s">
        <v>1458</v>
      </c>
      <c r="K2635" s="567">
        <f t="shared" si="87"/>
        <v>45</v>
      </c>
    </row>
    <row r="2636" spans="1:11" hidden="1">
      <c r="A2636" s="386"/>
      <c r="F2636" s="448">
        <v>1</v>
      </c>
      <c r="G2636" s="448" t="s">
        <v>1730</v>
      </c>
      <c r="H2636" s="448" t="s">
        <v>3519</v>
      </c>
      <c r="I2636" s="448">
        <v>37</v>
      </c>
      <c r="J2636" s="448" t="s">
        <v>1730</v>
      </c>
      <c r="K2636" s="567">
        <f t="shared" si="87"/>
        <v>37</v>
      </c>
    </row>
    <row r="2637" spans="1:11" hidden="1">
      <c r="A2637" s="386"/>
      <c r="F2637" s="448">
        <v>1</v>
      </c>
      <c r="G2637" s="448" t="s">
        <v>1492</v>
      </c>
      <c r="H2637" s="448" t="s">
        <v>3520</v>
      </c>
      <c r="I2637" s="448">
        <v>148</v>
      </c>
      <c r="J2637" s="448" t="s">
        <v>1458</v>
      </c>
      <c r="K2637" s="567">
        <f t="shared" si="87"/>
        <v>148</v>
      </c>
    </row>
    <row r="2638" spans="1:11" hidden="1">
      <c r="A2638" s="386"/>
      <c r="F2638" s="448">
        <v>2</v>
      </c>
      <c r="G2638" s="448" t="s">
        <v>1492</v>
      </c>
      <c r="H2638" s="448" t="s">
        <v>3521</v>
      </c>
      <c r="I2638" s="448">
        <v>131</v>
      </c>
      <c r="J2638" s="448" t="s">
        <v>1458</v>
      </c>
      <c r="K2638" s="567">
        <f t="shared" si="87"/>
        <v>262</v>
      </c>
    </row>
    <row r="2639" spans="1:11" hidden="1">
      <c r="A2639" s="386"/>
      <c r="F2639" s="448">
        <v>2</v>
      </c>
      <c r="G2639" s="448" t="s">
        <v>1492</v>
      </c>
      <c r="H2639" s="448" t="s">
        <v>3522</v>
      </c>
      <c r="I2639" s="448">
        <v>117</v>
      </c>
      <c r="J2639" s="448" t="s">
        <v>1458</v>
      </c>
      <c r="K2639" s="567">
        <f t="shared" si="87"/>
        <v>234</v>
      </c>
    </row>
    <row r="2640" spans="1:11" hidden="1">
      <c r="A2640" s="386"/>
      <c r="F2640" s="448">
        <v>3</v>
      </c>
      <c r="G2640" s="448" t="s">
        <v>1492</v>
      </c>
      <c r="H2640" s="448" t="s">
        <v>2430</v>
      </c>
      <c r="I2640" s="448">
        <v>91</v>
      </c>
      <c r="J2640" s="448" t="s">
        <v>1458</v>
      </c>
      <c r="K2640" s="567">
        <f t="shared" si="87"/>
        <v>273</v>
      </c>
    </row>
    <row r="2641" spans="1:11" ht="31.5" hidden="1">
      <c r="A2641" s="386"/>
      <c r="F2641" s="448"/>
      <c r="G2641" s="448"/>
      <c r="H2641" s="448" t="s">
        <v>3523</v>
      </c>
      <c r="I2641" s="448"/>
      <c r="J2641" s="448"/>
      <c r="K2641" s="567">
        <v>5</v>
      </c>
    </row>
    <row r="2642" spans="1:11" hidden="1">
      <c r="A2642" s="386"/>
      <c r="F2642" s="448"/>
      <c r="G2642" s="448"/>
      <c r="H2642" s="448"/>
      <c r="I2642" s="448"/>
      <c r="J2642" s="448"/>
      <c r="K2642" s="567" t="s">
        <v>1667</v>
      </c>
    </row>
    <row r="2643" spans="1:11" hidden="1">
      <c r="A2643" s="386"/>
      <c r="F2643" s="448"/>
      <c r="G2643" s="448"/>
      <c r="H2643" s="448" t="s">
        <v>3524</v>
      </c>
      <c r="I2643" s="448"/>
      <c r="J2643" s="448"/>
      <c r="K2643" s="567">
        <f>SUM(K2633:K2642)</f>
        <v>3960</v>
      </c>
    </row>
    <row r="2644" spans="1:11" hidden="1">
      <c r="A2644" s="386"/>
      <c r="F2644" s="448"/>
      <c r="G2644" s="448"/>
      <c r="H2644" s="448"/>
      <c r="I2644" s="448"/>
      <c r="J2644" s="448"/>
      <c r="K2644" s="567" t="s">
        <v>1667</v>
      </c>
    </row>
    <row r="2645" spans="1:11" hidden="1">
      <c r="A2645" s="386"/>
      <c r="F2645" s="448"/>
      <c r="G2645" s="448"/>
      <c r="H2645" s="448" t="s">
        <v>3525</v>
      </c>
      <c r="I2645" s="448"/>
      <c r="J2645" s="448"/>
      <c r="K2645" s="567">
        <f>K2643/90</f>
        <v>44</v>
      </c>
    </row>
    <row r="2646" spans="1:11" hidden="1">
      <c r="A2646" s="386"/>
      <c r="F2646" s="448"/>
      <c r="G2646" s="448"/>
      <c r="H2646" s="448"/>
      <c r="I2646" s="448"/>
      <c r="J2646" s="448"/>
      <c r="K2646" s="567" t="s">
        <v>2130</v>
      </c>
    </row>
    <row r="2647" spans="1:11" hidden="1">
      <c r="A2647" s="386"/>
      <c r="F2647" s="26"/>
      <c r="G2647" s="3"/>
      <c r="H2647" s="1" t="s">
        <v>2072</v>
      </c>
      <c r="I2647"/>
      <c r="J2647" s="4"/>
      <c r="K2647" s="34"/>
    </row>
    <row r="2648" spans="1:11" hidden="1">
      <c r="A2648" s="386"/>
      <c r="F2648"/>
      <c r="G2648" s="3"/>
      <c r="H2648" s="5" t="s">
        <v>1667</v>
      </c>
      <c r="I2648" s="5" t="s">
        <v>1667</v>
      </c>
      <c r="J2648" s="2" t="s">
        <v>1667</v>
      </c>
      <c r="K2648" s="34"/>
    </row>
    <row r="2649" spans="1:11" hidden="1">
      <c r="A2649" s="386"/>
      <c r="F2649"/>
      <c r="G2649" s="3"/>
      <c r="H2649"/>
      <c r="I2649"/>
      <c r="J2649" s="4"/>
      <c r="K2649" s="34"/>
    </row>
    <row r="2650" spans="1:11" hidden="1">
      <c r="A2650" s="386"/>
      <c r="F2650" s="30">
        <v>22.5</v>
      </c>
      <c r="G2650" s="3"/>
      <c r="H2650" s="1" t="s">
        <v>2073</v>
      </c>
      <c r="I2650"/>
      <c r="J2650" s="4"/>
      <c r="K2650" s="34"/>
    </row>
    <row r="2651" spans="1:11" hidden="1">
      <c r="A2651" s="386"/>
      <c r="F2651"/>
      <c r="G2651" s="3"/>
      <c r="H2651" s="1"/>
      <c r="I2651"/>
      <c r="J2651" s="4"/>
      <c r="K2651" s="34"/>
    </row>
    <row r="2652" spans="1:11" hidden="1">
      <c r="A2652" s="386"/>
      <c r="F2652"/>
      <c r="G2652" s="3"/>
      <c r="H2652" s="1" t="s">
        <v>2074</v>
      </c>
      <c r="I2652"/>
      <c r="J2652" s="4"/>
      <c r="K2652" s="34"/>
    </row>
    <row r="2653" spans="1:11" hidden="1">
      <c r="A2653" s="386"/>
      <c r="F2653"/>
      <c r="G2653" s="3"/>
      <c r="H2653" s="1" t="s">
        <v>454</v>
      </c>
      <c r="I2653"/>
      <c r="J2653" s="4"/>
      <c r="K2653" s="34"/>
    </row>
    <row r="2654" spans="1:11" hidden="1">
      <c r="A2654" s="386"/>
      <c r="F2654"/>
      <c r="G2654" s="3"/>
      <c r="H2654" s="1" t="s">
        <v>455</v>
      </c>
      <c r="I2654"/>
      <c r="J2654" s="4"/>
      <c r="K2654" s="34"/>
    </row>
    <row r="2655" spans="1:11" hidden="1">
      <c r="A2655" s="386"/>
      <c r="F2655"/>
      <c r="G2655" s="3"/>
      <c r="H2655" s="1" t="s">
        <v>456</v>
      </c>
      <c r="I2655"/>
      <c r="J2655" s="4"/>
      <c r="K2655" s="34"/>
    </row>
    <row r="2656" spans="1:11" hidden="1">
      <c r="A2656" s="386"/>
      <c r="F2656"/>
      <c r="G2656" s="3"/>
      <c r="H2656" s="1" t="s">
        <v>896</v>
      </c>
      <c r="I2656"/>
      <c r="J2656" s="2" t="s">
        <v>995</v>
      </c>
      <c r="K2656" s="552">
        <v>3.7699999999999997E-2</v>
      </c>
    </row>
    <row r="2657" spans="1:11" hidden="1">
      <c r="A2657" s="386"/>
      <c r="F2657"/>
      <c r="G2657" s="3"/>
      <c r="H2657" s="1" t="s">
        <v>705</v>
      </c>
      <c r="I2657"/>
      <c r="J2657" s="389" t="s">
        <v>995</v>
      </c>
      <c r="K2657" s="552" t="s">
        <v>995</v>
      </c>
    </row>
    <row r="2658" spans="1:11" hidden="1">
      <c r="A2658" s="386"/>
      <c r="F2658"/>
      <c r="G2658" s="3"/>
      <c r="H2658" s="1" t="s">
        <v>1907</v>
      </c>
      <c r="I2658"/>
      <c r="J2658" s="4"/>
      <c r="K2658" s="552" t="s">
        <v>995</v>
      </c>
    </row>
    <row r="2659" spans="1:11" hidden="1">
      <c r="A2659" s="386"/>
      <c r="F2659"/>
      <c r="G2659" s="3"/>
      <c r="H2659" s="1"/>
      <c r="I2659"/>
      <c r="J2659" s="4"/>
      <c r="K2659" s="552"/>
    </row>
    <row r="2660" spans="1:11" hidden="1">
      <c r="A2660" s="386"/>
      <c r="F2660"/>
      <c r="G2660" s="3"/>
      <c r="H2660" s="1"/>
      <c r="I2660"/>
      <c r="J2660" s="4"/>
      <c r="K2660" s="552"/>
    </row>
    <row r="2661" spans="1:11" hidden="1">
      <c r="A2661" s="386"/>
      <c r="F2661"/>
      <c r="G2661" s="3"/>
      <c r="H2661"/>
      <c r="I2661"/>
      <c r="J2661" s="4"/>
      <c r="K2661" s="34"/>
    </row>
    <row r="2662" spans="1:11" hidden="1">
      <c r="A2662" s="386"/>
      <c r="F2662" s="20">
        <v>1.18E-2</v>
      </c>
      <c r="G2662" s="7" t="s">
        <v>884</v>
      </c>
      <c r="H2662" s="1" t="s">
        <v>702</v>
      </c>
      <c r="I2662" s="8">
        <f t="shared" ref="I2662:I2671" si="88">I2260</f>
        <v>65420</v>
      </c>
      <c r="J2662" s="2" t="s">
        <v>884</v>
      </c>
      <c r="K2662" s="6">
        <f t="shared" ref="K2662:K2671" si="89">(F2662*I2662)</f>
        <v>771.96</v>
      </c>
    </row>
    <row r="2663" spans="1:11" hidden="1">
      <c r="A2663" s="386"/>
      <c r="F2663" s="20">
        <v>3.7699999999999997E-2</v>
      </c>
      <c r="G2663" s="7" t="s">
        <v>884</v>
      </c>
      <c r="H2663" s="1" t="s">
        <v>703</v>
      </c>
      <c r="I2663" s="8">
        <f t="shared" si="88"/>
        <v>57165</v>
      </c>
      <c r="J2663" s="2" t="s">
        <v>884</v>
      </c>
      <c r="K2663" s="6">
        <f t="shared" si="89"/>
        <v>2155.12</v>
      </c>
    </row>
    <row r="2664" spans="1:11" hidden="1">
      <c r="A2664" s="386"/>
      <c r="F2664" s="20">
        <v>1.8550000000000001E-2</v>
      </c>
      <c r="G2664" s="7" t="s">
        <v>884</v>
      </c>
      <c r="H2664" s="1" t="s">
        <v>902</v>
      </c>
      <c r="I2664" s="8">
        <f t="shared" si="88"/>
        <v>3035</v>
      </c>
      <c r="J2664" s="2" t="s">
        <v>884</v>
      </c>
      <c r="K2664" s="6">
        <f t="shared" si="89"/>
        <v>56.3</v>
      </c>
    </row>
    <row r="2665" spans="1:11" hidden="1">
      <c r="A2665" s="386"/>
      <c r="F2665" s="20">
        <v>1.36</v>
      </c>
      <c r="G2665" s="7" t="s">
        <v>611</v>
      </c>
      <c r="H2665" s="1" t="s">
        <v>903</v>
      </c>
      <c r="I2665" s="8">
        <f t="shared" si="88"/>
        <v>385.89</v>
      </c>
      <c r="J2665" s="2" t="s">
        <v>611</v>
      </c>
      <c r="K2665" s="6">
        <f t="shared" si="89"/>
        <v>524.80999999999995</v>
      </c>
    </row>
    <row r="2666" spans="1:11" hidden="1">
      <c r="A2666" s="386"/>
      <c r="F2666" s="20">
        <v>2.0499999999999998</v>
      </c>
      <c r="G2666" s="7" t="s">
        <v>611</v>
      </c>
      <c r="H2666" s="1" t="s">
        <v>1568</v>
      </c>
      <c r="I2666" s="8">
        <f t="shared" si="88"/>
        <v>287</v>
      </c>
      <c r="J2666" s="2" t="s">
        <v>611</v>
      </c>
      <c r="K2666" s="6">
        <f t="shared" si="89"/>
        <v>588.35</v>
      </c>
    </row>
    <row r="2667" spans="1:11" hidden="1">
      <c r="A2667" s="386"/>
      <c r="F2667" s="8">
        <v>2</v>
      </c>
      <c r="G2667" s="7" t="s">
        <v>883</v>
      </c>
      <c r="H2667" s="1" t="s">
        <v>1449</v>
      </c>
      <c r="I2667" s="8">
        <f t="shared" si="88"/>
        <v>25</v>
      </c>
      <c r="J2667" s="2" t="s">
        <v>883</v>
      </c>
      <c r="K2667" s="6">
        <f t="shared" si="89"/>
        <v>50</v>
      </c>
    </row>
    <row r="2668" spans="1:11" hidden="1">
      <c r="A2668" s="386"/>
      <c r="F2668" s="8">
        <v>6</v>
      </c>
      <c r="G2668" s="7" t="s">
        <v>883</v>
      </c>
      <c r="H2668" s="1" t="s">
        <v>1404</v>
      </c>
      <c r="I2668" s="8">
        <f t="shared" si="88"/>
        <v>25</v>
      </c>
      <c r="J2668" s="2" t="s">
        <v>883</v>
      </c>
      <c r="K2668" s="6">
        <f t="shared" si="89"/>
        <v>150</v>
      </c>
    </row>
    <row r="2669" spans="1:11" hidden="1">
      <c r="A2669" s="386"/>
      <c r="F2669" s="8">
        <v>2</v>
      </c>
      <c r="G2669" s="7" t="s">
        <v>883</v>
      </c>
      <c r="H2669" s="1" t="s">
        <v>1450</v>
      </c>
      <c r="I2669" s="8">
        <f t="shared" si="88"/>
        <v>35</v>
      </c>
      <c r="J2669" s="2" t="s">
        <v>883</v>
      </c>
      <c r="K2669" s="6">
        <f t="shared" si="89"/>
        <v>70</v>
      </c>
    </row>
    <row r="2670" spans="1:11" hidden="1">
      <c r="A2670" s="386"/>
      <c r="F2670" s="8">
        <v>1</v>
      </c>
      <c r="G2670" s="7" t="s">
        <v>883</v>
      </c>
      <c r="H2670" s="1" t="s">
        <v>1477</v>
      </c>
      <c r="I2670" s="8">
        <f t="shared" si="88"/>
        <v>60</v>
      </c>
      <c r="J2670" s="2" t="s">
        <v>883</v>
      </c>
      <c r="K2670" s="6">
        <f t="shared" si="89"/>
        <v>60</v>
      </c>
    </row>
    <row r="2671" spans="1:11" hidden="1">
      <c r="A2671" s="386"/>
      <c r="F2671" s="8">
        <v>2.52</v>
      </c>
      <c r="G2671" s="7" t="s">
        <v>611</v>
      </c>
      <c r="H2671" s="1" t="s">
        <v>1792</v>
      </c>
      <c r="I2671" s="8">
        <f t="shared" si="88"/>
        <v>51.25</v>
      </c>
      <c r="J2671" s="2" t="s">
        <v>611</v>
      </c>
      <c r="K2671" s="6">
        <f t="shared" si="89"/>
        <v>129.15</v>
      </c>
    </row>
    <row r="2672" spans="1:11" hidden="1">
      <c r="A2672" s="386"/>
      <c r="F2672"/>
      <c r="G2672" s="3"/>
      <c r="H2672" s="1" t="s">
        <v>1474</v>
      </c>
      <c r="I2672" s="2" t="s">
        <v>448</v>
      </c>
      <c r="J2672" s="4"/>
      <c r="K2672" s="6">
        <v>0.28000000000000003</v>
      </c>
    </row>
    <row r="2673" spans="1:11" hidden="1">
      <c r="A2673" s="386"/>
      <c r="F2673"/>
      <c r="G2673" s="3"/>
      <c r="H2673"/>
      <c r="I2673"/>
      <c r="J2673" s="4"/>
      <c r="K2673" s="6" t="s">
        <v>1667</v>
      </c>
    </row>
    <row r="2674" spans="1:11" hidden="1">
      <c r="A2674" s="386"/>
      <c r="F2674"/>
      <c r="G2674" s="3"/>
      <c r="H2674" s="2" t="s">
        <v>1475</v>
      </c>
      <c r="I2674"/>
      <c r="J2674" s="4"/>
      <c r="K2674" s="6">
        <f>SUM(K2662:K2672)</f>
        <v>4555.97</v>
      </c>
    </row>
    <row r="2675" spans="1:11" hidden="1">
      <c r="A2675" s="386"/>
      <c r="F2675"/>
      <c r="G2675" s="7" t="s">
        <v>995</v>
      </c>
      <c r="H2675"/>
      <c r="I2675"/>
      <c r="J2675" s="4"/>
      <c r="K2675" s="6" t="s">
        <v>1667</v>
      </c>
    </row>
    <row r="2676" spans="1:11" hidden="1">
      <c r="A2676" s="386"/>
      <c r="F2676"/>
      <c r="G2676" s="3"/>
      <c r="H2676" s="2" t="s">
        <v>555</v>
      </c>
      <c r="I2676"/>
      <c r="J2676" s="4"/>
      <c r="K2676" s="6">
        <f>K2674/F2671</f>
        <v>1807.92</v>
      </c>
    </row>
    <row r="2677" spans="1:11" hidden="1">
      <c r="A2677" s="386"/>
      <c r="F2677"/>
      <c r="G2677" s="3"/>
      <c r="H2677"/>
      <c r="I2677"/>
      <c r="J2677" s="4"/>
      <c r="K2677" s="6" t="s">
        <v>2130</v>
      </c>
    </row>
    <row r="2678" spans="1:11" hidden="1">
      <c r="A2678" s="386"/>
      <c r="F2678" s="448">
        <v>44.4</v>
      </c>
      <c r="G2678" s="448"/>
      <c r="H2678" s="448" t="s">
        <v>3526</v>
      </c>
      <c r="I2678" s="448"/>
      <c r="J2678" s="448"/>
      <c r="K2678" s="567"/>
    </row>
    <row r="2679" spans="1:11" hidden="1">
      <c r="A2679" s="386"/>
      <c r="F2679" s="448"/>
      <c r="G2679" s="448"/>
      <c r="H2679" s="449" t="s">
        <v>1667</v>
      </c>
      <c r="I2679" s="448"/>
      <c r="J2679" s="448"/>
      <c r="K2679" s="567"/>
    </row>
    <row r="2680" spans="1:11" hidden="1">
      <c r="A2680" s="386"/>
      <c r="F2680" s="448">
        <v>4.9000000000000004</v>
      </c>
      <c r="G2680" s="448" t="s">
        <v>840</v>
      </c>
      <c r="H2680" s="448" t="s">
        <v>3527</v>
      </c>
      <c r="I2680" s="448">
        <v>49.01</v>
      </c>
      <c r="J2680" s="448" t="s">
        <v>840</v>
      </c>
      <c r="K2680" s="567">
        <f>F2680*I2680</f>
        <v>240.15</v>
      </c>
    </row>
    <row r="2681" spans="1:11" hidden="1">
      <c r="A2681" s="386"/>
      <c r="F2681" s="448">
        <v>0.12</v>
      </c>
      <c r="G2681" s="448" t="s">
        <v>884</v>
      </c>
      <c r="H2681" s="448" t="s">
        <v>3528</v>
      </c>
      <c r="I2681" s="448" t="e">
        <f>AC15</f>
        <v>#REF!</v>
      </c>
      <c r="J2681" s="448" t="s">
        <v>884</v>
      </c>
      <c r="K2681" s="567" t="e">
        <f>F2681*I2681</f>
        <v>#REF!</v>
      </c>
    </row>
    <row r="2682" spans="1:11" hidden="1">
      <c r="A2682" s="386"/>
      <c r="F2682" s="454">
        <v>0.18</v>
      </c>
      <c r="G2682" s="448" t="s">
        <v>884</v>
      </c>
      <c r="H2682" s="448" t="s">
        <v>3529</v>
      </c>
      <c r="I2682" s="448" t="e">
        <f>AC14</f>
        <v>#REF!</v>
      </c>
      <c r="J2682" s="448" t="s">
        <v>884</v>
      </c>
      <c r="K2682" s="567" t="e">
        <f>F2682*I2682</f>
        <v>#REF!</v>
      </c>
    </row>
    <row r="2683" spans="1:11" hidden="1">
      <c r="A2683" s="386"/>
      <c r="F2683" s="448">
        <v>0.05</v>
      </c>
      <c r="G2683" s="448" t="s">
        <v>884</v>
      </c>
      <c r="H2683" s="448" t="s">
        <v>3530</v>
      </c>
      <c r="I2683" s="448" t="e">
        <f>AC16</f>
        <v>#REF!</v>
      </c>
      <c r="J2683" s="448" t="s">
        <v>884</v>
      </c>
      <c r="K2683" s="567" t="e">
        <f>F2683*I2683</f>
        <v>#REF!</v>
      </c>
    </row>
    <row r="2684" spans="1:11" hidden="1">
      <c r="A2684" s="386"/>
      <c r="F2684" s="448"/>
      <c r="G2684" s="448"/>
      <c r="H2684" s="448"/>
      <c r="I2684" s="448"/>
      <c r="J2684" s="448"/>
      <c r="K2684" s="567" t="s">
        <v>1667</v>
      </c>
    </row>
    <row r="2685" spans="1:11" hidden="1">
      <c r="A2685" s="386"/>
      <c r="F2685" s="448"/>
      <c r="G2685" s="448"/>
      <c r="H2685" s="448" t="s">
        <v>3265</v>
      </c>
      <c r="I2685" s="448"/>
      <c r="J2685" s="448"/>
      <c r="K2685" s="567" t="e">
        <f>SUM(K2680:K2684)</f>
        <v>#REF!</v>
      </c>
    </row>
    <row r="2686" spans="1:11" hidden="1">
      <c r="A2686" s="386"/>
      <c r="F2686" s="448"/>
      <c r="G2686" s="448"/>
      <c r="H2686" s="448"/>
      <c r="I2686" s="448"/>
      <c r="J2686" s="448"/>
      <c r="K2686" s="567" t="s">
        <v>1667</v>
      </c>
    </row>
    <row r="2687" spans="1:11" hidden="1">
      <c r="A2687" s="386"/>
      <c r="F2687" s="448"/>
      <c r="G2687" s="448"/>
      <c r="H2687" s="448" t="s">
        <v>3266</v>
      </c>
      <c r="I2687" s="448"/>
      <c r="J2687" s="448"/>
      <c r="K2687" s="567" t="e">
        <f>K2685/F2680</f>
        <v>#REF!</v>
      </c>
    </row>
    <row r="2688" spans="1:11" hidden="1">
      <c r="A2688" s="386"/>
      <c r="F2688" s="448"/>
      <c r="G2688" s="448"/>
      <c r="H2688" s="448"/>
      <c r="I2688" s="448"/>
      <c r="J2688" s="448"/>
      <c r="K2688" s="567" t="s">
        <v>2130</v>
      </c>
    </row>
    <row r="2689" spans="1:11" ht="78.75" hidden="1">
      <c r="A2689" s="386"/>
      <c r="F2689" s="448">
        <v>44.5</v>
      </c>
      <c r="G2689" s="448"/>
      <c r="H2689" s="448" t="s">
        <v>3540</v>
      </c>
      <c r="I2689" s="448"/>
      <c r="J2689" s="448"/>
      <c r="K2689" s="567"/>
    </row>
    <row r="2690" spans="1:11" hidden="1">
      <c r="A2690" s="386"/>
      <c r="F2690" s="448"/>
      <c r="G2690" s="448"/>
      <c r="H2690" s="449" t="s">
        <v>1667</v>
      </c>
      <c r="I2690" s="448"/>
      <c r="J2690" s="448"/>
      <c r="K2690" s="567"/>
    </row>
    <row r="2691" spans="1:11" hidden="1">
      <c r="A2691" s="386"/>
      <c r="F2691" s="448">
        <v>0.38</v>
      </c>
      <c r="G2691" s="448" t="s">
        <v>2226</v>
      </c>
      <c r="H2691" s="448" t="s">
        <v>362</v>
      </c>
      <c r="I2691" s="448">
        <f>I2613</f>
        <v>52.93</v>
      </c>
      <c r="J2691" s="448" t="s">
        <v>884</v>
      </c>
      <c r="K2691" s="567">
        <f>I2691*F2691</f>
        <v>20.11</v>
      </c>
    </row>
    <row r="2692" spans="1:11" hidden="1">
      <c r="A2692" s="386"/>
      <c r="F2692" s="448">
        <v>0.38</v>
      </c>
      <c r="G2692" s="448" t="s">
        <v>2226</v>
      </c>
      <c r="H2692" s="448" t="s">
        <v>3541</v>
      </c>
      <c r="I2692" s="448" t="e">
        <f>AC15</f>
        <v>#REF!</v>
      </c>
      <c r="J2692" s="448" t="s">
        <v>884</v>
      </c>
      <c r="K2692" s="567" t="e">
        <f>I2692*F2692</f>
        <v>#REF!</v>
      </c>
    </row>
    <row r="2693" spans="1:11" hidden="1">
      <c r="A2693" s="386"/>
      <c r="F2693" s="448">
        <v>0.12</v>
      </c>
      <c r="G2693" s="3" t="s">
        <v>2226</v>
      </c>
      <c r="H2693" s="448" t="s">
        <v>3542</v>
      </c>
      <c r="I2693" t="e">
        <f>K614</f>
        <v>#REF!</v>
      </c>
      <c r="J2693" s="448" t="s">
        <v>884</v>
      </c>
      <c r="K2693" s="567" t="e">
        <f>I2693*F2693</f>
        <v>#REF!</v>
      </c>
    </row>
    <row r="2694" spans="1:11" hidden="1">
      <c r="A2694" s="386"/>
      <c r="F2694" s="448">
        <v>9.6</v>
      </c>
      <c r="G2694" s="448" t="s">
        <v>1730</v>
      </c>
      <c r="H2694" s="448" t="s">
        <v>3543</v>
      </c>
      <c r="I2694">
        <f>AC32</f>
        <v>28000</v>
      </c>
      <c r="J2694" s="448" t="s">
        <v>528</v>
      </c>
      <c r="K2694" s="567">
        <f>I2694*F2694/1000</f>
        <v>268.8</v>
      </c>
    </row>
    <row r="2695" spans="1:11" hidden="1">
      <c r="A2695" s="386"/>
      <c r="F2695"/>
      <c r="G2695" s="3"/>
      <c r="H2695"/>
      <c r="I2695"/>
      <c r="J2695" s="4"/>
      <c r="K2695" s="34" t="s">
        <v>1667</v>
      </c>
    </row>
    <row r="2696" spans="1:11" hidden="1">
      <c r="A2696" s="386"/>
      <c r="F2696"/>
      <c r="G2696" s="3"/>
      <c r="H2696" s="448" t="s">
        <v>3544</v>
      </c>
      <c r="I2696"/>
      <c r="J2696" s="4"/>
      <c r="K2696" s="34" t="e">
        <f>SUM(K2691:K2695)</f>
        <v>#REF!</v>
      </c>
    </row>
    <row r="2697" spans="1:11" hidden="1">
      <c r="A2697" s="386"/>
      <c r="F2697"/>
      <c r="G2697" s="3"/>
      <c r="H2697"/>
      <c r="I2697"/>
      <c r="J2697" s="4"/>
      <c r="K2697" s="34" t="s">
        <v>2130</v>
      </c>
    </row>
    <row r="2698" spans="1:11" ht="78.75" hidden="1">
      <c r="A2698" s="386"/>
      <c r="F2698" s="455">
        <v>71.3</v>
      </c>
      <c r="G2698" s="456"/>
      <c r="H2698" s="457" t="s">
        <v>3545</v>
      </c>
      <c r="I2698" s="288"/>
      <c r="J2698" s="458"/>
      <c r="K2698" s="568"/>
    </row>
    <row r="2699" spans="1:11" hidden="1">
      <c r="A2699" s="386"/>
      <c r="F2699" s="288"/>
      <c r="G2699" s="456"/>
      <c r="H2699" s="459" t="s">
        <v>2485</v>
      </c>
      <c r="I2699" s="288"/>
      <c r="J2699" s="458"/>
      <c r="K2699" s="568"/>
    </row>
    <row r="2700" spans="1:11" hidden="1">
      <c r="A2700" s="386"/>
      <c r="F2700" s="288">
        <v>1</v>
      </c>
      <c r="G2700" s="456" t="s">
        <v>1454</v>
      </c>
      <c r="H2700" s="288" t="s">
        <v>3242</v>
      </c>
      <c r="I2700" s="288"/>
      <c r="J2700" s="458">
        <v>1880</v>
      </c>
      <c r="K2700" s="568">
        <f>J2700*F2700</f>
        <v>1880</v>
      </c>
    </row>
    <row r="2701" spans="1:11" hidden="1">
      <c r="A2701" s="386"/>
      <c r="F2701" s="288">
        <v>1</v>
      </c>
      <c r="G2701" s="456" t="s">
        <v>1454</v>
      </c>
      <c r="H2701" s="288" t="s">
        <v>3243</v>
      </c>
      <c r="I2701" s="288"/>
      <c r="J2701" s="458">
        <v>480</v>
      </c>
      <c r="K2701" s="568">
        <f>J2701*F2701</f>
        <v>480</v>
      </c>
    </row>
    <row r="2702" spans="1:11" hidden="1">
      <c r="A2702" s="386"/>
      <c r="F2702" s="288"/>
      <c r="G2702" s="456"/>
      <c r="H2702" s="288" t="s">
        <v>3244</v>
      </c>
      <c r="I2702" s="288"/>
      <c r="J2702" s="458"/>
      <c r="K2702" s="568">
        <v>35.67</v>
      </c>
    </row>
    <row r="2703" spans="1:11" hidden="1">
      <c r="A2703" s="386"/>
      <c r="F2703" s="288"/>
      <c r="G2703" s="456"/>
      <c r="H2703" s="288" t="s">
        <v>1900</v>
      </c>
      <c r="I2703" s="288"/>
      <c r="J2703" s="458"/>
      <c r="K2703" s="568">
        <f>K2711</f>
        <v>104.33</v>
      </c>
    </row>
    <row r="2704" spans="1:11" hidden="1">
      <c r="A2704" s="386"/>
      <c r="F2704" s="288"/>
      <c r="G2704" s="456"/>
      <c r="H2704" s="288"/>
      <c r="I2704" s="288"/>
      <c r="J2704" s="458"/>
      <c r="K2704" s="569" t="s">
        <v>3235</v>
      </c>
    </row>
    <row r="2705" spans="1:11" hidden="1">
      <c r="A2705" s="386"/>
      <c r="F2705" s="288"/>
      <c r="G2705" s="456"/>
      <c r="H2705" s="288"/>
      <c r="I2705" s="288"/>
      <c r="J2705" s="458"/>
      <c r="K2705" s="568">
        <f>SUM(K2700:K2704)</f>
        <v>2500</v>
      </c>
    </row>
    <row r="2706" spans="1:11" hidden="1">
      <c r="A2706" s="386"/>
      <c r="F2706" s="288"/>
      <c r="G2706" s="456"/>
      <c r="H2706" s="288" t="s">
        <v>931</v>
      </c>
      <c r="I2706" s="288"/>
      <c r="J2706" s="458"/>
      <c r="K2706" s="569" t="s">
        <v>38</v>
      </c>
    </row>
    <row r="2707" spans="1:11" hidden="1">
      <c r="A2707" s="386"/>
      <c r="F2707" s="288">
        <v>1</v>
      </c>
      <c r="G2707" s="456" t="s">
        <v>1454</v>
      </c>
      <c r="H2707" s="288" t="s">
        <v>3245</v>
      </c>
      <c r="I2707" s="288">
        <v>131</v>
      </c>
      <c r="J2707" s="458" t="s">
        <v>1458</v>
      </c>
      <c r="K2707" s="568">
        <f>I2707*F2707</f>
        <v>131</v>
      </c>
    </row>
    <row r="2708" spans="1:11" hidden="1">
      <c r="A2708" s="386"/>
      <c r="F2708" s="288">
        <v>2</v>
      </c>
      <c r="G2708" s="456" t="s">
        <v>1492</v>
      </c>
      <c r="H2708" s="288" t="s">
        <v>3246</v>
      </c>
      <c r="I2708" s="288">
        <v>91</v>
      </c>
      <c r="J2708" s="458" t="s">
        <v>1458</v>
      </c>
      <c r="K2708" s="568">
        <f>I2708*F2708</f>
        <v>182</v>
      </c>
    </row>
    <row r="2709" spans="1:11" hidden="1">
      <c r="A2709" s="386"/>
      <c r="F2709" s="288"/>
      <c r="G2709" s="456"/>
      <c r="H2709" s="288"/>
      <c r="I2709" s="288"/>
      <c r="J2709" s="458"/>
      <c r="K2709" s="569" t="s">
        <v>3247</v>
      </c>
    </row>
    <row r="2710" spans="1:11" hidden="1">
      <c r="A2710" s="386"/>
      <c r="F2710" s="288"/>
      <c r="G2710" s="456"/>
      <c r="H2710" s="456" t="s">
        <v>3248</v>
      </c>
      <c r="I2710" s="288"/>
      <c r="J2710" s="458"/>
      <c r="K2710" s="568">
        <f>SUM(K2707:K2709)</f>
        <v>313</v>
      </c>
    </row>
    <row r="2711" spans="1:11" hidden="1">
      <c r="A2711" s="386"/>
      <c r="F2711" s="288"/>
      <c r="G2711" s="456"/>
      <c r="H2711" s="456" t="s">
        <v>3249</v>
      </c>
      <c r="I2711" s="288"/>
      <c r="J2711" s="458"/>
      <c r="K2711" s="568">
        <f>K2710/3</f>
        <v>104.33</v>
      </c>
    </row>
    <row r="2712" spans="1:11" hidden="1">
      <c r="A2712" s="386"/>
      <c r="F2712"/>
      <c r="G2712" s="3"/>
      <c r="H2712"/>
      <c r="I2712"/>
      <c r="J2712" s="4"/>
      <c r="K2712" s="34"/>
    </row>
    <row r="2713" spans="1:11" ht="15.75" hidden="1" customHeight="1">
      <c r="A2713" s="386"/>
      <c r="F2713" s="461">
        <v>79.400000000000006</v>
      </c>
      <c r="G2713" s="59"/>
      <c r="H2713" s="1196" t="s">
        <v>790</v>
      </c>
      <c r="I2713" s="1196"/>
      <c r="J2713" s="463"/>
      <c r="K2713" s="510"/>
    </row>
    <row r="2714" spans="1:11" hidden="1">
      <c r="A2714" s="386"/>
      <c r="F2714" s="464"/>
      <c r="G2714" s="59"/>
      <c r="H2714" s="462"/>
      <c r="I2714" s="462"/>
      <c r="J2714" s="463"/>
      <c r="K2714" s="510"/>
    </row>
    <row r="2715" spans="1:11" hidden="1">
      <c r="A2715" s="386"/>
      <c r="F2715" s="60">
        <v>3</v>
      </c>
      <c r="G2715" s="59" t="s">
        <v>1492</v>
      </c>
      <c r="H2715" s="60" t="s">
        <v>2847</v>
      </c>
      <c r="I2715" s="130">
        <v>190</v>
      </c>
      <c r="J2715" s="463" t="s">
        <v>1458</v>
      </c>
      <c r="K2715" s="510">
        <f>I2715*F2715</f>
        <v>570</v>
      </c>
    </row>
    <row r="2716" spans="1:11" hidden="1">
      <c r="A2716" s="386"/>
      <c r="F2716" s="60">
        <v>1</v>
      </c>
      <c r="G2716" s="59" t="s">
        <v>1454</v>
      </c>
      <c r="H2716" s="60" t="s">
        <v>2848</v>
      </c>
      <c r="I2716" s="60">
        <v>223.63</v>
      </c>
      <c r="J2716" s="463" t="s">
        <v>1458</v>
      </c>
      <c r="K2716" s="510">
        <f>I2716*F2716</f>
        <v>223.63</v>
      </c>
    </row>
    <row r="2717" spans="1:11" hidden="1">
      <c r="A2717" s="386"/>
      <c r="F2717" s="60"/>
      <c r="G2717" s="59"/>
      <c r="H2717" s="60" t="s">
        <v>931</v>
      </c>
      <c r="I2717" s="60"/>
      <c r="J2717" s="463"/>
      <c r="K2717" s="510">
        <f>K2728</f>
        <v>76.5</v>
      </c>
    </row>
    <row r="2718" spans="1:11" hidden="1">
      <c r="A2718" s="386"/>
      <c r="F2718" s="60"/>
      <c r="G2718" s="59"/>
      <c r="H2718" s="60" t="s">
        <v>2849</v>
      </c>
      <c r="I2718" s="60"/>
      <c r="J2718" s="463"/>
      <c r="K2718" s="510">
        <v>4.87</v>
      </c>
    </row>
    <row r="2719" spans="1:11" hidden="1">
      <c r="A2719" s="386"/>
      <c r="F2719" s="60"/>
      <c r="G2719" s="59"/>
      <c r="H2719" s="60"/>
      <c r="I2719" s="60"/>
      <c r="J2719" s="463"/>
      <c r="K2719" s="570" t="s">
        <v>427</v>
      </c>
    </row>
    <row r="2720" spans="1:11" hidden="1">
      <c r="A2720" s="386"/>
      <c r="F2720" s="60"/>
      <c r="G2720" s="59"/>
      <c r="H2720" s="60"/>
      <c r="I2720" s="60"/>
      <c r="J2720" s="463"/>
      <c r="K2720" s="510">
        <f>SUM(K2715:K2719)</f>
        <v>875</v>
      </c>
    </row>
    <row r="2721" spans="1:11" hidden="1">
      <c r="A2721" s="386"/>
      <c r="F2721" s="60"/>
      <c r="G2721" s="59"/>
      <c r="H2721" s="60"/>
      <c r="I2721" s="60"/>
      <c r="J2721" s="463"/>
      <c r="K2721" s="570" t="s">
        <v>152</v>
      </c>
    </row>
    <row r="2722" spans="1:11" hidden="1">
      <c r="A2722" s="386"/>
      <c r="F2722" s="60"/>
      <c r="G2722" s="59"/>
      <c r="H2722" s="60" t="s">
        <v>931</v>
      </c>
      <c r="I2722" s="60"/>
      <c r="J2722" s="463"/>
      <c r="K2722" s="510"/>
    </row>
    <row r="2723" spans="1:11" hidden="1">
      <c r="A2723" s="386"/>
      <c r="F2723" s="60">
        <v>1</v>
      </c>
      <c r="G2723" s="59" t="s">
        <v>1454</v>
      </c>
      <c r="H2723" s="60" t="s">
        <v>2850</v>
      </c>
      <c r="I2723" s="60">
        <v>131</v>
      </c>
      <c r="J2723" s="463" t="s">
        <v>1458</v>
      </c>
      <c r="K2723" s="510">
        <f>I2723*F2723</f>
        <v>131</v>
      </c>
    </row>
    <row r="2724" spans="1:11" hidden="1">
      <c r="A2724" s="386"/>
      <c r="F2724" s="60">
        <v>1</v>
      </c>
      <c r="G2724" s="59" t="s">
        <v>1454</v>
      </c>
      <c r="H2724" s="60" t="s">
        <v>2851</v>
      </c>
      <c r="I2724" s="60">
        <v>117</v>
      </c>
      <c r="J2724" s="463" t="s">
        <v>1458</v>
      </c>
      <c r="K2724" s="510">
        <f>I2724*F2724</f>
        <v>117</v>
      </c>
    </row>
    <row r="2725" spans="1:11" hidden="1">
      <c r="A2725" s="386"/>
      <c r="F2725" s="60">
        <v>4</v>
      </c>
      <c r="G2725" s="59" t="s">
        <v>1492</v>
      </c>
      <c r="H2725" s="60" t="s">
        <v>3246</v>
      </c>
      <c r="I2725" s="60">
        <v>91</v>
      </c>
      <c r="J2725" s="463" t="s">
        <v>1458</v>
      </c>
      <c r="K2725" s="510">
        <f>I2725*F2725</f>
        <v>364</v>
      </c>
    </row>
    <row r="2726" spans="1:11" hidden="1">
      <c r="A2726" s="386"/>
      <c r="F2726" s="60"/>
      <c r="G2726" s="59"/>
      <c r="H2726" s="60"/>
      <c r="I2726" s="60"/>
      <c r="J2726" s="463"/>
      <c r="K2726" s="570" t="s">
        <v>3500</v>
      </c>
    </row>
    <row r="2727" spans="1:11" hidden="1">
      <c r="A2727" s="386"/>
      <c r="F2727" s="60"/>
      <c r="G2727" s="59"/>
      <c r="H2727" s="60" t="s">
        <v>3501</v>
      </c>
      <c r="I2727" s="60"/>
      <c r="J2727" s="463"/>
      <c r="K2727" s="510">
        <f>SUM(K2723:K2726)</f>
        <v>612</v>
      </c>
    </row>
    <row r="2728" spans="1:11" hidden="1">
      <c r="A2728" s="386"/>
      <c r="F2728" s="60"/>
      <c r="G2728" s="59"/>
      <c r="H2728" s="60" t="s">
        <v>3502</v>
      </c>
      <c r="I2728" s="60"/>
      <c r="J2728" s="463"/>
      <c r="K2728" s="510">
        <f>K2727/8</f>
        <v>76.5</v>
      </c>
    </row>
    <row r="2729" spans="1:11" hidden="1">
      <c r="A2729" s="386"/>
      <c r="F2729"/>
      <c r="G2729" s="3"/>
      <c r="H2729"/>
      <c r="I2729"/>
      <c r="J2729" s="4"/>
      <c r="K2729" s="34"/>
    </row>
    <row r="2730" spans="1:11" ht="31.5" hidden="1">
      <c r="A2730" s="386"/>
      <c r="F2730" s="465">
        <v>170</v>
      </c>
      <c r="G2730" s="3"/>
      <c r="H2730" s="29" t="s">
        <v>3503</v>
      </c>
      <c r="I2730"/>
      <c r="J2730" s="4"/>
      <c r="K2730" s="34"/>
    </row>
    <row r="2731" spans="1:11" hidden="1">
      <c r="A2731" s="386"/>
      <c r="F2731"/>
      <c r="G2731" s="3"/>
      <c r="H2731" s="449" t="s">
        <v>1667</v>
      </c>
      <c r="I2731"/>
      <c r="J2731" s="4"/>
      <c r="K2731" s="34"/>
    </row>
    <row r="2732" spans="1:11" hidden="1">
      <c r="A2732" s="386"/>
      <c r="F2732">
        <v>1</v>
      </c>
      <c r="G2732" s="3" t="s">
        <v>1454</v>
      </c>
      <c r="H2732" t="s">
        <v>2566</v>
      </c>
      <c r="I2732">
        <v>2400</v>
      </c>
      <c r="J2732" s="4" t="s">
        <v>1458</v>
      </c>
      <c r="K2732" s="34">
        <f>I2732*F2732</f>
        <v>2400</v>
      </c>
    </row>
    <row r="2733" spans="1:11" hidden="1">
      <c r="A2733" s="386"/>
      <c r="F2733">
        <v>1</v>
      </c>
      <c r="G2733" s="3" t="s">
        <v>1454</v>
      </c>
      <c r="H2733" t="s">
        <v>3175</v>
      </c>
      <c r="I2733">
        <v>485</v>
      </c>
      <c r="J2733" s="4" t="s">
        <v>1458</v>
      </c>
      <c r="K2733" s="34">
        <f>I2733*F2733</f>
        <v>485</v>
      </c>
    </row>
    <row r="2734" spans="1:11" hidden="1">
      <c r="A2734" s="386"/>
      <c r="F2734">
        <v>4</v>
      </c>
      <c r="G2734" s="3" t="s">
        <v>1492</v>
      </c>
      <c r="H2734" t="s">
        <v>3176</v>
      </c>
      <c r="I2734">
        <v>525</v>
      </c>
      <c r="J2734" s="4" t="s">
        <v>1458</v>
      </c>
      <c r="K2734" s="34">
        <f>I2734*F2734</f>
        <v>2100</v>
      </c>
    </row>
    <row r="2735" spans="1:11" hidden="1">
      <c r="A2735" s="386"/>
      <c r="F2735">
        <v>4.5</v>
      </c>
      <c r="G2735" s="3" t="s">
        <v>1730</v>
      </c>
      <c r="H2735" t="s">
        <v>3177</v>
      </c>
      <c r="I2735">
        <v>27</v>
      </c>
      <c r="J2735" s="4" t="s">
        <v>1730</v>
      </c>
      <c r="K2735" s="34">
        <f>I2735*F2735</f>
        <v>121.5</v>
      </c>
    </row>
    <row r="2736" spans="1:11" hidden="1">
      <c r="A2736" s="386"/>
      <c r="F2736"/>
      <c r="G2736" s="3"/>
      <c r="H2736" t="s">
        <v>3178</v>
      </c>
      <c r="I2736"/>
      <c r="J2736" s="4"/>
      <c r="K2736" s="34">
        <f>SUM(K2732:K2735)*1%-0.57</f>
        <v>50.5</v>
      </c>
    </row>
    <row r="2737" spans="1:11" hidden="1">
      <c r="A2737" s="386"/>
      <c r="F2737"/>
      <c r="G2737" s="3"/>
      <c r="H2737" t="s">
        <v>144</v>
      </c>
      <c r="I2737"/>
      <c r="J2737" s="4"/>
      <c r="K2737" s="34">
        <v>298</v>
      </c>
    </row>
    <row r="2738" spans="1:11" hidden="1">
      <c r="A2738" s="386"/>
      <c r="F2738"/>
      <c r="G2738" s="3"/>
      <c r="H2738"/>
      <c r="I2738"/>
      <c r="J2738" s="4"/>
      <c r="K2738" s="34" t="s">
        <v>1667</v>
      </c>
    </row>
    <row r="2739" spans="1:11" hidden="1">
      <c r="A2739" s="386"/>
      <c r="F2739"/>
      <c r="G2739" s="3"/>
      <c r="H2739"/>
      <c r="I2739"/>
      <c r="J2739" s="4"/>
      <c r="K2739" s="34">
        <f>SUM(K2732:K2738)</f>
        <v>5455</v>
      </c>
    </row>
    <row r="2740" spans="1:11" hidden="1">
      <c r="A2740" s="386"/>
      <c r="F2740"/>
      <c r="G2740" s="3"/>
      <c r="H2740"/>
      <c r="I2740"/>
      <c r="J2740" s="4"/>
      <c r="K2740" s="34" t="s">
        <v>2130</v>
      </c>
    </row>
    <row r="2741" spans="1:11" hidden="1">
      <c r="A2741" s="386"/>
      <c r="F2741" s="465">
        <v>180</v>
      </c>
      <c r="G2741" s="3"/>
      <c r="H2741" t="s">
        <v>3179</v>
      </c>
      <c r="I2741"/>
      <c r="J2741" s="4"/>
      <c r="K2741" s="34"/>
    </row>
    <row r="2742" spans="1:11" hidden="1">
      <c r="A2742" s="386"/>
      <c r="F2742"/>
      <c r="G2742" s="3"/>
      <c r="H2742" s="449" t="s">
        <v>1667</v>
      </c>
      <c r="I2742"/>
      <c r="J2742" s="4"/>
      <c r="K2742" s="34"/>
    </row>
    <row r="2743" spans="1:11" hidden="1">
      <c r="A2743" s="386"/>
      <c r="F2743">
        <v>0.8</v>
      </c>
      <c r="G2743" s="3" t="s">
        <v>1730</v>
      </c>
      <c r="H2743" t="s">
        <v>3180</v>
      </c>
      <c r="I2743">
        <v>230</v>
      </c>
      <c r="J2743" s="4" t="s">
        <v>1730</v>
      </c>
      <c r="K2743" s="34">
        <f>I2743*F2743</f>
        <v>184</v>
      </c>
    </row>
    <row r="2744" spans="1:11" hidden="1">
      <c r="A2744" s="386"/>
      <c r="F2744">
        <v>3</v>
      </c>
      <c r="G2744" s="3" t="s">
        <v>1492</v>
      </c>
      <c r="H2744" t="s">
        <v>3181</v>
      </c>
      <c r="I2744">
        <v>20</v>
      </c>
      <c r="J2744" s="4" t="s">
        <v>1458</v>
      </c>
      <c r="K2744" s="34">
        <f>I2744*F2744</f>
        <v>60</v>
      </c>
    </row>
    <row r="2745" spans="1:11" hidden="1">
      <c r="A2745" s="386"/>
      <c r="F2745"/>
      <c r="G2745" s="3"/>
      <c r="H2745" t="s">
        <v>3178</v>
      </c>
      <c r="I2745"/>
      <c r="J2745" s="4"/>
      <c r="K2745" s="34">
        <f>SUM(K2743:K2744)*1%+1.16</f>
        <v>3.6</v>
      </c>
    </row>
    <row r="2746" spans="1:11" hidden="1">
      <c r="A2746" s="386"/>
      <c r="F2746"/>
      <c r="G2746" s="3"/>
      <c r="H2746" t="s">
        <v>144</v>
      </c>
      <c r="I2746"/>
      <c r="J2746" s="4"/>
      <c r="K2746" s="34">
        <v>32.4</v>
      </c>
    </row>
    <row r="2747" spans="1:11" hidden="1">
      <c r="A2747" s="386"/>
      <c r="F2747"/>
      <c r="G2747" s="3"/>
      <c r="H2747"/>
      <c r="I2747"/>
      <c r="J2747" s="4"/>
      <c r="K2747" s="34" t="s">
        <v>1667</v>
      </c>
    </row>
    <row r="2748" spans="1:11" hidden="1">
      <c r="A2748" s="386"/>
      <c r="F2748"/>
      <c r="G2748" s="3"/>
      <c r="H2748"/>
      <c r="I2748"/>
      <c r="J2748" s="4"/>
      <c r="K2748" s="34">
        <f>SUM(K2743:K2747)</f>
        <v>280</v>
      </c>
    </row>
    <row r="2749" spans="1:11" hidden="1">
      <c r="A2749" s="386"/>
      <c r="F2749"/>
      <c r="G2749" s="3"/>
      <c r="H2749"/>
      <c r="I2749"/>
      <c r="J2749" s="4"/>
      <c r="K2749" s="34" t="s">
        <v>2130</v>
      </c>
    </row>
    <row r="2750" spans="1:11" ht="31.5" hidden="1">
      <c r="A2750" s="386"/>
      <c r="F2750" s="465">
        <v>184</v>
      </c>
      <c r="G2750" s="3"/>
      <c r="H2750" s="29" t="s">
        <v>3404</v>
      </c>
      <c r="I2750"/>
      <c r="J2750" s="4"/>
      <c r="K2750" s="34"/>
    </row>
    <row r="2751" spans="1:11" hidden="1">
      <c r="A2751" s="386"/>
      <c r="F2751"/>
      <c r="G2751" s="3"/>
      <c r="H2751" s="449" t="s">
        <v>1667</v>
      </c>
      <c r="I2751"/>
      <c r="J2751" s="4"/>
      <c r="K2751" s="34"/>
    </row>
    <row r="2752" spans="1:11" hidden="1">
      <c r="A2752" s="386"/>
      <c r="F2752">
        <v>1</v>
      </c>
      <c r="G2752" s="3" t="s">
        <v>1454</v>
      </c>
      <c r="H2752" t="s">
        <v>3405</v>
      </c>
      <c r="I2752">
        <v>1860</v>
      </c>
      <c r="J2752" s="4" t="s">
        <v>1458</v>
      </c>
      <c r="K2752" s="34">
        <f t="shared" ref="K2752:K2760" si="90">I2752*F2752</f>
        <v>1860</v>
      </c>
    </row>
    <row r="2753" spans="1:11" hidden="1">
      <c r="A2753" s="386"/>
      <c r="F2753">
        <v>2</v>
      </c>
      <c r="G2753" s="3" t="s">
        <v>1454</v>
      </c>
      <c r="H2753" t="s">
        <v>3406</v>
      </c>
      <c r="I2753">
        <v>46</v>
      </c>
      <c r="J2753" s="4" t="s">
        <v>1458</v>
      </c>
      <c r="K2753" s="34">
        <f t="shared" si="90"/>
        <v>92</v>
      </c>
    </row>
    <row r="2754" spans="1:11" hidden="1">
      <c r="A2754" s="386"/>
      <c r="F2754">
        <v>1.5</v>
      </c>
      <c r="G2754" s="3" t="s">
        <v>840</v>
      </c>
      <c r="H2754" t="s">
        <v>3407</v>
      </c>
      <c r="I2754">
        <v>31</v>
      </c>
      <c r="J2754" s="4" t="s">
        <v>840</v>
      </c>
      <c r="K2754" s="34">
        <f t="shared" si="90"/>
        <v>46.5</v>
      </c>
    </row>
    <row r="2755" spans="1:11" hidden="1">
      <c r="A2755" s="386"/>
      <c r="F2755">
        <v>2</v>
      </c>
      <c r="G2755" s="3" t="s">
        <v>1454</v>
      </c>
      <c r="H2755" t="s">
        <v>2946</v>
      </c>
      <c r="I2755">
        <v>6</v>
      </c>
      <c r="J2755" s="4" t="s">
        <v>1458</v>
      </c>
      <c r="K2755" s="34">
        <f t="shared" si="90"/>
        <v>12</v>
      </c>
    </row>
    <row r="2756" spans="1:11" hidden="1">
      <c r="A2756" s="386"/>
      <c r="F2756">
        <v>2</v>
      </c>
      <c r="G2756" s="3" t="s">
        <v>1454</v>
      </c>
      <c r="H2756" t="s">
        <v>2947</v>
      </c>
      <c r="I2756">
        <v>12</v>
      </c>
      <c r="J2756" s="4" t="s">
        <v>1458</v>
      </c>
      <c r="K2756" s="34">
        <f t="shared" si="90"/>
        <v>24</v>
      </c>
    </row>
    <row r="2757" spans="1:11" hidden="1">
      <c r="A2757" s="386"/>
      <c r="F2757">
        <v>2</v>
      </c>
      <c r="G2757" s="3" t="s">
        <v>840</v>
      </c>
      <c r="H2757" t="s">
        <v>2948</v>
      </c>
      <c r="I2757">
        <v>7.8</v>
      </c>
      <c r="J2757" s="4" t="s">
        <v>840</v>
      </c>
      <c r="K2757" s="34">
        <f t="shared" si="90"/>
        <v>15.6</v>
      </c>
    </row>
    <row r="2758" spans="1:11" hidden="1">
      <c r="A2758" s="386"/>
      <c r="F2758">
        <v>0.1</v>
      </c>
      <c r="G2758" s="3" t="s">
        <v>1454</v>
      </c>
      <c r="H2758" t="s">
        <v>2850</v>
      </c>
      <c r="I2758">
        <f>I2867</f>
        <v>254</v>
      </c>
      <c r="J2758" s="4" t="s">
        <v>1458</v>
      </c>
      <c r="K2758" s="34">
        <f t="shared" si="90"/>
        <v>25.4</v>
      </c>
    </row>
    <row r="2759" spans="1:11" hidden="1">
      <c r="A2759" s="386"/>
      <c r="F2759">
        <v>0.2</v>
      </c>
      <c r="G2759" s="3" t="s">
        <v>1454</v>
      </c>
      <c r="H2759" t="s">
        <v>2851</v>
      </c>
      <c r="I2759">
        <f>I2868</f>
        <v>240</v>
      </c>
      <c r="J2759" s="4" t="s">
        <v>1458</v>
      </c>
      <c r="K2759" s="34">
        <f t="shared" si="90"/>
        <v>48</v>
      </c>
    </row>
    <row r="2760" spans="1:11" hidden="1">
      <c r="A2760" s="386"/>
      <c r="F2760">
        <v>0.3</v>
      </c>
      <c r="G2760" s="3" t="s">
        <v>1454</v>
      </c>
      <c r="H2760" t="s">
        <v>2430</v>
      </c>
      <c r="I2760">
        <f>I2869</f>
        <v>181</v>
      </c>
      <c r="J2760" s="4" t="s">
        <v>1458</v>
      </c>
      <c r="K2760" s="34">
        <f t="shared" si="90"/>
        <v>54.3</v>
      </c>
    </row>
    <row r="2761" spans="1:11" hidden="1">
      <c r="A2761" s="386"/>
      <c r="F2761"/>
      <c r="G2761" s="3"/>
      <c r="H2761" t="s">
        <v>3178</v>
      </c>
      <c r="I2761"/>
      <c r="J2761" s="4"/>
      <c r="K2761" s="34">
        <f>SUM(K2752:K2760)*1%-0.63</f>
        <v>21.15</v>
      </c>
    </row>
    <row r="2762" spans="1:11" hidden="1">
      <c r="A2762" s="386"/>
      <c r="F2762"/>
      <c r="G2762" s="3"/>
      <c r="H2762"/>
      <c r="I2762"/>
      <c r="J2762" s="4"/>
      <c r="K2762" s="34"/>
    </row>
    <row r="2763" spans="1:11" hidden="1">
      <c r="A2763" s="386"/>
      <c r="F2763"/>
      <c r="G2763" s="3"/>
      <c r="H2763"/>
      <c r="I2763"/>
      <c r="J2763" s="4"/>
      <c r="K2763" s="34" t="s">
        <v>1667</v>
      </c>
    </row>
    <row r="2764" spans="1:11" hidden="1">
      <c r="A2764" s="386"/>
      <c r="F2764"/>
      <c r="G2764" s="3"/>
      <c r="H2764"/>
      <c r="I2764"/>
      <c r="J2764" s="4"/>
      <c r="K2764" s="34">
        <f>SUM(K2752:K2763)</f>
        <v>2198.9499999999998</v>
      </c>
    </row>
    <row r="2765" spans="1:11" hidden="1">
      <c r="A2765" s="386"/>
      <c r="F2765"/>
      <c r="G2765" s="3"/>
      <c r="H2765"/>
      <c r="I2765"/>
      <c r="J2765" s="4"/>
      <c r="K2765" s="34" t="s">
        <v>2130</v>
      </c>
    </row>
    <row r="2766" spans="1:11" hidden="1">
      <c r="A2766" s="386"/>
      <c r="F2766" s="30">
        <v>53.4</v>
      </c>
      <c r="G2766" s="3"/>
      <c r="H2766" s="1" t="s">
        <v>3064</v>
      </c>
      <c r="I2766"/>
      <c r="J2766" s="4" t="s">
        <v>1458</v>
      </c>
      <c r="K2766" s="34">
        <v>957</v>
      </c>
    </row>
    <row r="2767" spans="1:11" hidden="1">
      <c r="A2767" s="386"/>
      <c r="F2767"/>
      <c r="G2767" s="3"/>
      <c r="H2767"/>
      <c r="I2767"/>
      <c r="J2767" s="4"/>
      <c r="K2767" s="34"/>
    </row>
    <row r="2768" spans="1:11" ht="31.5" hidden="1">
      <c r="A2768" s="386"/>
      <c r="F2768" s="466">
        <v>383</v>
      </c>
      <c r="G2768" s="3"/>
      <c r="H2768" s="29" t="s">
        <v>3649</v>
      </c>
      <c r="I2768"/>
      <c r="J2768" s="4" t="s">
        <v>1458</v>
      </c>
      <c r="K2768" s="34">
        <v>600</v>
      </c>
    </row>
    <row r="2769" spans="1:11" hidden="1">
      <c r="A2769" s="386"/>
      <c r="F2769"/>
      <c r="G2769" s="3"/>
      <c r="H2769"/>
      <c r="I2769"/>
      <c r="J2769" s="4"/>
      <c r="K2769" s="34"/>
    </row>
    <row r="2770" spans="1:11" hidden="1">
      <c r="A2770" s="386"/>
      <c r="F2770"/>
      <c r="G2770" s="3"/>
      <c r="H2770"/>
      <c r="I2770"/>
      <c r="J2770" s="4"/>
      <c r="K2770" s="34"/>
    </row>
    <row r="2771" spans="1:11" hidden="1">
      <c r="A2771" s="386"/>
      <c r="F2771" s="467">
        <v>344.2</v>
      </c>
      <c r="G2771" s="3"/>
      <c r="H2771" s="29" t="s">
        <v>2515</v>
      </c>
      <c r="I2771"/>
      <c r="J2771" s="4" t="s">
        <v>1458</v>
      </c>
      <c r="K2771" s="34">
        <v>300</v>
      </c>
    </row>
    <row r="2772" spans="1:11" hidden="1">
      <c r="A2772" s="386"/>
      <c r="F2772" s="466"/>
      <c r="G2772" s="3"/>
      <c r="H2772"/>
      <c r="I2772"/>
      <c r="J2772" s="4"/>
      <c r="K2772" s="34"/>
    </row>
    <row r="2773" spans="1:11" hidden="1">
      <c r="A2773" s="386"/>
      <c r="F2773" s="466"/>
      <c r="G2773" s="3"/>
      <c r="H2773"/>
      <c r="I2773"/>
      <c r="J2773" s="4"/>
      <c r="K2773" s="34"/>
    </row>
    <row r="2774" spans="1:11" hidden="1">
      <c r="A2774" s="386"/>
      <c r="F2774" s="466"/>
      <c r="G2774" s="3"/>
      <c r="H2774"/>
      <c r="I2774"/>
      <c r="J2774" s="4"/>
      <c r="K2774" s="34"/>
    </row>
    <row r="2775" spans="1:11" hidden="1">
      <c r="A2775" s="386"/>
      <c r="F2775" s="467">
        <v>344.1</v>
      </c>
      <c r="G2775" s="3"/>
      <c r="H2775" s="29" t="s">
        <v>2516</v>
      </c>
      <c r="I2775"/>
      <c r="J2775" s="4" t="s">
        <v>1458</v>
      </c>
      <c r="K2775" s="34">
        <v>260</v>
      </c>
    </row>
    <row r="2776" spans="1:11" hidden="1">
      <c r="A2776" s="386"/>
      <c r="F2776" s="304"/>
      <c r="G2776" s="3"/>
      <c r="H2776"/>
      <c r="I2776"/>
      <c r="J2776" s="4"/>
      <c r="K2776" s="34"/>
    </row>
    <row r="2777" spans="1:11" hidden="1">
      <c r="A2777" s="386"/>
      <c r="F2777" s="304"/>
      <c r="G2777" s="3"/>
      <c r="H2777"/>
      <c r="I2777"/>
      <c r="J2777" s="4"/>
      <c r="K2777" s="34"/>
    </row>
    <row r="2778" spans="1:11" hidden="1">
      <c r="A2778" s="386"/>
      <c r="F2778">
        <v>384</v>
      </c>
      <c r="G2778" s="3"/>
      <c r="H2778"/>
      <c r="I2778"/>
      <c r="J2778" s="4"/>
      <c r="K2778" s="34"/>
    </row>
    <row r="2779" spans="1:11" hidden="1">
      <c r="A2779" s="386"/>
      <c r="F2779"/>
      <c r="G2779" s="3"/>
      <c r="H2779" s="29" t="s">
        <v>2517</v>
      </c>
      <c r="I2779"/>
      <c r="J2779" s="4" t="s">
        <v>1458</v>
      </c>
      <c r="K2779" s="34">
        <v>650</v>
      </c>
    </row>
    <row r="2780" spans="1:11" hidden="1">
      <c r="A2780" s="386"/>
      <c r="F2780"/>
      <c r="G2780" s="3"/>
      <c r="H2780"/>
      <c r="I2780"/>
      <c r="J2780" s="4"/>
      <c r="K2780" s="34"/>
    </row>
    <row r="2781" spans="1:11" ht="19.5" hidden="1">
      <c r="A2781" s="386"/>
      <c r="F2781" s="468">
        <v>385</v>
      </c>
      <c r="G2781" s="3"/>
      <c r="H2781" t="s">
        <v>2949</v>
      </c>
      <c r="I2781"/>
      <c r="J2781" s="4"/>
      <c r="K2781" s="34"/>
    </row>
    <row r="2782" spans="1:11" hidden="1">
      <c r="A2782" s="386"/>
      <c r="F2782"/>
      <c r="G2782" s="3"/>
      <c r="H2782" s="61" t="s">
        <v>2950</v>
      </c>
      <c r="I2782"/>
      <c r="J2782" s="4"/>
      <c r="K2782" s="34"/>
    </row>
    <row r="2783" spans="1:11" hidden="1">
      <c r="A2783" s="386"/>
      <c r="F2783">
        <v>4</v>
      </c>
      <c r="G2783" s="3" t="s">
        <v>840</v>
      </c>
      <c r="H2783" t="s">
        <v>3399</v>
      </c>
      <c r="I2783">
        <v>110</v>
      </c>
      <c r="J2783" s="3" t="s">
        <v>840</v>
      </c>
      <c r="K2783" s="34">
        <f t="shared" ref="K2783:K2790" si="91">I2783*F2783</f>
        <v>440</v>
      </c>
    </row>
    <row r="2784" spans="1:11" hidden="1">
      <c r="A2784" s="386"/>
      <c r="F2784">
        <v>2.52</v>
      </c>
      <c r="G2784" s="3" t="s">
        <v>1730</v>
      </c>
      <c r="H2784" t="s">
        <v>3400</v>
      </c>
      <c r="I2784">
        <v>30</v>
      </c>
      <c r="J2784" s="3" t="s">
        <v>1730</v>
      </c>
      <c r="K2784" s="34">
        <f t="shared" si="91"/>
        <v>75.599999999999994</v>
      </c>
    </row>
    <row r="2785" spans="1:11" hidden="1">
      <c r="A2785" s="386"/>
      <c r="F2785">
        <v>1.1299999999999999</v>
      </c>
      <c r="G2785" s="3" t="s">
        <v>1730</v>
      </c>
      <c r="H2785" t="s">
        <v>3269</v>
      </c>
      <c r="I2785">
        <v>30</v>
      </c>
      <c r="J2785" s="3" t="s">
        <v>1730</v>
      </c>
      <c r="K2785" s="34">
        <f t="shared" si="91"/>
        <v>33.9</v>
      </c>
    </row>
    <row r="2786" spans="1:11" hidden="1">
      <c r="A2786" s="386"/>
      <c r="F2786">
        <v>0.35</v>
      </c>
      <c r="G2786" s="3" t="s">
        <v>1730</v>
      </c>
      <c r="H2786" t="s">
        <v>3270</v>
      </c>
      <c r="I2786">
        <v>30</v>
      </c>
      <c r="J2786" s="3" t="s">
        <v>1730</v>
      </c>
      <c r="K2786" s="34">
        <f t="shared" si="91"/>
        <v>10.5</v>
      </c>
    </row>
    <row r="2787" spans="1:11" hidden="1">
      <c r="A2787" s="386"/>
      <c r="F2787">
        <v>4</v>
      </c>
      <c r="G2787" s="3" t="s">
        <v>1730</v>
      </c>
      <c r="H2787" t="s">
        <v>3271</v>
      </c>
      <c r="I2787">
        <v>12.25</v>
      </c>
      <c r="J2787" s="3" t="s">
        <v>1730</v>
      </c>
      <c r="K2787" s="34">
        <f t="shared" si="91"/>
        <v>49</v>
      </c>
    </row>
    <row r="2788" spans="1:11" hidden="1">
      <c r="A2788" s="386"/>
      <c r="F2788">
        <v>6</v>
      </c>
      <c r="G2788" s="3" t="s">
        <v>1492</v>
      </c>
      <c r="H2788" t="s">
        <v>3272</v>
      </c>
      <c r="I2788">
        <v>1</v>
      </c>
      <c r="J2788" s="3" t="s">
        <v>1492</v>
      </c>
      <c r="K2788" s="34">
        <f t="shared" si="91"/>
        <v>6</v>
      </c>
    </row>
    <row r="2789" spans="1:11" hidden="1">
      <c r="A2789" s="386"/>
      <c r="F2789">
        <v>0.5</v>
      </c>
      <c r="G2789" s="3" t="s">
        <v>1492</v>
      </c>
      <c r="H2789" t="s">
        <v>353</v>
      </c>
      <c r="I2789">
        <f>C12</f>
        <v>95</v>
      </c>
      <c r="J2789" s="3" t="s">
        <v>1458</v>
      </c>
      <c r="K2789" s="34">
        <f t="shared" si="91"/>
        <v>47.5</v>
      </c>
    </row>
    <row r="2790" spans="1:11" hidden="1">
      <c r="A2790" s="386"/>
      <c r="F2790">
        <v>0.5</v>
      </c>
      <c r="G2790" s="3" t="s">
        <v>1492</v>
      </c>
      <c r="H2790" t="s">
        <v>1282</v>
      </c>
      <c r="I2790">
        <f>C13</f>
        <v>85</v>
      </c>
      <c r="J2790" s="3" t="s">
        <v>1458</v>
      </c>
      <c r="K2790" s="34">
        <f t="shared" si="91"/>
        <v>42.5</v>
      </c>
    </row>
    <row r="2791" spans="1:11" hidden="1">
      <c r="A2791" s="386"/>
      <c r="F2791"/>
      <c r="G2791" s="3"/>
      <c r="H2791"/>
      <c r="I2791"/>
      <c r="J2791" s="3"/>
      <c r="K2791" s="565" t="s">
        <v>3500</v>
      </c>
    </row>
    <row r="2792" spans="1:11" hidden="1">
      <c r="A2792" s="386"/>
      <c r="F2792"/>
      <c r="G2792" s="3"/>
      <c r="H2792" t="s">
        <v>3273</v>
      </c>
      <c r="I2792"/>
      <c r="J2792" s="4"/>
      <c r="K2792" s="34">
        <f>SUM(K2783:K2791)</f>
        <v>705</v>
      </c>
    </row>
    <row r="2793" spans="1:11" hidden="1">
      <c r="A2793" s="386"/>
      <c r="F2793"/>
      <c r="G2793" s="3"/>
      <c r="H2793"/>
      <c r="I2793"/>
      <c r="J2793" s="4"/>
      <c r="K2793" s="565" t="s">
        <v>3235</v>
      </c>
    </row>
    <row r="2794" spans="1:11" hidden="1">
      <c r="A2794" s="386"/>
      <c r="F2794"/>
      <c r="G2794" s="3"/>
      <c r="H2794" t="s">
        <v>2929</v>
      </c>
      <c r="I2794"/>
      <c r="J2794" s="4"/>
      <c r="K2794" s="34">
        <f>K2792/2</f>
        <v>352.5</v>
      </c>
    </row>
    <row r="2795" spans="1:11" hidden="1">
      <c r="A2795" s="386"/>
      <c r="F2795"/>
      <c r="G2795" s="3"/>
      <c r="H2795"/>
      <c r="I2795"/>
      <c r="J2795" s="4"/>
      <c r="K2795" s="565" t="s">
        <v>38</v>
      </c>
    </row>
    <row r="2796" spans="1:11" ht="19.5" hidden="1">
      <c r="A2796" s="386"/>
      <c r="F2796" s="450">
        <v>112.1</v>
      </c>
      <c r="G2796" s="3"/>
      <c r="H2796" s="469" t="s">
        <v>2580</v>
      </c>
      <c r="I2796"/>
      <c r="J2796" s="4"/>
      <c r="K2796" s="34"/>
    </row>
    <row r="2797" spans="1:11" hidden="1">
      <c r="A2797" s="386"/>
      <c r="F2797"/>
      <c r="G2797" s="3"/>
      <c r="H2797" s="61" t="s">
        <v>2581</v>
      </c>
      <c r="I2797"/>
      <c r="J2797" s="4"/>
      <c r="K2797" s="34"/>
    </row>
    <row r="2798" spans="1:11" hidden="1">
      <c r="A2798" s="386"/>
      <c r="F2798">
        <v>1</v>
      </c>
      <c r="G2798" s="3" t="s">
        <v>1454</v>
      </c>
      <c r="H2798" s="29" t="s">
        <v>2580</v>
      </c>
      <c r="I2798" s="213">
        <v>1059</v>
      </c>
      <c r="J2798" s="4" t="s">
        <v>1458</v>
      </c>
      <c r="K2798" s="34">
        <f>I2798*F2798</f>
        <v>1059</v>
      </c>
    </row>
    <row r="2799" spans="1:11" ht="31.5" hidden="1">
      <c r="A2799" s="386"/>
      <c r="F2799">
        <v>1</v>
      </c>
      <c r="G2799" s="3" t="s">
        <v>1454</v>
      </c>
      <c r="H2799" s="29" t="s">
        <v>2582</v>
      </c>
      <c r="I2799">
        <v>95</v>
      </c>
      <c r="J2799" s="4" t="s">
        <v>1458</v>
      </c>
      <c r="K2799" s="34">
        <f>I2799*F2799</f>
        <v>95</v>
      </c>
    </row>
    <row r="2800" spans="1:11" ht="31.5" hidden="1">
      <c r="A2800" s="386"/>
      <c r="F2800" t="s">
        <v>448</v>
      </c>
      <c r="G2800" s="3"/>
      <c r="H2800" s="29" t="s">
        <v>2621</v>
      </c>
      <c r="I2800"/>
      <c r="J2800" s="4" t="s">
        <v>448</v>
      </c>
      <c r="K2800" s="34">
        <v>16.64</v>
      </c>
    </row>
    <row r="2801" spans="1:11" hidden="1">
      <c r="A2801" s="386"/>
      <c r="F2801"/>
      <c r="G2801" s="3"/>
      <c r="H2801" t="s">
        <v>2622</v>
      </c>
      <c r="I2801"/>
      <c r="J2801" s="4"/>
      <c r="K2801" s="34">
        <v>10.11</v>
      </c>
    </row>
    <row r="2802" spans="1:11" hidden="1">
      <c r="A2802" s="386"/>
      <c r="F2802"/>
      <c r="G2802" s="3"/>
      <c r="H2802" t="s">
        <v>1563</v>
      </c>
      <c r="I2802"/>
      <c r="J2802" s="4" t="s">
        <v>1458</v>
      </c>
      <c r="K2802" s="34">
        <f>K2811</f>
        <v>78.25</v>
      </c>
    </row>
    <row r="2803" spans="1:11" hidden="1">
      <c r="A2803" s="386"/>
      <c r="F2803"/>
      <c r="G2803" s="3"/>
      <c r="H2803"/>
      <c r="I2803"/>
      <c r="J2803" s="4"/>
      <c r="K2803" s="565" t="s">
        <v>2427</v>
      </c>
    </row>
    <row r="2804" spans="1:11" hidden="1">
      <c r="A2804" s="386"/>
      <c r="F2804"/>
      <c r="G2804" s="3"/>
      <c r="H2804"/>
      <c r="I2804"/>
      <c r="J2804" s="4"/>
      <c r="K2804" s="34">
        <f>SUM(K2798:K2803)</f>
        <v>1259</v>
      </c>
    </row>
    <row r="2805" spans="1:11" hidden="1">
      <c r="A2805" s="386"/>
      <c r="F2805"/>
      <c r="G2805" s="3"/>
      <c r="H2805"/>
      <c r="I2805"/>
      <c r="J2805" s="4"/>
      <c r="K2805" s="565" t="s">
        <v>894</v>
      </c>
    </row>
    <row r="2806" spans="1:11" hidden="1">
      <c r="A2806" s="386"/>
      <c r="F2806" t="s">
        <v>144</v>
      </c>
      <c r="G2806" s="3"/>
      <c r="H2806"/>
      <c r="I2806"/>
      <c r="J2806" s="4"/>
      <c r="K2806" s="34"/>
    </row>
    <row r="2807" spans="1:11" hidden="1">
      <c r="A2807" s="386"/>
      <c r="F2807">
        <v>1</v>
      </c>
      <c r="G2807" s="3" t="s">
        <v>1454</v>
      </c>
      <c r="H2807" t="s">
        <v>2623</v>
      </c>
      <c r="I2807">
        <v>131</v>
      </c>
      <c r="J2807" s="4" t="s">
        <v>1458</v>
      </c>
      <c r="K2807" s="34">
        <f>I2807*F2807</f>
        <v>131</v>
      </c>
    </row>
    <row r="2808" spans="1:11" hidden="1">
      <c r="A2808" s="386"/>
      <c r="F2808">
        <v>2</v>
      </c>
      <c r="G2808" s="3" t="s">
        <v>1492</v>
      </c>
      <c r="H2808" t="s">
        <v>2430</v>
      </c>
      <c r="I2808">
        <v>91</v>
      </c>
      <c r="J2808" s="4" t="s">
        <v>1458</v>
      </c>
      <c r="K2808" s="34">
        <f>I2808*F2808</f>
        <v>182</v>
      </c>
    </row>
    <row r="2809" spans="1:11" hidden="1">
      <c r="A2809" s="386"/>
      <c r="F2809"/>
      <c r="G2809" s="3"/>
      <c r="H2809"/>
      <c r="I2809"/>
      <c r="J2809" s="4"/>
      <c r="K2809" s="565" t="s">
        <v>2427</v>
      </c>
    </row>
    <row r="2810" spans="1:11" hidden="1">
      <c r="A2810" s="386"/>
      <c r="F2810"/>
      <c r="G2810" s="3"/>
      <c r="H2810" t="s">
        <v>2624</v>
      </c>
      <c r="I2810"/>
      <c r="J2810" s="4"/>
      <c r="K2810" s="34">
        <f>SUM(K2807:K2809)</f>
        <v>313</v>
      </c>
    </row>
    <row r="2811" spans="1:11" hidden="1">
      <c r="A2811" s="386"/>
      <c r="F2811"/>
      <c r="G2811" s="3"/>
      <c r="H2811" t="s">
        <v>2625</v>
      </c>
      <c r="I2811"/>
      <c r="J2811" s="4"/>
      <c r="K2811" s="34">
        <f>K2810/4</f>
        <v>78.25</v>
      </c>
    </row>
    <row r="2812" spans="1:11" hidden="1">
      <c r="A2812" s="386"/>
      <c r="F2812"/>
      <c r="G2812" s="3"/>
      <c r="H2812" s="6"/>
      <c r="I2812"/>
      <c r="J2812" s="4"/>
      <c r="K2812" s="6"/>
    </row>
    <row r="2813" spans="1:11" hidden="1">
      <c r="A2813" s="386"/>
      <c r="F2813">
        <v>70.5</v>
      </c>
      <c r="G2813" s="3"/>
      <c r="H2813" t="s">
        <v>2626</v>
      </c>
      <c r="I2813"/>
      <c r="J2813" s="4"/>
      <c r="K2813" s="34"/>
    </row>
    <row r="2814" spans="1:11" hidden="1">
      <c r="A2814" s="386"/>
      <c r="F2814"/>
      <c r="G2814" s="3"/>
      <c r="H2814" s="449" t="s">
        <v>1667</v>
      </c>
      <c r="I2814"/>
      <c r="J2814" s="4"/>
      <c r="K2814" s="34"/>
    </row>
    <row r="2815" spans="1:11" ht="63" hidden="1">
      <c r="A2815" s="386"/>
      <c r="F2815" s="448">
        <v>1</v>
      </c>
      <c r="G2815" s="448" t="s">
        <v>1454</v>
      </c>
      <c r="H2815" s="448" t="s">
        <v>3032</v>
      </c>
      <c r="I2815">
        <v>322</v>
      </c>
      <c r="J2815" s="4" t="s">
        <v>1458</v>
      </c>
      <c r="K2815" s="34">
        <f>F2815*I2815</f>
        <v>322</v>
      </c>
    </row>
    <row r="2816" spans="1:11" hidden="1">
      <c r="A2816" s="386"/>
      <c r="F2816" s="448">
        <v>1</v>
      </c>
      <c r="G2816" s="448" t="s">
        <v>1454</v>
      </c>
      <c r="H2816" t="s">
        <v>3033</v>
      </c>
      <c r="I2816" s="213">
        <v>37</v>
      </c>
      <c r="J2816" s="4" t="s">
        <v>1458</v>
      </c>
      <c r="K2816" s="34">
        <f>F2816*I2816</f>
        <v>37</v>
      </c>
    </row>
    <row r="2817" spans="1:11" hidden="1">
      <c r="A2817" s="386"/>
      <c r="F2817" s="448">
        <v>2</v>
      </c>
      <c r="G2817" s="448" t="s">
        <v>1454</v>
      </c>
      <c r="H2817" t="s">
        <v>3034</v>
      </c>
      <c r="I2817">
        <v>600</v>
      </c>
      <c r="J2817" s="4" t="s">
        <v>3035</v>
      </c>
      <c r="K2817" s="34">
        <f>(F2817*I2817)/100</f>
        <v>12</v>
      </c>
    </row>
    <row r="2818" spans="1:11" hidden="1">
      <c r="A2818" s="386"/>
      <c r="F2818" s="448">
        <v>2</v>
      </c>
      <c r="G2818" s="448" t="s">
        <v>1454</v>
      </c>
      <c r="H2818" t="s">
        <v>3036</v>
      </c>
      <c r="I2818">
        <v>914.1</v>
      </c>
      <c r="J2818" s="4" t="s">
        <v>3037</v>
      </c>
      <c r="K2818" s="34">
        <f>(F2818*I2818)/100</f>
        <v>18.28</v>
      </c>
    </row>
    <row r="2819" spans="1:11" hidden="1">
      <c r="A2819" s="386"/>
      <c r="F2819" s="448"/>
      <c r="G2819" s="448"/>
      <c r="H2819" t="s">
        <v>3038</v>
      </c>
      <c r="I2819">
        <f>K2830</f>
        <v>49.25</v>
      </c>
      <c r="J2819" s="4" t="s">
        <v>448</v>
      </c>
      <c r="K2819" s="34">
        <f>I2819</f>
        <v>49.25</v>
      </c>
    </row>
    <row r="2820" spans="1:11" hidden="1">
      <c r="A2820" s="386"/>
      <c r="F2820"/>
      <c r="G2820" s="3"/>
      <c r="H2820" t="s">
        <v>3039</v>
      </c>
      <c r="I2820"/>
      <c r="J2820" s="4" t="s">
        <v>448</v>
      </c>
      <c r="K2820" s="34">
        <v>1.84</v>
      </c>
    </row>
    <row r="2821" spans="1:11" hidden="1">
      <c r="A2821" s="386"/>
      <c r="F2821"/>
      <c r="G2821" s="3"/>
      <c r="H2821"/>
      <c r="I2821"/>
      <c r="J2821" s="4"/>
      <c r="K2821" s="34" t="s">
        <v>1667</v>
      </c>
    </row>
    <row r="2822" spans="1:11" hidden="1">
      <c r="A2822" s="386"/>
      <c r="F2822"/>
      <c r="G2822" s="3"/>
      <c r="H2822" t="s">
        <v>2332</v>
      </c>
      <c r="I2822"/>
      <c r="J2822" s="4"/>
      <c r="K2822" s="34">
        <f>SUM(K2815:K2821)</f>
        <v>440.37</v>
      </c>
    </row>
    <row r="2823" spans="1:11" hidden="1">
      <c r="A2823" s="386"/>
      <c r="F2823"/>
      <c r="G2823" s="3"/>
      <c r="H2823"/>
      <c r="I2823"/>
      <c r="J2823" s="4"/>
      <c r="K2823" s="34" t="s">
        <v>2130</v>
      </c>
    </row>
    <row r="2824" spans="1:11" hidden="1">
      <c r="A2824" s="386"/>
      <c r="F2824"/>
      <c r="G2824" s="3"/>
      <c r="H2824" t="s">
        <v>3040</v>
      </c>
      <c r="I2824"/>
      <c r="J2824" s="4"/>
      <c r="K2824" s="34"/>
    </row>
    <row r="2825" spans="1:11" hidden="1">
      <c r="A2825" s="386"/>
      <c r="F2825">
        <v>1</v>
      </c>
      <c r="G2825" s="3" t="s">
        <v>1454</v>
      </c>
      <c r="H2825" t="s">
        <v>3521</v>
      </c>
      <c r="I2825">
        <v>160</v>
      </c>
      <c r="J2825" s="4" t="s">
        <v>1458</v>
      </c>
      <c r="K2825" s="34">
        <f>F2825*I2825</f>
        <v>160</v>
      </c>
    </row>
    <row r="2826" spans="1:11" hidden="1">
      <c r="A2826" s="386"/>
      <c r="F2826">
        <v>2</v>
      </c>
      <c r="G2826" s="3" t="s">
        <v>1454</v>
      </c>
      <c r="H2826" t="s">
        <v>3522</v>
      </c>
      <c r="I2826">
        <v>149</v>
      </c>
      <c r="J2826" s="4" t="s">
        <v>1458</v>
      </c>
      <c r="K2826" s="34">
        <f>F2826*I2826</f>
        <v>298</v>
      </c>
    </row>
    <row r="2827" spans="1:11" hidden="1">
      <c r="A2827" s="386"/>
      <c r="F2827">
        <v>3</v>
      </c>
      <c r="G2827" s="3" t="s">
        <v>1454</v>
      </c>
      <c r="H2827" t="s">
        <v>2430</v>
      </c>
      <c r="I2827">
        <v>110</v>
      </c>
      <c r="J2827" s="4" t="s">
        <v>1458</v>
      </c>
      <c r="K2827" s="34">
        <f>F2827*I2827</f>
        <v>330</v>
      </c>
    </row>
    <row r="2828" spans="1:11" hidden="1">
      <c r="A2828" s="386"/>
      <c r="F2828"/>
      <c r="G2828" s="3"/>
      <c r="H2828"/>
      <c r="I2828"/>
      <c r="J2828" s="4"/>
      <c r="K2828" s="34" t="s">
        <v>1667</v>
      </c>
    </row>
    <row r="2829" spans="1:11" hidden="1">
      <c r="A2829" s="386"/>
      <c r="F2829"/>
      <c r="G2829" s="3"/>
      <c r="H2829" t="s">
        <v>3041</v>
      </c>
      <c r="I2829"/>
      <c r="J2829" s="4"/>
      <c r="K2829" s="34">
        <f>SUM(K2825:K2828)</f>
        <v>788</v>
      </c>
    </row>
    <row r="2830" spans="1:11" hidden="1">
      <c r="A2830" s="386"/>
      <c r="F2830"/>
      <c r="G2830" s="3"/>
      <c r="H2830" t="s">
        <v>3042</v>
      </c>
      <c r="I2830"/>
      <c r="J2830" s="4"/>
      <c r="K2830" s="34">
        <f>K2829/16</f>
        <v>49.25</v>
      </c>
    </row>
    <row r="2831" spans="1:11" hidden="1">
      <c r="A2831" s="386"/>
      <c r="F2831"/>
      <c r="G2831" s="3"/>
      <c r="H2831"/>
      <c r="I2831"/>
      <c r="J2831" s="4"/>
      <c r="K2831" s="34" t="s">
        <v>1667</v>
      </c>
    </row>
    <row r="2832" spans="1:11" hidden="1">
      <c r="A2832" s="386"/>
    </row>
    <row r="2833" spans="1:18">
      <c r="A2833" s="386"/>
    </row>
    <row r="2834" spans="1:18">
      <c r="A2834" s="386"/>
      <c r="H2834" s="470" t="s">
        <v>3043</v>
      </c>
    </row>
    <row r="2835" spans="1:18">
      <c r="A2835" s="386"/>
    </row>
    <row r="2836" spans="1:18">
      <c r="A2836" s="386"/>
      <c r="H2836" s="470" t="s">
        <v>3044</v>
      </c>
    </row>
    <row r="2837" spans="1:18" ht="22.5" customHeight="1">
      <c r="A2837" s="386"/>
      <c r="H2837" s="254" t="s">
        <v>3045</v>
      </c>
      <c r="O2837" s="471" t="s">
        <v>3046</v>
      </c>
    </row>
    <row r="2838" spans="1:18">
      <c r="A2838" s="386"/>
      <c r="H2838" s="254" t="s">
        <v>3047</v>
      </c>
    </row>
    <row r="2839" spans="1:18">
      <c r="A2839" s="386"/>
    </row>
    <row r="2840" spans="1:18">
      <c r="A2840" s="386"/>
      <c r="H2840" s="254" t="s">
        <v>3048</v>
      </c>
    </row>
    <row r="2841" spans="1:18">
      <c r="A2841" s="386"/>
    </row>
    <row r="2842" spans="1:18" ht="170.25" customHeight="1">
      <c r="A2842" s="386"/>
      <c r="H2842" s="472" t="s">
        <v>911</v>
      </c>
      <c r="M2842" s="473"/>
      <c r="N2842" s="473"/>
      <c r="O2842" s="472" t="s">
        <v>1045</v>
      </c>
      <c r="P2842" s="473"/>
      <c r="Q2842" s="473"/>
      <c r="R2842" s="473"/>
    </row>
    <row r="2843" spans="1:18" ht="31.5">
      <c r="A2843" s="386"/>
      <c r="F2843" s="473">
        <v>90</v>
      </c>
      <c r="G2843" s="473" t="s">
        <v>840</v>
      </c>
      <c r="H2843" s="394" t="s">
        <v>2662</v>
      </c>
      <c r="I2843" s="474">
        <v>12.8</v>
      </c>
      <c r="J2843" s="473" t="s">
        <v>2663</v>
      </c>
      <c r="K2843" s="478">
        <f>F2843*I2843</f>
        <v>1152</v>
      </c>
      <c r="M2843" s="473"/>
      <c r="N2843" s="473"/>
      <c r="O2843" s="471"/>
      <c r="P2843" s="473"/>
      <c r="Q2843" s="473"/>
      <c r="R2843" s="473"/>
    </row>
    <row r="2844" spans="1:18" ht="31.5">
      <c r="A2844" s="386"/>
      <c r="E2844" s="473"/>
      <c r="F2844" s="473">
        <v>45</v>
      </c>
      <c r="G2844" s="473" t="s">
        <v>840</v>
      </c>
      <c r="H2844" s="472" t="s">
        <v>2466</v>
      </c>
      <c r="I2844" s="474">
        <v>19.5</v>
      </c>
      <c r="J2844" s="473" t="s">
        <v>2467</v>
      </c>
      <c r="K2844" s="478">
        <f>F2844*I2844</f>
        <v>877.5</v>
      </c>
      <c r="L2844" s="473"/>
      <c r="M2844" s="473"/>
      <c r="N2844" s="473"/>
      <c r="P2844" s="473" t="s">
        <v>995</v>
      </c>
      <c r="Q2844" s="473"/>
      <c r="R2844" s="473"/>
    </row>
    <row r="2845" spans="1:18">
      <c r="A2845" s="386"/>
      <c r="E2845" s="473"/>
      <c r="F2845" s="473">
        <v>20</v>
      </c>
      <c r="G2845" s="473" t="s">
        <v>1454</v>
      </c>
      <c r="H2845" s="473" t="s">
        <v>2468</v>
      </c>
      <c r="I2845" s="474">
        <v>3.15</v>
      </c>
      <c r="J2845" s="473" t="s">
        <v>1454</v>
      </c>
      <c r="K2845" s="478">
        <f>F2845*I2845</f>
        <v>63</v>
      </c>
      <c r="L2845" s="473"/>
      <c r="M2845" s="473"/>
      <c r="N2845" s="473"/>
      <c r="O2845" s="473"/>
      <c r="P2845" s="473"/>
      <c r="Q2845" s="473"/>
      <c r="R2845" s="473"/>
    </row>
    <row r="2846" spans="1:18" ht="16.5" customHeight="1">
      <c r="A2846" s="386"/>
      <c r="E2846" s="473"/>
      <c r="F2846" s="473">
        <v>10</v>
      </c>
      <c r="G2846" s="473" t="s">
        <v>1454</v>
      </c>
      <c r="H2846" s="473" t="s">
        <v>3571</v>
      </c>
      <c r="I2846" s="475">
        <f>15.7/12</f>
        <v>1.31</v>
      </c>
      <c r="J2846" s="473" t="s">
        <v>1454</v>
      </c>
      <c r="K2846" s="478">
        <f>F2846*I2846</f>
        <v>13.1</v>
      </c>
      <c r="L2846" s="473"/>
      <c r="M2846" s="473">
        <v>90</v>
      </c>
      <c r="N2846" s="473" t="s">
        <v>840</v>
      </c>
      <c r="O2846" s="394" t="s">
        <v>2662</v>
      </c>
      <c r="P2846" s="473">
        <f>I2856</f>
        <v>12.8</v>
      </c>
      <c r="Q2846" s="473" t="s">
        <v>840</v>
      </c>
      <c r="R2846" s="473">
        <f>M2846*P2846</f>
        <v>1152</v>
      </c>
    </row>
    <row r="2847" spans="1:18" ht="18.75" customHeight="1">
      <c r="A2847" s="386"/>
      <c r="E2847" s="473"/>
      <c r="F2847" s="473">
        <v>1</v>
      </c>
      <c r="G2847" s="473" t="s">
        <v>1454</v>
      </c>
      <c r="H2847" s="473" t="s">
        <v>3572</v>
      </c>
      <c r="I2847" s="475">
        <v>64</v>
      </c>
      <c r="J2847" s="473" t="s">
        <v>1454</v>
      </c>
      <c r="K2847" s="478">
        <f>F2847*I2847</f>
        <v>64</v>
      </c>
      <c r="L2847" s="473"/>
      <c r="M2847" s="473">
        <v>45</v>
      </c>
      <c r="N2847" s="473" t="s">
        <v>840</v>
      </c>
      <c r="O2847" s="472" t="s">
        <v>2466</v>
      </c>
      <c r="P2847" s="473">
        <f>I2844</f>
        <v>19.5</v>
      </c>
      <c r="Q2847" s="473" t="s">
        <v>2467</v>
      </c>
      <c r="R2847" s="473">
        <f>M2847*P2847</f>
        <v>877.5</v>
      </c>
    </row>
    <row r="2848" spans="1:18">
      <c r="A2848" s="386"/>
      <c r="E2848" s="473"/>
      <c r="F2848" s="473"/>
      <c r="G2848" s="473"/>
      <c r="H2848" s="473"/>
      <c r="I2848" s="473"/>
      <c r="J2848" s="473"/>
      <c r="K2848" s="478"/>
      <c r="L2848" s="473"/>
      <c r="M2848" s="473">
        <v>75</v>
      </c>
      <c r="N2848" s="473" t="s">
        <v>1454</v>
      </c>
      <c r="O2848" s="473" t="s">
        <v>3573</v>
      </c>
      <c r="P2848" s="473">
        <v>2.5</v>
      </c>
      <c r="Q2848" s="473" t="s">
        <v>3574</v>
      </c>
      <c r="R2848" s="473">
        <f>M2848*P2848/12</f>
        <v>15.63</v>
      </c>
    </row>
    <row r="2849" spans="1:18">
      <c r="A2849" s="386"/>
      <c r="E2849" s="473"/>
      <c r="F2849" s="476">
        <v>1.4999999999999999E-2</v>
      </c>
      <c r="G2849" s="473" t="s">
        <v>2371</v>
      </c>
      <c r="H2849" s="473" t="s">
        <v>3440</v>
      </c>
      <c r="I2849" s="474">
        <v>640</v>
      </c>
      <c r="J2849" s="473" t="s">
        <v>2371</v>
      </c>
      <c r="K2849" s="478">
        <f t="shared" ref="K2849:K2856" si="92">F2849*I2849</f>
        <v>9.6</v>
      </c>
      <c r="L2849" s="473"/>
      <c r="M2849" s="473">
        <v>12</v>
      </c>
      <c r="N2849" s="473" t="s">
        <v>1454</v>
      </c>
      <c r="O2849" s="473" t="s">
        <v>2468</v>
      </c>
      <c r="P2849" s="473">
        <f>I2845</f>
        <v>3.15</v>
      </c>
      <c r="Q2849" s="473" t="s">
        <v>1454</v>
      </c>
      <c r="R2849" s="473">
        <f>M2849*P2849</f>
        <v>37.799999999999997</v>
      </c>
    </row>
    <row r="2850" spans="1:18">
      <c r="A2850" s="386"/>
      <c r="E2850" s="473"/>
      <c r="F2850" s="473">
        <v>10</v>
      </c>
      <c r="G2850" s="473" t="s">
        <v>1454</v>
      </c>
      <c r="H2850" s="473" t="s">
        <v>3441</v>
      </c>
      <c r="I2850" s="474">
        <f>ROUND(194/12,2)</f>
        <v>16.170000000000002</v>
      </c>
      <c r="J2850" s="473" t="s">
        <v>1454</v>
      </c>
      <c r="K2850" s="478">
        <f t="shared" si="92"/>
        <v>161.69999999999999</v>
      </c>
      <c r="L2850" s="473"/>
      <c r="M2850" s="473">
        <v>6</v>
      </c>
      <c r="N2850" s="473" t="s">
        <v>1454</v>
      </c>
      <c r="O2850" s="473" t="s">
        <v>3571</v>
      </c>
      <c r="P2850" s="473">
        <f>I2846</f>
        <v>1.31</v>
      </c>
      <c r="Q2850" s="473" t="s">
        <v>1454</v>
      </c>
      <c r="R2850" s="473">
        <f>M2850*P2850</f>
        <v>7.86</v>
      </c>
    </row>
    <row r="2851" spans="1:18">
      <c r="A2851" s="386"/>
      <c r="E2851" s="473"/>
      <c r="F2851" s="473">
        <v>10</v>
      </c>
      <c r="G2851" s="473" t="s">
        <v>1454</v>
      </c>
      <c r="H2851" s="473" t="s">
        <v>2755</v>
      </c>
      <c r="I2851" s="474">
        <v>15.75</v>
      </c>
      <c r="J2851" s="473" t="s">
        <v>1454</v>
      </c>
      <c r="K2851" s="478">
        <f t="shared" si="92"/>
        <v>157.5</v>
      </c>
      <c r="L2851" s="473"/>
      <c r="M2851" s="473">
        <v>150</v>
      </c>
      <c r="N2851" s="473" t="s">
        <v>1492</v>
      </c>
      <c r="O2851" s="473" t="s">
        <v>2756</v>
      </c>
      <c r="P2851" s="473">
        <v>300</v>
      </c>
      <c r="Q2851" s="473">
        <v>1000</v>
      </c>
      <c r="R2851" s="473">
        <f>(M2851*P2851)/1000</f>
        <v>45</v>
      </c>
    </row>
    <row r="2852" spans="1:18">
      <c r="A2852" s="386"/>
      <c r="E2852" s="473"/>
      <c r="F2852" s="473">
        <v>10</v>
      </c>
      <c r="G2852" s="473" t="s">
        <v>1454</v>
      </c>
      <c r="H2852" s="473" t="s">
        <v>2757</v>
      </c>
      <c r="I2852" s="474">
        <f>42/12</f>
        <v>3.5</v>
      </c>
      <c r="J2852" s="473" t="s">
        <v>1454</v>
      </c>
      <c r="K2852" s="478">
        <f t="shared" si="92"/>
        <v>35</v>
      </c>
      <c r="L2852" s="473"/>
      <c r="M2852" s="476">
        <v>7</v>
      </c>
      <c r="N2852" s="473" t="s">
        <v>1492</v>
      </c>
      <c r="O2852" s="473" t="s">
        <v>2758</v>
      </c>
      <c r="P2852" s="473">
        <f>I2852</f>
        <v>3.5</v>
      </c>
      <c r="Q2852" s="473" t="s">
        <v>1454</v>
      </c>
      <c r="R2852" s="473">
        <f>M2852*P2852</f>
        <v>24.5</v>
      </c>
    </row>
    <row r="2853" spans="1:18">
      <c r="A2853" s="386"/>
      <c r="E2853" s="473"/>
      <c r="F2853" s="473">
        <v>1.25</v>
      </c>
      <c r="G2853" s="473" t="s">
        <v>2759</v>
      </c>
      <c r="H2853" s="473" t="s">
        <v>391</v>
      </c>
      <c r="I2853" s="474">
        <v>260</v>
      </c>
      <c r="J2853" s="473" t="s">
        <v>2759</v>
      </c>
      <c r="K2853" s="478">
        <f t="shared" si="92"/>
        <v>325</v>
      </c>
      <c r="L2853" s="473"/>
      <c r="M2853" s="473">
        <v>6</v>
      </c>
      <c r="N2853" s="473" t="s">
        <v>1454</v>
      </c>
      <c r="O2853" s="473" t="s">
        <v>2755</v>
      </c>
      <c r="P2853" s="473">
        <f>I2851</f>
        <v>15.75</v>
      </c>
      <c r="Q2853" s="473" t="s">
        <v>1458</v>
      </c>
      <c r="R2853" s="473">
        <f>M2853*P2853</f>
        <v>94.5</v>
      </c>
    </row>
    <row r="2854" spans="1:18">
      <c r="A2854" s="386"/>
      <c r="E2854" s="473"/>
      <c r="F2854" s="473">
        <v>10</v>
      </c>
      <c r="G2854" s="473" t="s">
        <v>1454</v>
      </c>
      <c r="H2854" s="473" t="s">
        <v>2760</v>
      </c>
      <c r="I2854" s="475">
        <f>I2847</f>
        <v>64</v>
      </c>
      <c r="J2854" s="473" t="s">
        <v>1454</v>
      </c>
      <c r="K2854" s="478">
        <f t="shared" si="92"/>
        <v>640</v>
      </c>
      <c r="L2854" s="473"/>
      <c r="M2854" s="473">
        <v>6</v>
      </c>
      <c r="N2854" s="473" t="s">
        <v>1454</v>
      </c>
      <c r="O2854" s="473" t="s">
        <v>2761</v>
      </c>
      <c r="P2854" s="473">
        <v>167</v>
      </c>
      <c r="Q2854" s="473" t="s">
        <v>3574</v>
      </c>
      <c r="R2854" s="473">
        <f>(M2854*P2854)/12</f>
        <v>83.5</v>
      </c>
    </row>
    <row r="2855" spans="1:18">
      <c r="A2855" s="386"/>
      <c r="E2855" s="473"/>
      <c r="F2855" s="473">
        <v>0.15</v>
      </c>
      <c r="G2855" s="473" t="s">
        <v>2371</v>
      </c>
      <c r="H2855" s="473" t="s">
        <v>2762</v>
      </c>
      <c r="I2855" s="474">
        <f>I2849</f>
        <v>640</v>
      </c>
      <c r="J2855" s="473" t="s">
        <v>2371</v>
      </c>
      <c r="K2855" s="478">
        <f t="shared" si="92"/>
        <v>96</v>
      </c>
      <c r="L2855" s="473"/>
      <c r="M2855" s="473">
        <v>1</v>
      </c>
      <c r="N2855" s="473" t="s">
        <v>2763</v>
      </c>
      <c r="O2855" s="473" t="s">
        <v>2764</v>
      </c>
      <c r="P2855" s="473">
        <v>64</v>
      </c>
      <c r="Q2855" s="473" t="s">
        <v>2763</v>
      </c>
      <c r="R2855" s="473">
        <f>(M2855*P2855)</f>
        <v>64</v>
      </c>
    </row>
    <row r="2856" spans="1:18" ht="31.5">
      <c r="A2856" s="386"/>
      <c r="E2856" s="473"/>
      <c r="F2856" s="473">
        <v>45</v>
      </c>
      <c r="G2856" s="473"/>
      <c r="H2856" s="394" t="s">
        <v>2765</v>
      </c>
      <c r="I2856" s="474">
        <f>I2843</f>
        <v>12.8</v>
      </c>
      <c r="J2856" s="473" t="s">
        <v>3484</v>
      </c>
      <c r="K2856" s="478">
        <f t="shared" si="92"/>
        <v>576</v>
      </c>
      <c r="L2856" s="473"/>
      <c r="M2856" s="473">
        <v>6</v>
      </c>
      <c r="N2856" s="473" t="s">
        <v>1492</v>
      </c>
      <c r="O2856" s="472" t="s">
        <v>3485</v>
      </c>
      <c r="P2856" s="473">
        <v>168.95</v>
      </c>
      <c r="Q2856" s="473" t="s">
        <v>2759</v>
      </c>
      <c r="R2856" s="473">
        <f>M2856*P2856</f>
        <v>1013.7</v>
      </c>
    </row>
    <row r="2857" spans="1:18">
      <c r="A2857" s="386"/>
      <c r="E2857" s="473"/>
      <c r="F2857" s="473" t="s">
        <v>667</v>
      </c>
      <c r="G2857" s="473"/>
      <c r="H2857" s="473" t="s">
        <v>931</v>
      </c>
      <c r="I2857" s="473"/>
      <c r="J2857" s="473" t="s">
        <v>667</v>
      </c>
      <c r="K2857" s="478">
        <f>K2873</f>
        <v>3475</v>
      </c>
      <c r="L2857" s="473"/>
      <c r="M2857" s="477">
        <v>0.16666666666666666</v>
      </c>
      <c r="N2857" s="473" t="s">
        <v>3486</v>
      </c>
      <c r="O2857" s="473" t="s">
        <v>391</v>
      </c>
      <c r="P2857" s="473">
        <v>190</v>
      </c>
      <c r="Q2857" s="473" t="s">
        <v>3486</v>
      </c>
      <c r="R2857" s="473">
        <f>M2857*P2857</f>
        <v>31.67</v>
      </c>
    </row>
    <row r="2858" spans="1:18" ht="47.25">
      <c r="A2858" s="386"/>
      <c r="E2858" s="473"/>
      <c r="F2858" s="473" t="s">
        <v>667</v>
      </c>
      <c r="G2858" s="473"/>
      <c r="H2858" s="473" t="s">
        <v>2359</v>
      </c>
      <c r="I2858" s="473"/>
      <c r="J2858" s="473" t="s">
        <v>667</v>
      </c>
      <c r="K2858" s="478">
        <v>14.6</v>
      </c>
      <c r="L2858" s="473">
        <f>L2860-K2859</f>
        <v>-770</v>
      </c>
      <c r="M2858" s="473">
        <v>45</v>
      </c>
      <c r="N2858" s="473" t="s">
        <v>3646</v>
      </c>
      <c r="O2858" s="394" t="s">
        <v>2765</v>
      </c>
      <c r="P2858" s="473">
        <f>P2846</f>
        <v>12.8</v>
      </c>
      <c r="Q2858" s="473" t="s">
        <v>2371</v>
      </c>
      <c r="R2858" s="473">
        <f>M2858*P2858</f>
        <v>576</v>
      </c>
    </row>
    <row r="2859" spans="1:18">
      <c r="A2859" s="386"/>
      <c r="E2859" s="473"/>
      <c r="F2859" s="473"/>
      <c r="G2859" s="473"/>
      <c r="H2859" s="478" t="s">
        <v>3487</v>
      </c>
      <c r="I2859" s="473"/>
      <c r="J2859" s="473"/>
      <c r="K2859" s="571">
        <f>SUM(K2843:K2858)</f>
        <v>7660</v>
      </c>
      <c r="L2859" s="473"/>
      <c r="M2859" s="473">
        <v>6</v>
      </c>
      <c r="N2859" s="473" t="s">
        <v>3488</v>
      </c>
      <c r="O2859" s="473" t="s">
        <v>931</v>
      </c>
      <c r="P2859" s="473">
        <f>R2877</f>
        <v>371.5</v>
      </c>
      <c r="Q2859" s="473" t="s">
        <v>3488</v>
      </c>
      <c r="R2859" s="473">
        <f>M2859*P2859</f>
        <v>2229</v>
      </c>
    </row>
    <row r="2860" spans="1:18">
      <c r="A2860" s="386"/>
      <c r="E2860" s="473"/>
      <c r="F2860" s="473"/>
      <c r="G2860" s="473"/>
      <c r="H2860" s="480" t="s">
        <v>3489</v>
      </c>
      <c r="I2860" s="473"/>
      <c r="J2860" s="473"/>
      <c r="K2860" s="480">
        <f>K2859/10</f>
        <v>766</v>
      </c>
      <c r="L2860" s="473">
        <f>689*10</f>
        <v>6890</v>
      </c>
      <c r="M2860" s="473"/>
      <c r="N2860" s="473" t="s">
        <v>72</v>
      </c>
      <c r="O2860" s="473" t="s">
        <v>3490</v>
      </c>
      <c r="P2860" s="473"/>
      <c r="Q2860" s="473"/>
      <c r="R2860" s="473">
        <v>7.35</v>
      </c>
    </row>
    <row r="2861" spans="1:18">
      <c r="A2861" s="386"/>
      <c r="E2861" s="473"/>
      <c r="F2861" s="473"/>
      <c r="G2861" s="473"/>
      <c r="H2861" s="473"/>
      <c r="I2861" s="473"/>
      <c r="J2861" s="473"/>
      <c r="K2861" s="478"/>
      <c r="L2861" s="473"/>
      <c r="M2861" s="473"/>
      <c r="N2861" s="473"/>
      <c r="P2861" s="473"/>
      <c r="Q2861" s="473"/>
      <c r="R2861" s="473"/>
    </row>
    <row r="2862" spans="1:18">
      <c r="A2862" s="386"/>
      <c r="E2862" s="473"/>
      <c r="F2862" s="473"/>
      <c r="G2862" s="473"/>
      <c r="H2862" s="481" t="s">
        <v>3491</v>
      </c>
      <c r="I2862" s="473"/>
      <c r="J2862" s="473"/>
      <c r="K2862" s="478"/>
      <c r="L2862" s="473">
        <f>7660-K2859</f>
        <v>0</v>
      </c>
      <c r="M2862" s="473"/>
      <c r="N2862" s="473"/>
      <c r="O2862" s="478" t="s">
        <v>3492</v>
      </c>
      <c r="P2862" s="473"/>
      <c r="Q2862" s="473"/>
      <c r="R2862" s="479">
        <f>SUM(R2846:R2861)</f>
        <v>6260.01</v>
      </c>
    </row>
    <row r="2863" spans="1:18">
      <c r="A2863" s="386"/>
      <c r="E2863" s="473"/>
      <c r="F2863" s="473"/>
      <c r="G2863" s="473"/>
      <c r="H2863" s="473"/>
      <c r="I2863" s="473"/>
      <c r="J2863" s="473"/>
      <c r="K2863" s="478"/>
      <c r="L2863" s="473"/>
      <c r="M2863" s="473"/>
      <c r="N2863" s="473"/>
      <c r="O2863" s="480" t="s">
        <v>3489</v>
      </c>
      <c r="P2863" s="473"/>
      <c r="Q2863" s="473"/>
      <c r="R2863" s="481">
        <f>R2862/6</f>
        <v>1043.3399999999999</v>
      </c>
    </row>
    <row r="2864" spans="1:18">
      <c r="A2864" s="386"/>
      <c r="E2864" s="473"/>
      <c r="F2864" s="473"/>
      <c r="G2864" s="473"/>
      <c r="H2864" s="481" t="s">
        <v>3569</v>
      </c>
      <c r="I2864" s="473"/>
      <c r="J2864" s="473"/>
      <c r="K2864" s="478"/>
      <c r="L2864" s="473"/>
      <c r="M2864" s="473"/>
      <c r="N2864" s="473"/>
      <c r="O2864" s="473"/>
      <c r="P2864" s="473"/>
      <c r="Q2864" s="473"/>
      <c r="R2864" s="473"/>
    </row>
    <row r="2865" spans="1:18">
      <c r="A2865" s="386"/>
      <c r="E2865" s="473"/>
      <c r="F2865" s="473"/>
      <c r="G2865" s="473"/>
      <c r="H2865" s="473"/>
      <c r="I2865" s="473"/>
      <c r="J2865" s="473"/>
      <c r="K2865" s="478"/>
      <c r="L2865" s="473"/>
      <c r="M2865" s="473"/>
    </row>
    <row r="2866" spans="1:18">
      <c r="A2866" s="386"/>
      <c r="E2866" s="473"/>
      <c r="F2866" s="473">
        <v>1</v>
      </c>
      <c r="G2866" s="473" t="s">
        <v>1454</v>
      </c>
      <c r="H2866" s="473" t="s">
        <v>3493</v>
      </c>
      <c r="I2866" s="473">
        <v>277</v>
      </c>
      <c r="J2866" s="473" t="s">
        <v>1454</v>
      </c>
      <c r="K2866" s="478">
        <f>F2866*I2866</f>
        <v>277</v>
      </c>
      <c r="L2866" s="473"/>
      <c r="M2866" s="473"/>
      <c r="N2866" s="481" t="s">
        <v>3491</v>
      </c>
      <c r="O2866" s="473"/>
      <c r="P2866" s="473"/>
      <c r="Q2866" s="473"/>
    </row>
    <row r="2867" spans="1:18">
      <c r="A2867" s="386"/>
      <c r="E2867" s="473"/>
      <c r="F2867" s="473">
        <v>2</v>
      </c>
      <c r="G2867" s="473" t="s">
        <v>1454</v>
      </c>
      <c r="H2867" s="473" t="s">
        <v>3494</v>
      </c>
      <c r="I2867" s="473">
        <v>254</v>
      </c>
      <c r="J2867" s="473" t="s">
        <v>1454</v>
      </c>
      <c r="K2867" s="478">
        <f>F2867*I2867</f>
        <v>508</v>
      </c>
      <c r="L2867" s="473"/>
      <c r="M2867" s="473"/>
      <c r="N2867" s="473"/>
      <c r="O2867" s="473"/>
      <c r="P2867" s="473"/>
      <c r="Q2867" s="473"/>
    </row>
    <row r="2868" spans="1:18">
      <c r="A2868" s="386"/>
      <c r="E2868" s="473"/>
      <c r="F2868" s="473">
        <v>3</v>
      </c>
      <c r="G2868" s="473" t="s">
        <v>1454</v>
      </c>
      <c r="H2868" s="473" t="s">
        <v>3495</v>
      </c>
      <c r="I2868" s="473">
        <v>240</v>
      </c>
      <c r="J2868" s="473" t="s">
        <v>1454</v>
      </c>
      <c r="K2868" s="478">
        <f>F2868*I2868</f>
        <v>720</v>
      </c>
      <c r="L2868" s="473"/>
      <c r="M2868" s="473"/>
      <c r="N2868" s="481" t="s">
        <v>3569</v>
      </c>
      <c r="O2868" s="473"/>
      <c r="P2868" s="473"/>
      <c r="Q2868" s="473"/>
    </row>
    <row r="2869" spans="1:18">
      <c r="A2869" s="386"/>
      <c r="E2869" s="473"/>
      <c r="F2869" s="473">
        <v>4</v>
      </c>
      <c r="G2869" s="473" t="s">
        <v>1454</v>
      </c>
      <c r="H2869" s="473" t="s">
        <v>2430</v>
      </c>
      <c r="I2869" s="473">
        <v>181</v>
      </c>
      <c r="J2869" s="473" t="s">
        <v>1454</v>
      </c>
      <c r="K2869" s="478">
        <f>F2869*I2869</f>
        <v>724</v>
      </c>
      <c r="L2869" s="473"/>
      <c r="M2869" s="473"/>
      <c r="N2869" s="473"/>
      <c r="O2869" s="473"/>
      <c r="P2869" s="473"/>
      <c r="Q2869" s="473"/>
    </row>
    <row r="2870" spans="1:18">
      <c r="A2870" s="386"/>
      <c r="E2870" s="473"/>
      <c r="F2870" s="473"/>
      <c r="G2870" s="473"/>
      <c r="H2870" s="481" t="s">
        <v>3259</v>
      </c>
      <c r="I2870" s="473"/>
      <c r="J2870" s="473"/>
      <c r="K2870" s="478"/>
      <c r="M2870" s="473">
        <v>1</v>
      </c>
      <c r="N2870" s="473" t="s">
        <v>1454</v>
      </c>
      <c r="O2870" s="473" t="s">
        <v>3493</v>
      </c>
      <c r="P2870" s="473">
        <f>I2866</f>
        <v>277</v>
      </c>
      <c r="Q2870" s="473" t="s">
        <v>1454</v>
      </c>
      <c r="R2870" s="473">
        <f>M2870*P2870</f>
        <v>277</v>
      </c>
    </row>
    <row r="2871" spans="1:18" ht="18">
      <c r="A2871" s="386"/>
      <c r="E2871" s="473"/>
      <c r="F2871" s="473">
        <v>2</v>
      </c>
      <c r="G2871" s="473" t="s">
        <v>1454</v>
      </c>
      <c r="H2871" s="473" t="s">
        <v>2988</v>
      </c>
      <c r="I2871" s="482">
        <v>261</v>
      </c>
      <c r="J2871" s="473" t="s">
        <v>1454</v>
      </c>
      <c r="K2871" s="478">
        <f>F2871*I2871</f>
        <v>522</v>
      </c>
      <c r="M2871" s="473">
        <v>2</v>
      </c>
      <c r="N2871" s="473" t="s">
        <v>1454</v>
      </c>
      <c r="O2871" s="473" t="s">
        <v>3494</v>
      </c>
      <c r="P2871" s="473">
        <f>I2867</f>
        <v>254</v>
      </c>
      <c r="Q2871" s="473" t="s">
        <v>1454</v>
      </c>
      <c r="R2871" s="473">
        <f>M2871*P2871</f>
        <v>508</v>
      </c>
    </row>
    <row r="2872" spans="1:18">
      <c r="A2872" s="386"/>
      <c r="E2872" s="473"/>
      <c r="F2872" s="473">
        <v>4</v>
      </c>
      <c r="G2872" s="473" t="s">
        <v>1454</v>
      </c>
      <c r="H2872" s="473" t="s">
        <v>3246</v>
      </c>
      <c r="I2872" s="473">
        <f>I2869</f>
        <v>181</v>
      </c>
      <c r="J2872" s="473" t="s">
        <v>1454</v>
      </c>
      <c r="K2872" s="478">
        <f>F2872*I2872</f>
        <v>724</v>
      </c>
      <c r="M2872" s="473">
        <v>3</v>
      </c>
      <c r="N2872" s="473" t="s">
        <v>1454</v>
      </c>
      <c r="O2872" s="473" t="s">
        <v>3495</v>
      </c>
      <c r="P2872" s="473">
        <f>I2868</f>
        <v>240</v>
      </c>
      <c r="Q2872" s="473" t="s">
        <v>1454</v>
      </c>
      <c r="R2872" s="473">
        <f>M2872*P2872</f>
        <v>720</v>
      </c>
    </row>
    <row r="2873" spans="1:18">
      <c r="A2873" s="386"/>
      <c r="E2873" s="473"/>
      <c r="F2873" s="473"/>
      <c r="G2873" s="473"/>
      <c r="H2873" s="473"/>
      <c r="I2873" s="473"/>
      <c r="J2873" s="473"/>
      <c r="K2873" s="572">
        <f>SUM(K2866:K2872)</f>
        <v>3475</v>
      </c>
      <c r="M2873" s="473">
        <v>4</v>
      </c>
      <c r="N2873" s="473" t="s">
        <v>1454</v>
      </c>
      <c r="O2873" s="473" t="s">
        <v>2430</v>
      </c>
      <c r="P2873" s="473">
        <f>I2869</f>
        <v>181</v>
      </c>
      <c r="Q2873" s="473" t="s">
        <v>1454</v>
      </c>
      <c r="R2873" s="473">
        <f>M2873*P2873</f>
        <v>724</v>
      </c>
    </row>
    <row r="2874" spans="1:18">
      <c r="A2874" s="386"/>
      <c r="E2874" s="473"/>
      <c r="F2874" s="473"/>
      <c r="G2874" s="473"/>
      <c r="H2874" s="473"/>
      <c r="I2874" s="473"/>
      <c r="J2874" s="473"/>
      <c r="K2874" s="571"/>
      <c r="M2874" s="473"/>
      <c r="N2874" s="473"/>
      <c r="O2874" s="473"/>
      <c r="P2874" s="473"/>
      <c r="Q2874" s="473"/>
      <c r="R2874" s="473"/>
    </row>
    <row r="2875" spans="1:18" ht="19.5" customHeight="1">
      <c r="A2875" s="386"/>
      <c r="E2875" s="473"/>
      <c r="F2875" s="473"/>
      <c r="G2875" s="473"/>
      <c r="H2875" s="254" t="s">
        <v>3260</v>
      </c>
      <c r="I2875" s="473"/>
      <c r="J2875" s="473"/>
      <c r="K2875" s="478"/>
      <c r="L2875" s="473"/>
      <c r="M2875" s="473"/>
      <c r="O2875" s="483" t="s">
        <v>2989</v>
      </c>
      <c r="R2875" s="484">
        <f>SUM(R2870:R2873)</f>
        <v>2229</v>
      </c>
    </row>
    <row r="2876" spans="1:18">
      <c r="A2876" s="386"/>
      <c r="E2876" s="473"/>
      <c r="F2876" s="473"/>
      <c r="G2876" s="473"/>
      <c r="H2876" s="254" t="s">
        <v>3580</v>
      </c>
      <c r="I2876" s="473"/>
      <c r="J2876" s="473"/>
      <c r="K2876" s="478"/>
      <c r="L2876" s="473"/>
      <c r="M2876" s="473"/>
    </row>
    <row r="2877" spans="1:18">
      <c r="A2877" s="386"/>
      <c r="E2877" s="473"/>
      <c r="F2877" s="473"/>
      <c r="G2877" s="473"/>
      <c r="H2877" s="473"/>
      <c r="I2877" s="473"/>
      <c r="J2877" s="473"/>
      <c r="K2877" s="478"/>
      <c r="L2877" s="473"/>
      <c r="M2877" s="473"/>
      <c r="Q2877" s="485" t="s">
        <v>3581</v>
      </c>
      <c r="R2877" s="255">
        <f>R2875/6</f>
        <v>371.5</v>
      </c>
    </row>
    <row r="2878" spans="1:18" ht="195" customHeight="1">
      <c r="A2878" s="386"/>
      <c r="E2878" s="473"/>
      <c r="F2878" s="473"/>
      <c r="G2878" s="473"/>
      <c r="H2878" s="472" t="s">
        <v>911</v>
      </c>
      <c r="I2878" s="473"/>
      <c r="J2878" s="473"/>
      <c r="K2878" s="478"/>
      <c r="L2878" s="473"/>
      <c r="M2878" s="473"/>
      <c r="O2878" s="472" t="s">
        <v>912</v>
      </c>
    </row>
    <row r="2879" spans="1:18" ht="31.5">
      <c r="A2879" s="386"/>
      <c r="E2879" s="473"/>
      <c r="F2879" s="473"/>
      <c r="G2879" s="473"/>
      <c r="H2879" s="473" t="s">
        <v>2564</v>
      </c>
      <c r="I2879" s="473"/>
      <c r="J2879" s="473"/>
      <c r="K2879" s="478">
        <f>K2859-K2858</f>
        <v>7645.4</v>
      </c>
      <c r="L2879" s="473"/>
      <c r="M2879" s="473">
        <v>90</v>
      </c>
      <c r="N2879" s="473" t="s">
        <v>840</v>
      </c>
      <c r="O2879" s="394" t="s">
        <v>2662</v>
      </c>
      <c r="P2879" s="473">
        <f t="shared" ref="P2879:P2887" si="93">P2846</f>
        <v>12.8</v>
      </c>
      <c r="Q2879" s="473" t="s">
        <v>840</v>
      </c>
      <c r="R2879" s="473">
        <f>M2879*P2879</f>
        <v>1152</v>
      </c>
    </row>
    <row r="2880" spans="1:18" ht="31.5">
      <c r="A2880" s="386"/>
      <c r="E2880" s="473"/>
      <c r="F2880" s="473"/>
      <c r="G2880" s="473"/>
      <c r="H2880" s="473" t="s">
        <v>2565</v>
      </c>
      <c r="I2880" s="473"/>
      <c r="J2880" s="473"/>
      <c r="K2880" s="478">
        <f>K2851</f>
        <v>157.5</v>
      </c>
      <c r="L2880" s="473"/>
      <c r="M2880" s="473">
        <v>45</v>
      </c>
      <c r="N2880" s="473" t="s">
        <v>840</v>
      </c>
      <c r="O2880" s="472" t="s">
        <v>2466</v>
      </c>
      <c r="P2880" s="473">
        <f t="shared" si="93"/>
        <v>19.5</v>
      </c>
      <c r="Q2880" s="473" t="s">
        <v>2467</v>
      </c>
      <c r="R2880" s="473">
        <f>M2880*P2880</f>
        <v>877.5</v>
      </c>
    </row>
    <row r="2881" spans="1:18">
      <c r="A2881" s="386"/>
      <c r="E2881" s="473"/>
      <c r="F2881" s="473"/>
      <c r="G2881" s="473"/>
      <c r="H2881" s="473" t="s">
        <v>1615</v>
      </c>
      <c r="I2881" s="473"/>
      <c r="J2881" s="473"/>
      <c r="K2881" s="478">
        <f>10*18.9</f>
        <v>189</v>
      </c>
      <c r="L2881" s="473"/>
      <c r="M2881" s="473">
        <v>75</v>
      </c>
      <c r="N2881" s="473" t="s">
        <v>1454</v>
      </c>
      <c r="O2881" s="473" t="s">
        <v>3573</v>
      </c>
      <c r="P2881" s="473">
        <f t="shared" si="93"/>
        <v>2.5</v>
      </c>
      <c r="Q2881" s="473" t="s">
        <v>3574</v>
      </c>
      <c r="R2881" s="473">
        <f>M2881*P2881/12</f>
        <v>15.63</v>
      </c>
    </row>
    <row r="2882" spans="1:18">
      <c r="A2882" s="386"/>
      <c r="E2882" s="473"/>
      <c r="F2882" s="473"/>
      <c r="G2882" s="473"/>
      <c r="H2882" s="473" t="s">
        <v>2359</v>
      </c>
      <c r="I2882" s="473"/>
      <c r="J2882" s="473"/>
      <c r="K2882" s="478">
        <v>13.1</v>
      </c>
      <c r="L2882" s="473"/>
      <c r="M2882" s="473">
        <v>12</v>
      </c>
      <c r="N2882" s="473" t="s">
        <v>1454</v>
      </c>
      <c r="O2882" s="473" t="s">
        <v>2468</v>
      </c>
      <c r="P2882" s="473">
        <f t="shared" si="93"/>
        <v>3.15</v>
      </c>
      <c r="Q2882" s="473" t="s">
        <v>1454</v>
      </c>
      <c r="R2882" s="473">
        <f>M2882*P2882</f>
        <v>37.799999999999997</v>
      </c>
    </row>
    <row r="2883" spans="1:18">
      <c r="A2883" s="386"/>
      <c r="E2883" s="473"/>
      <c r="F2883" s="473"/>
      <c r="G2883" s="473"/>
      <c r="H2883" s="478" t="s">
        <v>2540</v>
      </c>
      <c r="I2883" s="473"/>
      <c r="J2883" s="473"/>
      <c r="K2883" s="571">
        <f>K2879-K2880+K2881+K2882</f>
        <v>7690</v>
      </c>
      <c r="L2883" s="473"/>
      <c r="M2883" s="473">
        <v>6</v>
      </c>
      <c r="N2883" s="473" t="s">
        <v>1454</v>
      </c>
      <c r="O2883" s="473" t="s">
        <v>3571</v>
      </c>
      <c r="P2883" s="473">
        <f t="shared" si="93"/>
        <v>1.31</v>
      </c>
      <c r="Q2883" s="473" t="s">
        <v>1454</v>
      </c>
      <c r="R2883" s="473">
        <f>M2883*P2883</f>
        <v>7.86</v>
      </c>
    </row>
    <row r="2884" spans="1:18">
      <c r="A2884" s="386"/>
      <c r="E2884" s="473"/>
      <c r="F2884" s="473"/>
      <c r="G2884" s="473"/>
      <c r="H2884" s="480" t="s">
        <v>2541</v>
      </c>
      <c r="I2884" s="473"/>
      <c r="J2884" s="473"/>
      <c r="K2884" s="480">
        <f>K2883/10</f>
        <v>769</v>
      </c>
      <c r="L2884" s="473"/>
      <c r="M2884" s="473">
        <v>150</v>
      </c>
      <c r="N2884" s="473" t="s">
        <v>1492</v>
      </c>
      <c r="O2884" s="473" t="s">
        <v>2756</v>
      </c>
      <c r="P2884" s="473">
        <f t="shared" si="93"/>
        <v>300</v>
      </c>
      <c r="Q2884" s="473">
        <v>1000</v>
      </c>
      <c r="R2884" s="473">
        <f>(M2884*P2884)/1000</f>
        <v>45</v>
      </c>
    </row>
    <row r="2885" spans="1:18">
      <c r="A2885" s="386"/>
      <c r="E2885" s="473"/>
      <c r="F2885" s="473"/>
      <c r="G2885" s="473"/>
      <c r="H2885" s="473"/>
      <c r="I2885" s="473"/>
      <c r="J2885" s="473"/>
      <c r="K2885" s="478"/>
      <c r="L2885" s="473"/>
      <c r="M2885" s="476">
        <v>7</v>
      </c>
      <c r="N2885" s="473" t="s">
        <v>1492</v>
      </c>
      <c r="O2885" s="473" t="s">
        <v>2758</v>
      </c>
      <c r="P2885" s="473">
        <f t="shared" si="93"/>
        <v>3.5</v>
      </c>
      <c r="Q2885" s="473" t="s">
        <v>1454</v>
      </c>
      <c r="R2885" s="473">
        <f>M2885*P2885</f>
        <v>24.5</v>
      </c>
    </row>
    <row r="2886" spans="1:18">
      <c r="A2886" s="386"/>
      <c r="E2886" s="473"/>
      <c r="F2886" s="473"/>
      <c r="G2886" s="473"/>
      <c r="H2886" s="481" t="s">
        <v>3172</v>
      </c>
      <c r="I2886" s="473"/>
      <c r="J2886" s="473"/>
      <c r="K2886" s="478"/>
      <c r="L2886" s="473"/>
      <c r="M2886" s="473">
        <v>6</v>
      </c>
      <c r="N2886" s="473" t="s">
        <v>1454</v>
      </c>
      <c r="O2886" s="473" t="s">
        <v>2755</v>
      </c>
      <c r="P2886" s="473">
        <f t="shared" si="93"/>
        <v>15.75</v>
      </c>
      <c r="Q2886" s="473" t="s">
        <v>1458</v>
      </c>
      <c r="R2886" s="473">
        <f>M2886*P2886</f>
        <v>94.5</v>
      </c>
    </row>
    <row r="2887" spans="1:18" ht="47.25">
      <c r="A2887" s="386"/>
      <c r="E2887" s="473"/>
      <c r="F2887" s="473"/>
      <c r="G2887" s="473"/>
      <c r="H2887" s="471" t="s">
        <v>3173</v>
      </c>
      <c r="I2887" s="473"/>
      <c r="J2887" s="473"/>
      <c r="K2887" s="478"/>
      <c r="L2887" s="473"/>
      <c r="M2887" s="473">
        <v>6</v>
      </c>
      <c r="N2887" s="473" t="s">
        <v>1454</v>
      </c>
      <c r="O2887" s="473" t="s">
        <v>2761</v>
      </c>
      <c r="P2887" s="473">
        <f t="shared" si="93"/>
        <v>167</v>
      </c>
      <c r="Q2887" s="473" t="s">
        <v>3574</v>
      </c>
      <c r="R2887" s="473">
        <f>(M2887*P2887)/12</f>
        <v>83.5</v>
      </c>
    </row>
    <row r="2888" spans="1:18">
      <c r="A2888" s="386"/>
      <c r="E2888" s="473"/>
      <c r="F2888" s="473"/>
      <c r="G2888" s="473"/>
      <c r="H2888" s="473"/>
      <c r="I2888" s="473"/>
      <c r="J2888" s="473"/>
      <c r="K2888" s="478"/>
      <c r="L2888" s="473"/>
      <c r="M2888" s="473">
        <v>1</v>
      </c>
      <c r="N2888" s="473" t="s">
        <v>2763</v>
      </c>
      <c r="O2888" s="473" t="s">
        <v>2764</v>
      </c>
      <c r="P2888" s="473">
        <v>64</v>
      </c>
      <c r="Q2888" s="473" t="s">
        <v>2763</v>
      </c>
      <c r="R2888" s="473">
        <f>(M2888*P2888)</f>
        <v>64</v>
      </c>
    </row>
    <row r="2889" spans="1:18" ht="94.5">
      <c r="A2889" s="386"/>
      <c r="E2889" s="473"/>
      <c r="F2889" s="473"/>
      <c r="G2889" s="473"/>
      <c r="H2889" s="472" t="s">
        <v>911</v>
      </c>
      <c r="I2889" s="473"/>
      <c r="J2889" s="473"/>
      <c r="K2889" s="478"/>
      <c r="L2889" s="473"/>
      <c r="M2889" s="473">
        <v>6</v>
      </c>
      <c r="N2889" s="473" t="s">
        <v>1492</v>
      </c>
      <c r="O2889" s="472" t="s">
        <v>3578</v>
      </c>
      <c r="P2889" s="473">
        <v>42.25</v>
      </c>
      <c r="Q2889" s="473" t="s">
        <v>2759</v>
      </c>
      <c r="R2889" s="473">
        <f>M2889*P2889</f>
        <v>253.5</v>
      </c>
    </row>
    <row r="2890" spans="1:18">
      <c r="A2890" s="386"/>
      <c r="E2890" s="473"/>
      <c r="F2890" s="473"/>
      <c r="G2890" s="473"/>
      <c r="H2890" s="473" t="s">
        <v>3579</v>
      </c>
      <c r="I2890" s="473"/>
      <c r="J2890" s="473"/>
      <c r="K2890" s="478">
        <f>K2879</f>
        <v>7645.4</v>
      </c>
      <c r="L2890" s="473"/>
      <c r="M2890" s="477">
        <v>0.16666666666666666</v>
      </c>
      <c r="N2890" s="473" t="s">
        <v>3486</v>
      </c>
      <c r="O2890" s="473" t="s">
        <v>391</v>
      </c>
      <c r="P2890" s="473">
        <f>P2857</f>
        <v>190</v>
      </c>
      <c r="Q2890" s="473" t="s">
        <v>3486</v>
      </c>
      <c r="R2890" s="473">
        <f>M2890*P2890</f>
        <v>31.67</v>
      </c>
    </row>
    <row r="2891" spans="1:18">
      <c r="A2891" s="386"/>
      <c r="E2891" s="473"/>
      <c r="F2891" s="473"/>
      <c r="G2891" s="473"/>
      <c r="H2891" s="473" t="s">
        <v>3146</v>
      </c>
      <c r="I2891" s="473"/>
      <c r="J2891" s="473"/>
      <c r="K2891" s="478">
        <f>K2880</f>
        <v>157.5</v>
      </c>
      <c r="L2891" s="473"/>
      <c r="M2891" s="473"/>
      <c r="N2891" s="473"/>
      <c r="O2891" s="394"/>
      <c r="P2891" s="473"/>
      <c r="Q2891" s="473"/>
      <c r="R2891" s="473"/>
    </row>
    <row r="2892" spans="1:18">
      <c r="A2892" s="386"/>
      <c r="E2892" s="473"/>
      <c r="F2892" s="473"/>
      <c r="G2892" s="473"/>
      <c r="H2892" s="473" t="s">
        <v>3147</v>
      </c>
      <c r="I2892" s="473"/>
      <c r="J2892" s="473"/>
      <c r="K2892" s="478">
        <f>K2852</f>
        <v>35</v>
      </c>
      <c r="L2892" s="473"/>
      <c r="M2892" s="473">
        <v>6</v>
      </c>
      <c r="N2892" s="473" t="s">
        <v>3488</v>
      </c>
      <c r="O2892" s="473" t="s">
        <v>931</v>
      </c>
      <c r="P2892" s="473">
        <f>R2877</f>
        <v>371.5</v>
      </c>
      <c r="Q2892" s="473" t="s">
        <v>3488</v>
      </c>
      <c r="R2892" s="473">
        <f>M2892*P2892</f>
        <v>2229</v>
      </c>
    </row>
    <row r="2893" spans="1:18">
      <c r="A2893" s="386"/>
      <c r="E2893" s="473"/>
      <c r="F2893" s="473"/>
      <c r="G2893" s="473"/>
      <c r="H2893" s="473" t="s">
        <v>3148</v>
      </c>
      <c r="I2893" s="473"/>
      <c r="J2893" s="473"/>
      <c r="K2893" s="478">
        <f>K2850</f>
        <v>161.69999999999999</v>
      </c>
      <c r="L2893" s="473"/>
      <c r="M2893" s="473"/>
      <c r="N2893" s="473" t="s">
        <v>72</v>
      </c>
      <c r="O2893" s="473" t="s">
        <v>3490</v>
      </c>
      <c r="P2893" s="473"/>
      <c r="Q2893" s="473"/>
      <c r="R2893" s="473">
        <v>9.0500000000000007</v>
      </c>
    </row>
    <row r="2894" spans="1:18">
      <c r="A2894" s="386"/>
      <c r="E2894" s="473"/>
      <c r="F2894" s="473"/>
      <c r="G2894" s="473"/>
      <c r="H2894" s="473" t="s">
        <v>1616</v>
      </c>
      <c r="I2894" s="473"/>
      <c r="J2894" s="473"/>
      <c r="K2894" s="573">
        <f>10*47.25</f>
        <v>472.5</v>
      </c>
      <c r="L2894" s="473"/>
      <c r="M2894" s="473"/>
      <c r="N2894" s="473"/>
      <c r="P2894" s="473"/>
      <c r="Q2894" s="473"/>
      <c r="R2894" s="473"/>
    </row>
    <row r="2895" spans="1:18">
      <c r="A2895" s="386"/>
      <c r="E2895" s="473"/>
      <c r="F2895" s="473"/>
      <c r="G2895" s="473"/>
      <c r="H2895" s="473" t="s">
        <v>3150</v>
      </c>
      <c r="I2895" s="473"/>
      <c r="J2895" s="473"/>
      <c r="K2895" s="478">
        <f>10*9</f>
        <v>90</v>
      </c>
      <c r="L2895" s="473"/>
      <c r="M2895" s="473"/>
      <c r="N2895" s="473"/>
      <c r="O2895" s="478" t="s">
        <v>3492</v>
      </c>
      <c r="P2895" s="473"/>
      <c r="Q2895" s="473"/>
      <c r="R2895" s="479">
        <f>SUM(R2879:R2894)</f>
        <v>4925.51</v>
      </c>
    </row>
    <row r="2896" spans="1:18">
      <c r="A2896" s="386"/>
      <c r="E2896" s="473"/>
      <c r="F2896" s="473"/>
      <c r="G2896" s="473"/>
      <c r="H2896" s="473" t="s">
        <v>1617</v>
      </c>
      <c r="I2896" s="473"/>
      <c r="J2896" s="473"/>
      <c r="K2896" s="573">
        <f>18.9*10</f>
        <v>189</v>
      </c>
      <c r="L2896" s="473"/>
      <c r="M2896" s="473"/>
      <c r="N2896" s="473"/>
      <c r="O2896" s="480" t="s">
        <v>3489</v>
      </c>
      <c r="P2896" s="473"/>
      <c r="Q2896" s="473"/>
      <c r="R2896" s="481">
        <f>R2895/6</f>
        <v>820.92</v>
      </c>
    </row>
    <row r="2897" spans="1:13">
      <c r="A2897" s="386"/>
      <c r="E2897" s="473"/>
      <c r="F2897" s="473"/>
      <c r="G2897" s="473"/>
      <c r="H2897" s="473" t="s">
        <v>2359</v>
      </c>
      <c r="I2897" s="473"/>
      <c r="J2897" s="473"/>
      <c r="K2897" s="478">
        <v>7.3</v>
      </c>
      <c r="L2897" s="473"/>
      <c r="M2897" s="473"/>
    </row>
    <row r="2898" spans="1:13">
      <c r="A2898" s="386"/>
      <c r="E2898" s="473"/>
      <c r="F2898" s="473"/>
      <c r="G2898" s="473"/>
      <c r="H2898" s="478" t="s">
        <v>2540</v>
      </c>
      <c r="I2898" s="473"/>
      <c r="J2898" s="473"/>
      <c r="K2898" s="571">
        <f>(K2890-K2891-K2892-K2893)+(K2894+K2895+K2896+K2897)</f>
        <v>8050</v>
      </c>
      <c r="L2898" s="473"/>
      <c r="M2898" s="473"/>
    </row>
    <row r="2899" spans="1:13">
      <c r="A2899" s="386"/>
      <c r="E2899" s="473"/>
      <c r="F2899" s="473"/>
      <c r="G2899" s="473"/>
      <c r="H2899" s="480" t="s">
        <v>3338</v>
      </c>
      <c r="I2899" s="473"/>
      <c r="J2899" s="473"/>
      <c r="K2899" s="480">
        <f>K2898/10</f>
        <v>805</v>
      </c>
      <c r="L2899" s="473"/>
      <c r="M2899" s="473"/>
    </row>
    <row r="2900" spans="1:13">
      <c r="A2900" s="386"/>
      <c r="E2900" s="473"/>
      <c r="F2900" s="473"/>
      <c r="G2900" s="473"/>
      <c r="H2900" s="473"/>
      <c r="I2900" s="473"/>
      <c r="J2900" s="473"/>
      <c r="K2900" s="478"/>
      <c r="L2900" s="473"/>
      <c r="M2900" s="473"/>
    </row>
    <row r="2901" spans="1:13">
      <c r="A2901" s="386"/>
      <c r="E2901" s="473"/>
      <c r="F2901" s="473"/>
      <c r="G2901" s="473"/>
      <c r="H2901" s="481" t="s">
        <v>3339</v>
      </c>
      <c r="I2901" s="473"/>
      <c r="J2901" s="473"/>
      <c r="K2901" s="478"/>
      <c r="L2901" s="473"/>
      <c r="M2901" s="473"/>
    </row>
    <row r="2902" spans="1:13">
      <c r="A2902" s="386"/>
      <c r="E2902" s="473"/>
      <c r="F2902" s="473"/>
      <c r="G2902" s="473"/>
      <c r="H2902" s="481" t="s">
        <v>3340</v>
      </c>
      <c r="I2902" s="473"/>
      <c r="J2902" s="473"/>
      <c r="K2902" s="478"/>
      <c r="L2902" s="473"/>
      <c r="M2902" s="473"/>
    </row>
    <row r="2903" spans="1:13" ht="94.5">
      <c r="A2903" s="386"/>
      <c r="E2903" s="473"/>
      <c r="F2903" s="473"/>
      <c r="G2903" s="473"/>
      <c r="H2903" s="472" t="s">
        <v>911</v>
      </c>
      <c r="I2903" s="473"/>
      <c r="J2903" s="473"/>
      <c r="K2903" s="478"/>
      <c r="L2903" s="473"/>
      <c r="M2903" s="473"/>
    </row>
    <row r="2904" spans="1:13">
      <c r="A2904" s="386"/>
      <c r="E2904" s="473"/>
      <c r="F2904" s="473"/>
      <c r="G2904" s="473"/>
      <c r="H2904" s="473"/>
      <c r="I2904" s="473"/>
      <c r="J2904" s="473"/>
      <c r="K2904" s="478"/>
      <c r="L2904" s="473"/>
      <c r="M2904" s="473"/>
    </row>
    <row r="2905" spans="1:13" ht="31.5">
      <c r="A2905" s="386"/>
      <c r="E2905" s="473"/>
      <c r="F2905" s="473">
        <v>90</v>
      </c>
      <c r="G2905" s="473" t="s">
        <v>840</v>
      </c>
      <c r="H2905" s="394" t="s">
        <v>2662</v>
      </c>
      <c r="I2905" s="473">
        <f>I2843</f>
        <v>12.8</v>
      </c>
      <c r="J2905" s="473" t="s">
        <v>3484</v>
      </c>
      <c r="K2905" s="478">
        <f t="shared" ref="K2905:K2917" si="94">F2905*I2905</f>
        <v>1152</v>
      </c>
      <c r="L2905" s="473"/>
      <c r="M2905" s="473"/>
    </row>
    <row r="2906" spans="1:13" ht="31.5">
      <c r="A2906" s="386"/>
      <c r="E2906" s="473"/>
      <c r="F2906" s="473">
        <v>45</v>
      </c>
      <c r="G2906" s="473" t="s">
        <v>840</v>
      </c>
      <c r="H2906" s="472" t="s">
        <v>2466</v>
      </c>
      <c r="I2906" s="473">
        <f>I2844</f>
        <v>19.5</v>
      </c>
      <c r="J2906" s="473" t="s">
        <v>840</v>
      </c>
      <c r="K2906" s="478">
        <f t="shared" si="94"/>
        <v>877.5</v>
      </c>
      <c r="L2906" s="473"/>
      <c r="M2906" s="473"/>
    </row>
    <row r="2907" spans="1:13">
      <c r="A2907" s="386"/>
      <c r="E2907" s="473"/>
      <c r="F2907" s="473">
        <v>20</v>
      </c>
      <c r="G2907" s="473" t="s">
        <v>1454</v>
      </c>
      <c r="H2907" s="473" t="s">
        <v>2468</v>
      </c>
      <c r="I2907" s="473">
        <f>I2845</f>
        <v>3.15</v>
      </c>
      <c r="J2907" s="473" t="s">
        <v>1454</v>
      </c>
      <c r="K2907" s="478">
        <f t="shared" si="94"/>
        <v>63</v>
      </c>
      <c r="L2907" s="473"/>
      <c r="M2907" s="473"/>
    </row>
    <row r="2908" spans="1:13">
      <c r="A2908" s="386"/>
      <c r="E2908" s="473"/>
      <c r="F2908" s="473">
        <v>10</v>
      </c>
      <c r="G2908" s="473" t="s">
        <v>1454</v>
      </c>
      <c r="H2908" s="473" t="s">
        <v>3571</v>
      </c>
      <c r="I2908" s="473">
        <f>I2846</f>
        <v>1.31</v>
      </c>
      <c r="J2908" s="473" t="s">
        <v>1454</v>
      </c>
      <c r="K2908" s="478">
        <f t="shared" si="94"/>
        <v>13.1</v>
      </c>
      <c r="L2908" s="473"/>
      <c r="M2908" s="473"/>
    </row>
    <row r="2909" spans="1:13">
      <c r="A2909" s="386"/>
      <c r="E2909" s="473"/>
      <c r="F2909" s="473">
        <v>10</v>
      </c>
      <c r="G2909" s="473" t="s">
        <v>1454</v>
      </c>
      <c r="H2909" s="473" t="s">
        <v>3662</v>
      </c>
      <c r="I2909" s="473">
        <f>I2852</f>
        <v>3.5</v>
      </c>
      <c r="J2909" s="473" t="s">
        <v>1454</v>
      </c>
      <c r="K2909" s="478">
        <f t="shared" si="94"/>
        <v>35</v>
      </c>
      <c r="L2909" s="473"/>
      <c r="M2909" s="473"/>
    </row>
    <row r="2910" spans="1:13">
      <c r="A2910" s="386"/>
      <c r="E2910" s="473"/>
      <c r="F2910" s="473">
        <v>10</v>
      </c>
      <c r="G2910" s="473" t="s">
        <v>1454</v>
      </c>
      <c r="H2910" s="473" t="s">
        <v>2755</v>
      </c>
      <c r="I2910" s="473">
        <f>I2851</f>
        <v>15.75</v>
      </c>
      <c r="J2910" s="473" t="s">
        <v>1454</v>
      </c>
      <c r="K2910" s="478">
        <f t="shared" si="94"/>
        <v>157.5</v>
      </c>
      <c r="L2910" s="473"/>
      <c r="M2910" s="473"/>
    </row>
    <row r="2911" spans="1:13">
      <c r="A2911" s="386"/>
      <c r="E2911" s="473"/>
      <c r="F2911" s="473">
        <v>10</v>
      </c>
      <c r="G2911" s="473" t="s">
        <v>1454</v>
      </c>
      <c r="H2911" s="473" t="s">
        <v>3441</v>
      </c>
      <c r="I2911" s="473">
        <f>I2850</f>
        <v>16.170000000000002</v>
      </c>
      <c r="J2911" s="473" t="s">
        <v>1454</v>
      </c>
      <c r="K2911" s="478">
        <f t="shared" si="94"/>
        <v>161.69999999999999</v>
      </c>
      <c r="L2911" s="473"/>
      <c r="M2911" s="473"/>
    </row>
    <row r="2912" spans="1:13">
      <c r="A2912" s="386"/>
      <c r="E2912" s="473"/>
      <c r="F2912" s="473">
        <v>10</v>
      </c>
      <c r="G2912" s="473" t="s">
        <v>1454</v>
      </c>
      <c r="H2912" s="473" t="s">
        <v>3663</v>
      </c>
      <c r="I2912" s="474">
        <v>103.9</v>
      </c>
      <c r="J2912" s="473" t="s">
        <v>1454</v>
      </c>
      <c r="K2912" s="478">
        <f t="shared" si="94"/>
        <v>1039</v>
      </c>
      <c r="L2912" s="473"/>
      <c r="M2912" s="473"/>
    </row>
    <row r="2913" spans="1:13">
      <c r="A2913" s="386"/>
      <c r="E2913" s="473"/>
      <c r="F2913" s="473">
        <v>0.6</v>
      </c>
      <c r="G2913" s="473" t="s">
        <v>2371</v>
      </c>
      <c r="H2913" s="473" t="s">
        <v>2762</v>
      </c>
      <c r="I2913" s="473">
        <f>I2849</f>
        <v>640</v>
      </c>
      <c r="J2913" s="473" t="s">
        <v>2371</v>
      </c>
      <c r="K2913" s="478">
        <f t="shared" si="94"/>
        <v>384</v>
      </c>
      <c r="L2913" s="473"/>
      <c r="M2913" s="473"/>
    </row>
    <row r="2914" spans="1:13">
      <c r="A2914" s="386"/>
      <c r="E2914" s="473"/>
      <c r="F2914" s="473">
        <v>1</v>
      </c>
      <c r="G2914" s="473" t="s">
        <v>1454</v>
      </c>
      <c r="H2914" s="473" t="s">
        <v>2967</v>
      </c>
      <c r="I2914" s="473">
        <f>I2854</f>
        <v>64</v>
      </c>
      <c r="J2914" s="473" t="s">
        <v>1454</v>
      </c>
      <c r="K2914" s="478">
        <f t="shared" si="94"/>
        <v>64</v>
      </c>
      <c r="L2914" s="473"/>
      <c r="M2914" s="473"/>
    </row>
    <row r="2915" spans="1:13">
      <c r="A2915" s="386"/>
      <c r="E2915" s="473"/>
      <c r="F2915" s="476">
        <v>1.4999999999999999E-2</v>
      </c>
      <c r="G2915" s="473" t="s">
        <v>2371</v>
      </c>
      <c r="H2915" s="473" t="s">
        <v>2762</v>
      </c>
      <c r="I2915" s="473">
        <f>I2913</f>
        <v>640</v>
      </c>
      <c r="J2915" s="473" t="s">
        <v>2371</v>
      </c>
      <c r="K2915" s="478">
        <f t="shared" si="94"/>
        <v>9.6</v>
      </c>
      <c r="L2915" s="473"/>
      <c r="M2915" s="473"/>
    </row>
    <row r="2916" spans="1:13">
      <c r="A2916" s="386"/>
      <c r="E2916" s="473"/>
      <c r="F2916" s="473">
        <v>1.25</v>
      </c>
      <c r="G2916" s="473" t="s">
        <v>2759</v>
      </c>
      <c r="H2916" s="473" t="s">
        <v>391</v>
      </c>
      <c r="I2916" s="473">
        <f>I2853</f>
        <v>260</v>
      </c>
      <c r="J2916" s="473" t="s">
        <v>2759</v>
      </c>
      <c r="K2916" s="478">
        <f t="shared" si="94"/>
        <v>325</v>
      </c>
      <c r="L2916" s="473"/>
      <c r="M2916" s="473"/>
    </row>
    <row r="2917" spans="1:13" ht="31.5">
      <c r="A2917" s="386"/>
      <c r="E2917" s="473"/>
      <c r="F2917" s="473">
        <v>45</v>
      </c>
      <c r="G2917" s="473" t="s">
        <v>840</v>
      </c>
      <c r="H2917" s="394" t="s">
        <v>2765</v>
      </c>
      <c r="I2917" s="473">
        <f>I2843</f>
        <v>12.8</v>
      </c>
      <c r="J2917" s="473" t="s">
        <v>3484</v>
      </c>
      <c r="K2917" s="478">
        <f t="shared" si="94"/>
        <v>576</v>
      </c>
      <c r="L2917" s="473"/>
      <c r="M2917" s="473"/>
    </row>
    <row r="2918" spans="1:13">
      <c r="A2918" s="386"/>
      <c r="E2918" s="473"/>
      <c r="F2918" s="473" t="s">
        <v>667</v>
      </c>
      <c r="G2918" s="473"/>
      <c r="H2918" s="473" t="s">
        <v>931</v>
      </c>
      <c r="I2918" s="473"/>
      <c r="J2918" s="473"/>
      <c r="K2918" s="478">
        <f>K2873</f>
        <v>3475</v>
      </c>
      <c r="L2918" s="473"/>
      <c r="M2918" s="473"/>
    </row>
    <row r="2919" spans="1:13">
      <c r="A2919" s="386"/>
      <c r="E2919" s="473"/>
      <c r="F2919" s="473" t="s">
        <v>667</v>
      </c>
      <c r="G2919" s="473"/>
      <c r="H2919" s="473" t="s">
        <v>2359</v>
      </c>
      <c r="I2919" s="473"/>
      <c r="J2919" s="473"/>
      <c r="K2919" s="478">
        <f>5.57+2.03</f>
        <v>7.6</v>
      </c>
      <c r="L2919" s="473">
        <f>754*10</f>
        <v>7540</v>
      </c>
      <c r="M2919" s="473"/>
    </row>
    <row r="2920" spans="1:13">
      <c r="A2920" s="386"/>
      <c r="E2920" s="473"/>
      <c r="F2920" s="473"/>
      <c r="G2920" s="473"/>
      <c r="H2920" s="478" t="s">
        <v>2540</v>
      </c>
      <c r="I2920" s="473"/>
      <c r="J2920" s="473"/>
      <c r="K2920" s="571">
        <f>SUM(K2905:K2919)</f>
        <v>8340</v>
      </c>
      <c r="L2920" s="473">
        <f>834*10-K2920</f>
        <v>0</v>
      </c>
      <c r="M2920" s="473"/>
    </row>
    <row r="2921" spans="1:13">
      <c r="A2921" s="386"/>
      <c r="E2921" s="473"/>
      <c r="F2921" s="473"/>
      <c r="G2921" s="473"/>
      <c r="H2921" s="480" t="s">
        <v>3338</v>
      </c>
      <c r="I2921" s="473"/>
      <c r="J2921" s="473"/>
      <c r="K2921" s="480">
        <f>K2920/10</f>
        <v>834</v>
      </c>
      <c r="L2921" s="473"/>
      <c r="M2921" s="473"/>
    </row>
    <row r="2922" spans="1:13">
      <c r="A2922" s="386"/>
      <c r="E2922" s="473"/>
      <c r="F2922" s="473"/>
      <c r="G2922" s="473"/>
      <c r="H2922" s="481" t="s">
        <v>3663</v>
      </c>
      <c r="I2922" s="473"/>
      <c r="J2922" s="473"/>
      <c r="K2922" s="480"/>
      <c r="L2922" s="473"/>
      <c r="M2922" s="473"/>
    </row>
    <row r="2923" spans="1:13">
      <c r="A2923" s="386"/>
      <c r="E2923" s="473"/>
      <c r="F2923" s="473"/>
      <c r="G2923" s="473"/>
      <c r="H2923" s="486" t="s">
        <v>2968</v>
      </c>
      <c r="I2923" s="473">
        <f>90</f>
        <v>90</v>
      </c>
      <c r="J2923" s="473"/>
      <c r="K2923" s="480"/>
      <c r="L2923" s="473"/>
      <c r="M2923" s="473"/>
    </row>
    <row r="2924" spans="1:13">
      <c r="A2924" s="386"/>
      <c r="E2924" s="473"/>
      <c r="F2924" s="473"/>
      <c r="G2924" s="473"/>
      <c r="H2924" s="486" t="s">
        <v>2969</v>
      </c>
      <c r="I2924" s="487">
        <v>8.2500000000000004E-2</v>
      </c>
      <c r="J2924" s="473"/>
      <c r="K2924" s="480"/>
      <c r="L2924" s="473"/>
      <c r="M2924" s="473"/>
    </row>
    <row r="2925" spans="1:13" ht="18">
      <c r="A2925" s="386"/>
      <c r="E2925" s="473"/>
      <c r="F2925" s="473"/>
      <c r="G2925" s="473"/>
      <c r="H2925" s="486" t="s">
        <v>2990</v>
      </c>
      <c r="I2925" s="476">
        <v>0.13500000000000001</v>
      </c>
      <c r="J2925" s="473"/>
      <c r="K2925" s="480">
        <f>I2923*I2925/I2924</f>
        <v>147.27000000000001</v>
      </c>
      <c r="L2925" s="473"/>
      <c r="M2925" s="473"/>
    </row>
    <row r="2926" spans="1:13">
      <c r="A2926" s="386"/>
      <c r="E2926" s="473"/>
      <c r="F2926" s="473"/>
      <c r="G2926" s="473"/>
      <c r="H2926" s="480"/>
      <c r="I2926" s="473"/>
      <c r="J2926" s="473"/>
      <c r="K2926" s="480"/>
      <c r="L2926" s="473"/>
      <c r="M2926" s="473"/>
    </row>
    <row r="2927" spans="1:13">
      <c r="A2927" s="386"/>
      <c r="E2927" s="473"/>
      <c r="F2927" s="473"/>
      <c r="G2927" s="473"/>
      <c r="H2927" s="473"/>
      <c r="I2927" s="473"/>
      <c r="J2927" s="473"/>
      <c r="K2927" s="478"/>
      <c r="L2927" s="473"/>
      <c r="M2927" s="473"/>
    </row>
    <row r="2928" spans="1:13">
      <c r="A2928" s="386"/>
      <c r="E2928" s="473"/>
      <c r="F2928" s="473"/>
      <c r="G2928" s="473"/>
      <c r="H2928" s="481" t="s">
        <v>2970</v>
      </c>
      <c r="I2928" s="473"/>
      <c r="J2928" s="473"/>
      <c r="K2928" s="478"/>
      <c r="L2928" s="473"/>
      <c r="M2928" s="473"/>
    </row>
    <row r="2929" spans="1:13">
      <c r="A2929" s="386"/>
      <c r="E2929" s="473"/>
      <c r="F2929" s="473"/>
      <c r="G2929" s="473"/>
      <c r="H2929" s="481" t="s">
        <v>2971</v>
      </c>
      <c r="I2929" s="473"/>
      <c r="J2929" s="473"/>
      <c r="K2929" s="478"/>
      <c r="L2929" s="473"/>
      <c r="M2929" s="473"/>
    </row>
    <row r="2930" spans="1:13" ht="94.5">
      <c r="A2930" s="386"/>
      <c r="E2930" s="473"/>
      <c r="F2930" s="473"/>
      <c r="G2930" s="473"/>
      <c r="H2930" s="472" t="s">
        <v>911</v>
      </c>
      <c r="I2930" s="473"/>
      <c r="J2930" s="473"/>
      <c r="K2930" s="478"/>
      <c r="L2930" s="473"/>
      <c r="M2930" s="473"/>
    </row>
    <row r="2931" spans="1:13" ht="31.5">
      <c r="A2931" s="386"/>
      <c r="E2931" s="473"/>
      <c r="F2931" s="473">
        <v>90</v>
      </c>
      <c r="G2931" s="473" t="s">
        <v>840</v>
      </c>
      <c r="H2931" s="394" t="s">
        <v>2662</v>
      </c>
      <c r="I2931" s="473">
        <f>I2843</f>
        <v>12.8</v>
      </c>
      <c r="J2931" s="473" t="s">
        <v>2663</v>
      </c>
      <c r="K2931" s="478">
        <f t="shared" ref="K2931:K2941" si="95">F2931*I2931</f>
        <v>1152</v>
      </c>
      <c r="L2931" s="473"/>
      <c r="M2931" s="473"/>
    </row>
    <row r="2932" spans="1:13" ht="31.5">
      <c r="A2932" s="386"/>
      <c r="E2932" s="473"/>
      <c r="F2932" s="473">
        <v>30</v>
      </c>
      <c r="G2932" s="473" t="s">
        <v>840</v>
      </c>
      <c r="H2932" s="472" t="s">
        <v>2466</v>
      </c>
      <c r="I2932" s="473">
        <f>I2906</f>
        <v>19.5</v>
      </c>
      <c r="J2932" s="473" t="s">
        <v>840</v>
      </c>
      <c r="K2932" s="478">
        <f t="shared" si="95"/>
        <v>585</v>
      </c>
      <c r="L2932" s="473"/>
      <c r="M2932" s="473"/>
    </row>
    <row r="2933" spans="1:13">
      <c r="A2933" s="386"/>
      <c r="E2933" s="473"/>
      <c r="F2933" s="473">
        <v>10</v>
      </c>
      <c r="G2933" s="473" t="s">
        <v>1454</v>
      </c>
      <c r="H2933" s="473" t="s">
        <v>2468</v>
      </c>
      <c r="I2933" s="473">
        <f>I2907</f>
        <v>3.15</v>
      </c>
      <c r="J2933" s="473" t="s">
        <v>1454</v>
      </c>
      <c r="K2933" s="478">
        <f t="shared" si="95"/>
        <v>31.5</v>
      </c>
      <c r="L2933" s="473"/>
      <c r="M2933" s="473"/>
    </row>
    <row r="2934" spans="1:13">
      <c r="A2934" s="386"/>
      <c r="E2934" s="473"/>
      <c r="F2934" s="473">
        <v>5</v>
      </c>
      <c r="G2934" s="473" t="s">
        <v>1454</v>
      </c>
      <c r="H2934" s="473" t="s">
        <v>3571</v>
      </c>
      <c r="I2934" s="473">
        <f>I2908</f>
        <v>1.31</v>
      </c>
      <c r="J2934" s="473" t="s">
        <v>1454</v>
      </c>
      <c r="K2934" s="478">
        <f t="shared" si="95"/>
        <v>6.55</v>
      </c>
      <c r="L2934" s="473"/>
      <c r="M2934" s="473"/>
    </row>
    <row r="2935" spans="1:13">
      <c r="A2935" s="386"/>
      <c r="E2935" s="473"/>
      <c r="F2935" s="473">
        <v>10</v>
      </c>
      <c r="G2935" s="473" t="s">
        <v>1454</v>
      </c>
      <c r="H2935" s="473" t="s">
        <v>2561</v>
      </c>
      <c r="I2935" s="473">
        <f>ROUND(241/12,2)</f>
        <v>20.079999999999998</v>
      </c>
      <c r="J2935" s="473" t="s">
        <v>1454</v>
      </c>
      <c r="K2935" s="478">
        <f t="shared" si="95"/>
        <v>200.8</v>
      </c>
      <c r="L2935" s="473"/>
      <c r="M2935" s="473"/>
    </row>
    <row r="2936" spans="1:13">
      <c r="A2936" s="386"/>
      <c r="E2936" s="473"/>
      <c r="F2936" s="473">
        <v>5</v>
      </c>
      <c r="G2936" s="473" t="s">
        <v>1454</v>
      </c>
      <c r="H2936" s="473" t="s">
        <v>2755</v>
      </c>
      <c r="I2936" s="473">
        <f>I2910</f>
        <v>15.75</v>
      </c>
      <c r="J2936" s="473" t="s">
        <v>1454</v>
      </c>
      <c r="K2936" s="478">
        <f t="shared" si="95"/>
        <v>78.75</v>
      </c>
      <c r="L2936" s="473"/>
      <c r="M2936" s="473"/>
    </row>
    <row r="2937" spans="1:13">
      <c r="A2937" s="386"/>
      <c r="E2937" s="473"/>
      <c r="F2937" s="473">
        <v>5</v>
      </c>
      <c r="G2937" s="473" t="s">
        <v>1454</v>
      </c>
      <c r="H2937" s="473" t="s">
        <v>2757</v>
      </c>
      <c r="I2937" s="473">
        <f>I2909</f>
        <v>3.5</v>
      </c>
      <c r="J2937" s="473" t="s">
        <v>1454</v>
      </c>
      <c r="K2937" s="478">
        <f t="shared" si="95"/>
        <v>17.5</v>
      </c>
      <c r="L2937" s="473"/>
      <c r="M2937" s="473"/>
    </row>
    <row r="2938" spans="1:13">
      <c r="A2938" s="386"/>
      <c r="E2938" s="473"/>
      <c r="F2938" s="473">
        <v>6</v>
      </c>
      <c r="G2938" s="473" t="s">
        <v>1454</v>
      </c>
      <c r="H2938" s="473" t="s">
        <v>2562</v>
      </c>
      <c r="I2938" s="473">
        <f>I2914</f>
        <v>64</v>
      </c>
      <c r="J2938" s="473" t="s">
        <v>1454</v>
      </c>
      <c r="K2938" s="478">
        <f t="shared" si="95"/>
        <v>384</v>
      </c>
      <c r="L2938" s="473"/>
      <c r="M2938" s="473"/>
    </row>
    <row r="2939" spans="1:13">
      <c r="A2939" s="386"/>
      <c r="E2939" s="473"/>
      <c r="F2939" s="473">
        <v>0.09</v>
      </c>
      <c r="G2939" s="473" t="s">
        <v>2371</v>
      </c>
      <c r="H2939" s="473" t="s">
        <v>2675</v>
      </c>
      <c r="I2939" s="473">
        <f>I2913</f>
        <v>640</v>
      </c>
      <c r="J2939" s="473" t="s">
        <v>2371</v>
      </c>
      <c r="K2939" s="478">
        <f t="shared" si="95"/>
        <v>57.6</v>
      </c>
      <c r="L2939" s="473"/>
      <c r="M2939" s="473"/>
    </row>
    <row r="2940" spans="1:13">
      <c r="A2940" s="386"/>
      <c r="E2940" s="473"/>
      <c r="F2940" s="473">
        <v>1.25</v>
      </c>
      <c r="G2940" s="473" t="s">
        <v>2759</v>
      </c>
      <c r="H2940" s="473" t="s">
        <v>391</v>
      </c>
      <c r="I2940" s="473">
        <f>I2916</f>
        <v>260</v>
      </c>
      <c r="J2940" s="473" t="s">
        <v>2759</v>
      </c>
      <c r="K2940" s="478">
        <f t="shared" si="95"/>
        <v>325</v>
      </c>
      <c r="L2940" s="473"/>
      <c r="M2940" s="473"/>
    </row>
    <row r="2941" spans="1:13" ht="31.5">
      <c r="A2941" s="386"/>
      <c r="E2941" s="473"/>
      <c r="F2941" s="473">
        <v>30</v>
      </c>
      <c r="G2941" s="473" t="s">
        <v>840</v>
      </c>
      <c r="H2941" s="394" t="s">
        <v>2765</v>
      </c>
      <c r="I2941" s="473">
        <f>I2931</f>
        <v>12.8</v>
      </c>
      <c r="J2941" s="473" t="s">
        <v>3484</v>
      </c>
      <c r="K2941" s="478">
        <f t="shared" si="95"/>
        <v>384</v>
      </c>
      <c r="L2941" s="473"/>
      <c r="M2941" s="473"/>
    </row>
    <row r="2942" spans="1:13">
      <c r="A2942" s="386"/>
      <c r="E2942" s="473"/>
      <c r="F2942" s="473"/>
      <c r="G2942" s="473"/>
      <c r="H2942" s="473" t="s">
        <v>931</v>
      </c>
      <c r="I2942" s="473"/>
      <c r="J2942" s="473"/>
      <c r="K2942" s="478">
        <f>K2873</f>
        <v>3475</v>
      </c>
      <c r="L2942" s="473"/>
      <c r="M2942" s="473"/>
    </row>
    <row r="2943" spans="1:13">
      <c r="A2943" s="386"/>
      <c r="E2943" s="473"/>
      <c r="F2943" s="473"/>
      <c r="G2943" s="473"/>
      <c r="H2943" s="473" t="s">
        <v>2359</v>
      </c>
      <c r="I2943" s="473"/>
      <c r="J2943" s="473"/>
      <c r="K2943" s="486">
        <f>9.75+2.55</f>
        <v>12.3</v>
      </c>
      <c r="L2943" s="473"/>
      <c r="M2943" s="473"/>
    </row>
    <row r="2944" spans="1:13">
      <c r="A2944" s="386"/>
      <c r="E2944" s="473"/>
      <c r="F2944" s="473"/>
      <c r="G2944" s="473"/>
      <c r="H2944" s="478" t="s">
        <v>2676</v>
      </c>
      <c r="I2944" s="473"/>
      <c r="J2944" s="473"/>
      <c r="K2944" s="571">
        <f>SUM(K2931:K2943)</f>
        <v>6710</v>
      </c>
      <c r="L2944" s="473"/>
      <c r="M2944" s="473"/>
    </row>
    <row r="2945" spans="1:14">
      <c r="A2945" s="386"/>
      <c r="E2945" s="473"/>
      <c r="F2945" s="473"/>
      <c r="G2945" s="473"/>
      <c r="H2945" s="480" t="s">
        <v>3338</v>
      </c>
      <c r="I2945" s="473"/>
      <c r="J2945" s="473"/>
      <c r="K2945" s="480">
        <f>K2944/5</f>
        <v>1342</v>
      </c>
      <c r="L2945" s="473"/>
      <c r="M2945" s="473"/>
    </row>
    <row r="2946" spans="1:14">
      <c r="A2946" s="386"/>
      <c r="E2946" s="473"/>
      <c r="F2946" s="473"/>
      <c r="G2946" s="473"/>
      <c r="H2946" s="473"/>
      <c r="I2946" s="473"/>
      <c r="J2946" s="473"/>
      <c r="K2946" s="478"/>
      <c r="L2946" s="473"/>
      <c r="M2946" s="473"/>
    </row>
    <row r="2947" spans="1:14">
      <c r="A2947" s="386"/>
      <c r="E2947" s="473"/>
      <c r="F2947" s="473"/>
      <c r="G2947" s="473"/>
      <c r="H2947" s="481" t="s">
        <v>2677</v>
      </c>
      <c r="I2947" s="473"/>
      <c r="J2947" s="473"/>
      <c r="K2947" s="478"/>
      <c r="L2947" s="473"/>
      <c r="M2947" s="473"/>
    </row>
    <row r="2948" spans="1:14">
      <c r="A2948" s="386"/>
      <c r="E2948" s="473"/>
      <c r="F2948" s="473"/>
      <c r="G2948" s="473"/>
      <c r="H2948" s="481" t="s">
        <v>2678</v>
      </c>
      <c r="I2948" s="473"/>
      <c r="J2948" s="473"/>
      <c r="K2948" s="478"/>
      <c r="L2948" s="473"/>
      <c r="M2948" s="473"/>
    </row>
    <row r="2949" spans="1:14">
      <c r="A2949" s="386"/>
      <c r="E2949" s="473"/>
      <c r="F2949" s="473"/>
      <c r="G2949" s="473"/>
      <c r="H2949" s="473"/>
      <c r="I2949" s="473"/>
      <c r="J2949" s="473"/>
      <c r="K2949" s="478"/>
      <c r="L2949" s="473"/>
      <c r="M2949" s="473"/>
    </row>
    <row r="2950" spans="1:14" ht="94.5">
      <c r="A2950" s="386"/>
      <c r="E2950" s="473"/>
      <c r="F2950" s="473"/>
      <c r="G2950" s="473"/>
      <c r="H2950" s="472" t="s">
        <v>911</v>
      </c>
      <c r="I2950" s="473"/>
      <c r="J2950" s="473"/>
      <c r="K2950" s="478"/>
      <c r="L2950" s="473"/>
      <c r="M2950" s="473"/>
    </row>
    <row r="2951" spans="1:14" ht="31.5">
      <c r="A2951" s="386"/>
      <c r="E2951" s="473"/>
      <c r="F2951" s="473">
        <v>90</v>
      </c>
      <c r="G2951" s="473" t="s">
        <v>840</v>
      </c>
      <c r="H2951" s="394" t="s">
        <v>2662</v>
      </c>
      <c r="I2951" s="473">
        <f>I2931</f>
        <v>12.8</v>
      </c>
      <c r="J2951" s="473" t="s">
        <v>3484</v>
      </c>
      <c r="K2951" s="478">
        <f t="shared" ref="K2951:K2961" si="96">F2951*I2951</f>
        <v>1152</v>
      </c>
      <c r="L2951" s="473"/>
      <c r="M2951" s="473"/>
    </row>
    <row r="2952" spans="1:14" ht="31.5">
      <c r="E2952" s="473"/>
      <c r="F2952" s="473">
        <v>45</v>
      </c>
      <c r="G2952" s="473" t="s">
        <v>840</v>
      </c>
      <c r="H2952" s="472" t="s">
        <v>2466</v>
      </c>
      <c r="I2952" s="473">
        <f>I2932</f>
        <v>19.5</v>
      </c>
      <c r="J2952" s="473" t="s">
        <v>840</v>
      </c>
      <c r="K2952" s="478">
        <f t="shared" si="96"/>
        <v>877.5</v>
      </c>
      <c r="L2952" s="473"/>
      <c r="M2952" s="473"/>
    </row>
    <row r="2953" spans="1:14">
      <c r="E2953" s="473"/>
      <c r="F2953" s="473">
        <v>20</v>
      </c>
      <c r="G2953" s="473" t="s">
        <v>1454</v>
      </c>
      <c r="H2953" s="473" t="s">
        <v>2468</v>
      </c>
      <c r="I2953" s="473">
        <f>I2933</f>
        <v>3.15</v>
      </c>
      <c r="J2953" s="473" t="s">
        <v>3574</v>
      </c>
      <c r="K2953" s="478">
        <f t="shared" si="96"/>
        <v>63</v>
      </c>
      <c r="L2953" s="473"/>
      <c r="M2953" s="473"/>
    </row>
    <row r="2954" spans="1:14">
      <c r="E2954" s="473"/>
      <c r="F2954" s="473">
        <v>10</v>
      </c>
      <c r="G2954" s="473" t="s">
        <v>1454</v>
      </c>
      <c r="H2954" s="473" t="s">
        <v>3571</v>
      </c>
      <c r="I2954" s="473">
        <f>I2934</f>
        <v>1.31</v>
      </c>
      <c r="J2954" s="473" t="s">
        <v>3574</v>
      </c>
      <c r="K2954" s="478">
        <f t="shared" si="96"/>
        <v>13.1</v>
      </c>
      <c r="L2954" s="473"/>
      <c r="M2954" s="473"/>
    </row>
    <row r="2955" spans="1:14">
      <c r="E2955" s="473"/>
      <c r="F2955" s="473">
        <v>1</v>
      </c>
      <c r="G2955" s="473" t="s">
        <v>1454</v>
      </c>
      <c r="H2955" s="473" t="s">
        <v>2562</v>
      </c>
      <c r="I2955" s="473">
        <f>I2938</f>
        <v>64</v>
      </c>
      <c r="J2955" s="473" t="s">
        <v>1454</v>
      </c>
      <c r="K2955" s="478">
        <f t="shared" si="96"/>
        <v>64</v>
      </c>
      <c r="L2955" s="473"/>
      <c r="M2955" s="473"/>
    </row>
    <row r="2956" spans="1:14">
      <c r="E2956" s="473"/>
      <c r="F2956" s="476">
        <v>1.4999999999999999E-2</v>
      </c>
      <c r="G2956" s="473" t="s">
        <v>2371</v>
      </c>
      <c r="H2956" s="473" t="s">
        <v>2675</v>
      </c>
      <c r="I2956" s="473">
        <f>I2849</f>
        <v>640</v>
      </c>
      <c r="J2956" s="473" t="s">
        <v>2371</v>
      </c>
      <c r="K2956" s="478">
        <f t="shared" si="96"/>
        <v>9.6</v>
      </c>
      <c r="L2956" s="473"/>
      <c r="M2956" s="473"/>
    </row>
    <row r="2957" spans="1:14">
      <c r="E2957" s="473"/>
      <c r="F2957" s="473">
        <v>15</v>
      </c>
      <c r="G2957" s="473" t="s">
        <v>1454</v>
      </c>
      <c r="H2957" s="473" t="s">
        <v>2853</v>
      </c>
      <c r="I2957" s="473">
        <v>35</v>
      </c>
      <c r="J2957" s="473" t="s">
        <v>1454</v>
      </c>
      <c r="K2957" s="478">
        <f t="shared" si="96"/>
        <v>525</v>
      </c>
      <c r="L2957" s="473">
        <f>185+230</f>
        <v>415</v>
      </c>
      <c r="M2957" s="473">
        <f>L2957/12</f>
        <v>34.58</v>
      </c>
      <c r="N2957" s="245">
        <f>M2957/12</f>
        <v>2.88</v>
      </c>
    </row>
    <row r="2958" spans="1:14">
      <c r="E2958" s="473"/>
      <c r="F2958" s="473">
        <v>15</v>
      </c>
      <c r="G2958" s="473" t="s">
        <v>1454</v>
      </c>
      <c r="H2958" s="473" t="s">
        <v>2562</v>
      </c>
      <c r="I2958" s="473">
        <f>I2955</f>
        <v>64</v>
      </c>
      <c r="J2958" s="473" t="s">
        <v>1454</v>
      </c>
      <c r="K2958" s="478">
        <f t="shared" si="96"/>
        <v>960</v>
      </c>
      <c r="L2958" s="473"/>
      <c r="M2958" s="473"/>
    </row>
    <row r="2959" spans="1:14">
      <c r="E2959" s="473"/>
      <c r="F2959" s="476">
        <v>0.22500000000000001</v>
      </c>
      <c r="G2959" s="473" t="s">
        <v>2371</v>
      </c>
      <c r="H2959" s="473" t="s">
        <v>2675</v>
      </c>
      <c r="I2959" s="473">
        <f>I2956</f>
        <v>640</v>
      </c>
      <c r="J2959" s="473" t="s">
        <v>2854</v>
      </c>
      <c r="K2959" s="478">
        <f t="shared" si="96"/>
        <v>144</v>
      </c>
      <c r="L2959" s="473"/>
      <c r="M2959" s="473"/>
    </row>
    <row r="2960" spans="1:14">
      <c r="E2960" s="473"/>
      <c r="F2960" s="473">
        <v>1.25</v>
      </c>
      <c r="G2960" s="473" t="s">
        <v>2759</v>
      </c>
      <c r="H2960" s="473" t="s">
        <v>391</v>
      </c>
      <c r="I2960" s="473">
        <f>I2940</f>
        <v>260</v>
      </c>
      <c r="J2960" s="473" t="s">
        <v>2759</v>
      </c>
      <c r="K2960" s="478">
        <f t="shared" si="96"/>
        <v>325</v>
      </c>
      <c r="L2960" s="473"/>
      <c r="M2960" s="473"/>
    </row>
    <row r="2961" spans="5:13" ht="31.5">
      <c r="E2961" s="473"/>
      <c r="F2961" s="473">
        <v>45</v>
      </c>
      <c r="G2961" s="473" t="s">
        <v>2371</v>
      </c>
      <c r="H2961" s="394" t="s">
        <v>2765</v>
      </c>
      <c r="I2961" s="473">
        <f>I2951</f>
        <v>12.8</v>
      </c>
      <c r="J2961" s="473" t="s">
        <v>3484</v>
      </c>
      <c r="K2961" s="478">
        <f t="shared" si="96"/>
        <v>576</v>
      </c>
      <c r="L2961" s="473"/>
      <c r="M2961" s="473"/>
    </row>
    <row r="2962" spans="5:13">
      <c r="E2962" s="473"/>
      <c r="F2962" s="473"/>
      <c r="G2962" s="473"/>
      <c r="H2962" s="473" t="s">
        <v>931</v>
      </c>
      <c r="I2962" s="473"/>
      <c r="J2962" s="473"/>
      <c r="K2962" s="478">
        <f>K2918</f>
        <v>3475</v>
      </c>
      <c r="L2962" s="473"/>
      <c r="M2962" s="473"/>
    </row>
    <row r="2963" spans="5:13">
      <c r="E2963" s="473"/>
      <c r="F2963" s="473"/>
      <c r="G2963" s="473"/>
      <c r="H2963" s="473" t="s">
        <v>2359</v>
      </c>
      <c r="I2963" s="473"/>
      <c r="J2963" s="473"/>
      <c r="K2963" s="478">
        <f>6.85-1.05</f>
        <v>5.8</v>
      </c>
      <c r="L2963" s="473"/>
      <c r="M2963" s="473"/>
    </row>
    <row r="2964" spans="5:13">
      <c r="E2964" s="473"/>
      <c r="F2964" s="473"/>
      <c r="G2964" s="473"/>
      <c r="H2964" s="478" t="s">
        <v>2855</v>
      </c>
      <c r="I2964" s="473"/>
      <c r="J2964" s="473"/>
      <c r="K2964" s="571">
        <f>SUM(K2951:K2963)</f>
        <v>8190</v>
      </c>
      <c r="L2964" s="473"/>
      <c r="M2964" s="473"/>
    </row>
    <row r="2965" spans="5:13">
      <c r="E2965" s="473"/>
      <c r="F2965" s="473"/>
      <c r="G2965" s="473"/>
      <c r="H2965" s="480" t="s">
        <v>3338</v>
      </c>
      <c r="I2965" s="473"/>
      <c r="J2965" s="473"/>
      <c r="K2965" s="480">
        <f>K2964/15</f>
        <v>546</v>
      </c>
      <c r="L2965" s="473"/>
      <c r="M2965" s="473"/>
    </row>
    <row r="2966" spans="5:13">
      <c r="E2966" s="473"/>
      <c r="F2966" s="473"/>
      <c r="G2966" s="473"/>
      <c r="H2966" s="473"/>
      <c r="I2966" s="473"/>
      <c r="J2966" s="473"/>
      <c r="K2966" s="478"/>
      <c r="L2966" s="473"/>
      <c r="M2966" s="473"/>
    </row>
    <row r="2967" spans="5:13">
      <c r="E2967" s="473"/>
      <c r="F2967" s="473"/>
      <c r="G2967" s="473"/>
      <c r="H2967" s="481" t="s">
        <v>2856</v>
      </c>
      <c r="I2967" s="473"/>
      <c r="J2967" s="473"/>
      <c r="K2967" s="478"/>
      <c r="L2967" s="473"/>
      <c r="M2967" s="473"/>
    </row>
    <row r="2968" spans="5:13">
      <c r="E2968" s="473"/>
      <c r="F2968" s="473"/>
      <c r="G2968" s="473"/>
      <c r="H2968" s="481" t="s">
        <v>2857</v>
      </c>
      <c r="I2968" s="473"/>
      <c r="J2968" s="473"/>
      <c r="K2968" s="478"/>
      <c r="L2968" s="473"/>
      <c r="M2968" s="473"/>
    </row>
    <row r="2969" spans="5:13">
      <c r="E2969" s="473"/>
      <c r="F2969" s="473"/>
      <c r="G2969" s="473"/>
      <c r="H2969" s="473"/>
      <c r="I2969" s="473"/>
      <c r="J2969" s="473"/>
      <c r="K2969" s="478"/>
      <c r="L2969" s="473"/>
      <c r="M2969" s="473"/>
    </row>
    <row r="2970" spans="5:13" ht="94.5">
      <c r="E2970" s="473"/>
      <c r="F2970" s="473"/>
      <c r="G2970" s="473"/>
      <c r="H2970" s="472" t="s">
        <v>911</v>
      </c>
      <c r="I2970" s="473"/>
      <c r="J2970" s="473"/>
      <c r="K2970" s="478"/>
      <c r="L2970" s="473"/>
      <c r="M2970" s="473"/>
    </row>
    <row r="2971" spans="5:13">
      <c r="E2971" s="473"/>
      <c r="F2971" s="473"/>
      <c r="G2971" s="473"/>
      <c r="H2971" s="473"/>
      <c r="I2971" s="473"/>
      <c r="J2971" s="473"/>
      <c r="K2971" s="478"/>
      <c r="L2971" s="473"/>
      <c r="M2971" s="473"/>
    </row>
    <row r="2972" spans="5:13" ht="31.5">
      <c r="E2972" s="473"/>
      <c r="F2972" s="473">
        <v>5</v>
      </c>
      <c r="G2972" s="473" t="s">
        <v>840</v>
      </c>
      <c r="H2972" s="394" t="s">
        <v>2662</v>
      </c>
      <c r="I2972" s="473">
        <f>I2951</f>
        <v>12.8</v>
      </c>
      <c r="J2972" s="473" t="s">
        <v>2467</v>
      </c>
      <c r="K2972" s="478">
        <f>F2972*I2972</f>
        <v>64</v>
      </c>
      <c r="L2972" s="473"/>
      <c r="M2972" s="473"/>
    </row>
    <row r="2973" spans="5:13" ht="37.5" customHeight="1">
      <c r="E2973" s="473"/>
      <c r="F2973" s="473">
        <v>2.5</v>
      </c>
      <c r="G2973" s="473" t="s">
        <v>840</v>
      </c>
      <c r="H2973" s="472" t="s">
        <v>2466</v>
      </c>
      <c r="I2973" s="473">
        <f>I2952</f>
        <v>19.5</v>
      </c>
      <c r="J2973" s="473" t="s">
        <v>840</v>
      </c>
      <c r="K2973" s="478">
        <f>F2973*I2973</f>
        <v>48.75</v>
      </c>
      <c r="L2973" s="473"/>
      <c r="M2973" s="473"/>
    </row>
    <row r="2974" spans="5:13">
      <c r="E2974" s="473"/>
      <c r="F2974" s="473">
        <v>1</v>
      </c>
      <c r="G2974" s="473" t="s">
        <v>1454</v>
      </c>
      <c r="H2974" s="473" t="s">
        <v>2853</v>
      </c>
      <c r="I2974" s="474">
        <f>I2957</f>
        <v>35</v>
      </c>
      <c r="J2974" s="473" t="s">
        <v>1454</v>
      </c>
      <c r="K2974" s="478">
        <f>F2974*I2974</f>
        <v>35</v>
      </c>
      <c r="L2974" s="473"/>
      <c r="M2974" s="473"/>
    </row>
    <row r="2975" spans="5:13">
      <c r="E2975" s="473"/>
      <c r="F2975" s="473"/>
      <c r="G2975" s="473"/>
      <c r="H2975" s="473" t="s">
        <v>931</v>
      </c>
      <c r="I2975" s="473"/>
      <c r="J2975" s="473"/>
      <c r="K2975" s="478">
        <f>ROUND(K2873*5/90,2)</f>
        <v>193.06</v>
      </c>
      <c r="L2975" s="473"/>
      <c r="M2975" s="473"/>
    </row>
    <row r="2976" spans="5:13">
      <c r="E2976" s="473"/>
      <c r="F2976" s="473"/>
      <c r="G2976" s="473"/>
      <c r="H2976" s="473" t="s">
        <v>2359</v>
      </c>
      <c r="I2976" s="473"/>
      <c r="J2976" s="473"/>
      <c r="K2976" s="478">
        <f>16.06+0.13</f>
        <v>16.190000000000001</v>
      </c>
      <c r="L2976" s="473"/>
      <c r="M2976" s="473"/>
    </row>
    <row r="2977" spans="5:13">
      <c r="E2977" s="473"/>
      <c r="F2977" s="473"/>
      <c r="G2977" s="473"/>
      <c r="H2977" s="480" t="s">
        <v>3338</v>
      </c>
      <c r="I2977" s="473"/>
      <c r="J2977" s="473"/>
      <c r="K2977" s="572">
        <f>SUM(K2972:K2976)</f>
        <v>357</v>
      </c>
      <c r="L2977" s="473"/>
      <c r="M2977" s="473"/>
    </row>
    <row r="2978" spans="5:13">
      <c r="E2978" s="473"/>
      <c r="F2978" s="473"/>
      <c r="G2978" s="473"/>
      <c r="H2978" s="473"/>
      <c r="I2978" s="473"/>
      <c r="J2978" s="473"/>
      <c r="K2978" s="478"/>
      <c r="L2978" s="473"/>
      <c r="M2978" s="473"/>
    </row>
    <row r="2979" spans="5:13">
      <c r="E2979" s="473"/>
      <c r="F2979" s="473"/>
      <c r="G2979" s="473"/>
      <c r="H2979" s="481" t="s">
        <v>2654</v>
      </c>
      <c r="I2979" s="473"/>
      <c r="J2979" s="473"/>
      <c r="K2979" s="478"/>
      <c r="L2979" s="473"/>
      <c r="M2979" s="473"/>
    </row>
    <row r="2980" spans="5:13">
      <c r="E2980" s="473"/>
      <c r="F2980" s="473"/>
      <c r="G2980" s="473"/>
      <c r="H2980" s="481" t="s">
        <v>2655</v>
      </c>
      <c r="I2980" s="473"/>
      <c r="J2980" s="473"/>
      <c r="K2980" s="478"/>
      <c r="L2980" s="473"/>
      <c r="M2980" s="473"/>
    </row>
    <row r="2981" spans="5:13">
      <c r="E2981" s="473"/>
      <c r="F2981" s="473"/>
      <c r="G2981" s="473"/>
      <c r="H2981" s="473"/>
      <c r="I2981" s="473"/>
      <c r="J2981" s="473"/>
      <c r="K2981" s="478"/>
      <c r="L2981" s="473"/>
      <c r="M2981" s="473"/>
    </row>
    <row r="2982" spans="5:13" ht="72" customHeight="1">
      <c r="E2982" s="473"/>
      <c r="F2982" s="473"/>
      <c r="G2982" s="473"/>
      <c r="H2982" s="472" t="s">
        <v>2991</v>
      </c>
      <c r="I2982" s="473"/>
      <c r="J2982" s="473"/>
      <c r="K2982" s="478"/>
      <c r="L2982" s="473"/>
      <c r="M2982" s="473"/>
    </row>
    <row r="2983" spans="5:13">
      <c r="E2983" s="473"/>
      <c r="F2983" s="473"/>
      <c r="G2983" s="473"/>
      <c r="H2983" s="473"/>
      <c r="I2983" s="473"/>
      <c r="J2983" s="473"/>
      <c r="K2983" s="478"/>
      <c r="L2983" s="473"/>
      <c r="M2983" s="473"/>
    </row>
    <row r="2984" spans="5:13">
      <c r="E2984" s="473"/>
      <c r="F2984" s="473">
        <v>1</v>
      </c>
      <c r="G2984" s="473" t="s">
        <v>1454</v>
      </c>
      <c r="H2984" s="473" t="s">
        <v>3315</v>
      </c>
      <c r="I2984" s="489">
        <v>56.7</v>
      </c>
      <c r="J2984" s="473" t="s">
        <v>1454</v>
      </c>
      <c r="K2984" s="478">
        <f>F2984*I2984</f>
        <v>56.7</v>
      </c>
      <c r="L2984" s="473"/>
      <c r="M2984" s="473"/>
    </row>
    <row r="2985" spans="5:13">
      <c r="E2985" s="473"/>
      <c r="F2985" s="473">
        <v>1</v>
      </c>
      <c r="G2985" s="473" t="s">
        <v>1454</v>
      </c>
      <c r="H2985" s="473" t="s">
        <v>3316</v>
      </c>
      <c r="I2985" s="473">
        <f>I2955</f>
        <v>64</v>
      </c>
      <c r="J2985" s="473" t="s">
        <v>1454</v>
      </c>
      <c r="K2985" s="478">
        <f>F2985*I2985</f>
        <v>64</v>
      </c>
      <c r="L2985" s="473"/>
      <c r="M2985" s="473"/>
    </row>
    <row r="2986" spans="5:13">
      <c r="E2986" s="473"/>
      <c r="F2986" s="476">
        <v>1.4999999999999999E-2</v>
      </c>
      <c r="G2986" s="473" t="s">
        <v>2371</v>
      </c>
      <c r="H2986" s="473" t="s">
        <v>3317</v>
      </c>
      <c r="I2986" s="473">
        <f>I2956</f>
        <v>640</v>
      </c>
      <c r="J2986" s="473" t="s">
        <v>2371</v>
      </c>
      <c r="K2986" s="478">
        <f>F2986*I2986</f>
        <v>9.6</v>
      </c>
      <c r="L2986" s="473"/>
      <c r="M2986" s="473"/>
    </row>
    <row r="2987" spans="5:13">
      <c r="E2987" s="473"/>
      <c r="F2987" s="473" t="s">
        <v>667</v>
      </c>
      <c r="G2987" s="473"/>
      <c r="H2987" s="473" t="s">
        <v>3318</v>
      </c>
      <c r="I2987" s="473"/>
      <c r="J2987" s="473"/>
      <c r="K2987" s="478">
        <v>10.7</v>
      </c>
      <c r="L2987" s="473"/>
      <c r="M2987" s="473"/>
    </row>
    <row r="2988" spans="5:13">
      <c r="E2988" s="473"/>
      <c r="F2988" s="473"/>
      <c r="G2988" s="473"/>
      <c r="H2988" s="480" t="s">
        <v>1100</v>
      </c>
      <c r="I2988" s="473"/>
      <c r="J2988" s="473"/>
      <c r="K2988" s="572">
        <f>SUM(K2984:K2987)</f>
        <v>141</v>
      </c>
      <c r="L2988" s="473"/>
      <c r="M2988" s="473"/>
    </row>
    <row r="2989" spans="5:13">
      <c r="E2989" s="473"/>
      <c r="F2989" s="473"/>
      <c r="G2989" s="473"/>
      <c r="H2989" s="473"/>
      <c r="I2989" s="473"/>
      <c r="J2989" s="473"/>
      <c r="K2989" s="478"/>
      <c r="L2989" s="473"/>
      <c r="M2989" s="473"/>
    </row>
    <row r="2990" spans="5:13">
      <c r="E2990" s="473"/>
      <c r="F2990" s="473"/>
      <c r="G2990" s="473"/>
      <c r="H2990" s="481" t="s">
        <v>3319</v>
      </c>
      <c r="I2990" s="473"/>
      <c r="J2990" s="473"/>
      <c r="K2990" s="478"/>
      <c r="L2990" s="473"/>
      <c r="M2990" s="473"/>
    </row>
    <row r="2991" spans="5:13" ht="47.25">
      <c r="E2991" s="473"/>
      <c r="F2991" s="473"/>
      <c r="G2991" s="473"/>
      <c r="H2991" s="471" t="s">
        <v>3320</v>
      </c>
      <c r="I2991" s="473"/>
      <c r="J2991" s="473"/>
      <c r="K2991" s="478"/>
      <c r="L2991" s="473"/>
      <c r="M2991" s="473"/>
    </row>
    <row r="2992" spans="5:13">
      <c r="E2992" s="473"/>
      <c r="F2992" s="473"/>
      <c r="G2992" s="473"/>
      <c r="H2992" s="471"/>
      <c r="I2992" s="473"/>
      <c r="J2992" s="473"/>
      <c r="K2992" s="478"/>
      <c r="L2992" s="473"/>
      <c r="M2992" s="473"/>
    </row>
    <row r="2993" spans="5:13" ht="201" customHeight="1">
      <c r="E2993" s="473"/>
      <c r="F2993" s="473"/>
      <c r="G2993" s="473"/>
      <c r="H2993" s="472" t="s">
        <v>911</v>
      </c>
      <c r="I2993" s="473"/>
      <c r="J2993" s="473"/>
      <c r="K2993" s="478"/>
      <c r="L2993" s="473"/>
      <c r="M2993" s="473"/>
    </row>
    <row r="2994" spans="5:13">
      <c r="E2994" s="473"/>
      <c r="F2994" s="473"/>
      <c r="G2994" s="473"/>
      <c r="H2994" s="473"/>
      <c r="I2994" s="473"/>
      <c r="J2994" s="473"/>
      <c r="K2994" s="478"/>
      <c r="L2994" s="473"/>
      <c r="M2994" s="473"/>
    </row>
    <row r="2995" spans="5:13" ht="31.5">
      <c r="E2995" s="473"/>
      <c r="F2995" s="473">
        <v>90</v>
      </c>
      <c r="G2995" s="473" t="s">
        <v>840</v>
      </c>
      <c r="H2995" s="394" t="s">
        <v>2662</v>
      </c>
      <c r="I2995" s="473">
        <f>I2843</f>
        <v>12.8</v>
      </c>
      <c r="J2995" s="473" t="s">
        <v>840</v>
      </c>
      <c r="K2995" s="478">
        <f t="shared" ref="K2995:K3007" si="97">F2995*I2995</f>
        <v>1152</v>
      </c>
      <c r="L2995" s="473"/>
      <c r="M2995" s="473"/>
    </row>
    <row r="2996" spans="5:13" ht="31.5">
      <c r="E2996" s="473"/>
      <c r="F2996" s="473">
        <v>45</v>
      </c>
      <c r="G2996" s="473" t="s">
        <v>840</v>
      </c>
      <c r="H2996" s="472" t="s">
        <v>2466</v>
      </c>
      <c r="I2996" s="473">
        <f>I2844</f>
        <v>19.5</v>
      </c>
      <c r="J2996" s="473" t="s">
        <v>2467</v>
      </c>
      <c r="K2996" s="478">
        <f t="shared" si="97"/>
        <v>877.5</v>
      </c>
      <c r="L2996" s="473"/>
      <c r="M2996" s="473"/>
    </row>
    <row r="2997" spans="5:13">
      <c r="E2997" s="473"/>
      <c r="F2997" s="473">
        <v>12</v>
      </c>
      <c r="G2997" s="473" t="s">
        <v>1454</v>
      </c>
      <c r="H2997" s="473" t="s">
        <v>2468</v>
      </c>
      <c r="I2997" s="473">
        <f>I2845</f>
        <v>3.15</v>
      </c>
      <c r="J2997" s="473" t="s">
        <v>1454</v>
      </c>
      <c r="K2997" s="478">
        <f t="shared" si="97"/>
        <v>37.799999999999997</v>
      </c>
      <c r="L2997" s="473"/>
      <c r="M2997" s="473"/>
    </row>
    <row r="2998" spans="5:13">
      <c r="E2998" s="473"/>
      <c r="F2998" s="473">
        <v>6</v>
      </c>
      <c r="G2998" s="473" t="s">
        <v>1454</v>
      </c>
      <c r="H2998" s="473" t="s">
        <v>3571</v>
      </c>
      <c r="I2998" s="473">
        <f>I2846</f>
        <v>1.31</v>
      </c>
      <c r="J2998" s="473" t="s">
        <v>1454</v>
      </c>
      <c r="K2998" s="478">
        <f t="shared" si="97"/>
        <v>7.86</v>
      </c>
      <c r="L2998" s="473"/>
      <c r="M2998" s="473"/>
    </row>
    <row r="2999" spans="5:13">
      <c r="E2999" s="473"/>
      <c r="F2999" s="473">
        <v>1</v>
      </c>
      <c r="G2999" s="473" t="s">
        <v>1454</v>
      </c>
      <c r="H2999" s="473" t="s">
        <v>3572</v>
      </c>
      <c r="I2999" s="473">
        <f>I2847</f>
        <v>64</v>
      </c>
      <c r="J2999" s="473" t="s">
        <v>1454</v>
      </c>
      <c r="K2999" s="478">
        <f t="shared" si="97"/>
        <v>64</v>
      </c>
      <c r="L2999" s="473"/>
      <c r="M2999" s="473"/>
    </row>
    <row r="3000" spans="5:13">
      <c r="E3000" s="473"/>
      <c r="F3000" s="476">
        <v>1.4999999999999999E-2</v>
      </c>
      <c r="G3000" s="473" t="s">
        <v>2371</v>
      </c>
      <c r="H3000" s="473" t="s">
        <v>3440</v>
      </c>
      <c r="I3000" s="473">
        <f t="shared" ref="I3000:I3007" si="98">I2849</f>
        <v>640</v>
      </c>
      <c r="J3000" s="473" t="s">
        <v>2371</v>
      </c>
      <c r="K3000" s="478">
        <f t="shared" si="97"/>
        <v>9.6</v>
      </c>
      <c r="L3000" s="473"/>
      <c r="M3000" s="473"/>
    </row>
    <row r="3001" spans="5:13">
      <c r="E3001" s="473"/>
      <c r="F3001" s="473">
        <v>6</v>
      </c>
      <c r="G3001" s="473" t="s">
        <v>1454</v>
      </c>
      <c r="H3001" s="473" t="s">
        <v>3441</v>
      </c>
      <c r="I3001" s="473">
        <f t="shared" si="98"/>
        <v>16.170000000000002</v>
      </c>
      <c r="J3001" s="473" t="s">
        <v>3574</v>
      </c>
      <c r="K3001" s="478">
        <f t="shared" si="97"/>
        <v>97.02</v>
      </c>
      <c r="L3001" s="473"/>
      <c r="M3001" s="473"/>
    </row>
    <row r="3002" spans="5:13">
      <c r="E3002" s="473"/>
      <c r="F3002" s="473">
        <v>6</v>
      </c>
      <c r="G3002" s="473" t="s">
        <v>1454</v>
      </c>
      <c r="H3002" s="473" t="s">
        <v>2755</v>
      </c>
      <c r="I3002" s="473">
        <f t="shared" si="98"/>
        <v>15.75</v>
      </c>
      <c r="J3002" s="473" t="s">
        <v>1454</v>
      </c>
      <c r="K3002" s="478">
        <f t="shared" si="97"/>
        <v>94.5</v>
      </c>
      <c r="L3002" s="473"/>
      <c r="M3002" s="473"/>
    </row>
    <row r="3003" spans="5:13">
      <c r="E3003" s="473"/>
      <c r="F3003" s="473">
        <v>6</v>
      </c>
      <c r="G3003" s="473" t="s">
        <v>1454</v>
      </c>
      <c r="H3003" s="473" t="s">
        <v>2757</v>
      </c>
      <c r="I3003" s="473">
        <f t="shared" si="98"/>
        <v>3.5</v>
      </c>
      <c r="J3003" s="473" t="s">
        <v>1454</v>
      </c>
      <c r="K3003" s="478">
        <f t="shared" si="97"/>
        <v>21</v>
      </c>
      <c r="L3003" s="473"/>
      <c r="M3003" s="473"/>
    </row>
    <row r="3004" spans="5:13">
      <c r="E3004" s="473"/>
      <c r="F3004" s="473">
        <v>1.25</v>
      </c>
      <c r="G3004" s="473" t="s">
        <v>2759</v>
      </c>
      <c r="H3004" s="473" t="s">
        <v>391</v>
      </c>
      <c r="I3004" s="473">
        <f t="shared" si="98"/>
        <v>260</v>
      </c>
      <c r="J3004" s="473" t="s">
        <v>2759</v>
      </c>
      <c r="K3004" s="478">
        <f t="shared" si="97"/>
        <v>325</v>
      </c>
      <c r="L3004" s="473"/>
      <c r="M3004" s="473"/>
    </row>
    <row r="3005" spans="5:13">
      <c r="E3005" s="473"/>
      <c r="F3005" s="473">
        <v>6</v>
      </c>
      <c r="G3005" s="473" t="s">
        <v>1454</v>
      </c>
      <c r="H3005" s="473" t="s">
        <v>2760</v>
      </c>
      <c r="I3005" s="473">
        <f t="shared" si="98"/>
        <v>64</v>
      </c>
      <c r="J3005" s="473" t="s">
        <v>1454</v>
      </c>
      <c r="K3005" s="478">
        <f t="shared" si="97"/>
        <v>384</v>
      </c>
      <c r="L3005" s="473"/>
      <c r="M3005" s="473"/>
    </row>
    <row r="3006" spans="5:13">
      <c r="E3006" s="473"/>
      <c r="F3006" s="473">
        <v>0.09</v>
      </c>
      <c r="G3006" s="473" t="s">
        <v>2371</v>
      </c>
      <c r="H3006" s="473" t="s">
        <v>2762</v>
      </c>
      <c r="I3006" s="473">
        <f t="shared" si="98"/>
        <v>640</v>
      </c>
      <c r="J3006" s="473" t="s">
        <v>2371</v>
      </c>
      <c r="K3006" s="478">
        <f t="shared" si="97"/>
        <v>57.6</v>
      </c>
      <c r="L3006" s="473"/>
      <c r="M3006" s="473"/>
    </row>
    <row r="3007" spans="5:13" ht="31.5">
      <c r="E3007" s="473"/>
      <c r="F3007" s="473">
        <v>45</v>
      </c>
      <c r="G3007" s="473"/>
      <c r="H3007" s="394" t="s">
        <v>2765</v>
      </c>
      <c r="I3007" s="473">
        <f t="shared" si="98"/>
        <v>12.8</v>
      </c>
      <c r="J3007" s="473" t="s">
        <v>3484</v>
      </c>
      <c r="K3007" s="478">
        <f t="shared" si="97"/>
        <v>576</v>
      </c>
      <c r="L3007" s="473"/>
      <c r="M3007" s="473"/>
    </row>
    <row r="3008" spans="5:13">
      <c r="E3008" s="473"/>
      <c r="F3008" s="473"/>
      <c r="G3008" s="473"/>
      <c r="H3008" s="473" t="s">
        <v>931</v>
      </c>
      <c r="I3008" s="473"/>
      <c r="J3008" s="473" t="s">
        <v>667</v>
      </c>
      <c r="K3008" s="478">
        <f>K2857</f>
        <v>3475</v>
      </c>
      <c r="L3008" s="473"/>
      <c r="M3008" s="473"/>
    </row>
    <row r="3009" spans="5:13">
      <c r="E3009" s="473"/>
      <c r="F3009" s="473"/>
      <c r="G3009" s="473"/>
      <c r="H3009" s="473" t="s">
        <v>2359</v>
      </c>
      <c r="I3009" s="473"/>
      <c r="J3009" s="473" t="s">
        <v>667</v>
      </c>
      <c r="K3009" s="478">
        <v>15.12</v>
      </c>
      <c r="L3009" s="473">
        <f>971*6</f>
        <v>5826</v>
      </c>
      <c r="M3009" s="473"/>
    </row>
    <row r="3010" spans="5:13">
      <c r="E3010" s="473"/>
      <c r="F3010" s="473"/>
      <c r="G3010" s="473"/>
      <c r="H3010" s="478" t="s">
        <v>3492</v>
      </c>
      <c r="I3010" s="473"/>
      <c r="J3010" s="473"/>
      <c r="K3010" s="571">
        <f>SUM(K2995:K3009)</f>
        <v>7194</v>
      </c>
      <c r="L3010" s="473"/>
      <c r="M3010" s="473"/>
    </row>
    <row r="3011" spans="5:13">
      <c r="E3011" s="473"/>
      <c r="F3011" s="473"/>
      <c r="G3011" s="473"/>
      <c r="H3011" s="480" t="s">
        <v>3489</v>
      </c>
      <c r="I3011" s="473"/>
      <c r="J3011" s="473"/>
      <c r="K3011" s="480">
        <f>K3010/6</f>
        <v>1199</v>
      </c>
      <c r="L3011" s="473">
        <f>1075*6</f>
        <v>6450</v>
      </c>
      <c r="M3011" s="473">
        <f>K3010/15</f>
        <v>479.6</v>
      </c>
    </row>
    <row r="3012" spans="5:13">
      <c r="E3012" s="473"/>
      <c r="F3012" s="473"/>
      <c r="G3012" s="473"/>
      <c r="H3012" s="473"/>
      <c r="I3012" s="473"/>
      <c r="J3012" s="473"/>
      <c r="K3012" s="478"/>
      <c r="L3012" s="473">
        <f>L3011-K3010</f>
        <v>-744</v>
      </c>
      <c r="M3012" s="473"/>
    </row>
    <row r="3013" spans="5:13">
      <c r="E3013" s="473"/>
      <c r="F3013" s="473"/>
      <c r="G3013" s="473"/>
      <c r="H3013" s="481" t="s">
        <v>2543</v>
      </c>
      <c r="I3013" s="473"/>
      <c r="J3013" s="473"/>
      <c r="K3013" s="478"/>
      <c r="L3013" s="473"/>
      <c r="M3013" s="473"/>
    </row>
    <row r="3014" spans="5:13" ht="47.25">
      <c r="E3014" s="473"/>
      <c r="F3014" s="473"/>
      <c r="G3014" s="473"/>
      <c r="H3014" s="471" t="s">
        <v>2544</v>
      </c>
      <c r="I3014" s="473"/>
      <c r="J3014" s="473"/>
      <c r="K3014" s="478"/>
      <c r="L3014" s="473"/>
      <c r="M3014" s="473"/>
    </row>
    <row r="3015" spans="5:13">
      <c r="E3015" s="473"/>
      <c r="F3015" s="473"/>
      <c r="G3015" s="473"/>
      <c r="H3015" s="473"/>
      <c r="I3015" s="473"/>
      <c r="J3015" s="473"/>
      <c r="K3015" s="478"/>
      <c r="L3015" s="473"/>
      <c r="M3015" s="473"/>
    </row>
    <row r="3016" spans="5:13" ht="199.5" customHeight="1">
      <c r="E3016" s="473"/>
      <c r="F3016" s="473"/>
      <c r="G3016" s="473"/>
      <c r="H3016" s="472" t="s">
        <v>911</v>
      </c>
      <c r="I3016" s="473"/>
      <c r="J3016" s="473"/>
      <c r="K3016" s="478"/>
      <c r="L3016" s="473"/>
      <c r="M3016" s="473"/>
    </row>
    <row r="3017" spans="5:13">
      <c r="E3017" s="473"/>
      <c r="F3017" s="473"/>
      <c r="G3017" s="473"/>
      <c r="H3017" s="473"/>
      <c r="I3017" s="473"/>
      <c r="J3017" s="473"/>
      <c r="K3017" s="478"/>
      <c r="L3017" s="473"/>
      <c r="M3017" s="473"/>
    </row>
    <row r="3018" spans="5:13">
      <c r="E3018" s="473"/>
      <c r="F3018" s="473"/>
      <c r="G3018" s="473"/>
      <c r="H3018" s="473" t="s">
        <v>2402</v>
      </c>
      <c r="I3018" s="473"/>
      <c r="J3018" s="473"/>
      <c r="K3018" s="478">
        <f>K3010-K3009</f>
        <v>7178.88</v>
      </c>
      <c r="L3018" s="473"/>
      <c r="M3018" s="473"/>
    </row>
    <row r="3019" spans="5:13">
      <c r="E3019" s="473"/>
      <c r="F3019" s="473"/>
      <c r="G3019" s="473"/>
      <c r="H3019" s="473" t="s">
        <v>2998</v>
      </c>
      <c r="I3019" s="473"/>
      <c r="J3019" s="473"/>
      <c r="K3019" s="478">
        <f>K3002</f>
        <v>94.5</v>
      </c>
      <c r="L3019" s="473"/>
      <c r="M3019" s="473"/>
    </row>
    <row r="3020" spans="5:13">
      <c r="E3020" s="473"/>
      <c r="F3020" s="473"/>
      <c r="G3020" s="473"/>
      <c r="H3020" s="473" t="s">
        <v>1618</v>
      </c>
      <c r="I3020" s="473"/>
      <c r="J3020" s="473"/>
      <c r="K3020" s="478">
        <f>18.9*6</f>
        <v>113.4</v>
      </c>
      <c r="L3020" s="473"/>
      <c r="M3020" s="473"/>
    </row>
    <row r="3021" spans="5:13">
      <c r="E3021" s="473"/>
      <c r="F3021" s="473"/>
      <c r="G3021" s="473"/>
      <c r="H3021" s="473" t="s">
        <v>2359</v>
      </c>
      <c r="I3021" s="473"/>
      <c r="J3021" s="473"/>
      <c r="K3021" s="478">
        <v>14.22</v>
      </c>
      <c r="L3021" s="473">
        <f>L3023-K3022</f>
        <v>-750</v>
      </c>
      <c r="M3021" s="473"/>
    </row>
    <row r="3022" spans="5:13">
      <c r="E3022" s="473"/>
      <c r="F3022" s="473"/>
      <c r="G3022" s="473"/>
      <c r="H3022" s="478" t="s">
        <v>2999</v>
      </c>
      <c r="I3022" s="473"/>
      <c r="J3022" s="473"/>
      <c r="K3022" s="571">
        <f>(K3018-K3019)+K3020+K3021</f>
        <v>7212</v>
      </c>
      <c r="L3022" s="473"/>
      <c r="M3022" s="473"/>
    </row>
    <row r="3023" spans="5:13">
      <c r="E3023" s="473"/>
      <c r="F3023" s="473"/>
      <c r="G3023" s="473"/>
      <c r="H3023" s="480" t="s">
        <v>3000</v>
      </c>
      <c r="I3023" s="473"/>
      <c r="J3023" s="473"/>
      <c r="K3023" s="480">
        <f>K3022/6</f>
        <v>1202</v>
      </c>
      <c r="L3023" s="473">
        <f>1077*6</f>
        <v>6462</v>
      </c>
      <c r="M3023" s="473"/>
    </row>
    <row r="3024" spans="5:13">
      <c r="E3024" s="473"/>
      <c r="F3024" s="473"/>
      <c r="G3024" s="473"/>
      <c r="H3024" s="473"/>
      <c r="I3024" s="473"/>
      <c r="J3024" s="473"/>
      <c r="K3024" s="478"/>
      <c r="L3024" s="473"/>
      <c r="M3024" s="473"/>
    </row>
    <row r="3025" spans="5:13">
      <c r="E3025" s="473"/>
      <c r="F3025" s="473"/>
      <c r="G3025" s="473"/>
      <c r="H3025" s="481" t="s">
        <v>3001</v>
      </c>
      <c r="I3025" s="473"/>
      <c r="J3025" s="473"/>
      <c r="K3025" s="478"/>
      <c r="L3025" s="473"/>
      <c r="M3025" s="473"/>
    </row>
    <row r="3026" spans="5:13" ht="39" customHeight="1">
      <c r="E3026" s="473"/>
      <c r="F3026" s="473"/>
      <c r="G3026" s="473"/>
      <c r="H3026" s="471" t="s">
        <v>3046</v>
      </c>
      <c r="I3026" s="473"/>
      <c r="J3026" s="473"/>
      <c r="K3026" s="478"/>
      <c r="L3026" s="473"/>
      <c r="M3026" s="473"/>
    </row>
    <row r="3027" spans="5:13" ht="94.5">
      <c r="E3027" s="473"/>
      <c r="F3027" s="473"/>
      <c r="G3027" s="473"/>
      <c r="H3027" s="472" t="s">
        <v>911</v>
      </c>
      <c r="I3027" s="473"/>
      <c r="J3027" s="473"/>
      <c r="K3027" s="478"/>
      <c r="L3027" s="473"/>
      <c r="M3027" s="473"/>
    </row>
    <row r="3028" spans="5:13" ht="31.5">
      <c r="E3028" s="473"/>
      <c r="F3028" s="473">
        <v>90</v>
      </c>
      <c r="G3028" s="473" t="s">
        <v>840</v>
      </c>
      <c r="H3028" s="394" t="s">
        <v>2662</v>
      </c>
      <c r="I3028" s="473">
        <f t="shared" ref="I3028:I3040" si="99">I2905</f>
        <v>12.8</v>
      </c>
      <c r="J3028" s="473" t="s">
        <v>2663</v>
      </c>
      <c r="K3028" s="478">
        <f t="shared" ref="K3028:K3040" si="100">F3028*I3028</f>
        <v>1152</v>
      </c>
      <c r="L3028" s="473"/>
      <c r="M3028" s="473"/>
    </row>
    <row r="3029" spans="5:13" ht="31.5">
      <c r="E3029" s="473"/>
      <c r="F3029" s="473">
        <v>45</v>
      </c>
      <c r="G3029" s="473" t="s">
        <v>840</v>
      </c>
      <c r="H3029" s="472" t="s">
        <v>2466</v>
      </c>
      <c r="I3029" s="473">
        <f t="shared" si="99"/>
        <v>19.5</v>
      </c>
      <c r="J3029" s="473" t="s">
        <v>840</v>
      </c>
      <c r="K3029" s="478">
        <f t="shared" si="100"/>
        <v>877.5</v>
      </c>
      <c r="L3029" s="473"/>
      <c r="M3029" s="473"/>
    </row>
    <row r="3030" spans="5:13">
      <c r="E3030" s="473"/>
      <c r="F3030" s="473">
        <v>12</v>
      </c>
      <c r="G3030" s="473" t="s">
        <v>1454</v>
      </c>
      <c r="H3030" s="473" t="s">
        <v>2468</v>
      </c>
      <c r="I3030" s="473">
        <f t="shared" si="99"/>
        <v>3.15</v>
      </c>
      <c r="J3030" s="473" t="s">
        <v>1454</v>
      </c>
      <c r="K3030" s="478">
        <f t="shared" si="100"/>
        <v>37.799999999999997</v>
      </c>
      <c r="L3030" s="473"/>
      <c r="M3030" s="473"/>
    </row>
    <row r="3031" spans="5:13">
      <c r="E3031" s="473"/>
      <c r="F3031" s="473">
        <v>6</v>
      </c>
      <c r="G3031" s="473" t="s">
        <v>1454</v>
      </c>
      <c r="H3031" s="473" t="s">
        <v>3571</v>
      </c>
      <c r="I3031" s="473">
        <f t="shared" si="99"/>
        <v>1.31</v>
      </c>
      <c r="J3031" s="473" t="s">
        <v>1454</v>
      </c>
      <c r="K3031" s="478">
        <f t="shared" si="100"/>
        <v>7.86</v>
      </c>
      <c r="L3031" s="473"/>
      <c r="M3031" s="473"/>
    </row>
    <row r="3032" spans="5:13">
      <c r="E3032" s="473"/>
      <c r="F3032" s="473">
        <v>6</v>
      </c>
      <c r="G3032" s="473" t="s">
        <v>1454</v>
      </c>
      <c r="H3032" s="473" t="s">
        <v>3662</v>
      </c>
      <c r="I3032" s="473">
        <f t="shared" si="99"/>
        <v>3.5</v>
      </c>
      <c r="J3032" s="473" t="s">
        <v>1454</v>
      </c>
      <c r="K3032" s="478">
        <f t="shared" si="100"/>
        <v>21</v>
      </c>
      <c r="L3032" s="473"/>
      <c r="M3032" s="473"/>
    </row>
    <row r="3033" spans="5:13">
      <c r="E3033" s="473"/>
      <c r="F3033" s="473">
        <v>6</v>
      </c>
      <c r="G3033" s="473" t="s">
        <v>1454</v>
      </c>
      <c r="H3033" s="473" t="s">
        <v>2755</v>
      </c>
      <c r="I3033" s="473">
        <f t="shared" si="99"/>
        <v>15.75</v>
      </c>
      <c r="J3033" s="473" t="s">
        <v>1454</v>
      </c>
      <c r="K3033" s="478">
        <f t="shared" si="100"/>
        <v>94.5</v>
      </c>
      <c r="L3033" s="473"/>
      <c r="M3033" s="473"/>
    </row>
    <row r="3034" spans="5:13">
      <c r="E3034" s="473"/>
      <c r="F3034" s="473">
        <v>6</v>
      </c>
      <c r="G3034" s="473" t="s">
        <v>1454</v>
      </c>
      <c r="H3034" s="473" t="s">
        <v>3441</v>
      </c>
      <c r="I3034" s="473">
        <f t="shared" si="99"/>
        <v>16.170000000000002</v>
      </c>
      <c r="J3034" s="473" t="s">
        <v>3574</v>
      </c>
      <c r="K3034" s="478">
        <f t="shared" si="100"/>
        <v>97.02</v>
      </c>
      <c r="L3034" s="473"/>
      <c r="M3034" s="473"/>
    </row>
    <row r="3035" spans="5:13">
      <c r="E3035" s="473"/>
      <c r="F3035" s="473">
        <v>6</v>
      </c>
      <c r="G3035" s="473" t="s">
        <v>1454</v>
      </c>
      <c r="H3035" s="473" t="s">
        <v>3663</v>
      </c>
      <c r="I3035" s="473">
        <f t="shared" si="99"/>
        <v>103.9</v>
      </c>
      <c r="J3035" s="473" t="s">
        <v>1454</v>
      </c>
      <c r="K3035" s="478">
        <f t="shared" si="100"/>
        <v>623.4</v>
      </c>
      <c r="L3035" s="473"/>
      <c r="M3035" s="473"/>
    </row>
    <row r="3036" spans="5:13">
      <c r="E3036" s="473"/>
      <c r="F3036" s="473">
        <v>0.36</v>
      </c>
      <c r="G3036" s="473" t="s">
        <v>2371</v>
      </c>
      <c r="H3036" s="473" t="s">
        <v>2762</v>
      </c>
      <c r="I3036" s="473">
        <f t="shared" si="99"/>
        <v>640</v>
      </c>
      <c r="J3036" s="473" t="s">
        <v>2371</v>
      </c>
      <c r="K3036" s="478">
        <f t="shared" si="100"/>
        <v>230.4</v>
      </c>
      <c r="L3036" s="473"/>
      <c r="M3036" s="473"/>
    </row>
    <row r="3037" spans="5:13">
      <c r="E3037" s="473"/>
      <c r="F3037" s="473">
        <v>1</v>
      </c>
      <c r="G3037" s="473" t="s">
        <v>1454</v>
      </c>
      <c r="H3037" s="473" t="s">
        <v>2967</v>
      </c>
      <c r="I3037" s="473">
        <f t="shared" si="99"/>
        <v>64</v>
      </c>
      <c r="J3037" s="473" t="s">
        <v>1454</v>
      </c>
      <c r="K3037" s="478">
        <f t="shared" si="100"/>
        <v>64</v>
      </c>
      <c r="L3037" s="473"/>
      <c r="M3037" s="473"/>
    </row>
    <row r="3038" spans="5:13">
      <c r="E3038" s="473"/>
      <c r="F3038" s="476">
        <v>1.4999999999999999E-2</v>
      </c>
      <c r="G3038" s="473" t="s">
        <v>2371</v>
      </c>
      <c r="H3038" s="473" t="s">
        <v>2762</v>
      </c>
      <c r="I3038" s="473">
        <f t="shared" si="99"/>
        <v>640</v>
      </c>
      <c r="J3038" s="473" t="s">
        <v>2371</v>
      </c>
      <c r="K3038" s="478">
        <f t="shared" si="100"/>
        <v>9.6</v>
      </c>
      <c r="L3038" s="473"/>
      <c r="M3038" s="473"/>
    </row>
    <row r="3039" spans="5:13">
      <c r="E3039" s="473"/>
      <c r="F3039" s="473">
        <v>1.25</v>
      </c>
      <c r="G3039" s="473" t="s">
        <v>2759</v>
      </c>
      <c r="H3039" s="473" t="s">
        <v>391</v>
      </c>
      <c r="I3039" s="473">
        <f t="shared" si="99"/>
        <v>260</v>
      </c>
      <c r="J3039" s="473" t="s">
        <v>2759</v>
      </c>
      <c r="K3039" s="478">
        <f t="shared" si="100"/>
        <v>325</v>
      </c>
      <c r="L3039" s="473"/>
      <c r="M3039" s="473"/>
    </row>
    <row r="3040" spans="5:13" ht="31.5">
      <c r="E3040" s="473"/>
      <c r="F3040" s="473">
        <v>45</v>
      </c>
      <c r="G3040" s="473" t="s">
        <v>840</v>
      </c>
      <c r="H3040" s="394" t="s">
        <v>2765</v>
      </c>
      <c r="I3040" s="473">
        <f t="shared" si="99"/>
        <v>12.8</v>
      </c>
      <c r="J3040" s="473" t="s">
        <v>2663</v>
      </c>
      <c r="K3040" s="478">
        <f t="shared" si="100"/>
        <v>576</v>
      </c>
      <c r="L3040" s="473"/>
      <c r="M3040" s="473"/>
    </row>
    <row r="3041" spans="5:13">
      <c r="E3041" s="473"/>
      <c r="F3041" s="473"/>
      <c r="G3041" s="473"/>
      <c r="H3041" s="473" t="s">
        <v>931</v>
      </c>
      <c r="I3041" s="473"/>
      <c r="J3041" s="473"/>
      <c r="K3041" s="478">
        <f>K2918</f>
        <v>3475</v>
      </c>
      <c r="L3041" s="473">
        <f>1037*6</f>
        <v>6222</v>
      </c>
      <c r="M3041" s="473"/>
    </row>
    <row r="3042" spans="5:13">
      <c r="E3042" s="473"/>
      <c r="F3042" s="473"/>
      <c r="G3042" s="473"/>
      <c r="H3042" s="473" t="s">
        <v>2359</v>
      </c>
      <c r="I3042" s="473"/>
      <c r="J3042" s="473"/>
      <c r="K3042" s="478">
        <v>16.920000000000002</v>
      </c>
      <c r="L3042" s="473">
        <f>1140*6</f>
        <v>6840</v>
      </c>
      <c r="M3042" s="473">
        <f>L3042-K3043</f>
        <v>-768</v>
      </c>
    </row>
    <row r="3043" spans="5:13">
      <c r="E3043" s="473"/>
      <c r="F3043" s="473"/>
      <c r="G3043" s="473"/>
      <c r="H3043" s="478" t="s">
        <v>2999</v>
      </c>
      <c r="I3043" s="473"/>
      <c r="J3043" s="473"/>
      <c r="K3043" s="571">
        <f>SUM(K3028:K3042)</f>
        <v>7608</v>
      </c>
      <c r="L3043" s="473"/>
      <c r="M3043" s="473">
        <f>0.5*6</f>
        <v>3</v>
      </c>
    </row>
    <row r="3044" spans="5:13">
      <c r="E3044" s="473"/>
      <c r="F3044" s="473"/>
      <c r="G3044" s="473"/>
      <c r="H3044" s="480" t="s">
        <v>3338</v>
      </c>
      <c r="I3044" s="473"/>
      <c r="J3044" s="473"/>
      <c r="K3044" s="480">
        <f>K3043/6</f>
        <v>1268</v>
      </c>
      <c r="L3044" s="473">
        <f>894*6</f>
        <v>5364</v>
      </c>
      <c r="M3044" s="473"/>
    </row>
    <row r="3045" spans="5:13">
      <c r="E3045" s="473"/>
      <c r="F3045" s="473"/>
      <c r="G3045" s="473"/>
      <c r="H3045" s="473"/>
      <c r="I3045" s="473"/>
      <c r="J3045" s="473"/>
      <c r="K3045" s="478"/>
      <c r="L3045" s="473"/>
      <c r="M3045" s="473"/>
    </row>
    <row r="3046" spans="5:13">
      <c r="E3046" s="473"/>
      <c r="F3046" s="473"/>
      <c r="G3046" s="473"/>
      <c r="H3046" s="481" t="s">
        <v>3078</v>
      </c>
      <c r="I3046" s="473"/>
      <c r="J3046" s="473"/>
      <c r="K3046" s="478"/>
      <c r="L3046" s="473">
        <f>L3044-K3043</f>
        <v>-2244</v>
      </c>
      <c r="M3046" s="473"/>
    </row>
    <row r="3047" spans="5:13" ht="56.25" customHeight="1">
      <c r="E3047" s="473"/>
      <c r="F3047" s="473"/>
      <c r="G3047" s="473"/>
      <c r="H3047" s="471" t="s">
        <v>2495</v>
      </c>
      <c r="I3047" s="473"/>
      <c r="J3047" s="473"/>
      <c r="K3047" s="478"/>
      <c r="L3047" s="473"/>
      <c r="M3047" s="473"/>
    </row>
    <row r="3048" spans="5:13" ht="202.5" customHeight="1">
      <c r="E3048" s="473"/>
      <c r="F3048" s="473"/>
      <c r="G3048" s="473"/>
      <c r="H3048" s="472" t="s">
        <v>911</v>
      </c>
      <c r="I3048" s="473"/>
      <c r="J3048" s="473"/>
      <c r="K3048" s="478"/>
      <c r="L3048" s="473"/>
      <c r="M3048" s="473"/>
    </row>
    <row r="3049" spans="5:13" ht="31.5">
      <c r="E3049" s="473"/>
      <c r="F3049" s="473">
        <v>90</v>
      </c>
      <c r="G3049" s="473" t="s">
        <v>840</v>
      </c>
      <c r="H3049" s="394" t="s">
        <v>2662</v>
      </c>
      <c r="I3049" s="473">
        <f t="shared" ref="I3049:I3059" si="101">I2931</f>
        <v>12.8</v>
      </c>
      <c r="J3049" s="473" t="s">
        <v>2663</v>
      </c>
      <c r="K3049" s="478">
        <f t="shared" ref="K3049:K3059" si="102">F3049*I3049</f>
        <v>1152</v>
      </c>
      <c r="L3049" s="473"/>
      <c r="M3049" s="473"/>
    </row>
    <row r="3050" spans="5:13" ht="31.5">
      <c r="E3050" s="473"/>
      <c r="F3050" s="473">
        <v>30</v>
      </c>
      <c r="G3050" s="473" t="s">
        <v>840</v>
      </c>
      <c r="H3050" s="472" t="s">
        <v>2466</v>
      </c>
      <c r="I3050" s="473">
        <f t="shared" si="101"/>
        <v>19.5</v>
      </c>
      <c r="J3050" s="473" t="s">
        <v>840</v>
      </c>
      <c r="K3050" s="478">
        <f t="shared" si="102"/>
        <v>585</v>
      </c>
      <c r="L3050" s="473"/>
      <c r="M3050" s="473"/>
    </row>
    <row r="3051" spans="5:13">
      <c r="E3051" s="473"/>
      <c r="F3051" s="473">
        <v>6</v>
      </c>
      <c r="G3051" s="473" t="s">
        <v>1454</v>
      </c>
      <c r="H3051" s="473" t="s">
        <v>2468</v>
      </c>
      <c r="I3051" s="473">
        <f t="shared" si="101"/>
        <v>3.15</v>
      </c>
      <c r="J3051" s="473" t="s">
        <v>1454</v>
      </c>
      <c r="K3051" s="478">
        <f t="shared" si="102"/>
        <v>18.899999999999999</v>
      </c>
      <c r="L3051" s="473"/>
      <c r="M3051" s="473"/>
    </row>
    <row r="3052" spans="5:13">
      <c r="E3052" s="473"/>
      <c r="F3052" s="473">
        <v>3</v>
      </c>
      <c r="G3052" s="473" t="s">
        <v>1454</v>
      </c>
      <c r="H3052" s="473" t="s">
        <v>3571</v>
      </c>
      <c r="I3052" s="473">
        <f t="shared" si="101"/>
        <v>1.31</v>
      </c>
      <c r="J3052" s="473" t="s">
        <v>1454</v>
      </c>
      <c r="K3052" s="478">
        <f t="shared" si="102"/>
        <v>3.93</v>
      </c>
      <c r="L3052" s="473"/>
      <c r="M3052" s="473"/>
    </row>
    <row r="3053" spans="5:13">
      <c r="E3053" s="473"/>
      <c r="F3053" s="473">
        <v>6</v>
      </c>
      <c r="G3053" s="473" t="s">
        <v>1454</v>
      </c>
      <c r="H3053" s="473" t="s">
        <v>2561</v>
      </c>
      <c r="I3053" s="473">
        <f t="shared" si="101"/>
        <v>20.079999999999998</v>
      </c>
      <c r="J3053" s="473" t="s">
        <v>1454</v>
      </c>
      <c r="K3053" s="478">
        <f t="shared" si="102"/>
        <v>120.48</v>
      </c>
      <c r="L3053" s="473"/>
      <c r="M3053" s="473"/>
    </row>
    <row r="3054" spans="5:13">
      <c r="E3054" s="473"/>
      <c r="F3054" s="473">
        <v>3</v>
      </c>
      <c r="G3054" s="473" t="s">
        <v>1454</v>
      </c>
      <c r="H3054" s="473" t="s">
        <v>2755</v>
      </c>
      <c r="I3054" s="473">
        <f t="shared" si="101"/>
        <v>15.75</v>
      </c>
      <c r="J3054" s="473" t="s">
        <v>1454</v>
      </c>
      <c r="K3054" s="478">
        <f t="shared" si="102"/>
        <v>47.25</v>
      </c>
      <c r="L3054" s="473"/>
      <c r="M3054" s="473"/>
    </row>
    <row r="3055" spans="5:13">
      <c r="E3055" s="473"/>
      <c r="F3055" s="473">
        <v>3</v>
      </c>
      <c r="G3055" s="473" t="s">
        <v>1454</v>
      </c>
      <c r="H3055" s="473" t="s">
        <v>2757</v>
      </c>
      <c r="I3055" s="473">
        <f t="shared" si="101"/>
        <v>3.5</v>
      </c>
      <c r="J3055" s="473" t="s">
        <v>1454</v>
      </c>
      <c r="K3055" s="478">
        <f t="shared" si="102"/>
        <v>10.5</v>
      </c>
      <c r="L3055" s="473"/>
      <c r="M3055" s="473"/>
    </row>
    <row r="3056" spans="5:13">
      <c r="E3056" s="473"/>
      <c r="F3056" s="473">
        <v>3</v>
      </c>
      <c r="G3056" s="473" t="s">
        <v>1454</v>
      </c>
      <c r="H3056" s="473" t="s">
        <v>2562</v>
      </c>
      <c r="I3056" s="473">
        <f t="shared" si="101"/>
        <v>64</v>
      </c>
      <c r="J3056" s="473" t="s">
        <v>1454</v>
      </c>
      <c r="K3056" s="478">
        <f t="shared" si="102"/>
        <v>192</v>
      </c>
      <c r="L3056" s="473"/>
      <c r="M3056" s="473"/>
    </row>
    <row r="3057" spans="5:13">
      <c r="E3057" s="473"/>
      <c r="F3057" s="476">
        <v>5.3999999999999999E-2</v>
      </c>
      <c r="G3057" s="473" t="s">
        <v>2371</v>
      </c>
      <c r="H3057" s="473" t="s">
        <v>2675</v>
      </c>
      <c r="I3057" s="473">
        <f t="shared" si="101"/>
        <v>640</v>
      </c>
      <c r="J3057" s="473" t="s">
        <v>2371</v>
      </c>
      <c r="K3057" s="478">
        <f t="shared" si="102"/>
        <v>34.56</v>
      </c>
      <c r="L3057" s="473"/>
      <c r="M3057" s="473"/>
    </row>
    <row r="3058" spans="5:13">
      <c r="E3058" s="473"/>
      <c r="F3058" s="473">
        <v>1.25</v>
      </c>
      <c r="G3058" s="473" t="s">
        <v>2759</v>
      </c>
      <c r="H3058" s="473" t="s">
        <v>391</v>
      </c>
      <c r="I3058" s="473">
        <f t="shared" si="101"/>
        <v>260</v>
      </c>
      <c r="J3058" s="473" t="s">
        <v>2759</v>
      </c>
      <c r="K3058" s="478">
        <f t="shared" si="102"/>
        <v>325</v>
      </c>
      <c r="L3058" s="473"/>
      <c r="M3058" s="473"/>
    </row>
    <row r="3059" spans="5:13" ht="31.5">
      <c r="E3059" s="473"/>
      <c r="F3059" s="473">
        <v>30</v>
      </c>
      <c r="G3059" s="473" t="s">
        <v>840</v>
      </c>
      <c r="H3059" s="394" t="s">
        <v>2765</v>
      </c>
      <c r="I3059" s="473">
        <f t="shared" si="101"/>
        <v>12.8</v>
      </c>
      <c r="J3059" s="473" t="s">
        <v>2663</v>
      </c>
      <c r="K3059" s="478">
        <f t="shared" si="102"/>
        <v>384</v>
      </c>
      <c r="L3059" s="473"/>
      <c r="M3059" s="473"/>
    </row>
    <row r="3060" spans="5:13">
      <c r="E3060" s="473"/>
      <c r="F3060" s="473"/>
      <c r="G3060" s="473"/>
      <c r="H3060" s="473" t="s">
        <v>931</v>
      </c>
      <c r="I3060" s="473"/>
      <c r="J3060" s="473"/>
      <c r="K3060" s="478">
        <f>K2942</f>
        <v>3475</v>
      </c>
      <c r="L3060" s="473"/>
      <c r="M3060" s="473"/>
    </row>
    <row r="3061" spans="5:13">
      <c r="E3061" s="473"/>
      <c r="F3061" s="473"/>
      <c r="G3061" s="473"/>
      <c r="H3061" s="473" t="s">
        <v>2359</v>
      </c>
      <c r="I3061" s="473"/>
      <c r="J3061" s="473"/>
      <c r="K3061" s="478">
        <v>8.3800000000000008</v>
      </c>
      <c r="L3061" s="473">
        <f>1678*3</f>
        <v>5034</v>
      </c>
      <c r="M3061" s="473"/>
    </row>
    <row r="3062" spans="5:13">
      <c r="E3062" s="473"/>
      <c r="F3062" s="473"/>
      <c r="G3062" s="473"/>
      <c r="H3062" s="478" t="s">
        <v>3114</v>
      </c>
      <c r="I3062" s="473"/>
      <c r="J3062" s="473"/>
      <c r="K3062" s="571">
        <f>SUM(K3049:K3061)</f>
        <v>6357</v>
      </c>
      <c r="L3062" s="473">
        <f>L3063-K3062</f>
        <v>-708</v>
      </c>
      <c r="M3062" s="473"/>
    </row>
    <row r="3063" spans="5:13">
      <c r="E3063" s="473"/>
      <c r="F3063" s="473"/>
      <c r="G3063" s="473"/>
      <c r="H3063" s="480" t="s">
        <v>3338</v>
      </c>
      <c r="I3063" s="473"/>
      <c r="J3063" s="473"/>
      <c r="K3063" s="480">
        <f>K3062/3</f>
        <v>2119</v>
      </c>
      <c r="L3063" s="473">
        <f>1883*3</f>
        <v>5649</v>
      </c>
      <c r="M3063" s="473"/>
    </row>
    <row r="3064" spans="5:13">
      <c r="E3064" s="473"/>
      <c r="F3064" s="473"/>
      <c r="G3064" s="473"/>
      <c r="H3064" s="473"/>
      <c r="I3064" s="473"/>
      <c r="J3064" s="473"/>
      <c r="K3064" s="478"/>
      <c r="L3064" s="473"/>
      <c r="M3064" s="473"/>
    </row>
    <row r="3065" spans="5:13">
      <c r="E3065" s="473"/>
      <c r="F3065" s="473"/>
      <c r="G3065" s="473"/>
      <c r="H3065" s="490" t="s">
        <v>3115</v>
      </c>
      <c r="I3065" s="473"/>
      <c r="J3065" s="473"/>
      <c r="K3065" s="478"/>
      <c r="L3065" s="473"/>
      <c r="M3065" s="473"/>
    </row>
    <row r="3066" spans="5:13">
      <c r="E3066" s="473"/>
      <c r="F3066" s="473"/>
      <c r="G3066" s="473"/>
      <c r="H3066" s="473"/>
      <c r="I3066" s="473"/>
      <c r="J3066" s="473"/>
      <c r="K3066" s="478"/>
      <c r="L3066" s="473"/>
      <c r="M3066" s="473"/>
    </row>
    <row r="3067" spans="5:13">
      <c r="E3067" s="473"/>
      <c r="F3067" s="473"/>
      <c r="G3067" s="473"/>
      <c r="H3067" s="481" t="s">
        <v>3116</v>
      </c>
      <c r="I3067" s="473"/>
      <c r="J3067" s="473"/>
      <c r="K3067" s="478"/>
      <c r="L3067" s="473"/>
      <c r="M3067" s="473"/>
    </row>
    <row r="3068" spans="5:13">
      <c r="E3068" s="473"/>
      <c r="F3068" s="473"/>
      <c r="G3068" s="473"/>
      <c r="H3068" s="481" t="s">
        <v>2496</v>
      </c>
      <c r="I3068" s="473"/>
      <c r="J3068" s="473"/>
      <c r="K3068" s="478"/>
      <c r="L3068" s="473"/>
      <c r="M3068" s="473"/>
    </row>
    <row r="3069" spans="5:13">
      <c r="E3069" s="473"/>
      <c r="F3069" s="473"/>
      <c r="G3069" s="473"/>
      <c r="H3069" s="473"/>
      <c r="I3069" s="473"/>
      <c r="J3069" s="473"/>
      <c r="K3069" s="478"/>
      <c r="L3069" s="473"/>
      <c r="M3069" s="473"/>
    </row>
    <row r="3070" spans="5:13" ht="121.5" customHeight="1">
      <c r="E3070" s="473"/>
      <c r="F3070" s="473"/>
      <c r="G3070" s="473"/>
      <c r="H3070" s="472" t="s">
        <v>792</v>
      </c>
      <c r="I3070" s="473"/>
      <c r="J3070" s="473"/>
      <c r="K3070" s="478"/>
      <c r="L3070" s="473"/>
      <c r="M3070" s="473"/>
    </row>
    <row r="3071" spans="5:13">
      <c r="E3071" s="473"/>
      <c r="F3071" s="473"/>
      <c r="G3071" s="473"/>
      <c r="H3071" s="473"/>
      <c r="I3071" s="473"/>
      <c r="J3071" s="473"/>
      <c r="K3071" s="478"/>
      <c r="L3071" s="473"/>
      <c r="M3071" s="473"/>
    </row>
    <row r="3072" spans="5:13" ht="31.5">
      <c r="E3072" s="473"/>
      <c r="F3072" s="473">
        <v>180</v>
      </c>
      <c r="G3072" s="473" t="s">
        <v>840</v>
      </c>
      <c r="H3072" s="394" t="s">
        <v>2662</v>
      </c>
      <c r="I3072" s="473">
        <f>I3049</f>
        <v>12.8</v>
      </c>
      <c r="J3072" s="473" t="s">
        <v>840</v>
      </c>
      <c r="K3072" s="478">
        <f>F3072*I3072</f>
        <v>2304</v>
      </c>
      <c r="L3072" s="473"/>
      <c r="M3072" s="473"/>
    </row>
    <row r="3073" spans="5:13" ht="31.5">
      <c r="E3073" s="473"/>
      <c r="F3073" s="473">
        <v>90</v>
      </c>
      <c r="G3073" s="473" t="s">
        <v>840</v>
      </c>
      <c r="H3073" s="472" t="s">
        <v>2466</v>
      </c>
      <c r="I3073" s="473">
        <f>I3050</f>
        <v>19.5</v>
      </c>
      <c r="J3073" s="473" t="s">
        <v>840</v>
      </c>
      <c r="K3073" s="478">
        <f>F3073*I3073</f>
        <v>1755</v>
      </c>
      <c r="L3073" s="473"/>
      <c r="M3073" s="473"/>
    </row>
    <row r="3074" spans="5:13">
      <c r="E3074" s="473"/>
      <c r="F3074" s="473">
        <v>3</v>
      </c>
      <c r="G3074" s="473" t="s">
        <v>2759</v>
      </c>
      <c r="H3074" s="473" t="s">
        <v>391</v>
      </c>
      <c r="I3074" s="473">
        <f>I3058</f>
        <v>260</v>
      </c>
      <c r="J3074" s="473" t="s">
        <v>2759</v>
      </c>
      <c r="K3074" s="478">
        <f>F3074*I3074</f>
        <v>780</v>
      </c>
      <c r="L3074" s="473"/>
      <c r="M3074" s="473"/>
    </row>
    <row r="3075" spans="5:13" ht="31.5">
      <c r="E3075" s="473"/>
      <c r="F3075" s="473">
        <v>90</v>
      </c>
      <c r="G3075" s="473" t="s">
        <v>840</v>
      </c>
      <c r="H3075" s="394" t="s">
        <v>2765</v>
      </c>
      <c r="I3075" s="473">
        <f>I3072</f>
        <v>12.8</v>
      </c>
      <c r="J3075" s="473" t="s">
        <v>2663</v>
      </c>
      <c r="K3075" s="478">
        <f>F3075*I3075</f>
        <v>1152</v>
      </c>
      <c r="L3075" s="473"/>
      <c r="M3075" s="473"/>
    </row>
    <row r="3076" spans="5:13">
      <c r="E3076" s="473"/>
      <c r="F3076" s="473"/>
      <c r="G3076" s="473"/>
      <c r="H3076" s="473" t="s">
        <v>931</v>
      </c>
      <c r="I3076" s="473"/>
      <c r="J3076" s="473"/>
      <c r="K3076" s="478">
        <f>K3060</f>
        <v>3475</v>
      </c>
      <c r="L3076" s="473"/>
      <c r="M3076" s="473"/>
    </row>
    <row r="3077" spans="5:13">
      <c r="E3077" s="473"/>
      <c r="F3077" s="473"/>
      <c r="G3077" s="473"/>
      <c r="H3077" s="473"/>
      <c r="I3077" s="473"/>
      <c r="J3077" s="473"/>
      <c r="K3077" s="478">
        <f>SUM(K3072:K3076)</f>
        <v>9466</v>
      </c>
      <c r="L3077" s="473"/>
      <c r="M3077" s="473"/>
    </row>
    <row r="3078" spans="5:13">
      <c r="E3078" s="473"/>
      <c r="F3078" s="473"/>
      <c r="G3078" s="473"/>
      <c r="H3078" s="473" t="s">
        <v>2359</v>
      </c>
      <c r="I3078" s="473"/>
      <c r="J3078" s="473"/>
      <c r="K3078" s="478">
        <f>4.68+6.32</f>
        <v>11</v>
      </c>
      <c r="L3078" s="473"/>
      <c r="M3078" s="473"/>
    </row>
    <row r="3079" spans="5:13">
      <c r="E3079" s="473"/>
      <c r="F3079" s="473"/>
      <c r="G3079" s="473"/>
      <c r="H3079" s="478" t="s">
        <v>2498</v>
      </c>
      <c r="I3079" s="473"/>
      <c r="J3079" s="473"/>
      <c r="K3079" s="571">
        <f>SUM(K3077:K3078)</f>
        <v>9477</v>
      </c>
      <c r="L3079" s="473"/>
      <c r="M3079" s="473"/>
    </row>
    <row r="3080" spans="5:13">
      <c r="E3080" s="473"/>
      <c r="F3080" s="473"/>
      <c r="G3080" s="473"/>
      <c r="H3080" s="480" t="s">
        <v>2499</v>
      </c>
      <c r="I3080" s="473"/>
      <c r="J3080" s="473"/>
      <c r="K3080" s="480">
        <f>K3079/90</f>
        <v>105.3</v>
      </c>
      <c r="L3080" s="473"/>
      <c r="M3080" s="473"/>
    </row>
    <row r="3081" spans="5:13">
      <c r="E3081" s="473"/>
      <c r="F3081" s="473"/>
      <c r="G3081" s="473"/>
      <c r="H3081" s="473"/>
      <c r="I3081" s="473"/>
      <c r="J3081" s="473"/>
      <c r="K3081" s="478"/>
      <c r="L3081" s="473"/>
      <c r="M3081" s="473"/>
    </row>
    <row r="3082" spans="5:13">
      <c r="E3082" s="473"/>
      <c r="F3082" s="473"/>
      <c r="G3082" s="473"/>
      <c r="H3082" s="481" t="s">
        <v>2500</v>
      </c>
      <c r="I3082" s="473"/>
      <c r="J3082" s="473"/>
      <c r="K3082" s="478"/>
      <c r="L3082" s="473"/>
      <c r="M3082" s="473"/>
    </row>
    <row r="3083" spans="5:13">
      <c r="E3083" s="473"/>
      <c r="F3083" s="473"/>
      <c r="G3083" s="473"/>
      <c r="H3083" s="481" t="s">
        <v>2501</v>
      </c>
      <c r="I3083" s="473"/>
      <c r="J3083" s="473"/>
      <c r="K3083" s="478"/>
      <c r="L3083" s="473"/>
      <c r="M3083" s="473"/>
    </row>
    <row r="3084" spans="5:13">
      <c r="E3084" s="473"/>
      <c r="F3084" s="473"/>
      <c r="G3084" s="473"/>
      <c r="H3084" s="473"/>
      <c r="I3084" s="473"/>
      <c r="J3084" s="473"/>
      <c r="K3084" s="478"/>
      <c r="L3084" s="473"/>
      <c r="M3084" s="473"/>
    </row>
    <row r="3085" spans="5:13" ht="121.5" customHeight="1">
      <c r="E3085" s="473"/>
      <c r="F3085" s="473"/>
      <c r="G3085" s="473"/>
      <c r="H3085" s="472" t="s">
        <v>793</v>
      </c>
      <c r="I3085" s="473"/>
      <c r="J3085" s="473"/>
      <c r="K3085" s="478"/>
      <c r="L3085" s="473"/>
      <c r="M3085" s="473"/>
    </row>
    <row r="3086" spans="5:13">
      <c r="E3086" s="473"/>
      <c r="F3086" s="473"/>
      <c r="G3086" s="473"/>
      <c r="H3086" s="473"/>
      <c r="I3086" s="473"/>
      <c r="J3086" s="473"/>
      <c r="K3086" s="478"/>
      <c r="L3086" s="473"/>
      <c r="M3086" s="473"/>
    </row>
    <row r="3087" spans="5:13">
      <c r="E3087" s="473"/>
      <c r="F3087" s="473"/>
      <c r="G3087" s="473"/>
      <c r="H3087" s="473" t="s">
        <v>3171</v>
      </c>
      <c r="I3087" s="473"/>
      <c r="J3087" s="473"/>
      <c r="K3087" s="478">
        <f>K3077</f>
        <v>9466</v>
      </c>
      <c r="L3087" s="473"/>
      <c r="M3087" s="473"/>
    </row>
    <row r="3088" spans="5:13" ht="41.25" customHeight="1">
      <c r="E3088" s="473"/>
      <c r="F3088" s="473">
        <v>180</v>
      </c>
      <c r="G3088" s="473" t="s">
        <v>840</v>
      </c>
      <c r="H3088" s="472" t="s">
        <v>3419</v>
      </c>
      <c r="I3088" s="473">
        <v>19.899999999999999</v>
      </c>
      <c r="J3088" s="473" t="s">
        <v>840</v>
      </c>
      <c r="K3088" s="478">
        <f>F3088*I3088</f>
        <v>3582</v>
      </c>
      <c r="L3088" s="473"/>
      <c r="M3088" s="473"/>
    </row>
    <row r="3089" spans="5:13" ht="36.75" customHeight="1">
      <c r="E3089" s="473"/>
      <c r="F3089" s="473">
        <v>180</v>
      </c>
      <c r="G3089" s="473" t="s">
        <v>840</v>
      </c>
      <c r="H3089" s="472" t="s">
        <v>3118</v>
      </c>
      <c r="I3089" s="473">
        <f>I3075</f>
        <v>12.8</v>
      </c>
      <c r="J3089" s="473" t="s">
        <v>2663</v>
      </c>
      <c r="K3089" s="478">
        <f>F3089*I3089</f>
        <v>2304</v>
      </c>
      <c r="L3089" s="473">
        <f>102.3*90</f>
        <v>9207</v>
      </c>
      <c r="M3089" s="473"/>
    </row>
    <row r="3090" spans="5:13" ht="25.5" customHeight="1">
      <c r="E3090" s="473"/>
      <c r="F3090" s="473"/>
      <c r="G3090" s="473"/>
      <c r="H3090" s="473" t="s">
        <v>2359</v>
      </c>
      <c r="I3090" s="473"/>
      <c r="J3090" s="473"/>
      <c r="K3090" s="478">
        <f>4.59+6.41</f>
        <v>11</v>
      </c>
      <c r="L3090" s="473">
        <f>109.4*90</f>
        <v>9846</v>
      </c>
      <c r="M3090" s="473"/>
    </row>
    <row r="3091" spans="5:13">
      <c r="E3091" s="473"/>
      <c r="F3091" s="473"/>
      <c r="G3091" s="473"/>
      <c r="H3091" s="478" t="s">
        <v>3119</v>
      </c>
      <c r="I3091" s="473"/>
      <c r="J3091" s="473"/>
      <c r="K3091" s="571">
        <f>K3087+K3088-K3089+K3090</f>
        <v>10755</v>
      </c>
      <c r="L3091" s="473">
        <f>L3090-K3091</f>
        <v>-909</v>
      </c>
      <c r="M3091" s="473"/>
    </row>
    <row r="3092" spans="5:13">
      <c r="E3092" s="473"/>
      <c r="F3092" s="473"/>
      <c r="G3092" s="473"/>
      <c r="H3092" s="480" t="s">
        <v>2499</v>
      </c>
      <c r="I3092" s="473"/>
      <c r="J3092" s="473"/>
      <c r="K3092" s="480">
        <f>K3091/90</f>
        <v>119.5</v>
      </c>
      <c r="L3092" s="473"/>
      <c r="M3092" s="473"/>
    </row>
    <row r="3093" spans="5:13">
      <c r="E3093" s="473"/>
      <c r="F3093" s="473"/>
      <c r="G3093" s="473"/>
      <c r="H3093" s="473"/>
      <c r="I3093" s="473"/>
      <c r="J3093" s="473"/>
      <c r="K3093" s="478"/>
      <c r="L3093" s="473"/>
      <c r="M3093" s="473"/>
    </row>
    <row r="3094" spans="5:13">
      <c r="E3094" s="473"/>
      <c r="F3094" s="473"/>
      <c r="G3094" s="473"/>
      <c r="H3094" s="481" t="s">
        <v>3120</v>
      </c>
      <c r="I3094" s="473"/>
      <c r="J3094" s="473"/>
      <c r="K3094" s="478"/>
      <c r="L3094" s="473"/>
      <c r="M3094" s="473"/>
    </row>
    <row r="3095" spans="5:13">
      <c r="E3095" s="473"/>
      <c r="F3095" s="473"/>
      <c r="G3095" s="473"/>
      <c r="H3095" s="481" t="s">
        <v>3121</v>
      </c>
      <c r="I3095" s="473"/>
      <c r="J3095" s="473"/>
      <c r="K3095" s="478"/>
      <c r="L3095" s="473"/>
      <c r="M3095" s="473"/>
    </row>
    <row r="3096" spans="5:13">
      <c r="E3096" s="473"/>
      <c r="F3096" s="473"/>
      <c r="G3096" s="473"/>
      <c r="H3096" s="473"/>
      <c r="I3096" s="473"/>
      <c r="J3096" s="473"/>
      <c r="K3096" s="478"/>
      <c r="L3096" s="473"/>
      <c r="M3096" s="473"/>
    </row>
    <row r="3097" spans="5:13" ht="126.75" customHeight="1">
      <c r="E3097" s="473"/>
      <c r="F3097" s="473"/>
      <c r="G3097" s="473"/>
      <c r="H3097" s="472" t="s">
        <v>2280</v>
      </c>
      <c r="I3097" s="473"/>
      <c r="J3097" s="473"/>
      <c r="K3097" s="478"/>
      <c r="L3097" s="473"/>
      <c r="M3097" s="473"/>
    </row>
    <row r="3098" spans="5:13" ht="28.5" customHeight="1">
      <c r="E3098" s="473"/>
      <c r="F3098" s="473">
        <v>180</v>
      </c>
      <c r="G3098" s="473" t="s">
        <v>840</v>
      </c>
      <c r="H3098" s="394" t="s">
        <v>3364</v>
      </c>
      <c r="I3098" s="473">
        <v>31.5</v>
      </c>
      <c r="J3098" s="473" t="s">
        <v>2663</v>
      </c>
      <c r="K3098" s="478">
        <f>F3098*I3098</f>
        <v>5670</v>
      </c>
      <c r="L3098" s="473"/>
      <c r="M3098" s="473"/>
    </row>
    <row r="3099" spans="5:13" ht="39" customHeight="1">
      <c r="E3099" s="473"/>
      <c r="F3099" s="473">
        <v>90</v>
      </c>
      <c r="G3099" s="473" t="s">
        <v>840</v>
      </c>
      <c r="H3099" s="472" t="s">
        <v>2466</v>
      </c>
      <c r="I3099" s="473">
        <f>I3073</f>
        <v>19.5</v>
      </c>
      <c r="J3099" s="473" t="s">
        <v>840</v>
      </c>
      <c r="K3099" s="478">
        <f>F3099*I3099</f>
        <v>1755</v>
      </c>
      <c r="L3099" s="473"/>
      <c r="M3099" s="473"/>
    </row>
    <row r="3100" spans="5:13">
      <c r="E3100" s="473"/>
      <c r="F3100" s="473">
        <v>3</v>
      </c>
      <c r="G3100" s="473" t="s">
        <v>2759</v>
      </c>
      <c r="H3100" s="473" t="s">
        <v>391</v>
      </c>
      <c r="I3100" s="473">
        <f>I3074</f>
        <v>260</v>
      </c>
      <c r="J3100" s="473" t="s">
        <v>2759</v>
      </c>
      <c r="K3100" s="478">
        <f>F3100*I3100</f>
        <v>780</v>
      </c>
      <c r="L3100" s="473"/>
      <c r="M3100" s="473"/>
    </row>
    <row r="3101" spans="5:13" ht="31.5">
      <c r="E3101" s="473"/>
      <c r="F3101" s="473">
        <v>90</v>
      </c>
      <c r="G3101" s="473" t="s">
        <v>840</v>
      </c>
      <c r="H3101" s="394" t="s">
        <v>3365</v>
      </c>
      <c r="I3101" s="473">
        <f>I3088</f>
        <v>19.899999999999999</v>
      </c>
      <c r="J3101" s="473" t="s">
        <v>2663</v>
      </c>
      <c r="K3101" s="478">
        <f>F3101*I3101</f>
        <v>1791</v>
      </c>
      <c r="L3101" s="473"/>
      <c r="M3101" s="473"/>
    </row>
    <row r="3102" spans="5:13">
      <c r="E3102" s="473"/>
      <c r="F3102" s="473"/>
      <c r="G3102" s="473"/>
      <c r="H3102" s="473" t="s">
        <v>931</v>
      </c>
      <c r="I3102" s="473"/>
      <c r="J3102" s="473"/>
      <c r="K3102" s="478">
        <f>K3076</f>
        <v>3475</v>
      </c>
      <c r="L3102" s="473"/>
      <c r="M3102" s="473"/>
    </row>
    <row r="3103" spans="5:13">
      <c r="E3103" s="473"/>
      <c r="F3103" s="473"/>
      <c r="G3103" s="473"/>
      <c r="H3103" s="473" t="s">
        <v>2359</v>
      </c>
      <c r="I3103" s="473"/>
      <c r="J3103" s="473"/>
      <c r="K3103" s="478">
        <v>11</v>
      </c>
      <c r="L3103" s="473"/>
      <c r="M3103" s="473"/>
    </row>
    <row r="3104" spans="5:13">
      <c r="E3104" s="473"/>
      <c r="F3104" s="473"/>
      <c r="G3104" s="473"/>
      <c r="H3104" s="478" t="s">
        <v>2498</v>
      </c>
      <c r="I3104" s="473"/>
      <c r="J3104" s="473"/>
      <c r="K3104" s="571">
        <f>SUM(K3098:K3103)</f>
        <v>13482</v>
      </c>
      <c r="L3104" s="473"/>
      <c r="M3104" s="473"/>
    </row>
    <row r="3105" spans="5:13">
      <c r="E3105" s="473"/>
      <c r="F3105" s="473"/>
      <c r="G3105" s="473"/>
      <c r="H3105" s="480" t="s">
        <v>2499</v>
      </c>
      <c r="I3105" s="473"/>
      <c r="J3105" s="473"/>
      <c r="K3105" s="480">
        <f>K3104/90</f>
        <v>149.80000000000001</v>
      </c>
      <c r="L3105" s="473"/>
      <c r="M3105" s="473"/>
    </row>
    <row r="3106" spans="5:13">
      <c r="E3106" s="473"/>
      <c r="F3106" s="473"/>
      <c r="G3106" s="473"/>
      <c r="H3106" s="473"/>
      <c r="I3106" s="473"/>
      <c r="J3106" s="473"/>
      <c r="K3106" s="478"/>
      <c r="L3106" s="473"/>
      <c r="M3106" s="473"/>
    </row>
    <row r="3107" spans="5:13">
      <c r="E3107" s="473"/>
      <c r="F3107" s="473"/>
      <c r="G3107" s="473"/>
      <c r="H3107" s="473"/>
      <c r="I3107" s="473"/>
      <c r="J3107" s="473"/>
      <c r="K3107" s="478"/>
      <c r="L3107" s="473"/>
      <c r="M3107" s="473"/>
    </row>
    <row r="3108" spans="5:13">
      <c r="E3108" s="473"/>
      <c r="F3108" s="473"/>
      <c r="G3108" s="473"/>
      <c r="H3108" s="481" t="s">
        <v>3366</v>
      </c>
      <c r="I3108" s="473"/>
      <c r="J3108" s="473"/>
      <c r="K3108" s="478"/>
      <c r="L3108" s="473"/>
      <c r="M3108" s="473"/>
    </row>
    <row r="3109" spans="5:13">
      <c r="E3109" s="473"/>
      <c r="F3109" s="473"/>
      <c r="G3109" s="473"/>
      <c r="H3109" s="481" t="s">
        <v>2435</v>
      </c>
      <c r="I3109" s="473"/>
      <c r="J3109" s="473"/>
      <c r="K3109" s="478"/>
      <c r="L3109" s="473"/>
      <c r="M3109" s="473"/>
    </row>
    <row r="3110" spans="5:13">
      <c r="E3110" s="473"/>
      <c r="F3110" s="473"/>
      <c r="G3110" s="473"/>
      <c r="H3110" s="473"/>
      <c r="I3110" s="473"/>
      <c r="J3110" s="473"/>
      <c r="K3110" s="478"/>
      <c r="L3110" s="473"/>
      <c r="M3110" s="473"/>
    </row>
    <row r="3111" spans="5:13" ht="121.5" customHeight="1">
      <c r="E3111" s="473"/>
      <c r="F3111" s="473"/>
      <c r="G3111" s="473"/>
      <c r="H3111" s="472" t="s">
        <v>2281</v>
      </c>
      <c r="I3111" s="473"/>
      <c r="J3111" s="473"/>
      <c r="K3111" s="478"/>
      <c r="L3111" s="473"/>
      <c r="M3111" s="473"/>
    </row>
    <row r="3112" spans="5:13" ht="31.5">
      <c r="E3112" s="473"/>
      <c r="F3112" s="473">
        <v>360</v>
      </c>
      <c r="G3112" s="473"/>
      <c r="H3112" s="394" t="s">
        <v>3364</v>
      </c>
      <c r="I3112" s="473">
        <f>I3098</f>
        <v>31.5</v>
      </c>
      <c r="J3112" s="473" t="s">
        <v>2663</v>
      </c>
      <c r="K3112" s="478">
        <f>F3112*I3112</f>
        <v>11340</v>
      </c>
      <c r="L3112" s="473"/>
      <c r="M3112" s="473"/>
    </row>
    <row r="3113" spans="5:13" ht="31.5">
      <c r="E3113" s="473"/>
      <c r="F3113" s="473">
        <v>90</v>
      </c>
      <c r="G3113" s="473"/>
      <c r="H3113" s="472" t="s">
        <v>2445</v>
      </c>
      <c r="I3113" s="473">
        <v>28.9</v>
      </c>
      <c r="J3113" s="473" t="s">
        <v>840</v>
      </c>
      <c r="K3113" s="478">
        <f>F3113*I3113</f>
        <v>2601</v>
      </c>
      <c r="L3113" s="473"/>
      <c r="M3113" s="473"/>
    </row>
    <row r="3114" spans="5:13">
      <c r="E3114" s="473"/>
      <c r="F3114" s="473">
        <v>3</v>
      </c>
      <c r="G3114" s="473"/>
      <c r="H3114" s="473" t="s">
        <v>391</v>
      </c>
      <c r="I3114" s="473">
        <f>I3100</f>
        <v>260</v>
      </c>
      <c r="J3114" s="473" t="s">
        <v>2759</v>
      </c>
      <c r="K3114" s="478">
        <f>F3114*I3114</f>
        <v>780</v>
      </c>
      <c r="L3114" s="473"/>
      <c r="M3114" s="473"/>
    </row>
    <row r="3115" spans="5:13" ht="31.5">
      <c r="E3115" s="473"/>
      <c r="F3115" s="473">
        <v>90</v>
      </c>
      <c r="G3115" s="473"/>
      <c r="H3115" s="394" t="s">
        <v>3365</v>
      </c>
      <c r="I3115" s="473">
        <f>I3101</f>
        <v>19.899999999999999</v>
      </c>
      <c r="J3115" s="473" t="s">
        <v>2663</v>
      </c>
      <c r="K3115" s="478">
        <f>F3115*I3115</f>
        <v>1791</v>
      </c>
      <c r="L3115" s="473"/>
      <c r="M3115" s="473"/>
    </row>
    <row r="3116" spans="5:13">
      <c r="E3116" s="473"/>
      <c r="F3116" s="473"/>
      <c r="G3116" s="473"/>
      <c r="H3116" s="473" t="s">
        <v>931</v>
      </c>
      <c r="I3116" s="473"/>
      <c r="J3116" s="473"/>
      <c r="K3116" s="478">
        <f>I3122</f>
        <v>4589.5</v>
      </c>
      <c r="L3116" s="473"/>
      <c r="M3116" s="473"/>
    </row>
    <row r="3117" spans="5:13">
      <c r="E3117" s="473"/>
      <c r="F3117" s="473"/>
      <c r="G3117" s="473"/>
      <c r="H3117" s="473" t="s">
        <v>2359</v>
      </c>
      <c r="I3117" s="473"/>
      <c r="J3117" s="473"/>
      <c r="K3117" s="478">
        <v>3.5</v>
      </c>
      <c r="L3117" s="473"/>
      <c r="M3117" s="473"/>
    </row>
    <row r="3118" spans="5:13">
      <c r="E3118" s="473"/>
      <c r="F3118" s="473"/>
      <c r="G3118" s="473"/>
      <c r="H3118" s="478" t="s">
        <v>2498</v>
      </c>
      <c r="I3118" s="473"/>
      <c r="J3118" s="473"/>
      <c r="K3118" s="571">
        <f>SUM(K3112:K3117)</f>
        <v>21105</v>
      </c>
      <c r="L3118" s="473">
        <f>217.3*90</f>
        <v>19557</v>
      </c>
      <c r="M3118" s="473"/>
    </row>
    <row r="3119" spans="5:13">
      <c r="E3119" s="473"/>
      <c r="F3119" s="473"/>
      <c r="G3119" s="473"/>
      <c r="H3119" s="480" t="s">
        <v>2499</v>
      </c>
      <c r="I3119" s="473"/>
      <c r="J3119" s="473"/>
      <c r="K3119" s="480">
        <f>K3118/90</f>
        <v>234.5</v>
      </c>
      <c r="L3119" s="473">
        <f>L3118-K3118</f>
        <v>-1548</v>
      </c>
      <c r="M3119" s="473"/>
    </row>
    <row r="3120" spans="5:13">
      <c r="E3120" s="473"/>
      <c r="F3120" s="473"/>
      <c r="G3120" s="473"/>
      <c r="H3120" s="473"/>
      <c r="I3120" s="473"/>
      <c r="J3120" s="473"/>
      <c r="K3120" s="478"/>
      <c r="L3120" s="473"/>
      <c r="M3120" s="473"/>
    </row>
    <row r="3121" spans="5:13">
      <c r="E3121" s="473"/>
      <c r="F3121" s="473"/>
      <c r="G3121" s="473"/>
      <c r="H3121" s="481" t="s">
        <v>2446</v>
      </c>
      <c r="I3121" s="473"/>
      <c r="J3121" s="473"/>
      <c r="K3121" s="478"/>
      <c r="L3121" s="473"/>
      <c r="M3121" s="473"/>
    </row>
    <row r="3122" spans="5:13">
      <c r="E3122" s="473"/>
      <c r="F3122" s="473"/>
      <c r="G3122" s="473"/>
      <c r="H3122" s="473" t="s">
        <v>1619</v>
      </c>
      <c r="I3122" s="481">
        <f>(1.5*K2873)-((K2871+K2872)/2)</f>
        <v>4589.5</v>
      </c>
      <c r="J3122" s="473"/>
      <c r="K3122" s="478"/>
      <c r="L3122" s="473"/>
      <c r="M3122" s="473"/>
    </row>
    <row r="3123" spans="5:13">
      <c r="E3123" s="473"/>
      <c r="F3123" s="473"/>
      <c r="G3123" s="473"/>
      <c r="H3123" s="473">
        <f>1.5*K2873-(K2871+K2872)/2</f>
        <v>4589.5</v>
      </c>
      <c r="I3123" s="473"/>
      <c r="J3123" s="473"/>
      <c r="K3123" s="478"/>
      <c r="L3123" s="473"/>
      <c r="M3123" s="473"/>
    </row>
    <row r="3124" spans="5:13">
      <c r="E3124" s="473"/>
      <c r="F3124" s="473"/>
      <c r="G3124" s="473"/>
      <c r="H3124" s="473"/>
      <c r="I3124" s="473"/>
      <c r="J3124" s="473"/>
      <c r="K3124" s="478"/>
      <c r="L3124" s="473"/>
      <c r="M3124" s="473"/>
    </row>
    <row r="3125" spans="5:13">
      <c r="E3125" s="473"/>
      <c r="F3125" s="473"/>
      <c r="G3125" s="473"/>
      <c r="H3125" s="490" t="s">
        <v>2447</v>
      </c>
      <c r="I3125" s="473"/>
      <c r="J3125" s="473"/>
      <c r="K3125" s="478"/>
      <c r="L3125" s="473"/>
      <c r="M3125" s="473"/>
    </row>
    <row r="3126" spans="5:13">
      <c r="E3126" s="473"/>
      <c r="F3126" s="473"/>
      <c r="G3126" s="473"/>
      <c r="H3126" s="473"/>
      <c r="I3126" s="473"/>
      <c r="J3126" s="473"/>
      <c r="K3126" s="478"/>
      <c r="L3126" s="473"/>
      <c r="M3126" s="473"/>
    </row>
    <row r="3127" spans="5:13">
      <c r="E3127" s="473"/>
      <c r="F3127" s="473"/>
      <c r="G3127" s="473"/>
      <c r="H3127" s="481" t="s">
        <v>2448</v>
      </c>
      <c r="I3127" s="473"/>
      <c r="J3127" s="473"/>
      <c r="K3127" s="478"/>
      <c r="L3127" s="473"/>
      <c r="M3127" s="473"/>
    </row>
    <row r="3128" spans="5:13">
      <c r="E3128" s="473"/>
      <c r="F3128" s="473"/>
      <c r="G3128" s="473"/>
      <c r="H3128" s="473"/>
      <c r="I3128" s="473"/>
      <c r="J3128" s="473"/>
      <c r="K3128" s="478"/>
      <c r="L3128" s="473"/>
      <c r="M3128" s="473"/>
    </row>
    <row r="3129" spans="5:13">
      <c r="E3129" s="473"/>
      <c r="F3129" s="473"/>
      <c r="G3129" s="473"/>
      <c r="H3129" s="481" t="s">
        <v>2449</v>
      </c>
      <c r="I3129" s="473"/>
      <c r="J3129" s="473"/>
      <c r="K3129" s="478"/>
      <c r="L3129" s="473"/>
      <c r="M3129" s="473"/>
    </row>
    <row r="3130" spans="5:13">
      <c r="E3130" s="473"/>
      <c r="F3130" s="473"/>
      <c r="G3130" s="473"/>
      <c r="H3130" s="473"/>
      <c r="I3130" s="473"/>
      <c r="J3130" s="473"/>
      <c r="K3130" s="478"/>
      <c r="L3130" s="473"/>
      <c r="M3130" s="473"/>
    </row>
    <row r="3131" spans="5:13" ht="63">
      <c r="E3131" s="473"/>
      <c r="F3131" s="473"/>
      <c r="G3131" s="473"/>
      <c r="H3131" s="472" t="s">
        <v>2450</v>
      </c>
      <c r="I3131" s="473"/>
      <c r="J3131" s="473"/>
      <c r="K3131" s="478"/>
      <c r="L3131" s="473"/>
      <c r="M3131" s="473"/>
    </row>
    <row r="3132" spans="5:13">
      <c r="E3132" s="473"/>
      <c r="F3132" s="473">
        <v>1</v>
      </c>
      <c r="G3132" s="473" t="s">
        <v>1454</v>
      </c>
      <c r="H3132" s="473" t="s">
        <v>2451</v>
      </c>
      <c r="I3132" s="475">
        <v>315</v>
      </c>
      <c r="J3132" s="473" t="s">
        <v>1454</v>
      </c>
      <c r="K3132" s="478">
        <f>F3132*I3132</f>
        <v>315</v>
      </c>
      <c r="L3132" s="473"/>
      <c r="M3132" s="473"/>
    </row>
    <row r="3133" spans="5:13">
      <c r="E3133" s="473"/>
      <c r="F3133" s="473"/>
      <c r="G3133" s="473"/>
      <c r="H3133" s="473" t="s">
        <v>2359</v>
      </c>
      <c r="I3133" s="473"/>
      <c r="J3133" s="473"/>
      <c r="K3133" s="478">
        <v>1.8</v>
      </c>
      <c r="L3133" s="473"/>
      <c r="M3133" s="473"/>
    </row>
    <row r="3134" spans="5:13">
      <c r="E3134" s="473"/>
      <c r="F3134" s="473"/>
      <c r="G3134" s="473"/>
      <c r="H3134" s="473" t="s">
        <v>931</v>
      </c>
      <c r="I3134" s="473"/>
      <c r="J3134" s="473"/>
      <c r="K3134" s="478">
        <f>K3142</f>
        <v>68.2</v>
      </c>
      <c r="L3134" s="473"/>
      <c r="M3134" s="473"/>
    </row>
    <row r="3135" spans="5:13">
      <c r="E3135" s="473"/>
      <c r="F3135" s="473"/>
      <c r="G3135" s="473"/>
      <c r="H3135" s="480" t="s">
        <v>2452</v>
      </c>
      <c r="I3135" s="473"/>
      <c r="J3135" s="473"/>
      <c r="K3135" s="480">
        <f>SUM(K3132:K3134)</f>
        <v>385</v>
      </c>
      <c r="L3135" s="473">
        <f>357-K3135</f>
        <v>-28</v>
      </c>
      <c r="M3135" s="473"/>
    </row>
    <row r="3136" spans="5:13">
      <c r="E3136" s="473"/>
      <c r="F3136" s="473"/>
      <c r="G3136" s="473"/>
      <c r="H3136" s="473"/>
      <c r="I3136" s="473"/>
      <c r="J3136" s="473"/>
      <c r="K3136" s="478"/>
      <c r="L3136" s="473"/>
      <c r="M3136" s="473"/>
    </row>
    <row r="3137" spans="5:13">
      <c r="E3137" s="473"/>
      <c r="F3137" s="473"/>
      <c r="G3137" s="473"/>
      <c r="H3137" s="473"/>
      <c r="I3137" s="473"/>
      <c r="J3137" s="473"/>
      <c r="K3137" s="478"/>
      <c r="L3137" s="473"/>
      <c r="M3137" s="473"/>
    </row>
    <row r="3138" spans="5:13">
      <c r="E3138" s="473"/>
      <c r="F3138" s="473"/>
      <c r="G3138" s="473"/>
      <c r="H3138" s="488" t="s">
        <v>2453</v>
      </c>
      <c r="I3138" s="473"/>
      <c r="J3138" s="473"/>
      <c r="K3138" s="478"/>
      <c r="L3138" s="473"/>
      <c r="M3138" s="473"/>
    </row>
    <row r="3139" spans="5:13">
      <c r="E3139" s="473"/>
      <c r="F3139" s="473">
        <v>2</v>
      </c>
      <c r="G3139" s="473" t="s">
        <v>1454</v>
      </c>
      <c r="H3139" s="473" t="s">
        <v>2711</v>
      </c>
      <c r="I3139" s="473">
        <f>I2868</f>
        <v>240</v>
      </c>
      <c r="J3139" s="473" t="s">
        <v>1454</v>
      </c>
      <c r="K3139" s="478">
        <f>F3139*I3139</f>
        <v>480</v>
      </c>
      <c r="L3139" s="473"/>
      <c r="M3139" s="473"/>
    </row>
    <row r="3140" spans="5:13">
      <c r="E3140" s="473"/>
      <c r="F3140" s="473">
        <v>3</v>
      </c>
      <c r="G3140" s="473" t="s">
        <v>1454</v>
      </c>
      <c r="H3140" s="473" t="s">
        <v>2712</v>
      </c>
      <c r="I3140" s="473">
        <f>I2869</f>
        <v>181</v>
      </c>
      <c r="J3140" s="473" t="s">
        <v>1454</v>
      </c>
      <c r="K3140" s="478">
        <f>F3140*I3140</f>
        <v>543</v>
      </c>
      <c r="L3140" s="473"/>
      <c r="M3140" s="473"/>
    </row>
    <row r="3141" spans="5:13">
      <c r="E3141" s="473"/>
      <c r="F3141" s="473"/>
      <c r="G3141" s="473"/>
      <c r="H3141" s="478" t="s">
        <v>3633</v>
      </c>
      <c r="I3141" s="473"/>
      <c r="J3141" s="473"/>
      <c r="K3141" s="571">
        <f>SUM(K3139:K3140)</f>
        <v>1023</v>
      </c>
      <c r="L3141" s="473"/>
      <c r="M3141" s="473"/>
    </row>
    <row r="3142" spans="5:13">
      <c r="E3142" s="473"/>
      <c r="F3142" s="473"/>
      <c r="G3142" s="473"/>
      <c r="H3142" s="480" t="s">
        <v>2929</v>
      </c>
      <c r="I3142" s="473"/>
      <c r="J3142" s="473"/>
      <c r="K3142" s="480">
        <f>K3141/15</f>
        <v>68.2</v>
      </c>
      <c r="L3142" s="473"/>
      <c r="M3142" s="473"/>
    </row>
    <row r="3143" spans="5:13">
      <c r="E3143" s="473"/>
      <c r="F3143" s="473"/>
      <c r="G3143" s="473"/>
      <c r="H3143" s="473"/>
      <c r="I3143" s="473"/>
      <c r="J3143" s="473"/>
      <c r="K3143" s="478"/>
      <c r="L3143" s="473"/>
      <c r="M3143" s="473"/>
    </row>
    <row r="3144" spans="5:13">
      <c r="E3144" s="473"/>
      <c r="F3144" s="473"/>
      <c r="G3144" s="473"/>
      <c r="H3144" s="481" t="s">
        <v>3634</v>
      </c>
      <c r="I3144" s="473"/>
      <c r="J3144" s="473"/>
      <c r="K3144" s="478"/>
      <c r="L3144" s="473"/>
      <c r="M3144" s="473"/>
    </row>
    <row r="3145" spans="5:13">
      <c r="E3145" s="473"/>
      <c r="F3145" s="473"/>
      <c r="G3145" s="473"/>
      <c r="H3145" s="473"/>
      <c r="I3145" s="473"/>
      <c r="J3145" s="473"/>
      <c r="K3145" s="478"/>
      <c r="L3145" s="473"/>
      <c r="M3145" s="473"/>
    </row>
    <row r="3146" spans="5:13" ht="72.75" customHeight="1">
      <c r="E3146" s="473"/>
      <c r="F3146" s="473"/>
      <c r="G3146" s="473"/>
      <c r="H3146" s="471" t="s">
        <v>3635</v>
      </c>
      <c r="I3146" s="473"/>
      <c r="J3146" s="473"/>
      <c r="K3146" s="478"/>
      <c r="L3146" s="473"/>
      <c r="M3146" s="473"/>
    </row>
    <row r="3147" spans="5:13">
      <c r="E3147" s="473"/>
      <c r="F3147" s="473"/>
      <c r="G3147" s="473"/>
      <c r="H3147" s="473"/>
      <c r="I3147" s="473"/>
      <c r="J3147" s="473"/>
      <c r="K3147" s="478"/>
      <c r="L3147" s="473"/>
      <c r="M3147" s="473"/>
    </row>
    <row r="3148" spans="5:13" ht="72.75" customHeight="1">
      <c r="E3148" s="473"/>
      <c r="F3148" s="473"/>
      <c r="G3148" s="473"/>
      <c r="H3148" s="472" t="s">
        <v>2897</v>
      </c>
      <c r="I3148" s="473"/>
      <c r="J3148" s="473"/>
      <c r="K3148" s="478"/>
      <c r="L3148" s="473"/>
      <c r="M3148" s="473"/>
    </row>
    <row r="3149" spans="5:13">
      <c r="E3149" s="473"/>
      <c r="F3149" s="473"/>
      <c r="G3149" s="473"/>
      <c r="H3149" s="473"/>
      <c r="I3149" s="473"/>
      <c r="J3149" s="473"/>
      <c r="K3149" s="478"/>
      <c r="L3149" s="473"/>
      <c r="M3149" s="473"/>
    </row>
    <row r="3150" spans="5:13" ht="31.5">
      <c r="E3150" s="473"/>
      <c r="F3150" s="473">
        <v>1</v>
      </c>
      <c r="G3150" s="473" t="s">
        <v>1454</v>
      </c>
      <c r="H3150" s="472" t="s">
        <v>2898</v>
      </c>
      <c r="I3150" s="473">
        <v>200</v>
      </c>
      <c r="J3150" s="473" t="s">
        <v>1454</v>
      </c>
      <c r="K3150" s="478">
        <f>F3150*I3150</f>
        <v>200</v>
      </c>
      <c r="L3150" s="473"/>
      <c r="M3150" s="473"/>
    </row>
    <row r="3151" spans="5:13" ht="31.5">
      <c r="E3151" s="473"/>
      <c r="F3151" s="473">
        <v>1</v>
      </c>
      <c r="G3151" s="473" t="s">
        <v>1454</v>
      </c>
      <c r="H3151" s="472" t="s">
        <v>2899</v>
      </c>
      <c r="I3151" s="474">
        <v>62</v>
      </c>
      <c r="J3151" s="473" t="s">
        <v>1454</v>
      </c>
      <c r="K3151" s="478">
        <f>F3151*I3151</f>
        <v>62</v>
      </c>
      <c r="L3151" s="473"/>
      <c r="M3151" s="473"/>
    </row>
    <row r="3152" spans="5:13" ht="31.5">
      <c r="E3152" s="473"/>
      <c r="F3152" s="473"/>
      <c r="G3152" s="473"/>
      <c r="H3152" s="472" t="s">
        <v>2900</v>
      </c>
      <c r="I3152" s="473"/>
      <c r="J3152" s="473"/>
      <c r="K3152" s="478">
        <v>7</v>
      </c>
      <c r="L3152" s="473"/>
      <c r="M3152" s="473"/>
    </row>
    <row r="3153" spans="5:13">
      <c r="E3153" s="473"/>
      <c r="F3153" s="473"/>
      <c r="G3153" s="473"/>
      <c r="H3153" s="473" t="s">
        <v>931</v>
      </c>
      <c r="I3153" s="473"/>
      <c r="J3153" s="473"/>
      <c r="K3153" s="478">
        <f>K3161</f>
        <v>154</v>
      </c>
      <c r="L3153" s="473"/>
      <c r="M3153" s="473"/>
    </row>
    <row r="3154" spans="5:13">
      <c r="E3154" s="473"/>
      <c r="F3154" s="473"/>
      <c r="G3154" s="473"/>
      <c r="H3154" s="480" t="s">
        <v>2929</v>
      </c>
      <c r="I3154" s="473"/>
      <c r="J3154" s="473"/>
      <c r="K3154" s="480">
        <f>SUM(K3150:K3153)</f>
        <v>423</v>
      </c>
      <c r="L3154" s="473"/>
      <c r="M3154" s="473"/>
    </row>
    <row r="3155" spans="5:13">
      <c r="E3155" s="473"/>
      <c r="F3155" s="473"/>
      <c r="G3155" s="473"/>
      <c r="H3155" s="473">
        <v>0</v>
      </c>
      <c r="I3155" s="473"/>
      <c r="J3155" s="473"/>
      <c r="K3155" s="478"/>
      <c r="L3155" s="473"/>
      <c r="M3155" s="473"/>
    </row>
    <row r="3156" spans="5:13">
      <c r="E3156" s="473"/>
      <c r="F3156" s="473"/>
      <c r="G3156" s="473"/>
      <c r="H3156" s="473"/>
      <c r="I3156" s="473"/>
      <c r="J3156" s="473"/>
      <c r="K3156" s="478"/>
      <c r="L3156" s="473"/>
      <c r="M3156" s="473"/>
    </row>
    <row r="3157" spans="5:13">
      <c r="E3157" s="473"/>
      <c r="F3157" s="473"/>
      <c r="G3157" s="473"/>
      <c r="H3157" s="488" t="s">
        <v>931</v>
      </c>
      <c r="I3157" s="473"/>
      <c r="J3157" s="473"/>
      <c r="K3157" s="478"/>
      <c r="L3157" s="473"/>
      <c r="M3157" s="473"/>
    </row>
    <row r="3158" spans="5:13">
      <c r="E3158" s="473"/>
      <c r="F3158" s="473">
        <v>1</v>
      </c>
      <c r="G3158" s="473" t="s">
        <v>1454</v>
      </c>
      <c r="H3158" s="473" t="s">
        <v>2901</v>
      </c>
      <c r="I3158" s="473">
        <f>I2867</f>
        <v>254</v>
      </c>
      <c r="J3158" s="473" t="s">
        <v>1454</v>
      </c>
      <c r="K3158" s="478">
        <f>F3158*I3158</f>
        <v>254</v>
      </c>
      <c r="L3158" s="473"/>
      <c r="M3158" s="473"/>
    </row>
    <row r="3159" spans="5:13">
      <c r="E3159" s="473"/>
      <c r="F3159" s="473">
        <v>2</v>
      </c>
      <c r="G3159" s="473" t="s">
        <v>1454</v>
      </c>
      <c r="H3159" s="473" t="s">
        <v>2712</v>
      </c>
      <c r="I3159" s="473">
        <f>I3140</f>
        <v>181</v>
      </c>
      <c r="J3159" s="473" t="s">
        <v>1454</v>
      </c>
      <c r="K3159" s="478">
        <f>F3159*I3159</f>
        <v>362</v>
      </c>
      <c r="L3159" s="473"/>
      <c r="M3159" s="473"/>
    </row>
    <row r="3160" spans="5:13">
      <c r="E3160" s="473"/>
      <c r="F3160" s="473"/>
      <c r="G3160" s="473"/>
      <c r="H3160" s="478" t="s">
        <v>2902</v>
      </c>
      <c r="I3160" s="473"/>
      <c r="J3160" s="473"/>
      <c r="K3160" s="571">
        <f>SUM(K3158:K3159)</f>
        <v>616</v>
      </c>
      <c r="L3160" s="473"/>
      <c r="M3160" s="473"/>
    </row>
    <row r="3161" spans="5:13">
      <c r="E3161" s="473"/>
      <c r="F3161" s="473"/>
      <c r="G3161" s="473"/>
      <c r="H3161" s="480" t="s">
        <v>3042</v>
      </c>
      <c r="I3161" s="473"/>
      <c r="J3161" s="473"/>
      <c r="K3161" s="480">
        <f>K3160/4</f>
        <v>154</v>
      </c>
      <c r="L3161" s="473"/>
      <c r="M3161" s="473"/>
    </row>
    <row r="3162" spans="5:13">
      <c r="E3162" s="473"/>
      <c r="F3162" s="473"/>
      <c r="G3162" s="473"/>
      <c r="H3162" s="473"/>
      <c r="I3162" s="473"/>
      <c r="J3162" s="473"/>
      <c r="K3162" s="478"/>
      <c r="L3162" s="473"/>
      <c r="M3162" s="473"/>
    </row>
    <row r="3163" spans="5:13">
      <c r="E3163" s="473"/>
      <c r="F3163" s="473"/>
      <c r="G3163" s="473"/>
      <c r="H3163" s="481" t="s">
        <v>2903</v>
      </c>
      <c r="I3163" s="473"/>
      <c r="J3163" s="473"/>
      <c r="K3163" s="478"/>
      <c r="L3163" s="473"/>
      <c r="M3163" s="473"/>
    </row>
    <row r="3164" spans="5:13">
      <c r="E3164" s="473"/>
      <c r="F3164" s="473"/>
      <c r="G3164" s="473"/>
      <c r="H3164" s="473"/>
      <c r="I3164" s="473"/>
      <c r="J3164" s="473"/>
      <c r="K3164" s="478"/>
      <c r="L3164" s="473"/>
      <c r="M3164" s="473"/>
    </row>
    <row r="3165" spans="5:13" ht="63">
      <c r="E3165" s="473"/>
      <c r="F3165" s="473"/>
      <c r="G3165" s="473"/>
      <c r="H3165" s="471" t="s">
        <v>2904</v>
      </c>
      <c r="I3165" s="473"/>
      <c r="J3165" s="473"/>
      <c r="K3165" s="478"/>
      <c r="L3165" s="473"/>
      <c r="M3165" s="473"/>
    </row>
    <row r="3166" spans="5:13">
      <c r="E3166" s="473"/>
      <c r="F3166" s="473"/>
      <c r="G3166" s="473"/>
      <c r="H3166" s="473"/>
      <c r="I3166" s="473"/>
      <c r="J3166" s="473"/>
      <c r="K3166" s="478"/>
      <c r="L3166" s="473"/>
      <c r="M3166" s="473"/>
    </row>
    <row r="3167" spans="5:13" ht="78.75">
      <c r="E3167" s="473"/>
      <c r="F3167" s="473"/>
      <c r="G3167" s="473"/>
      <c r="H3167" s="472" t="s">
        <v>3396</v>
      </c>
      <c r="I3167" s="473"/>
      <c r="J3167" s="473"/>
      <c r="K3167" s="478"/>
      <c r="L3167" s="473"/>
      <c r="M3167" s="473"/>
    </row>
    <row r="3168" spans="5:13">
      <c r="E3168" s="473"/>
      <c r="F3168" s="473"/>
      <c r="G3168" s="473"/>
      <c r="H3168" s="473"/>
      <c r="I3168" s="473"/>
      <c r="J3168" s="473"/>
      <c r="K3168" s="478"/>
      <c r="L3168" s="473"/>
      <c r="M3168" s="473"/>
    </row>
    <row r="3169" spans="5:13" ht="31.5">
      <c r="E3169" s="473"/>
      <c r="F3169" s="473">
        <v>1</v>
      </c>
      <c r="G3169" s="473" t="s">
        <v>1454</v>
      </c>
      <c r="H3169" s="472" t="s">
        <v>3397</v>
      </c>
      <c r="I3169" s="473">
        <v>455</v>
      </c>
      <c r="J3169" s="473" t="s">
        <v>1454</v>
      </c>
      <c r="K3169" s="478">
        <f>F3169*I3169</f>
        <v>455</v>
      </c>
      <c r="L3169" s="473"/>
      <c r="M3169" s="473"/>
    </row>
    <row r="3170" spans="5:13" ht="31.5">
      <c r="E3170" s="473"/>
      <c r="F3170" s="473">
        <v>1</v>
      </c>
      <c r="G3170" s="473" t="s">
        <v>1454</v>
      </c>
      <c r="H3170" s="472" t="s">
        <v>2899</v>
      </c>
      <c r="I3170" s="473">
        <f>I3151</f>
        <v>62</v>
      </c>
      <c r="J3170" s="473" t="s">
        <v>1454</v>
      </c>
      <c r="K3170" s="478">
        <f>F3170*I3170</f>
        <v>62</v>
      </c>
      <c r="L3170" s="473"/>
      <c r="M3170" s="473"/>
    </row>
    <row r="3171" spans="5:13" ht="31.5">
      <c r="E3171" s="473"/>
      <c r="F3171" s="473"/>
      <c r="G3171" s="473"/>
      <c r="H3171" s="472" t="s">
        <v>2900</v>
      </c>
      <c r="I3171" s="473"/>
      <c r="J3171" s="473"/>
      <c r="K3171" s="478">
        <v>7</v>
      </c>
      <c r="L3171" s="473"/>
      <c r="M3171" s="473"/>
    </row>
    <row r="3172" spans="5:13">
      <c r="E3172" s="473"/>
      <c r="F3172" s="473"/>
      <c r="G3172" s="473"/>
      <c r="H3172" s="473" t="s">
        <v>931</v>
      </c>
      <c r="I3172" s="473"/>
      <c r="J3172" s="473"/>
      <c r="K3172" s="478">
        <f>K3161</f>
        <v>154</v>
      </c>
      <c r="L3172" s="473"/>
      <c r="M3172" s="473"/>
    </row>
    <row r="3173" spans="5:13">
      <c r="E3173" s="473"/>
      <c r="F3173" s="473"/>
      <c r="G3173" s="473"/>
      <c r="H3173" s="480" t="s">
        <v>2929</v>
      </c>
      <c r="I3173" s="473"/>
      <c r="J3173" s="473"/>
      <c r="K3173" s="480">
        <f>SUM(K3169:K3172)</f>
        <v>678</v>
      </c>
      <c r="L3173" s="473"/>
      <c r="M3173" s="473"/>
    </row>
    <row r="3174" spans="5:13">
      <c r="E3174" s="473"/>
      <c r="F3174" s="473"/>
      <c r="G3174" s="473"/>
      <c r="H3174" s="473"/>
      <c r="I3174" s="473"/>
      <c r="J3174" s="473"/>
      <c r="K3174" s="478"/>
      <c r="L3174" s="473"/>
      <c r="M3174" s="473"/>
    </row>
    <row r="3175" spans="5:13">
      <c r="E3175" s="473"/>
      <c r="F3175" s="473"/>
      <c r="G3175" s="473"/>
      <c r="H3175" s="473"/>
      <c r="I3175" s="473"/>
      <c r="J3175" s="473"/>
      <c r="K3175" s="478"/>
      <c r="L3175" s="473"/>
      <c r="M3175" s="473"/>
    </row>
    <row r="3176" spans="5:13">
      <c r="E3176" s="473"/>
      <c r="F3176" s="473"/>
      <c r="G3176" s="473"/>
      <c r="H3176" s="481" t="s">
        <v>3403</v>
      </c>
      <c r="I3176" s="473"/>
      <c r="J3176" s="473"/>
      <c r="K3176" s="478"/>
      <c r="L3176" s="473"/>
      <c r="M3176" s="473"/>
    </row>
    <row r="3177" spans="5:13">
      <c r="E3177" s="473"/>
      <c r="F3177" s="473"/>
      <c r="G3177" s="473"/>
      <c r="H3177" s="473"/>
      <c r="I3177" s="473"/>
      <c r="J3177" s="473"/>
      <c r="K3177" s="478"/>
      <c r="L3177" s="473"/>
      <c r="M3177" s="473"/>
    </row>
    <row r="3178" spans="5:13" ht="58.5" customHeight="1">
      <c r="E3178" s="473"/>
      <c r="F3178" s="473"/>
      <c r="G3178" s="473"/>
      <c r="H3178" s="472" t="s">
        <v>2511</v>
      </c>
      <c r="I3178" s="473"/>
      <c r="J3178" s="473"/>
      <c r="K3178" s="478"/>
      <c r="L3178" s="473"/>
      <c r="M3178" s="473"/>
    </row>
    <row r="3179" spans="5:13">
      <c r="E3179" s="473"/>
      <c r="F3179" s="473"/>
      <c r="G3179" s="473"/>
      <c r="H3179" s="473"/>
      <c r="I3179" s="473"/>
      <c r="J3179" s="473"/>
      <c r="K3179" s="478"/>
      <c r="L3179" s="473"/>
      <c r="M3179" s="473"/>
    </row>
    <row r="3180" spans="5:13" ht="40.5" customHeight="1">
      <c r="E3180" s="473"/>
      <c r="F3180" s="473">
        <v>1</v>
      </c>
      <c r="G3180" s="473" t="s">
        <v>1454</v>
      </c>
      <c r="H3180" s="472" t="s">
        <v>2512</v>
      </c>
      <c r="I3180" s="474">
        <v>504</v>
      </c>
      <c r="J3180" s="473" t="s">
        <v>1454</v>
      </c>
      <c r="K3180" s="478">
        <f>F3180*I3180</f>
        <v>504</v>
      </c>
      <c r="L3180" s="473"/>
      <c r="M3180" s="473"/>
    </row>
    <row r="3181" spans="5:13">
      <c r="E3181" s="473"/>
      <c r="F3181" s="473">
        <v>1</v>
      </c>
      <c r="G3181" s="473" t="s">
        <v>1454</v>
      </c>
      <c r="H3181" s="473" t="s">
        <v>2513</v>
      </c>
      <c r="I3181" s="473">
        <f>I3170</f>
        <v>62</v>
      </c>
      <c r="J3181" s="473" t="s">
        <v>1454</v>
      </c>
      <c r="K3181" s="478">
        <f>F3181*I3181</f>
        <v>62</v>
      </c>
      <c r="L3181" s="473"/>
      <c r="M3181" s="473"/>
    </row>
    <row r="3182" spans="5:13">
      <c r="E3182" s="473"/>
      <c r="F3182" s="473"/>
      <c r="G3182" s="473"/>
      <c r="H3182" s="473" t="s">
        <v>2359</v>
      </c>
      <c r="I3182" s="473"/>
      <c r="J3182" s="473"/>
      <c r="K3182" s="478">
        <v>7</v>
      </c>
      <c r="L3182" s="473"/>
      <c r="M3182" s="473"/>
    </row>
    <row r="3183" spans="5:13">
      <c r="E3183" s="473"/>
      <c r="F3183" s="473"/>
      <c r="G3183" s="473"/>
      <c r="H3183" s="473" t="s">
        <v>2514</v>
      </c>
      <c r="I3183" s="473"/>
      <c r="J3183" s="473"/>
      <c r="K3183" s="478">
        <f>K3161</f>
        <v>154</v>
      </c>
      <c r="L3183" s="473"/>
      <c r="M3183" s="473"/>
    </row>
    <row r="3184" spans="5:13">
      <c r="E3184" s="473"/>
      <c r="F3184" s="473"/>
      <c r="G3184" s="473"/>
      <c r="H3184" s="480" t="s">
        <v>1100</v>
      </c>
      <c r="I3184" s="473"/>
      <c r="J3184" s="473"/>
      <c r="K3184" s="480">
        <f>SUM(K3180:K3183)</f>
        <v>727</v>
      </c>
      <c r="L3184" s="473"/>
      <c r="M3184" s="473"/>
    </row>
    <row r="3185" spans="5:13">
      <c r="E3185" s="473"/>
      <c r="F3185" s="473"/>
      <c r="G3185" s="473"/>
      <c r="H3185" s="473"/>
      <c r="I3185" s="473"/>
      <c r="J3185" s="473"/>
      <c r="K3185" s="478"/>
      <c r="L3185" s="473"/>
      <c r="M3185" s="473"/>
    </row>
    <row r="3186" spans="5:13">
      <c r="E3186" s="473"/>
      <c r="F3186" s="473"/>
      <c r="G3186" s="473"/>
      <c r="H3186" s="481" t="s">
        <v>2903</v>
      </c>
      <c r="I3186" s="473"/>
      <c r="J3186" s="473"/>
      <c r="K3186" s="478"/>
      <c r="L3186" s="473"/>
      <c r="M3186" s="473"/>
    </row>
    <row r="3187" spans="5:13">
      <c r="E3187" s="473"/>
      <c r="F3187" s="473"/>
      <c r="G3187" s="473"/>
      <c r="H3187" s="473"/>
      <c r="I3187" s="473"/>
      <c r="J3187" s="473"/>
      <c r="K3187" s="478"/>
      <c r="L3187" s="473"/>
      <c r="M3187" s="473"/>
    </row>
    <row r="3188" spans="5:13" ht="52.5" customHeight="1">
      <c r="E3188" s="473"/>
      <c r="F3188" s="473"/>
      <c r="G3188" s="473"/>
      <c r="H3188" s="471" t="s">
        <v>3619</v>
      </c>
      <c r="I3188" s="473"/>
      <c r="J3188" s="473"/>
      <c r="K3188" s="478"/>
      <c r="L3188" s="473"/>
      <c r="M3188" s="473"/>
    </row>
    <row r="3189" spans="5:13">
      <c r="E3189" s="473"/>
      <c r="F3189" s="473"/>
      <c r="G3189" s="473"/>
      <c r="H3189" s="473"/>
      <c r="I3189" s="473"/>
      <c r="J3189" s="473"/>
      <c r="K3189" s="478"/>
      <c r="L3189" s="473"/>
      <c r="M3189" s="473"/>
    </row>
    <row r="3190" spans="5:13" ht="88.5" customHeight="1">
      <c r="E3190" s="473"/>
      <c r="F3190" s="473"/>
      <c r="G3190" s="473"/>
      <c r="H3190" s="472" t="s">
        <v>3620</v>
      </c>
      <c r="I3190" s="473"/>
      <c r="J3190" s="473"/>
      <c r="K3190" s="478"/>
      <c r="L3190" s="473"/>
      <c r="M3190" s="473"/>
    </row>
    <row r="3191" spans="5:13">
      <c r="E3191" s="473"/>
      <c r="F3191" s="473">
        <v>1</v>
      </c>
      <c r="G3191" s="473" t="s">
        <v>1454</v>
      </c>
      <c r="H3191" s="473" t="s">
        <v>3621</v>
      </c>
      <c r="I3191" s="473">
        <v>480</v>
      </c>
      <c r="J3191" s="473" t="s">
        <v>1454</v>
      </c>
      <c r="K3191" s="478">
        <f>F3191*I3191</f>
        <v>480</v>
      </c>
      <c r="L3191" s="473"/>
      <c r="M3191" s="473"/>
    </row>
    <row r="3192" spans="5:13" ht="40.5" customHeight="1">
      <c r="E3192" s="473"/>
      <c r="F3192" s="473">
        <v>1</v>
      </c>
      <c r="G3192" s="473" t="s">
        <v>1454</v>
      </c>
      <c r="H3192" s="472" t="s">
        <v>2722</v>
      </c>
      <c r="I3192" s="473">
        <v>130</v>
      </c>
      <c r="J3192" s="473" t="s">
        <v>1454</v>
      </c>
      <c r="K3192" s="478">
        <f>F3192*I3192</f>
        <v>130</v>
      </c>
      <c r="L3192" s="473"/>
      <c r="M3192" s="473"/>
    </row>
    <row r="3193" spans="5:13" ht="31.5">
      <c r="E3193" s="473"/>
      <c r="F3193" s="473"/>
      <c r="G3193" s="473"/>
      <c r="H3193" s="472" t="s">
        <v>2723</v>
      </c>
      <c r="I3193" s="473"/>
      <c r="J3193" s="473"/>
      <c r="K3193" s="478">
        <f>7.33+0.34</f>
        <v>7.67</v>
      </c>
      <c r="L3193" s="473"/>
      <c r="M3193" s="473"/>
    </row>
    <row r="3194" spans="5:13">
      <c r="E3194" s="473"/>
      <c r="F3194" s="473"/>
      <c r="G3194" s="473"/>
      <c r="H3194" s="473" t="s">
        <v>931</v>
      </c>
      <c r="I3194" s="473"/>
      <c r="J3194" s="473"/>
      <c r="K3194" s="478">
        <f>K3201</f>
        <v>205.33</v>
      </c>
      <c r="L3194" s="473"/>
      <c r="M3194" s="473"/>
    </row>
    <row r="3195" spans="5:13">
      <c r="E3195" s="473"/>
      <c r="F3195" s="473"/>
      <c r="G3195" s="473"/>
      <c r="H3195" s="480" t="s">
        <v>1100</v>
      </c>
      <c r="I3195" s="473"/>
      <c r="J3195" s="473"/>
      <c r="K3195" s="480">
        <f>SUM(K3191:K3194)</f>
        <v>823</v>
      </c>
      <c r="L3195" s="473"/>
      <c r="M3195" s="473"/>
    </row>
    <row r="3196" spans="5:13">
      <c r="E3196" s="473"/>
      <c r="F3196" s="473"/>
      <c r="G3196" s="473"/>
      <c r="H3196" s="473"/>
      <c r="I3196" s="473"/>
      <c r="J3196" s="473"/>
      <c r="K3196" s="478"/>
      <c r="L3196" s="473"/>
      <c r="M3196" s="473"/>
    </row>
    <row r="3197" spans="5:13">
      <c r="E3197" s="473"/>
      <c r="F3197" s="473"/>
      <c r="G3197" s="473"/>
      <c r="H3197" s="479" t="s">
        <v>931</v>
      </c>
      <c r="I3197" s="473"/>
      <c r="J3197" s="473"/>
      <c r="K3197" s="478"/>
      <c r="L3197" s="473"/>
      <c r="M3197" s="473"/>
    </row>
    <row r="3198" spans="5:13">
      <c r="E3198" s="473"/>
      <c r="F3198" s="473">
        <v>1</v>
      </c>
      <c r="G3198" s="473" t="s">
        <v>1454</v>
      </c>
      <c r="H3198" s="473" t="s">
        <v>2724</v>
      </c>
      <c r="I3198" s="473">
        <f>I3158</f>
        <v>254</v>
      </c>
      <c r="J3198" s="473" t="s">
        <v>1454</v>
      </c>
      <c r="K3198" s="478">
        <f>F3198*I3198</f>
        <v>254</v>
      </c>
      <c r="L3198" s="473"/>
      <c r="M3198" s="473"/>
    </row>
    <row r="3199" spans="5:13">
      <c r="E3199" s="473"/>
      <c r="F3199" s="473">
        <v>2</v>
      </c>
      <c r="G3199" s="473" t="s">
        <v>1454</v>
      </c>
      <c r="H3199" s="473" t="s">
        <v>3246</v>
      </c>
      <c r="I3199" s="473">
        <f>I3159</f>
        <v>181</v>
      </c>
      <c r="J3199" s="473" t="s">
        <v>1454</v>
      </c>
      <c r="K3199" s="478">
        <f>F3199*I3199</f>
        <v>362</v>
      </c>
      <c r="L3199" s="473"/>
      <c r="M3199" s="473"/>
    </row>
    <row r="3200" spans="5:13">
      <c r="E3200" s="473"/>
      <c r="F3200" s="473"/>
      <c r="G3200" s="473"/>
      <c r="H3200" s="478" t="s">
        <v>3248</v>
      </c>
      <c r="I3200" s="473"/>
      <c r="J3200" s="473"/>
      <c r="K3200" s="478">
        <f>SUM(K3198:K3199)</f>
        <v>616</v>
      </c>
      <c r="L3200" s="473"/>
      <c r="M3200" s="473"/>
    </row>
    <row r="3201" spans="5:13">
      <c r="E3201" s="473"/>
      <c r="F3201" s="473"/>
      <c r="G3201" s="473"/>
      <c r="H3201" s="480" t="s">
        <v>2929</v>
      </c>
      <c r="I3201" s="473"/>
      <c r="J3201" s="473"/>
      <c r="K3201" s="480">
        <f>K3200/3</f>
        <v>205.33</v>
      </c>
      <c r="L3201" s="473"/>
      <c r="M3201" s="473"/>
    </row>
    <row r="3202" spans="5:13">
      <c r="E3202" s="473"/>
      <c r="F3202" s="473"/>
      <c r="G3202" s="473"/>
      <c r="H3202" s="473"/>
      <c r="I3202" s="473"/>
      <c r="J3202" s="473"/>
      <c r="K3202" s="478"/>
      <c r="L3202" s="473"/>
      <c r="M3202" s="473"/>
    </row>
    <row r="3203" spans="5:13">
      <c r="E3203" s="473"/>
      <c r="F3203" s="473"/>
      <c r="G3203" s="473"/>
      <c r="H3203" s="481" t="s">
        <v>2725</v>
      </c>
      <c r="I3203" s="473"/>
      <c r="J3203" s="473"/>
      <c r="K3203" s="478"/>
      <c r="L3203" s="473"/>
      <c r="M3203" s="473"/>
    </row>
    <row r="3204" spans="5:13">
      <c r="E3204" s="473"/>
      <c r="F3204" s="473"/>
      <c r="G3204" s="473"/>
      <c r="H3204" s="473"/>
      <c r="I3204" s="473"/>
      <c r="J3204" s="473"/>
      <c r="K3204" s="478"/>
      <c r="L3204" s="473"/>
      <c r="M3204" s="473"/>
    </row>
    <row r="3205" spans="5:13" ht="91.5" customHeight="1">
      <c r="E3205" s="473"/>
      <c r="F3205" s="473"/>
      <c r="G3205" s="473"/>
      <c r="H3205" s="471" t="s">
        <v>2992</v>
      </c>
      <c r="I3205" s="473"/>
      <c r="J3205" s="473"/>
      <c r="K3205" s="478"/>
      <c r="L3205" s="473"/>
      <c r="M3205" s="473"/>
    </row>
    <row r="3206" spans="5:13">
      <c r="E3206" s="473"/>
      <c r="F3206" s="473">
        <v>1</v>
      </c>
      <c r="G3206" s="473" t="s">
        <v>1454</v>
      </c>
      <c r="H3206" s="473" t="s">
        <v>2739</v>
      </c>
      <c r="I3206" s="473">
        <v>800</v>
      </c>
      <c r="J3206" s="473" t="s">
        <v>1454</v>
      </c>
      <c r="K3206" s="478">
        <f>F3206*I3206</f>
        <v>800</v>
      </c>
      <c r="L3206" s="473"/>
      <c r="M3206" s="473"/>
    </row>
    <row r="3207" spans="5:13" ht="36.75" customHeight="1">
      <c r="E3207" s="473"/>
      <c r="F3207" s="473">
        <v>1</v>
      </c>
      <c r="G3207" s="473" t="s">
        <v>1454</v>
      </c>
      <c r="H3207" s="472" t="s">
        <v>2722</v>
      </c>
      <c r="I3207" s="473">
        <f>I3192</f>
        <v>130</v>
      </c>
      <c r="J3207" s="473" t="s">
        <v>1454</v>
      </c>
      <c r="K3207" s="478">
        <f>F3207*I3207</f>
        <v>130</v>
      </c>
      <c r="L3207" s="473"/>
      <c r="M3207" s="473"/>
    </row>
    <row r="3208" spans="5:13" ht="35.25" customHeight="1">
      <c r="E3208" s="473"/>
      <c r="F3208" s="473"/>
      <c r="G3208" s="473"/>
      <c r="H3208" s="472" t="s">
        <v>2723</v>
      </c>
      <c r="I3208" s="473"/>
      <c r="J3208" s="473"/>
      <c r="K3208" s="478">
        <f>6.33+0.34</f>
        <v>6.67</v>
      </c>
      <c r="L3208" s="473"/>
      <c r="M3208" s="473"/>
    </row>
    <row r="3209" spans="5:13">
      <c r="E3209" s="473"/>
      <c r="F3209" s="473"/>
      <c r="G3209" s="473"/>
      <c r="H3209" s="473" t="s">
        <v>931</v>
      </c>
      <c r="I3209" s="473"/>
      <c r="J3209" s="473"/>
      <c r="K3209" s="478">
        <f>K3201</f>
        <v>205.33</v>
      </c>
      <c r="L3209" s="473"/>
      <c r="M3209" s="473"/>
    </row>
    <row r="3210" spans="5:13">
      <c r="E3210" s="473"/>
      <c r="F3210" s="473"/>
      <c r="G3210" s="473"/>
      <c r="H3210" s="480" t="s">
        <v>1100</v>
      </c>
      <c r="I3210" s="473"/>
      <c r="J3210" s="473"/>
      <c r="K3210" s="480">
        <f>SUM(K3206:K3209)</f>
        <v>1142</v>
      </c>
      <c r="L3210" s="473"/>
      <c r="M3210" s="473"/>
    </row>
    <row r="3211" spans="5:13">
      <c r="E3211" s="473"/>
      <c r="F3211" s="473"/>
      <c r="G3211" s="473"/>
      <c r="H3211" s="473"/>
      <c r="I3211" s="473"/>
      <c r="J3211" s="473"/>
      <c r="K3211" s="478"/>
      <c r="L3211" s="473"/>
      <c r="M3211" s="473"/>
    </row>
    <row r="3212" spans="5:13">
      <c r="E3212" s="473"/>
      <c r="F3212" s="473"/>
      <c r="G3212" s="473"/>
      <c r="H3212" s="481" t="s">
        <v>2740</v>
      </c>
      <c r="I3212" s="473"/>
      <c r="J3212" s="473"/>
      <c r="K3212" s="478"/>
      <c r="L3212" s="473"/>
      <c r="M3212" s="473"/>
    </row>
    <row r="3213" spans="5:13">
      <c r="E3213" s="473"/>
      <c r="F3213" s="473"/>
      <c r="G3213" s="473"/>
      <c r="H3213" s="473"/>
      <c r="I3213" s="473"/>
      <c r="J3213" s="473"/>
      <c r="K3213" s="478"/>
      <c r="L3213" s="473"/>
      <c r="M3213" s="473"/>
    </row>
    <row r="3214" spans="5:13" ht="74.25" customHeight="1">
      <c r="E3214" s="473"/>
      <c r="F3214" s="473"/>
      <c r="G3214" s="473"/>
      <c r="H3214" s="471" t="s">
        <v>3309</v>
      </c>
      <c r="I3214" s="473"/>
      <c r="J3214" s="473"/>
      <c r="K3214" s="478"/>
      <c r="L3214" s="473"/>
      <c r="M3214" s="473"/>
    </row>
    <row r="3215" spans="5:13" ht="91.5" customHeight="1">
      <c r="E3215" s="473"/>
      <c r="F3215" s="473"/>
      <c r="G3215" s="473"/>
      <c r="H3215" s="472" t="s">
        <v>3588</v>
      </c>
      <c r="I3215" s="473"/>
      <c r="J3215" s="473"/>
      <c r="K3215" s="478"/>
      <c r="L3215" s="473"/>
      <c r="M3215" s="473"/>
    </row>
    <row r="3216" spans="5:13">
      <c r="E3216" s="473"/>
      <c r="F3216" s="473"/>
      <c r="G3216" s="473"/>
      <c r="H3216" s="473"/>
      <c r="I3216" s="473"/>
      <c r="J3216" s="473"/>
      <c r="K3216" s="478"/>
      <c r="L3216" s="473"/>
      <c r="M3216" s="473"/>
    </row>
    <row r="3217" spans="5:13" ht="39" customHeight="1">
      <c r="E3217" s="473"/>
      <c r="F3217" s="473">
        <v>1</v>
      </c>
      <c r="G3217" s="473" t="s">
        <v>1454</v>
      </c>
      <c r="H3217" s="472" t="s">
        <v>3589</v>
      </c>
      <c r="I3217" s="474">
        <v>2520</v>
      </c>
      <c r="J3217" s="473" t="s">
        <v>1454</v>
      </c>
      <c r="K3217" s="478">
        <f>F3217*I3217</f>
        <v>2520</v>
      </c>
      <c r="L3217" s="473"/>
      <c r="M3217" s="473"/>
    </row>
    <row r="3218" spans="5:13">
      <c r="E3218" s="473"/>
      <c r="F3218" s="473">
        <v>1</v>
      </c>
      <c r="G3218" s="473" t="s">
        <v>1454</v>
      </c>
      <c r="H3218" s="473" t="s">
        <v>3590</v>
      </c>
      <c r="I3218" s="474">
        <f>K3222</f>
        <v>299.13</v>
      </c>
      <c r="J3218" s="473" t="s">
        <v>1454</v>
      </c>
      <c r="K3218" s="478">
        <f>F3218*I3218</f>
        <v>299.13</v>
      </c>
      <c r="L3218" s="473"/>
      <c r="M3218" s="473"/>
    </row>
    <row r="3219" spans="5:13" ht="37.5" customHeight="1">
      <c r="E3219" s="473"/>
      <c r="F3219" s="473"/>
      <c r="G3219" s="473"/>
      <c r="H3219" s="472" t="s">
        <v>3591</v>
      </c>
      <c r="I3219" s="473"/>
      <c r="J3219" s="473"/>
      <c r="K3219" s="478">
        <v>11.54</v>
      </c>
      <c r="L3219" s="473"/>
      <c r="M3219" s="473"/>
    </row>
    <row r="3220" spans="5:13">
      <c r="E3220" s="473"/>
      <c r="F3220" s="473"/>
      <c r="G3220" s="473"/>
      <c r="H3220" s="473" t="s">
        <v>931</v>
      </c>
      <c r="I3220" s="473"/>
      <c r="J3220" s="473"/>
      <c r="K3220" s="478">
        <f>K3201</f>
        <v>205.33</v>
      </c>
      <c r="L3220" s="473"/>
      <c r="M3220" s="473"/>
    </row>
    <row r="3221" spans="5:13">
      <c r="E3221" s="473"/>
      <c r="F3221" s="473"/>
      <c r="G3221" s="473"/>
      <c r="H3221" s="480" t="s">
        <v>1100</v>
      </c>
      <c r="I3221" s="473"/>
      <c r="J3221" s="473"/>
      <c r="K3221" s="480">
        <f>SUM(K3217:K3220)</f>
        <v>3036</v>
      </c>
      <c r="L3221" s="473"/>
      <c r="M3221" s="473"/>
    </row>
    <row r="3222" spans="5:13">
      <c r="E3222" s="473"/>
      <c r="F3222" s="473"/>
      <c r="G3222" s="473"/>
      <c r="H3222" s="473" t="s">
        <v>1620</v>
      </c>
      <c r="I3222" s="474">
        <v>73860</v>
      </c>
      <c r="J3222" s="491">
        <f>0.75*0.45*0.012</f>
        <v>4.0499999999999998E-3</v>
      </c>
      <c r="K3222" s="478">
        <f>J3222*I3222</f>
        <v>299.13</v>
      </c>
      <c r="L3222" s="473">
        <f>63100+4239</f>
        <v>67339</v>
      </c>
      <c r="M3222" s="473"/>
    </row>
    <row r="3223" spans="5:13">
      <c r="E3223" s="473"/>
      <c r="F3223" s="473"/>
      <c r="G3223" s="473"/>
      <c r="H3223" s="481" t="s">
        <v>3592</v>
      </c>
      <c r="I3223" s="473"/>
      <c r="J3223" s="473"/>
      <c r="K3223" s="478"/>
      <c r="L3223" s="473"/>
      <c r="M3223" s="473"/>
    </row>
    <row r="3224" spans="5:13">
      <c r="E3224" s="473"/>
      <c r="F3224" s="473"/>
      <c r="G3224" s="473"/>
      <c r="H3224" s="473"/>
      <c r="I3224" s="473"/>
      <c r="J3224" s="473"/>
      <c r="K3224" s="478"/>
      <c r="L3224" s="473"/>
      <c r="M3224" s="473"/>
    </row>
    <row r="3225" spans="5:13" ht="78.75">
      <c r="E3225" s="473"/>
      <c r="F3225" s="473"/>
      <c r="G3225" s="473"/>
      <c r="H3225" s="471" t="s">
        <v>2708</v>
      </c>
      <c r="I3225" s="473"/>
      <c r="J3225" s="473"/>
      <c r="K3225" s="478"/>
      <c r="L3225" s="473"/>
      <c r="M3225" s="473"/>
    </row>
    <row r="3226" spans="5:13">
      <c r="E3226" s="473"/>
      <c r="F3226" s="473"/>
      <c r="G3226" s="473"/>
      <c r="H3226" s="473"/>
      <c r="I3226" s="473"/>
      <c r="J3226" s="473"/>
      <c r="K3226" s="478"/>
      <c r="L3226" s="473"/>
      <c r="M3226" s="473"/>
    </row>
    <row r="3227" spans="5:13">
      <c r="E3227" s="473"/>
      <c r="F3227" s="473"/>
      <c r="G3227" s="473"/>
      <c r="H3227" s="473" t="s">
        <v>2709</v>
      </c>
      <c r="I3227" s="473"/>
      <c r="J3227" s="473"/>
      <c r="K3227" s="478"/>
      <c r="L3227" s="473"/>
      <c r="M3227" s="473"/>
    </row>
    <row r="3228" spans="5:13">
      <c r="E3228" s="473"/>
      <c r="F3228" s="473"/>
      <c r="G3228" s="473"/>
      <c r="H3228" s="473"/>
      <c r="I3228" s="473"/>
      <c r="J3228" s="473"/>
      <c r="K3228" s="478"/>
      <c r="L3228" s="473"/>
      <c r="M3228" s="473"/>
    </row>
    <row r="3229" spans="5:13">
      <c r="E3229" s="473"/>
      <c r="F3229" s="473"/>
      <c r="G3229" s="473"/>
      <c r="H3229" s="473" t="s">
        <v>3123</v>
      </c>
      <c r="I3229" s="473"/>
      <c r="J3229" s="473"/>
      <c r="K3229" s="478">
        <f>K3221</f>
        <v>3036</v>
      </c>
      <c r="L3229" s="473"/>
      <c r="M3229" s="473"/>
    </row>
    <row r="3230" spans="5:13">
      <c r="E3230" s="473"/>
      <c r="F3230" s="473">
        <v>1</v>
      </c>
      <c r="G3230" s="473" t="s">
        <v>1454</v>
      </c>
      <c r="H3230" s="473" t="s">
        <v>3627</v>
      </c>
      <c r="I3230" s="474">
        <v>3360</v>
      </c>
      <c r="J3230" s="473" t="s">
        <v>1454</v>
      </c>
      <c r="K3230" s="478">
        <f>F3230*I3230</f>
        <v>3360</v>
      </c>
      <c r="L3230" s="473"/>
      <c r="M3230" s="473"/>
    </row>
    <row r="3231" spans="5:13">
      <c r="E3231" s="473"/>
      <c r="F3231" s="473">
        <v>1</v>
      </c>
      <c r="G3231" s="473" t="s">
        <v>1454</v>
      </c>
      <c r="H3231" s="473" t="s">
        <v>3632</v>
      </c>
      <c r="I3231" s="473">
        <f>I3217</f>
        <v>2520</v>
      </c>
      <c r="J3231" s="473" t="s">
        <v>1454</v>
      </c>
      <c r="K3231" s="478">
        <f>F3231*I3231</f>
        <v>2520</v>
      </c>
      <c r="L3231" s="473"/>
      <c r="M3231" s="473"/>
    </row>
    <row r="3232" spans="5:13">
      <c r="E3232" s="473"/>
      <c r="F3232" s="473"/>
      <c r="G3232" s="473"/>
      <c r="H3232" s="473" t="s">
        <v>2359</v>
      </c>
      <c r="I3232" s="473"/>
      <c r="J3232" s="473"/>
      <c r="K3232" s="478"/>
      <c r="L3232" s="473"/>
      <c r="M3232" s="473"/>
    </row>
    <row r="3233" spans="5:13">
      <c r="E3233" s="473"/>
      <c r="F3233" s="473"/>
      <c r="G3233" s="473"/>
      <c r="H3233" s="480" t="s">
        <v>1100</v>
      </c>
      <c r="I3233" s="473"/>
      <c r="J3233" s="473"/>
      <c r="K3233" s="480">
        <f>K3229+K3230-K3231+K3232</f>
        <v>3876</v>
      </c>
      <c r="L3233" s="473"/>
      <c r="M3233" s="473"/>
    </row>
    <row r="3234" spans="5:13">
      <c r="E3234" s="473"/>
      <c r="F3234" s="473"/>
      <c r="G3234" s="473"/>
      <c r="H3234" s="473"/>
      <c r="I3234" s="473"/>
      <c r="J3234" s="473"/>
      <c r="K3234" s="478"/>
      <c r="L3234" s="473"/>
      <c r="M3234" s="473"/>
    </row>
    <row r="3235" spans="5:13">
      <c r="E3235" s="473"/>
      <c r="F3235" s="473"/>
      <c r="G3235" s="473"/>
      <c r="H3235" s="481" t="s">
        <v>2725</v>
      </c>
      <c r="I3235" s="473"/>
      <c r="J3235" s="473"/>
      <c r="K3235" s="478"/>
      <c r="L3235" s="473"/>
      <c r="M3235" s="473"/>
    </row>
    <row r="3236" spans="5:13">
      <c r="E3236" s="473"/>
      <c r="F3236" s="473"/>
      <c r="G3236" s="473"/>
      <c r="H3236" s="473"/>
      <c r="I3236" s="473"/>
      <c r="J3236" s="473"/>
      <c r="K3236" s="478"/>
      <c r="L3236" s="473"/>
      <c r="M3236" s="473"/>
    </row>
    <row r="3237" spans="5:13" ht="39" customHeight="1">
      <c r="E3237" s="473"/>
      <c r="F3237" s="473"/>
      <c r="G3237" s="473"/>
      <c r="H3237" s="471" t="s">
        <v>3531</v>
      </c>
      <c r="I3237" s="473"/>
      <c r="J3237" s="473"/>
      <c r="K3237" s="478"/>
      <c r="L3237" s="473"/>
      <c r="M3237" s="473"/>
    </row>
    <row r="3238" spans="5:13">
      <c r="E3238" s="473"/>
      <c r="F3238" s="473"/>
      <c r="G3238" s="473"/>
      <c r="H3238" s="473"/>
      <c r="I3238" s="473"/>
      <c r="J3238" s="473"/>
      <c r="K3238" s="478"/>
      <c r="L3238" s="473"/>
      <c r="M3238" s="473"/>
    </row>
    <row r="3239" spans="5:13" ht="95.25" customHeight="1">
      <c r="E3239" s="473"/>
      <c r="F3239" s="473"/>
      <c r="G3239" s="473"/>
      <c r="H3239" s="472" t="s">
        <v>2282</v>
      </c>
      <c r="I3239" s="473"/>
      <c r="J3239" s="473"/>
      <c r="K3239" s="478"/>
      <c r="L3239" s="473"/>
      <c r="M3239" s="473"/>
    </row>
    <row r="3240" spans="5:13">
      <c r="E3240" s="473"/>
      <c r="F3240" s="473">
        <v>2</v>
      </c>
      <c r="G3240" s="473" t="s">
        <v>1454</v>
      </c>
      <c r="H3240" s="473" t="s">
        <v>2422</v>
      </c>
      <c r="I3240" s="474">
        <v>630</v>
      </c>
      <c r="J3240" s="473" t="s">
        <v>3035</v>
      </c>
      <c r="K3240" s="478">
        <f>F3240*(I3240/100)</f>
        <v>12.6</v>
      </c>
      <c r="L3240" s="473"/>
      <c r="M3240" s="473"/>
    </row>
    <row r="3241" spans="5:13">
      <c r="E3241" s="473"/>
      <c r="F3241" s="473">
        <v>2</v>
      </c>
      <c r="G3241" s="473" t="s">
        <v>840</v>
      </c>
      <c r="H3241" s="473" t="s">
        <v>2423</v>
      </c>
      <c r="I3241" s="473">
        <v>914.1</v>
      </c>
      <c r="J3241" s="473" t="s">
        <v>2424</v>
      </c>
      <c r="K3241" s="478">
        <f>F3241*(I3241/100)</f>
        <v>18.28</v>
      </c>
      <c r="L3241" s="473"/>
      <c r="M3241" s="473"/>
    </row>
    <row r="3242" spans="5:13">
      <c r="E3242" s="473"/>
      <c r="F3242" s="473"/>
      <c r="G3242" s="473"/>
      <c r="H3242" s="473" t="s">
        <v>2425</v>
      </c>
      <c r="I3242" s="473"/>
      <c r="J3242" s="473"/>
      <c r="K3242" s="478">
        <v>3.31</v>
      </c>
      <c r="L3242" s="473"/>
      <c r="M3242" s="473"/>
    </row>
    <row r="3243" spans="5:13">
      <c r="E3243" s="473"/>
      <c r="F3243" s="473"/>
      <c r="G3243" s="473"/>
      <c r="H3243" s="473" t="s">
        <v>3546</v>
      </c>
      <c r="I3243" s="473"/>
      <c r="J3243" s="473"/>
      <c r="K3243" s="478">
        <f>K3251</f>
        <v>79.81</v>
      </c>
      <c r="L3243" s="473"/>
      <c r="M3243" s="473"/>
    </row>
    <row r="3244" spans="5:13">
      <c r="E3244" s="473"/>
      <c r="F3244" s="473"/>
      <c r="G3244" s="473"/>
      <c r="H3244" s="480" t="s">
        <v>1100</v>
      </c>
      <c r="I3244" s="473"/>
      <c r="J3244" s="473"/>
      <c r="K3244" s="480">
        <f>SUM(K3240:K3243)</f>
        <v>114</v>
      </c>
      <c r="L3244" s="473"/>
      <c r="M3244" s="473"/>
    </row>
    <row r="3245" spans="5:13">
      <c r="E3245" s="473"/>
      <c r="F3245" s="473"/>
      <c r="G3245" s="473"/>
      <c r="H3245" s="473"/>
      <c r="I3245" s="473"/>
      <c r="J3245" s="473"/>
      <c r="K3245" s="478"/>
      <c r="L3245" s="473"/>
      <c r="M3245" s="473"/>
    </row>
    <row r="3246" spans="5:13">
      <c r="E3246" s="473"/>
      <c r="F3246" s="473"/>
      <c r="H3246" s="479" t="s">
        <v>3547</v>
      </c>
      <c r="I3246" s="473"/>
      <c r="J3246" s="473"/>
      <c r="K3246" s="478"/>
      <c r="L3246" s="473"/>
      <c r="M3246" s="473"/>
    </row>
    <row r="3247" spans="5:13">
      <c r="E3247" s="473"/>
      <c r="F3247" s="473">
        <v>1</v>
      </c>
      <c r="G3247" s="473" t="s">
        <v>1454</v>
      </c>
      <c r="H3247" s="473" t="s">
        <v>2901</v>
      </c>
      <c r="I3247" s="473">
        <f>I2867</f>
        <v>254</v>
      </c>
      <c r="J3247" s="473" t="s">
        <v>1454</v>
      </c>
      <c r="K3247" s="478">
        <f>F3247*I3247</f>
        <v>254</v>
      </c>
      <c r="L3247" s="473"/>
      <c r="M3247" s="473"/>
    </row>
    <row r="3248" spans="5:13">
      <c r="E3248" s="473"/>
      <c r="F3248" s="473">
        <v>2</v>
      </c>
      <c r="G3248" s="473" t="s">
        <v>1454</v>
      </c>
      <c r="H3248" s="473" t="s">
        <v>2711</v>
      </c>
      <c r="I3248" s="473">
        <f>I2868</f>
        <v>240</v>
      </c>
      <c r="J3248" s="473" t="s">
        <v>1454</v>
      </c>
      <c r="K3248" s="478">
        <f>F3248*I3248</f>
        <v>480</v>
      </c>
      <c r="L3248" s="473"/>
      <c r="M3248" s="473"/>
    </row>
    <row r="3249" spans="5:13">
      <c r="E3249" s="473"/>
      <c r="F3249" s="473">
        <v>3</v>
      </c>
      <c r="G3249" s="473" t="s">
        <v>1454</v>
      </c>
      <c r="H3249" s="473" t="s">
        <v>3246</v>
      </c>
      <c r="I3249" s="473">
        <f>I2869</f>
        <v>181</v>
      </c>
      <c r="J3249" s="473" t="s">
        <v>1454</v>
      </c>
      <c r="K3249" s="478">
        <f>F3249*I3249</f>
        <v>543</v>
      </c>
      <c r="L3249" s="473"/>
      <c r="M3249" s="473"/>
    </row>
    <row r="3250" spans="5:13">
      <c r="E3250" s="473"/>
      <c r="F3250" s="473"/>
      <c r="G3250" s="473"/>
      <c r="H3250" s="478" t="s">
        <v>3548</v>
      </c>
      <c r="I3250" s="473"/>
      <c r="J3250" s="473"/>
      <c r="K3250" s="571">
        <f>SUM(K3247:K3249)</f>
        <v>1277</v>
      </c>
      <c r="L3250" s="473"/>
      <c r="M3250" s="473"/>
    </row>
    <row r="3251" spans="5:13">
      <c r="E3251" s="473"/>
      <c r="F3251" s="473"/>
      <c r="G3251" s="473"/>
      <c r="H3251" s="480" t="s">
        <v>2929</v>
      </c>
      <c r="I3251" s="473"/>
      <c r="J3251" s="473"/>
      <c r="K3251" s="480">
        <f>K3250/16</f>
        <v>79.81</v>
      </c>
      <c r="L3251" s="473"/>
      <c r="M3251" s="473"/>
    </row>
    <row r="3252" spans="5:13">
      <c r="E3252" s="473"/>
      <c r="F3252" s="473"/>
      <c r="G3252" s="473"/>
      <c r="H3252" s="473"/>
      <c r="I3252" s="473"/>
      <c r="J3252" s="473"/>
      <c r="K3252" s="478"/>
      <c r="L3252" s="473"/>
      <c r="M3252" s="473"/>
    </row>
    <row r="3253" spans="5:13">
      <c r="E3253" s="473"/>
      <c r="F3253" s="473"/>
      <c r="G3253" s="473"/>
      <c r="H3253" s="481" t="s">
        <v>3549</v>
      </c>
      <c r="I3253" s="473"/>
      <c r="J3253" s="473"/>
      <c r="K3253" s="478"/>
      <c r="L3253" s="473"/>
      <c r="M3253" s="473"/>
    </row>
    <row r="3254" spans="5:13" ht="31.5">
      <c r="E3254" s="473"/>
      <c r="F3254" s="473"/>
      <c r="G3254" s="473"/>
      <c r="H3254" s="471" t="s">
        <v>3550</v>
      </c>
      <c r="I3254" s="473"/>
      <c r="J3254" s="473"/>
      <c r="K3254" s="478"/>
      <c r="L3254" s="473"/>
      <c r="M3254" s="473"/>
    </row>
    <row r="3255" spans="5:13">
      <c r="E3255" s="473"/>
      <c r="F3255" s="473"/>
      <c r="G3255" s="473"/>
      <c r="H3255" s="473"/>
      <c r="I3255" s="473"/>
      <c r="J3255" s="473"/>
      <c r="K3255" s="478"/>
      <c r="L3255" s="473"/>
      <c r="M3255" s="473"/>
    </row>
    <row r="3256" spans="5:13" ht="120" customHeight="1">
      <c r="E3256" s="473"/>
      <c r="F3256" s="473"/>
      <c r="G3256" s="473"/>
      <c r="H3256" s="472" t="s">
        <v>2314</v>
      </c>
      <c r="I3256" s="473"/>
      <c r="J3256" s="473"/>
      <c r="K3256" s="478"/>
      <c r="L3256" s="473"/>
      <c r="M3256" s="473"/>
    </row>
    <row r="3257" spans="5:13">
      <c r="E3257" s="473"/>
      <c r="F3257" s="473">
        <v>1.5</v>
      </c>
      <c r="G3257" s="473" t="s">
        <v>840</v>
      </c>
      <c r="H3257" s="473" t="s">
        <v>2874</v>
      </c>
      <c r="I3257" s="474">
        <v>32.5</v>
      </c>
      <c r="J3257" s="473" t="s">
        <v>840</v>
      </c>
      <c r="K3257" s="478">
        <f>F3257*I3257</f>
        <v>48.75</v>
      </c>
      <c r="L3257" s="473"/>
      <c r="M3257" s="473"/>
    </row>
    <row r="3258" spans="5:13">
      <c r="E3258" s="473"/>
      <c r="F3258" s="473">
        <v>2</v>
      </c>
      <c r="G3258" s="473" t="s">
        <v>1454</v>
      </c>
      <c r="H3258" s="473" t="s">
        <v>2875</v>
      </c>
      <c r="I3258" s="473">
        <f>I3240</f>
        <v>630</v>
      </c>
      <c r="J3258" s="473" t="s">
        <v>3035</v>
      </c>
      <c r="K3258" s="478">
        <f>F3258*(I3258/100)</f>
        <v>12.6</v>
      </c>
      <c r="L3258" s="473"/>
      <c r="M3258" s="473"/>
    </row>
    <row r="3259" spans="5:13">
      <c r="E3259" s="473"/>
      <c r="F3259" s="473">
        <v>2</v>
      </c>
      <c r="G3259" s="473" t="s">
        <v>840</v>
      </c>
      <c r="H3259" s="473" t="s">
        <v>2423</v>
      </c>
      <c r="I3259" s="473">
        <f>I3241</f>
        <v>914.1</v>
      </c>
      <c r="J3259" s="473" t="s">
        <v>840</v>
      </c>
      <c r="K3259" s="478">
        <f>F3259*(I3259/100)</f>
        <v>18.28</v>
      </c>
      <c r="L3259" s="473"/>
      <c r="M3259" s="473"/>
    </row>
    <row r="3260" spans="5:13" ht="35.25" customHeight="1">
      <c r="E3260" s="473"/>
      <c r="F3260" s="473"/>
      <c r="G3260" s="473"/>
      <c r="H3260" s="472" t="s">
        <v>2876</v>
      </c>
      <c r="I3260" s="473"/>
      <c r="J3260" s="473"/>
      <c r="K3260" s="478">
        <v>4.67</v>
      </c>
      <c r="L3260" s="473"/>
      <c r="M3260" s="473"/>
    </row>
    <row r="3261" spans="5:13">
      <c r="E3261" s="473"/>
      <c r="F3261" s="473"/>
      <c r="G3261" s="473"/>
      <c r="H3261" s="473" t="s">
        <v>931</v>
      </c>
      <c r="I3261" s="473"/>
      <c r="J3261" s="473"/>
      <c r="K3261" s="478">
        <f>K3269</f>
        <v>127.7</v>
      </c>
      <c r="L3261" s="473"/>
      <c r="M3261" s="473"/>
    </row>
    <row r="3262" spans="5:13">
      <c r="E3262" s="473"/>
      <c r="F3262" s="473"/>
      <c r="G3262" s="473"/>
      <c r="H3262" s="480" t="s">
        <v>1100</v>
      </c>
      <c r="I3262" s="473"/>
      <c r="J3262" s="473"/>
      <c r="K3262" s="480">
        <f>SUM(K3257:K3261)</f>
        <v>212</v>
      </c>
      <c r="L3262" s="473"/>
      <c r="M3262" s="473"/>
    </row>
    <row r="3263" spans="5:13">
      <c r="E3263" s="473"/>
      <c r="F3263" s="473"/>
      <c r="G3263" s="473"/>
      <c r="H3263" s="473"/>
      <c r="I3263" s="473"/>
      <c r="J3263" s="473"/>
      <c r="K3263" s="478"/>
      <c r="L3263" s="473"/>
      <c r="M3263" s="473"/>
    </row>
    <row r="3264" spans="5:13">
      <c r="E3264" s="473"/>
      <c r="F3264" s="473"/>
      <c r="G3264" s="473"/>
      <c r="H3264" s="473" t="s">
        <v>144</v>
      </c>
      <c r="I3264" s="473"/>
      <c r="J3264" s="473"/>
      <c r="K3264" s="478"/>
      <c r="L3264" s="473"/>
      <c r="M3264" s="473"/>
    </row>
    <row r="3265" spans="5:13">
      <c r="E3265" s="473"/>
      <c r="F3265" s="473">
        <v>1</v>
      </c>
      <c r="G3265" s="473" t="s">
        <v>1454</v>
      </c>
      <c r="H3265" s="473" t="s">
        <v>2901</v>
      </c>
      <c r="I3265" s="473">
        <f>I3247</f>
        <v>254</v>
      </c>
      <c r="J3265" s="473" t="s">
        <v>1454</v>
      </c>
      <c r="K3265" s="478">
        <f>F3265*I3265</f>
        <v>254</v>
      </c>
      <c r="L3265" s="473"/>
      <c r="M3265" s="473"/>
    </row>
    <row r="3266" spans="5:13">
      <c r="E3266" s="473"/>
      <c r="F3266" s="473">
        <v>2</v>
      </c>
      <c r="G3266" s="473" t="s">
        <v>1454</v>
      </c>
      <c r="H3266" s="473" t="s">
        <v>2711</v>
      </c>
      <c r="I3266" s="473">
        <f>I3248</f>
        <v>240</v>
      </c>
      <c r="J3266" s="473" t="s">
        <v>1454</v>
      </c>
      <c r="K3266" s="478">
        <f>F3266*I3266</f>
        <v>480</v>
      </c>
      <c r="L3266" s="473"/>
      <c r="M3266" s="473"/>
    </row>
    <row r="3267" spans="5:13">
      <c r="E3267" s="473"/>
      <c r="F3267" s="473">
        <v>3</v>
      </c>
      <c r="G3267" s="473" t="s">
        <v>1454</v>
      </c>
      <c r="H3267" s="473" t="s">
        <v>3246</v>
      </c>
      <c r="I3267" s="473">
        <f>I3249</f>
        <v>181</v>
      </c>
      <c r="J3267" s="473" t="s">
        <v>1454</v>
      </c>
      <c r="K3267" s="478">
        <f>F3267*I3267</f>
        <v>543</v>
      </c>
      <c r="L3267" s="473"/>
      <c r="M3267" s="473"/>
    </row>
    <row r="3268" spans="5:13">
      <c r="E3268" s="473"/>
      <c r="F3268" s="473"/>
      <c r="G3268" s="473"/>
      <c r="H3268" s="478" t="s">
        <v>2877</v>
      </c>
      <c r="I3268" s="473"/>
      <c r="J3268" s="473"/>
      <c r="K3268" s="571">
        <f>SUM(K3265:K3267)</f>
        <v>1277</v>
      </c>
      <c r="L3268" s="473"/>
      <c r="M3268" s="473"/>
    </row>
    <row r="3269" spans="5:13">
      <c r="E3269" s="473"/>
      <c r="F3269" s="473"/>
      <c r="G3269" s="473"/>
      <c r="H3269" s="480" t="s">
        <v>2929</v>
      </c>
      <c r="I3269" s="473"/>
      <c r="J3269" s="473"/>
      <c r="K3269" s="480">
        <f>K3268/10</f>
        <v>127.7</v>
      </c>
      <c r="L3269" s="473"/>
      <c r="M3269" s="473"/>
    </row>
    <row r="3270" spans="5:13">
      <c r="E3270" s="473"/>
      <c r="F3270" s="473"/>
      <c r="G3270" s="473"/>
      <c r="H3270" s="473"/>
      <c r="I3270" s="473"/>
      <c r="J3270" s="473"/>
      <c r="K3270" s="478"/>
      <c r="L3270" s="473"/>
      <c r="M3270" s="473"/>
    </row>
    <row r="3271" spans="5:13">
      <c r="E3271" s="473"/>
      <c r="F3271" s="473"/>
      <c r="G3271" s="473"/>
      <c r="H3271" s="481" t="s">
        <v>3592</v>
      </c>
      <c r="I3271" s="473"/>
      <c r="J3271" s="473"/>
      <c r="K3271" s="478"/>
      <c r="L3271" s="473"/>
      <c r="M3271" s="473"/>
    </row>
    <row r="3272" spans="5:13" ht="73.5" customHeight="1">
      <c r="E3272" s="473"/>
      <c r="F3272" s="473"/>
      <c r="G3272" s="473"/>
      <c r="H3272" s="472" t="s">
        <v>3289</v>
      </c>
      <c r="I3272" s="473"/>
      <c r="J3272" s="473"/>
      <c r="K3272" s="478"/>
      <c r="L3272" s="473"/>
      <c r="M3272" s="473"/>
    </row>
    <row r="3273" spans="5:13">
      <c r="E3273" s="473"/>
      <c r="F3273" s="473"/>
      <c r="G3273" s="473"/>
      <c r="H3273" s="473"/>
      <c r="I3273" s="473"/>
      <c r="J3273" s="473"/>
      <c r="K3273" s="478"/>
      <c r="L3273" s="473"/>
      <c r="M3273" s="473"/>
    </row>
    <row r="3274" spans="5:13">
      <c r="E3274" s="473"/>
      <c r="F3274" s="473">
        <v>1</v>
      </c>
      <c r="G3274" s="473" t="s">
        <v>840</v>
      </c>
      <c r="H3274" s="473" t="s">
        <v>2423</v>
      </c>
      <c r="I3274" s="473">
        <f>I3259</f>
        <v>914.1</v>
      </c>
      <c r="J3274" s="473" t="s">
        <v>3290</v>
      </c>
      <c r="K3274" s="478">
        <f>F3274*(I3274/100)</f>
        <v>9.14</v>
      </c>
      <c r="L3274" s="473"/>
      <c r="M3274" s="473"/>
    </row>
    <row r="3275" spans="5:13">
      <c r="E3275" s="473"/>
      <c r="F3275" s="473"/>
      <c r="G3275" s="473"/>
      <c r="H3275" s="473" t="s">
        <v>144</v>
      </c>
      <c r="I3275" s="473"/>
      <c r="J3275" s="473"/>
      <c r="K3275" s="478">
        <f>K3282</f>
        <v>171.2</v>
      </c>
      <c r="L3275" s="473"/>
      <c r="M3275" s="473"/>
    </row>
    <row r="3276" spans="5:13">
      <c r="E3276" s="473"/>
      <c r="F3276" s="473"/>
      <c r="G3276" s="473"/>
      <c r="H3276" s="473" t="s">
        <v>2426</v>
      </c>
      <c r="J3276" s="473"/>
      <c r="K3276" s="478">
        <v>1.66</v>
      </c>
      <c r="L3276" s="473"/>
      <c r="M3276" s="473"/>
    </row>
    <row r="3277" spans="5:13">
      <c r="E3277" s="473"/>
      <c r="F3277" s="473"/>
      <c r="G3277" s="473"/>
      <c r="H3277" s="479" t="s">
        <v>3291</v>
      </c>
      <c r="I3277" s="481" t="s">
        <v>1100</v>
      </c>
      <c r="J3277" s="473"/>
      <c r="K3277" s="480">
        <f>SUM(K3274:K3276)</f>
        <v>182</v>
      </c>
      <c r="L3277" s="473"/>
      <c r="M3277" s="473"/>
    </row>
    <row r="3278" spans="5:13">
      <c r="E3278" s="473"/>
      <c r="F3278" s="473">
        <v>1</v>
      </c>
      <c r="G3278" s="473" t="s">
        <v>1454</v>
      </c>
      <c r="H3278" s="473" t="s">
        <v>2901</v>
      </c>
      <c r="I3278" s="473">
        <f>I3265</f>
        <v>254</v>
      </c>
      <c r="J3278" s="473" t="s">
        <v>1454</v>
      </c>
      <c r="K3278" s="478">
        <f>F3278*I3278</f>
        <v>254</v>
      </c>
      <c r="L3278" s="473"/>
      <c r="M3278" s="473"/>
    </row>
    <row r="3279" spans="5:13">
      <c r="E3279" s="473"/>
      <c r="F3279" s="473">
        <v>1</v>
      </c>
      <c r="G3279" s="473" t="s">
        <v>1454</v>
      </c>
      <c r="H3279" s="473" t="s">
        <v>2711</v>
      </c>
      <c r="I3279" s="473">
        <f>I3266</f>
        <v>240</v>
      </c>
      <c r="J3279" s="473" t="s">
        <v>1454</v>
      </c>
      <c r="K3279" s="478">
        <f>F3279*I3279</f>
        <v>240</v>
      </c>
      <c r="L3279" s="473"/>
      <c r="M3279" s="473"/>
    </row>
    <row r="3280" spans="5:13">
      <c r="E3280" s="473"/>
      <c r="F3280" s="473">
        <v>2</v>
      </c>
      <c r="G3280" s="473" t="s">
        <v>1454</v>
      </c>
      <c r="H3280" s="473" t="s">
        <v>3246</v>
      </c>
      <c r="I3280" s="473">
        <f>I3267</f>
        <v>181</v>
      </c>
      <c r="J3280" s="473" t="s">
        <v>1454</v>
      </c>
      <c r="K3280" s="478">
        <f>F3280*I3280</f>
        <v>362</v>
      </c>
      <c r="L3280" s="473"/>
      <c r="M3280" s="473"/>
    </row>
    <row r="3281" spans="5:13">
      <c r="E3281" s="473"/>
      <c r="F3281" s="473"/>
      <c r="G3281" s="473"/>
      <c r="H3281" s="478" t="s">
        <v>3292</v>
      </c>
      <c r="I3281" s="473"/>
      <c r="J3281" s="473"/>
      <c r="K3281" s="571">
        <f>SUM(K3278:K3280)</f>
        <v>856</v>
      </c>
      <c r="L3281" s="473"/>
      <c r="M3281" s="473"/>
    </row>
    <row r="3282" spans="5:13">
      <c r="E3282" s="473"/>
      <c r="F3282" s="473"/>
      <c r="G3282" s="473"/>
      <c r="H3282" s="480" t="s">
        <v>1100</v>
      </c>
      <c r="I3282" s="473"/>
      <c r="J3282" s="473"/>
      <c r="K3282" s="480">
        <f>K3281/5</f>
        <v>171.2</v>
      </c>
      <c r="L3282" s="473"/>
      <c r="M3282" s="473"/>
    </row>
    <row r="3283" spans="5:13">
      <c r="E3283" s="473"/>
      <c r="F3283" s="473"/>
      <c r="G3283" s="473"/>
      <c r="H3283" s="492" t="s">
        <v>3293</v>
      </c>
      <c r="I3283" s="473"/>
      <c r="J3283" s="473"/>
      <c r="K3283" s="478"/>
      <c r="L3283" s="473"/>
      <c r="M3283" s="473"/>
    </row>
    <row r="3284" spans="5:13">
      <c r="E3284" s="473"/>
      <c r="F3284" s="473"/>
      <c r="G3284" s="473"/>
      <c r="H3284" s="481" t="s">
        <v>3294</v>
      </c>
      <c r="I3284" s="473"/>
      <c r="J3284" s="473"/>
      <c r="K3284" s="478"/>
      <c r="L3284" s="473"/>
      <c r="M3284" s="473"/>
    </row>
    <row r="3285" spans="5:13">
      <c r="E3285" s="473"/>
      <c r="F3285" s="473"/>
      <c r="G3285" s="473"/>
      <c r="H3285" s="481" t="s">
        <v>3295</v>
      </c>
      <c r="I3285" s="473"/>
      <c r="J3285" s="473"/>
      <c r="K3285" s="478"/>
      <c r="L3285" s="473"/>
      <c r="M3285" s="473"/>
    </row>
    <row r="3286" spans="5:13">
      <c r="E3286" s="473"/>
      <c r="F3286" s="473"/>
      <c r="G3286" s="473"/>
      <c r="H3286" s="482" t="s">
        <v>3296</v>
      </c>
      <c r="I3286" s="473"/>
      <c r="J3286" s="473"/>
      <c r="K3286" s="478"/>
      <c r="L3286" s="473"/>
      <c r="M3286" s="473"/>
    </row>
    <row r="3287" spans="5:13" ht="68.25" customHeight="1">
      <c r="E3287" s="473"/>
      <c r="F3287" s="473"/>
      <c r="G3287" s="473"/>
      <c r="H3287" s="472" t="s">
        <v>3647</v>
      </c>
      <c r="I3287" s="473"/>
      <c r="J3287" s="473"/>
      <c r="K3287" s="478"/>
      <c r="L3287" s="473"/>
      <c r="M3287" s="473"/>
    </row>
    <row r="3288" spans="5:13">
      <c r="E3288" s="473"/>
      <c r="F3288" s="473"/>
      <c r="G3288" s="473"/>
      <c r="H3288" s="473"/>
      <c r="I3288" s="473"/>
      <c r="J3288" s="473"/>
      <c r="K3288" s="478"/>
      <c r="L3288" s="473"/>
      <c r="M3288" s="473"/>
    </row>
    <row r="3289" spans="5:13">
      <c r="E3289" s="473"/>
      <c r="F3289" s="473">
        <v>9.5</v>
      </c>
      <c r="G3289" s="473" t="s">
        <v>1730</v>
      </c>
      <c r="H3289" s="473" t="s">
        <v>3648</v>
      </c>
      <c r="I3289" s="474">
        <v>84</v>
      </c>
      <c r="J3289" s="473" t="s">
        <v>1730</v>
      </c>
      <c r="K3289" s="478">
        <f>F3289*I3289</f>
        <v>798</v>
      </c>
      <c r="L3289" s="473"/>
      <c r="M3289" s="473"/>
    </row>
    <row r="3290" spans="5:13">
      <c r="E3290" s="473"/>
      <c r="F3290" s="473">
        <v>0.5</v>
      </c>
      <c r="G3290" s="473" t="s">
        <v>1730</v>
      </c>
      <c r="H3290" s="473" t="s">
        <v>3553</v>
      </c>
      <c r="I3290" s="474">
        <v>22</v>
      </c>
      <c r="J3290" s="473"/>
      <c r="K3290" s="478">
        <f>F3290*I3290</f>
        <v>11</v>
      </c>
      <c r="L3290" s="473"/>
      <c r="M3290" s="473"/>
    </row>
    <row r="3291" spans="5:13">
      <c r="E3291" s="473"/>
      <c r="F3291" s="473"/>
      <c r="G3291" s="473"/>
      <c r="H3291" s="473" t="s">
        <v>1900</v>
      </c>
      <c r="I3291" s="473"/>
      <c r="J3291" s="473"/>
      <c r="K3291" s="478">
        <f>K3299</f>
        <v>435</v>
      </c>
      <c r="L3291" s="473"/>
      <c r="M3291" s="473"/>
    </row>
    <row r="3292" spans="5:13">
      <c r="E3292" s="473"/>
      <c r="F3292" s="473"/>
      <c r="G3292" s="473"/>
      <c r="H3292" s="473" t="s">
        <v>2359</v>
      </c>
      <c r="I3292" s="473"/>
      <c r="J3292" s="473"/>
      <c r="K3292" s="478">
        <v>16</v>
      </c>
      <c r="L3292" s="473"/>
      <c r="M3292" s="473"/>
    </row>
    <row r="3293" spans="5:13">
      <c r="E3293" s="473"/>
      <c r="F3293" s="473"/>
      <c r="G3293" s="473"/>
      <c r="H3293" s="478" t="s">
        <v>3554</v>
      </c>
      <c r="I3293" s="473"/>
      <c r="J3293" s="473"/>
      <c r="K3293" s="571">
        <f>SUM(K3289:K3292)</f>
        <v>1260</v>
      </c>
      <c r="L3293" s="473">
        <f>11.8*90</f>
        <v>1062</v>
      </c>
      <c r="M3293" s="473"/>
    </row>
    <row r="3294" spans="5:13">
      <c r="E3294" s="473"/>
      <c r="F3294" s="473"/>
      <c r="G3294" s="473"/>
      <c r="H3294" s="480" t="s">
        <v>2896</v>
      </c>
      <c r="I3294" s="473"/>
      <c r="J3294" s="473"/>
      <c r="K3294" s="480">
        <f>K3293/90</f>
        <v>14</v>
      </c>
      <c r="L3294" s="473"/>
      <c r="M3294" s="473"/>
    </row>
    <row r="3295" spans="5:13">
      <c r="E3295" s="473"/>
      <c r="F3295" s="473"/>
      <c r="G3295" s="473"/>
      <c r="H3295" s="473"/>
      <c r="I3295" s="473"/>
      <c r="J3295" s="473"/>
      <c r="K3295" s="478"/>
      <c r="L3295" s="473"/>
      <c r="M3295" s="473"/>
    </row>
    <row r="3296" spans="5:13">
      <c r="E3296" s="473"/>
      <c r="F3296" s="473"/>
      <c r="G3296" s="473"/>
      <c r="H3296" s="479" t="s">
        <v>2770</v>
      </c>
      <c r="I3296" s="473"/>
      <c r="J3296" s="473"/>
      <c r="K3296" s="478"/>
      <c r="L3296" s="473"/>
      <c r="M3296" s="473"/>
    </row>
    <row r="3297" spans="5:13">
      <c r="E3297" s="473"/>
      <c r="F3297" s="473">
        <v>1</v>
      </c>
      <c r="G3297" s="473"/>
      <c r="H3297" s="473" t="s">
        <v>2901</v>
      </c>
      <c r="I3297" s="473">
        <f>I3278</f>
        <v>254</v>
      </c>
      <c r="J3297" s="473" t="s">
        <v>1454</v>
      </c>
      <c r="K3297" s="478">
        <f>F3297*I3297</f>
        <v>254</v>
      </c>
      <c r="L3297" s="473"/>
      <c r="M3297" s="473"/>
    </row>
    <row r="3298" spans="5:13">
      <c r="E3298" s="473"/>
      <c r="F3298" s="473">
        <v>1</v>
      </c>
      <c r="G3298" s="473"/>
      <c r="H3298" s="473" t="s">
        <v>3246</v>
      </c>
      <c r="I3298" s="473">
        <f>I3280</f>
        <v>181</v>
      </c>
      <c r="J3298" s="473" t="s">
        <v>1454</v>
      </c>
      <c r="K3298" s="478">
        <f>F3298*I3298</f>
        <v>181</v>
      </c>
      <c r="L3298" s="473"/>
      <c r="M3298" s="473"/>
    </row>
    <row r="3299" spans="5:13">
      <c r="E3299" s="473"/>
      <c r="F3299" s="473"/>
      <c r="G3299" s="473"/>
      <c r="H3299" s="473"/>
      <c r="I3299" s="473"/>
      <c r="J3299" s="473"/>
      <c r="K3299" s="480">
        <f>SUM(K3297:K3298)</f>
        <v>435</v>
      </c>
      <c r="L3299" s="473"/>
      <c r="M3299" s="473"/>
    </row>
    <row r="3300" spans="5:13">
      <c r="E3300" s="473"/>
      <c r="F3300" s="473" t="s">
        <v>2771</v>
      </c>
      <c r="G3300" s="473"/>
      <c r="H3300" s="473"/>
      <c r="I3300" s="473"/>
      <c r="J3300" s="473"/>
      <c r="K3300" s="478"/>
      <c r="L3300" s="473"/>
      <c r="M3300" s="473"/>
    </row>
    <row r="3301" spans="5:13">
      <c r="E3301" s="473"/>
      <c r="F3301" s="473"/>
      <c r="G3301" s="473"/>
      <c r="H3301" s="473"/>
      <c r="I3301" s="473"/>
      <c r="J3301" s="473"/>
      <c r="K3301" s="478"/>
      <c r="L3301" s="473"/>
      <c r="M3301" s="473"/>
    </row>
    <row r="3302" spans="5:13">
      <c r="E3302" s="473"/>
      <c r="F3302" s="473"/>
      <c r="G3302" s="473"/>
      <c r="H3302" s="481" t="s">
        <v>2772</v>
      </c>
      <c r="I3302" s="473"/>
      <c r="J3302" s="473"/>
      <c r="K3302" s="478"/>
      <c r="L3302" s="473"/>
      <c r="M3302" s="473"/>
    </row>
    <row r="3303" spans="5:13">
      <c r="E3303" s="473"/>
      <c r="F3303" s="473"/>
      <c r="G3303" s="473"/>
      <c r="H3303" s="481" t="s">
        <v>2773</v>
      </c>
      <c r="I3303" s="473"/>
      <c r="J3303" s="473"/>
      <c r="K3303" s="478"/>
      <c r="L3303" s="473"/>
      <c r="M3303" s="473"/>
    </row>
    <row r="3304" spans="5:13">
      <c r="E3304" s="473"/>
      <c r="F3304" s="473"/>
      <c r="G3304" s="473"/>
      <c r="H3304" s="473"/>
      <c r="I3304" s="473"/>
      <c r="J3304" s="473"/>
      <c r="K3304" s="478"/>
      <c r="L3304" s="473"/>
      <c r="M3304" s="473"/>
    </row>
    <row r="3305" spans="5:13" ht="57" customHeight="1">
      <c r="E3305" s="473"/>
      <c r="F3305" s="473"/>
      <c r="G3305" s="473"/>
      <c r="H3305" s="472" t="s">
        <v>2774</v>
      </c>
      <c r="I3305" s="473"/>
      <c r="J3305" s="473"/>
      <c r="K3305" s="478"/>
      <c r="L3305" s="473"/>
      <c r="M3305" s="473"/>
    </row>
    <row r="3306" spans="5:13">
      <c r="E3306" s="473"/>
      <c r="F3306" s="473">
        <v>2.5</v>
      </c>
      <c r="G3306" s="473" t="s">
        <v>840</v>
      </c>
      <c r="H3306" s="473" t="s">
        <v>2775</v>
      </c>
      <c r="I3306" s="474">
        <v>154.35</v>
      </c>
      <c r="J3306" s="473" t="s">
        <v>840</v>
      </c>
      <c r="K3306" s="478">
        <f>F3306*I3306</f>
        <v>385.88</v>
      </c>
      <c r="L3306" s="473"/>
      <c r="M3306" s="473"/>
    </row>
    <row r="3307" spans="5:13">
      <c r="E3307" s="473"/>
      <c r="F3307" s="473">
        <v>1</v>
      </c>
      <c r="G3307" s="473" t="s">
        <v>840</v>
      </c>
      <c r="H3307" s="473" t="s">
        <v>2776</v>
      </c>
      <c r="I3307" s="474">
        <v>93.45</v>
      </c>
      <c r="J3307" s="473" t="s">
        <v>840</v>
      </c>
      <c r="K3307" s="478">
        <f>F3307*I3307</f>
        <v>93.45</v>
      </c>
      <c r="L3307" s="473"/>
      <c r="M3307" s="473"/>
    </row>
    <row r="3308" spans="5:13">
      <c r="E3308" s="473"/>
      <c r="F3308" s="473">
        <v>1</v>
      </c>
      <c r="G3308" s="473" t="s">
        <v>840</v>
      </c>
      <c r="H3308" s="473" t="s">
        <v>2777</v>
      </c>
      <c r="I3308" s="474">
        <v>66.150000000000006</v>
      </c>
      <c r="J3308" s="473" t="s">
        <v>840</v>
      </c>
      <c r="K3308" s="478">
        <f>F3308*I3308</f>
        <v>66.150000000000006</v>
      </c>
      <c r="L3308" s="473"/>
      <c r="M3308" s="473"/>
    </row>
    <row r="3309" spans="5:13">
      <c r="E3309" s="473"/>
      <c r="F3309" s="473">
        <v>1</v>
      </c>
      <c r="G3309" s="473" t="s">
        <v>1454</v>
      </c>
      <c r="H3309" s="473" t="s">
        <v>2778</v>
      </c>
      <c r="I3309" s="474">
        <v>49.35</v>
      </c>
      <c r="J3309" s="473" t="s">
        <v>1454</v>
      </c>
      <c r="K3309" s="478">
        <f>F3309*I3309</f>
        <v>49.35</v>
      </c>
      <c r="L3309" s="473"/>
      <c r="M3309" s="473"/>
    </row>
    <row r="3310" spans="5:13">
      <c r="E3310" s="473"/>
      <c r="F3310" s="473">
        <v>1</v>
      </c>
      <c r="G3310" s="473" t="s">
        <v>284</v>
      </c>
      <c r="H3310" s="473" t="s">
        <v>2779</v>
      </c>
      <c r="I3310" s="473" t="s">
        <v>667</v>
      </c>
      <c r="J3310" s="473" t="s">
        <v>284</v>
      </c>
      <c r="K3310" s="478">
        <v>15</v>
      </c>
      <c r="L3310" s="473"/>
      <c r="M3310" s="473"/>
    </row>
    <row r="3311" spans="5:13">
      <c r="E3311" s="473"/>
      <c r="F3311" s="473"/>
      <c r="G3311" s="473" t="s">
        <v>667</v>
      </c>
      <c r="H3311" s="473" t="s">
        <v>2780</v>
      </c>
      <c r="I3311" s="473" t="s">
        <v>667</v>
      </c>
      <c r="J3311" s="473" t="s">
        <v>667</v>
      </c>
      <c r="K3311" s="478">
        <v>150</v>
      </c>
      <c r="L3311" s="473"/>
      <c r="M3311" s="473"/>
    </row>
    <row r="3312" spans="5:13">
      <c r="E3312" s="473"/>
      <c r="F3312" s="473">
        <v>1</v>
      </c>
      <c r="G3312" s="473" t="s">
        <v>1454</v>
      </c>
      <c r="H3312" s="473" t="s">
        <v>2781</v>
      </c>
      <c r="I3312" s="473">
        <v>100</v>
      </c>
      <c r="J3312" s="473" t="s">
        <v>1454</v>
      </c>
      <c r="K3312" s="478">
        <f>F3312*I3312</f>
        <v>100</v>
      </c>
      <c r="L3312" s="473"/>
      <c r="M3312" s="473"/>
    </row>
    <row r="3313" spans="5:13">
      <c r="E3313" s="473"/>
      <c r="F3313" s="473">
        <v>40</v>
      </c>
      <c r="G3313" s="473" t="s">
        <v>1730</v>
      </c>
      <c r="H3313" s="473" t="s">
        <v>2782</v>
      </c>
      <c r="I3313" s="473">
        <v>4</v>
      </c>
      <c r="J3313" s="473" t="s">
        <v>1730</v>
      </c>
      <c r="K3313" s="478">
        <f>F3313*I3313</f>
        <v>160</v>
      </c>
      <c r="L3313" s="473"/>
      <c r="M3313" s="473"/>
    </row>
    <row r="3314" spans="5:13">
      <c r="E3314" s="473"/>
      <c r="F3314" s="473">
        <v>2</v>
      </c>
      <c r="G3314" s="473" t="s">
        <v>1454</v>
      </c>
      <c r="H3314" s="473" t="s">
        <v>2783</v>
      </c>
      <c r="I3314" s="474">
        <v>13.1</v>
      </c>
      <c r="J3314" s="473" t="s">
        <v>1454</v>
      </c>
      <c r="K3314" s="478">
        <f>F3314*I3314</f>
        <v>26.2</v>
      </c>
      <c r="L3314" s="473"/>
      <c r="M3314" s="473"/>
    </row>
    <row r="3315" spans="5:13">
      <c r="E3315" s="473"/>
      <c r="F3315" s="473">
        <v>4</v>
      </c>
      <c r="G3315" s="473" t="s">
        <v>1454</v>
      </c>
      <c r="H3315" s="473" t="s">
        <v>2784</v>
      </c>
      <c r="I3315" s="474">
        <v>13.1</v>
      </c>
      <c r="J3315" s="473" t="s">
        <v>1454</v>
      </c>
      <c r="K3315" s="478">
        <f>F3315*I3315</f>
        <v>52.4</v>
      </c>
      <c r="L3315" s="473"/>
      <c r="M3315" s="473"/>
    </row>
    <row r="3316" spans="5:13">
      <c r="E3316" s="473"/>
      <c r="F3316" s="473">
        <v>10</v>
      </c>
      <c r="G3316" s="473" t="s">
        <v>1730</v>
      </c>
      <c r="H3316" s="473" t="s">
        <v>2785</v>
      </c>
      <c r="I3316" s="474">
        <v>4</v>
      </c>
      <c r="J3316" s="473" t="s">
        <v>1730</v>
      </c>
      <c r="K3316" s="478">
        <f>F3316*I3316</f>
        <v>40</v>
      </c>
      <c r="L3316" s="473"/>
      <c r="M3316" s="473"/>
    </row>
    <row r="3317" spans="5:13">
      <c r="E3317" s="473"/>
      <c r="F3317" s="473"/>
      <c r="G3317" s="473"/>
      <c r="H3317" s="473" t="s">
        <v>2359</v>
      </c>
      <c r="I3317" s="473"/>
      <c r="J3317" s="473"/>
      <c r="K3317" s="478">
        <v>3.57</v>
      </c>
      <c r="L3317" s="473"/>
      <c r="M3317" s="473"/>
    </row>
    <row r="3318" spans="5:13">
      <c r="E3318" s="473"/>
      <c r="F3318" s="473"/>
      <c r="G3318" s="473"/>
      <c r="H3318" s="473" t="s">
        <v>931</v>
      </c>
      <c r="I3318" s="473"/>
      <c r="J3318" s="473"/>
      <c r="K3318" s="486">
        <f>K3324</f>
        <v>435</v>
      </c>
      <c r="L3318" s="473"/>
      <c r="M3318" s="473"/>
    </row>
    <row r="3319" spans="5:13">
      <c r="E3319" s="473"/>
      <c r="F3319" s="473"/>
      <c r="G3319" s="473"/>
      <c r="H3319" s="480" t="s">
        <v>1100</v>
      </c>
      <c r="I3319" s="473"/>
      <c r="J3319" s="473"/>
      <c r="K3319" s="480">
        <f>SUM(K3306:K3318)</f>
        <v>1577</v>
      </c>
      <c r="L3319" s="473"/>
      <c r="M3319" s="473"/>
    </row>
    <row r="3320" spans="5:13">
      <c r="E3320" s="473"/>
      <c r="F3320" s="473"/>
      <c r="G3320" s="473"/>
      <c r="H3320" s="473"/>
      <c r="I3320" s="473"/>
      <c r="J3320" s="473"/>
      <c r="K3320" s="478"/>
      <c r="L3320" s="473"/>
      <c r="M3320" s="473"/>
    </row>
    <row r="3321" spans="5:13">
      <c r="E3321" s="473"/>
      <c r="F3321" s="473"/>
      <c r="G3321" s="473"/>
      <c r="H3321" s="479" t="s">
        <v>931</v>
      </c>
      <c r="I3321" s="473"/>
      <c r="J3321" s="473"/>
      <c r="K3321" s="478"/>
      <c r="L3321" s="473"/>
      <c r="M3321" s="473"/>
    </row>
    <row r="3322" spans="5:13">
      <c r="E3322" s="473"/>
      <c r="F3322" s="473">
        <v>1</v>
      </c>
      <c r="G3322" s="473" t="s">
        <v>1454</v>
      </c>
      <c r="H3322" s="473" t="s">
        <v>2901</v>
      </c>
      <c r="I3322" s="473">
        <f>I3297</f>
        <v>254</v>
      </c>
      <c r="J3322" s="473" t="s">
        <v>1454</v>
      </c>
      <c r="K3322" s="478">
        <f>F3322*I3322</f>
        <v>254</v>
      </c>
      <c r="L3322" s="473"/>
      <c r="M3322" s="473"/>
    </row>
    <row r="3323" spans="5:13">
      <c r="E3323" s="473"/>
      <c r="F3323" s="473">
        <v>1</v>
      </c>
      <c r="G3323" s="473" t="s">
        <v>1454</v>
      </c>
      <c r="H3323" s="473" t="s">
        <v>3246</v>
      </c>
      <c r="I3323" s="473">
        <f>I3298</f>
        <v>181</v>
      </c>
      <c r="J3323" s="473" t="s">
        <v>1454</v>
      </c>
      <c r="K3323" s="478">
        <f>F3323*I3323</f>
        <v>181</v>
      </c>
      <c r="L3323" s="473"/>
      <c r="M3323" s="473"/>
    </row>
    <row r="3324" spans="5:13">
      <c r="E3324" s="473"/>
      <c r="F3324" s="473"/>
      <c r="G3324" s="473"/>
      <c r="H3324" s="473"/>
      <c r="I3324" s="473"/>
      <c r="J3324" s="473"/>
      <c r="K3324" s="480">
        <f>SUM(K3322:K3323)</f>
        <v>435</v>
      </c>
      <c r="L3324" s="473"/>
      <c r="M3324" s="473"/>
    </row>
    <row r="3325" spans="5:13">
      <c r="E3325" s="473"/>
      <c r="F3325" s="473"/>
      <c r="G3325" s="473"/>
      <c r="H3325" s="481" t="s">
        <v>2786</v>
      </c>
      <c r="I3325" s="473"/>
      <c r="J3325" s="473"/>
      <c r="K3325" s="478"/>
      <c r="L3325" s="473"/>
      <c r="M3325" s="473"/>
    </row>
    <row r="3326" spans="5:13">
      <c r="E3326" s="473"/>
      <c r="F3326" s="473"/>
      <c r="G3326" s="473"/>
      <c r="H3326" s="481" t="s">
        <v>2787</v>
      </c>
      <c r="I3326" s="473"/>
      <c r="J3326" s="473"/>
      <c r="K3326" s="478"/>
      <c r="L3326" s="473"/>
      <c r="M3326" s="473"/>
    </row>
    <row r="3327" spans="5:13">
      <c r="E3327" s="473"/>
      <c r="F3327" s="473"/>
      <c r="G3327" s="473"/>
      <c r="H3327" s="473"/>
      <c r="I3327" s="473"/>
      <c r="J3327" s="473"/>
      <c r="K3327" s="478"/>
      <c r="L3327" s="473"/>
      <c r="M3327" s="473"/>
    </row>
    <row r="3328" spans="5:13" ht="86.25" customHeight="1">
      <c r="E3328" s="473"/>
      <c r="F3328" s="473"/>
      <c r="G3328" s="473"/>
      <c r="H3328" s="472" t="s">
        <v>791</v>
      </c>
      <c r="I3328" s="473"/>
      <c r="J3328" s="473"/>
      <c r="K3328" s="478"/>
      <c r="L3328" s="473"/>
      <c r="M3328" s="473"/>
    </row>
    <row r="3329" spans="5:13">
      <c r="E3329" s="473"/>
      <c r="F3329" s="473"/>
      <c r="G3329" s="473"/>
      <c r="H3329" s="473"/>
      <c r="I3329" s="473"/>
      <c r="J3329" s="473"/>
      <c r="K3329" s="478"/>
      <c r="L3329" s="473"/>
      <c r="M3329" s="473"/>
    </row>
    <row r="3330" spans="5:13">
      <c r="E3330" s="473"/>
      <c r="F3330" s="473">
        <v>1</v>
      </c>
      <c r="G3330" s="473" t="s">
        <v>1454</v>
      </c>
      <c r="H3330" s="473" t="s">
        <v>3367</v>
      </c>
      <c r="I3330" s="473">
        <f>K3335</f>
        <v>44.32</v>
      </c>
      <c r="J3330" s="473" t="s">
        <v>1458</v>
      </c>
      <c r="K3330" s="478">
        <f>F3330*I3330</f>
        <v>44.32</v>
      </c>
      <c r="L3330" s="473"/>
      <c r="M3330" s="473"/>
    </row>
    <row r="3331" spans="5:13" ht="56.25" customHeight="1">
      <c r="E3331" s="473"/>
      <c r="F3331" s="473"/>
      <c r="G3331" s="473"/>
      <c r="H3331" s="472" t="s">
        <v>3368</v>
      </c>
      <c r="I3331" s="473"/>
      <c r="J3331" s="473" t="s">
        <v>667</v>
      </c>
      <c r="K3331" s="478">
        <v>12.28</v>
      </c>
      <c r="L3331" s="473"/>
      <c r="M3331" s="473"/>
    </row>
    <row r="3332" spans="5:13">
      <c r="E3332" s="473"/>
      <c r="F3332" s="473"/>
      <c r="G3332" s="473"/>
      <c r="H3332" s="473" t="s">
        <v>144</v>
      </c>
      <c r="I3332" s="473"/>
      <c r="J3332" s="473"/>
      <c r="K3332" s="478">
        <f>K3340</f>
        <v>97.4</v>
      </c>
      <c r="L3332" s="473"/>
      <c r="M3332" s="473"/>
    </row>
    <row r="3333" spans="5:13">
      <c r="E3333" s="473"/>
      <c r="F3333" s="473"/>
      <c r="G3333" s="473"/>
      <c r="H3333" s="480" t="s">
        <v>1100</v>
      </c>
      <c r="I3333" s="473"/>
      <c r="J3333" s="473"/>
      <c r="K3333" s="480">
        <f>SUM(K3330:K3332)</f>
        <v>154</v>
      </c>
      <c r="L3333" s="473"/>
      <c r="M3333" s="473"/>
    </row>
    <row r="3334" spans="5:13">
      <c r="E3334" s="473"/>
      <c r="F3334" s="473"/>
      <c r="G3334" s="473"/>
      <c r="H3334" s="473"/>
      <c r="I3334" s="473"/>
      <c r="J3334" s="473"/>
      <c r="K3334" s="478"/>
      <c r="L3334" s="473"/>
      <c r="M3334" s="473"/>
    </row>
    <row r="3335" spans="5:13">
      <c r="E3335" s="473"/>
      <c r="F3335" s="473"/>
      <c r="G3335" s="473"/>
      <c r="H3335" s="481" t="s">
        <v>3369</v>
      </c>
      <c r="I3335" s="473">
        <f>I3222</f>
        <v>73860</v>
      </c>
      <c r="J3335" s="487">
        <v>5.9999999999999995E-4</v>
      </c>
      <c r="K3335" s="478">
        <f>ROUND(I3335*J3335,2)</f>
        <v>44.32</v>
      </c>
      <c r="L3335" s="473"/>
      <c r="M3335" s="473"/>
    </row>
    <row r="3336" spans="5:13">
      <c r="E3336" s="473"/>
      <c r="F3336" s="473"/>
      <c r="G3336" s="473"/>
      <c r="H3336" s="473" t="s">
        <v>144</v>
      </c>
      <c r="I3336" s="473"/>
      <c r="J3336" s="473"/>
      <c r="K3336" s="478"/>
      <c r="L3336" s="473"/>
      <c r="M3336" s="473"/>
    </row>
    <row r="3337" spans="5:13">
      <c r="E3337" s="473"/>
      <c r="F3337" s="473">
        <v>1</v>
      </c>
      <c r="G3337" s="473" t="s">
        <v>1454</v>
      </c>
      <c r="H3337" s="473" t="s">
        <v>3370</v>
      </c>
      <c r="I3337" s="473">
        <f>I3278</f>
        <v>254</v>
      </c>
      <c r="J3337" s="473" t="s">
        <v>1458</v>
      </c>
      <c r="K3337" s="478">
        <f>F3337*I3337</f>
        <v>254</v>
      </c>
      <c r="L3337" s="473"/>
      <c r="M3337" s="473"/>
    </row>
    <row r="3338" spans="5:13">
      <c r="E3338" s="473"/>
      <c r="F3338" s="473">
        <v>3</v>
      </c>
      <c r="G3338" s="473" t="s">
        <v>1454</v>
      </c>
      <c r="H3338" s="473" t="s">
        <v>2711</v>
      </c>
      <c r="I3338" s="473">
        <f>I3279</f>
        <v>240</v>
      </c>
      <c r="J3338" s="473" t="s">
        <v>1458</v>
      </c>
      <c r="K3338" s="478">
        <f>F3338*I3338</f>
        <v>720</v>
      </c>
      <c r="L3338" s="473"/>
      <c r="M3338" s="473"/>
    </row>
    <row r="3339" spans="5:13">
      <c r="E3339" s="473"/>
      <c r="F3339" s="473"/>
      <c r="G3339" s="473"/>
      <c r="H3339" s="478" t="s">
        <v>3371</v>
      </c>
      <c r="I3339" s="473"/>
      <c r="J3339" s="473"/>
      <c r="K3339" s="486">
        <f>SUM(K3337:K3338)</f>
        <v>974</v>
      </c>
      <c r="L3339" s="473"/>
      <c r="M3339" s="473"/>
    </row>
    <row r="3340" spans="5:13">
      <c r="E3340" s="473"/>
      <c r="F3340" s="473"/>
      <c r="G3340" s="473"/>
      <c r="H3340" s="478" t="s">
        <v>3372</v>
      </c>
      <c r="I3340" s="473"/>
      <c r="J3340" s="473"/>
      <c r="K3340" s="480">
        <f>K3339/10</f>
        <v>97.4</v>
      </c>
      <c r="L3340" s="473"/>
      <c r="M3340" s="473"/>
    </row>
    <row r="3341" spans="5:13">
      <c r="E3341" s="473"/>
      <c r="F3341" s="473"/>
      <c r="G3341" s="473"/>
      <c r="H3341" s="473"/>
      <c r="I3341" s="473"/>
      <c r="J3341" s="473"/>
      <c r="K3341" s="478"/>
      <c r="L3341" s="473"/>
      <c r="M3341" s="473"/>
    </row>
    <row r="3342" spans="5:13">
      <c r="E3342" s="473"/>
      <c r="F3342" s="473"/>
      <c r="G3342" s="473"/>
      <c r="H3342" s="481" t="s">
        <v>3373</v>
      </c>
      <c r="I3342" s="473"/>
      <c r="J3342" s="473"/>
      <c r="K3342" s="478"/>
      <c r="L3342" s="473"/>
      <c r="M3342" s="473"/>
    </row>
    <row r="3343" spans="5:13" ht="103.5" customHeight="1">
      <c r="E3343" s="473"/>
      <c r="F3343" s="473"/>
      <c r="G3343" s="473"/>
      <c r="H3343" s="472" t="s">
        <v>2297</v>
      </c>
      <c r="I3343" s="473"/>
      <c r="J3343" s="473"/>
      <c r="K3343" s="478"/>
      <c r="L3343" s="473"/>
      <c r="M3343" s="473"/>
    </row>
    <row r="3344" spans="5:13">
      <c r="E3344" s="473"/>
      <c r="F3344" s="473"/>
      <c r="G3344" s="473"/>
      <c r="H3344" s="473"/>
      <c r="I3344" s="473"/>
      <c r="J3344" s="473"/>
      <c r="K3344" s="478"/>
      <c r="L3344" s="473"/>
      <c r="M3344" s="473"/>
    </row>
    <row r="3345" spans="5:13">
      <c r="E3345" s="473"/>
      <c r="F3345" s="473">
        <v>1</v>
      </c>
      <c r="G3345" s="473" t="s">
        <v>1454</v>
      </c>
      <c r="H3345" s="473" t="s">
        <v>3375</v>
      </c>
      <c r="I3345" s="474">
        <v>315</v>
      </c>
      <c r="J3345" s="473" t="s">
        <v>1454</v>
      </c>
      <c r="K3345" s="478">
        <f>F3345*I3345</f>
        <v>315</v>
      </c>
      <c r="L3345" s="473"/>
      <c r="M3345" s="473"/>
    </row>
    <row r="3346" spans="5:13" ht="52.5" customHeight="1">
      <c r="E3346" s="473"/>
      <c r="F3346" s="473"/>
      <c r="G3346" s="473"/>
      <c r="H3346" s="472" t="s">
        <v>3376</v>
      </c>
      <c r="I3346" s="473"/>
      <c r="J3346" s="473"/>
      <c r="K3346" s="478">
        <v>18.95</v>
      </c>
      <c r="L3346" s="473"/>
      <c r="M3346" s="473"/>
    </row>
    <row r="3347" spans="5:13">
      <c r="E3347" s="473"/>
      <c r="F3347" s="473"/>
      <c r="G3347" s="473"/>
      <c r="H3347" s="473" t="s">
        <v>931</v>
      </c>
      <c r="I3347" s="473"/>
      <c r="J3347" s="473"/>
      <c r="K3347" s="478">
        <f>K3356</f>
        <v>130.05000000000001</v>
      </c>
      <c r="L3347" s="473"/>
      <c r="M3347" s="473"/>
    </row>
    <row r="3348" spans="5:13">
      <c r="E3348" s="473"/>
      <c r="F3348" s="473"/>
      <c r="G3348" s="473"/>
      <c r="H3348" s="480" t="s">
        <v>1100</v>
      </c>
      <c r="I3348" s="473"/>
      <c r="J3348" s="473"/>
      <c r="K3348" s="480">
        <f>SUM(K3345:K3347)</f>
        <v>464</v>
      </c>
      <c r="L3348" s="473"/>
      <c r="M3348" s="473"/>
    </row>
    <row r="3349" spans="5:13">
      <c r="E3349" s="473"/>
      <c r="F3349" s="473"/>
      <c r="G3349" s="473"/>
      <c r="H3349" s="480"/>
      <c r="I3349" s="473"/>
      <c r="J3349" s="473"/>
      <c r="K3349" s="480"/>
      <c r="L3349" s="473"/>
      <c r="M3349" s="473"/>
    </row>
    <row r="3350" spans="5:13">
      <c r="E3350" s="473"/>
      <c r="F3350" s="473"/>
      <c r="G3350" s="473"/>
      <c r="H3350" s="473" t="s">
        <v>144</v>
      </c>
      <c r="I3350" s="473"/>
      <c r="J3350" s="473"/>
      <c r="K3350" s="478"/>
      <c r="L3350" s="473"/>
      <c r="M3350" s="473"/>
    </row>
    <row r="3351" spans="5:13">
      <c r="E3351" s="473"/>
      <c r="F3351" s="473">
        <v>1</v>
      </c>
      <c r="G3351" s="473"/>
      <c r="H3351" s="473" t="s">
        <v>2901</v>
      </c>
      <c r="I3351" s="473">
        <f>I2867</f>
        <v>254</v>
      </c>
      <c r="J3351" s="473" t="s">
        <v>1454</v>
      </c>
      <c r="K3351" s="478">
        <f>F3351*I3351</f>
        <v>254</v>
      </c>
      <c r="L3351" s="473"/>
      <c r="M3351" s="473"/>
    </row>
    <row r="3352" spans="5:13">
      <c r="E3352" s="473"/>
      <c r="F3352" s="473">
        <v>3</v>
      </c>
      <c r="G3352" s="473"/>
      <c r="H3352" s="473" t="s">
        <v>2711</v>
      </c>
      <c r="I3352" s="473">
        <f>I2868</f>
        <v>240</v>
      </c>
      <c r="J3352" s="473" t="s">
        <v>1454</v>
      </c>
      <c r="K3352" s="478">
        <f>F3352*I3352</f>
        <v>720</v>
      </c>
      <c r="L3352" s="473"/>
      <c r="M3352" s="473"/>
    </row>
    <row r="3353" spans="5:13">
      <c r="E3353" s="473"/>
      <c r="F3353" s="473">
        <v>1</v>
      </c>
      <c r="G3353" s="473"/>
      <c r="H3353" s="473" t="s">
        <v>2430</v>
      </c>
      <c r="I3353" s="473">
        <f>I2869</f>
        <v>181</v>
      </c>
      <c r="J3353" s="473" t="s">
        <v>1454</v>
      </c>
      <c r="K3353" s="478">
        <f>F3353*I3353</f>
        <v>181</v>
      </c>
      <c r="L3353" s="473"/>
      <c r="M3353" s="473"/>
    </row>
    <row r="3354" spans="5:13">
      <c r="E3354" s="473"/>
      <c r="F3354" s="473">
        <v>0.5</v>
      </c>
      <c r="G3354" s="473"/>
      <c r="H3354" s="473" t="s">
        <v>1039</v>
      </c>
      <c r="I3354" s="474">
        <v>291</v>
      </c>
      <c r="J3354" s="473" t="s">
        <v>1454</v>
      </c>
      <c r="K3354" s="478">
        <f>F3354*I3354</f>
        <v>145.5</v>
      </c>
      <c r="L3354" s="473"/>
      <c r="M3354" s="473"/>
    </row>
    <row r="3355" spans="5:13">
      <c r="E3355" s="473"/>
      <c r="F3355" s="473"/>
      <c r="G3355" s="473"/>
      <c r="H3355" s="478" t="s">
        <v>3377</v>
      </c>
      <c r="I3355" s="473"/>
      <c r="J3355" s="473"/>
      <c r="K3355" s="571">
        <f>SUM(K3351:K3354)</f>
        <v>1300.5</v>
      </c>
      <c r="L3355" s="473"/>
      <c r="M3355" s="473"/>
    </row>
    <row r="3356" spans="5:13">
      <c r="E3356" s="473"/>
      <c r="F3356" s="473"/>
      <c r="G3356" s="473"/>
      <c r="H3356" s="480" t="s">
        <v>3378</v>
      </c>
      <c r="I3356" s="481"/>
      <c r="J3356" s="481"/>
      <c r="K3356" s="480">
        <f>K3355/10</f>
        <v>130.05000000000001</v>
      </c>
      <c r="L3356" s="473"/>
      <c r="M3356" s="473"/>
    </row>
    <row r="3357" spans="5:13">
      <c r="E3357" s="473"/>
      <c r="F3357" s="473"/>
      <c r="G3357" s="473"/>
      <c r="H3357" s="473"/>
      <c r="I3357" s="473"/>
      <c r="J3357" s="473"/>
      <c r="K3357" s="478"/>
      <c r="L3357" s="473"/>
      <c r="M3357" s="473"/>
    </row>
    <row r="3358" spans="5:13">
      <c r="E3358" s="473"/>
      <c r="F3358" s="473"/>
      <c r="G3358" s="473"/>
      <c r="H3358" s="481" t="s">
        <v>3379</v>
      </c>
      <c r="I3358" s="473"/>
      <c r="J3358" s="473"/>
      <c r="K3358" s="478"/>
      <c r="L3358" s="473"/>
      <c r="M3358" s="473"/>
    </row>
    <row r="3359" spans="5:13">
      <c r="E3359" s="473"/>
      <c r="F3359" s="473"/>
      <c r="G3359" s="473"/>
      <c r="H3359" s="481" t="s">
        <v>3380</v>
      </c>
      <c r="I3359" s="473"/>
      <c r="J3359" s="473"/>
      <c r="K3359" s="478"/>
      <c r="L3359" s="473"/>
      <c r="M3359" s="473"/>
    </row>
    <row r="3360" spans="5:13">
      <c r="E3360" s="473"/>
      <c r="F3360" s="473"/>
      <c r="G3360" s="473"/>
      <c r="H3360" s="473"/>
      <c r="I3360" s="473"/>
      <c r="J3360" s="473"/>
      <c r="K3360" s="478"/>
      <c r="L3360" s="473"/>
      <c r="M3360" s="473"/>
    </row>
    <row r="3361" spans="5:13" ht="103.5" customHeight="1">
      <c r="E3361" s="473"/>
      <c r="F3361" s="473"/>
      <c r="G3361" s="473"/>
      <c r="H3361" s="472" t="s">
        <v>2310</v>
      </c>
      <c r="I3361" s="473"/>
      <c r="J3361" s="473"/>
      <c r="K3361" s="478"/>
      <c r="L3361" s="473"/>
      <c r="M3361" s="473"/>
    </row>
    <row r="3362" spans="5:13">
      <c r="E3362" s="473"/>
      <c r="F3362" s="473"/>
      <c r="G3362" s="473"/>
      <c r="H3362" s="473"/>
      <c r="I3362" s="473"/>
      <c r="J3362" s="473"/>
      <c r="K3362" s="478"/>
      <c r="L3362" s="473"/>
      <c r="M3362" s="473"/>
    </row>
    <row r="3363" spans="5:13">
      <c r="E3363" s="473"/>
      <c r="F3363" s="473">
        <v>1</v>
      </c>
      <c r="G3363" s="473" t="s">
        <v>1454</v>
      </c>
      <c r="H3363" s="473" t="s">
        <v>3412</v>
      </c>
      <c r="I3363" s="473">
        <f>K3368</f>
        <v>88.63</v>
      </c>
      <c r="J3363" s="473" t="s">
        <v>1458</v>
      </c>
      <c r="K3363" s="478">
        <f>F3363*I3363</f>
        <v>88.63</v>
      </c>
      <c r="L3363" s="473"/>
      <c r="M3363" s="473"/>
    </row>
    <row r="3364" spans="5:13" ht="51" customHeight="1">
      <c r="E3364" s="473"/>
      <c r="F3364" s="473" t="s">
        <v>667</v>
      </c>
      <c r="G3364" s="473" t="s">
        <v>667</v>
      </c>
      <c r="H3364" s="472" t="s">
        <v>3413</v>
      </c>
      <c r="I3364" s="473" t="s">
        <v>667</v>
      </c>
      <c r="J3364" s="473" t="s">
        <v>667</v>
      </c>
      <c r="K3364" s="478">
        <v>37.97</v>
      </c>
      <c r="L3364" s="473">
        <f>39-0.92</f>
        <v>38.08</v>
      </c>
      <c r="M3364" s="473"/>
    </row>
    <row r="3365" spans="5:13">
      <c r="E3365" s="473"/>
      <c r="F3365" s="473"/>
      <c r="G3365" s="473"/>
      <c r="H3365" s="473" t="s">
        <v>144</v>
      </c>
      <c r="I3365" s="473"/>
      <c r="J3365" s="473"/>
      <c r="K3365" s="478">
        <f>K3340</f>
        <v>97.4</v>
      </c>
      <c r="L3365" s="473"/>
      <c r="M3365" s="473"/>
    </row>
    <row r="3366" spans="5:13">
      <c r="E3366" s="473"/>
      <c r="F3366" s="473"/>
      <c r="G3366" s="473"/>
      <c r="H3366" s="480" t="s">
        <v>1100</v>
      </c>
      <c r="I3366" s="473"/>
      <c r="J3366" s="473"/>
      <c r="K3366" s="480">
        <f>SUM(K3363:K3365)</f>
        <v>224</v>
      </c>
      <c r="L3366" s="473">
        <f>158-K3366</f>
        <v>-66</v>
      </c>
      <c r="M3366" s="473"/>
    </row>
    <row r="3367" spans="5:13">
      <c r="E3367" s="473"/>
      <c r="F3367" s="473"/>
      <c r="G3367" s="473"/>
      <c r="H3367" s="473"/>
      <c r="I3367" s="473"/>
      <c r="J3367" s="473"/>
      <c r="K3367" s="480"/>
      <c r="L3367" s="473"/>
      <c r="M3367" s="473"/>
    </row>
    <row r="3368" spans="5:13">
      <c r="E3368" s="473"/>
      <c r="F3368" s="473"/>
      <c r="G3368" s="473"/>
      <c r="H3368" s="481" t="s">
        <v>3412</v>
      </c>
      <c r="I3368" s="473">
        <f>I3335</f>
        <v>73860</v>
      </c>
      <c r="J3368" s="487">
        <f>0.0012</f>
        <v>1.1999999999999999E-3</v>
      </c>
      <c r="K3368" s="480">
        <f>I3368*J3368</f>
        <v>88.63</v>
      </c>
      <c r="L3368" s="473"/>
      <c r="M3368" s="473"/>
    </row>
    <row r="3369" spans="5:13">
      <c r="E3369" s="473"/>
      <c r="F3369" s="473"/>
      <c r="G3369" s="473"/>
      <c r="H3369" s="473"/>
      <c r="I3369" s="473"/>
      <c r="J3369" s="473"/>
      <c r="K3369" s="478"/>
      <c r="L3369" s="473"/>
      <c r="M3369" s="473"/>
    </row>
    <row r="3370" spans="5:13">
      <c r="E3370" s="473"/>
      <c r="F3370" s="473"/>
      <c r="G3370" s="473"/>
      <c r="H3370" s="481" t="s">
        <v>2786</v>
      </c>
      <c r="I3370" s="473"/>
      <c r="J3370" s="473"/>
      <c r="K3370" s="478"/>
      <c r="L3370" s="473"/>
      <c r="M3370" s="473"/>
    </row>
    <row r="3371" spans="5:13">
      <c r="E3371" s="473"/>
      <c r="F3371" s="473"/>
      <c r="G3371" s="473"/>
      <c r="H3371" s="473"/>
      <c r="I3371" s="473"/>
      <c r="J3371" s="473"/>
      <c r="K3371" s="478"/>
      <c r="L3371" s="473"/>
      <c r="M3371" s="473"/>
    </row>
    <row r="3372" spans="5:13">
      <c r="E3372" s="473"/>
      <c r="F3372" s="473"/>
      <c r="G3372" s="473"/>
      <c r="H3372" s="481" t="s">
        <v>2656</v>
      </c>
      <c r="I3372" s="473"/>
      <c r="J3372" s="473"/>
      <c r="K3372" s="478"/>
      <c r="L3372" s="473"/>
      <c r="M3372" s="473"/>
    </row>
    <row r="3373" spans="5:13">
      <c r="E3373" s="473"/>
      <c r="F3373" s="473"/>
      <c r="G3373" s="473"/>
      <c r="H3373" s="473"/>
      <c r="I3373" s="473"/>
      <c r="J3373" s="473"/>
      <c r="K3373" s="478"/>
      <c r="L3373" s="473"/>
      <c r="M3373" s="473"/>
    </row>
    <row r="3374" spans="5:13" ht="102" customHeight="1">
      <c r="E3374" s="473"/>
      <c r="F3374" s="473"/>
      <c r="G3374" s="473"/>
      <c r="H3374" s="472" t="s">
        <v>2311</v>
      </c>
      <c r="I3374" s="473"/>
      <c r="J3374" s="473"/>
      <c r="K3374" s="478"/>
      <c r="L3374" s="473"/>
      <c r="M3374" s="473"/>
    </row>
    <row r="3375" spans="5:13">
      <c r="E3375" s="473"/>
      <c r="F3375" s="473"/>
      <c r="G3375" s="473"/>
      <c r="H3375" s="473"/>
      <c r="I3375" s="473"/>
      <c r="J3375" s="473"/>
      <c r="K3375" s="478"/>
      <c r="L3375" s="473"/>
      <c r="M3375" s="473"/>
    </row>
    <row r="3376" spans="5:13">
      <c r="E3376" s="473"/>
      <c r="F3376" s="473">
        <v>1</v>
      </c>
      <c r="G3376" s="473" t="s">
        <v>1454</v>
      </c>
      <c r="H3376" s="473" t="s">
        <v>3375</v>
      </c>
      <c r="I3376" s="473">
        <f>I3345</f>
        <v>315</v>
      </c>
      <c r="J3376" s="473" t="s">
        <v>1454</v>
      </c>
      <c r="K3376" s="478">
        <f>F3376*I3376</f>
        <v>315</v>
      </c>
      <c r="L3376" s="473"/>
      <c r="M3376" s="473"/>
    </row>
    <row r="3377" spans="5:13" ht="47.25">
      <c r="E3377" s="473"/>
      <c r="F3377" s="473"/>
      <c r="G3377" s="473"/>
      <c r="H3377" s="472" t="s">
        <v>3376</v>
      </c>
      <c r="I3377" s="473"/>
      <c r="J3377" s="473"/>
      <c r="K3377" s="478">
        <v>32.950000000000003</v>
      </c>
      <c r="L3377" s="473"/>
      <c r="M3377" s="473"/>
    </row>
    <row r="3378" spans="5:13">
      <c r="E3378" s="473"/>
      <c r="F3378" s="473"/>
      <c r="G3378" s="473"/>
      <c r="H3378" s="473" t="s">
        <v>931</v>
      </c>
      <c r="I3378" s="473"/>
      <c r="J3378" s="473"/>
      <c r="K3378" s="478">
        <f>K3356</f>
        <v>130.05000000000001</v>
      </c>
      <c r="L3378" s="473"/>
      <c r="M3378" s="473"/>
    </row>
    <row r="3379" spans="5:13">
      <c r="E3379" s="473"/>
      <c r="F3379" s="473"/>
      <c r="G3379" s="473"/>
      <c r="H3379" s="480" t="s">
        <v>1100</v>
      </c>
      <c r="I3379" s="473"/>
      <c r="J3379" s="473"/>
      <c r="K3379" s="480">
        <f>SUM(K3376:K3378)</f>
        <v>478</v>
      </c>
      <c r="L3379" s="473"/>
      <c r="M3379" s="473"/>
    </row>
    <row r="3380" spans="5:13">
      <c r="E3380" s="473"/>
      <c r="F3380" s="473"/>
      <c r="G3380" s="473"/>
      <c r="H3380" s="473"/>
      <c r="I3380" s="473"/>
      <c r="J3380" s="473"/>
      <c r="K3380" s="478"/>
      <c r="L3380" s="473"/>
      <c r="M3380" s="473"/>
    </row>
    <row r="3381" spans="5:13">
      <c r="E3381" s="473"/>
      <c r="F3381" s="473"/>
      <c r="G3381" s="473"/>
      <c r="H3381" s="481" t="s">
        <v>2519</v>
      </c>
      <c r="I3381" s="473"/>
      <c r="J3381" s="473"/>
      <c r="K3381" s="478"/>
      <c r="L3381" s="473"/>
      <c r="M3381" s="473"/>
    </row>
    <row r="3382" spans="5:13">
      <c r="E3382" s="473"/>
      <c r="F3382" s="473"/>
      <c r="G3382" s="473"/>
      <c r="H3382" s="481" t="s">
        <v>2520</v>
      </c>
      <c r="I3382" s="473"/>
      <c r="J3382" s="473"/>
      <c r="K3382" s="478"/>
      <c r="L3382" s="473"/>
      <c r="M3382" s="473"/>
    </row>
    <row r="3383" spans="5:13">
      <c r="E3383" s="473"/>
      <c r="F3383" s="473"/>
      <c r="G3383" s="473"/>
      <c r="H3383" s="473"/>
      <c r="I3383" s="473"/>
      <c r="J3383" s="473"/>
      <c r="K3383" s="478"/>
      <c r="L3383" s="473"/>
      <c r="M3383" s="473"/>
    </row>
    <row r="3384" spans="5:13" ht="39" customHeight="1">
      <c r="E3384" s="473"/>
      <c r="F3384" s="473">
        <v>1</v>
      </c>
      <c r="G3384" s="473" t="s">
        <v>1454</v>
      </c>
      <c r="H3384" s="472" t="s">
        <v>2521</v>
      </c>
      <c r="I3384" s="474">
        <v>1660</v>
      </c>
      <c r="J3384" s="473" t="s">
        <v>1454</v>
      </c>
      <c r="K3384" s="480">
        <f>F3384*I3384</f>
        <v>1660</v>
      </c>
      <c r="L3384" s="473"/>
      <c r="M3384" s="473"/>
    </row>
    <row r="3385" spans="5:13">
      <c r="E3385" s="473"/>
      <c r="F3385" s="473"/>
      <c r="G3385" s="473"/>
      <c r="H3385" s="473"/>
      <c r="I3385" s="473"/>
      <c r="J3385" s="473"/>
      <c r="K3385" s="478"/>
      <c r="L3385" s="473"/>
      <c r="M3385" s="473"/>
    </row>
    <row r="3386" spans="5:13">
      <c r="E3386" s="473"/>
      <c r="F3386" s="473"/>
      <c r="G3386" s="473"/>
      <c r="H3386" s="481" t="s">
        <v>2522</v>
      </c>
      <c r="I3386" s="473"/>
      <c r="J3386" s="473"/>
      <c r="K3386" s="478"/>
      <c r="L3386" s="473"/>
      <c r="M3386" s="473"/>
    </row>
    <row r="3387" spans="5:13">
      <c r="E3387" s="473"/>
      <c r="F3387" s="473"/>
      <c r="G3387" s="473"/>
      <c r="H3387" s="481" t="s">
        <v>2507</v>
      </c>
      <c r="I3387" s="473"/>
      <c r="J3387" s="473"/>
      <c r="K3387" s="478"/>
      <c r="L3387" s="473"/>
      <c r="M3387" s="473"/>
    </row>
    <row r="3388" spans="5:13">
      <c r="E3388" s="473"/>
      <c r="F3388" s="473"/>
      <c r="G3388" s="473"/>
      <c r="H3388" s="473"/>
      <c r="I3388" s="473"/>
      <c r="J3388" s="473"/>
      <c r="K3388" s="478"/>
      <c r="L3388" s="473"/>
      <c r="M3388" s="473"/>
    </row>
    <row r="3389" spans="5:13" ht="36.75" customHeight="1">
      <c r="E3389" s="473"/>
      <c r="F3389" s="473">
        <v>1</v>
      </c>
      <c r="G3389" s="473" t="s">
        <v>1454</v>
      </c>
      <c r="H3389" s="472" t="s">
        <v>2993</v>
      </c>
      <c r="I3389" s="474">
        <v>2040</v>
      </c>
      <c r="J3389" s="473" t="s">
        <v>1454</v>
      </c>
      <c r="K3389" s="574">
        <f>F3389*I3389</f>
        <v>2040</v>
      </c>
      <c r="L3389" s="473"/>
      <c r="M3389" s="473"/>
    </row>
    <row r="3390" spans="5:13">
      <c r="E3390" s="473"/>
      <c r="F3390" s="473"/>
      <c r="G3390" s="473"/>
      <c r="H3390" s="473"/>
      <c r="I3390" s="473"/>
      <c r="J3390" s="473"/>
      <c r="K3390" s="478"/>
      <c r="L3390" s="473"/>
      <c r="M3390" s="473"/>
    </row>
    <row r="3391" spans="5:13">
      <c r="E3391" s="473"/>
      <c r="F3391" s="473"/>
      <c r="G3391" s="473"/>
      <c r="H3391" s="481" t="s">
        <v>2508</v>
      </c>
      <c r="I3391" s="473"/>
      <c r="J3391" s="473"/>
      <c r="K3391" s="478"/>
      <c r="L3391" s="473"/>
      <c r="M3391" s="473"/>
    </row>
    <row r="3392" spans="5:13">
      <c r="E3392" s="473"/>
      <c r="F3392" s="473"/>
      <c r="G3392" s="473"/>
      <c r="H3392" s="481" t="s">
        <v>2509</v>
      </c>
      <c r="I3392" s="473"/>
      <c r="J3392" s="473"/>
      <c r="K3392" s="478"/>
      <c r="L3392" s="473"/>
      <c r="M3392" s="473"/>
    </row>
    <row r="3393" spans="5:13">
      <c r="E3393" s="473"/>
      <c r="F3393" s="473"/>
      <c r="G3393" s="473"/>
      <c r="H3393" s="479" t="s">
        <v>2510</v>
      </c>
      <c r="I3393" s="473"/>
      <c r="J3393" s="473"/>
      <c r="K3393" s="478"/>
      <c r="L3393" s="473"/>
      <c r="M3393" s="473"/>
    </row>
    <row r="3394" spans="5:13">
      <c r="E3394" s="473"/>
      <c r="F3394" s="473"/>
      <c r="G3394" s="473"/>
      <c r="H3394" s="473"/>
      <c r="I3394" s="473"/>
      <c r="J3394" s="473"/>
      <c r="K3394" s="478"/>
      <c r="L3394" s="473"/>
      <c r="M3394" s="473"/>
    </row>
    <row r="3395" spans="5:13" ht="78.75">
      <c r="E3395" s="473"/>
      <c r="F3395" s="473"/>
      <c r="G3395" s="473"/>
      <c r="H3395" s="472" t="s">
        <v>2836</v>
      </c>
      <c r="I3395" s="473"/>
      <c r="J3395" s="473"/>
      <c r="K3395" s="478"/>
      <c r="L3395" s="473"/>
      <c r="M3395" s="473"/>
    </row>
    <row r="3396" spans="5:13">
      <c r="E3396" s="473"/>
      <c r="F3396" s="473">
        <v>1</v>
      </c>
      <c r="G3396" s="473" t="s">
        <v>1454</v>
      </c>
      <c r="H3396" s="473" t="s">
        <v>2837</v>
      </c>
      <c r="I3396" s="474">
        <v>89</v>
      </c>
      <c r="J3396" s="473" t="s">
        <v>1454</v>
      </c>
      <c r="K3396" s="478">
        <f>F3396*I3396</f>
        <v>89</v>
      </c>
      <c r="L3396" s="473"/>
      <c r="M3396" s="473"/>
    </row>
    <row r="3397" spans="5:13">
      <c r="E3397" s="473"/>
      <c r="F3397" s="473">
        <v>1</v>
      </c>
      <c r="G3397" s="473" t="s">
        <v>1454</v>
      </c>
      <c r="H3397" s="473" t="s">
        <v>2838</v>
      </c>
      <c r="I3397" s="473">
        <f>K3402</f>
        <v>22.16</v>
      </c>
      <c r="J3397" s="473" t="s">
        <v>1454</v>
      </c>
      <c r="K3397" s="478">
        <f>F3397*I3397</f>
        <v>22.16</v>
      </c>
      <c r="L3397" s="473"/>
      <c r="M3397" s="473"/>
    </row>
    <row r="3398" spans="5:13">
      <c r="E3398" s="473"/>
      <c r="F3398" s="473"/>
      <c r="G3398" s="473"/>
      <c r="H3398" s="473" t="s">
        <v>931</v>
      </c>
      <c r="I3398" s="473"/>
      <c r="J3398" s="473"/>
      <c r="K3398" s="478">
        <f>K3409</f>
        <v>129.63</v>
      </c>
      <c r="L3398" s="473"/>
      <c r="M3398" s="473"/>
    </row>
    <row r="3399" spans="5:13">
      <c r="E3399" s="473"/>
      <c r="F3399" s="473"/>
      <c r="G3399" s="473"/>
      <c r="H3399" s="473" t="s">
        <v>2839</v>
      </c>
      <c r="I3399" s="473" t="s">
        <v>667</v>
      </c>
      <c r="J3399" s="473"/>
      <c r="K3399" s="478">
        <f>2.67+0.54</f>
        <v>3.21</v>
      </c>
      <c r="L3399" s="473"/>
      <c r="M3399" s="473"/>
    </row>
    <row r="3400" spans="5:13">
      <c r="E3400" s="473"/>
      <c r="F3400" s="473"/>
      <c r="G3400" s="473"/>
      <c r="H3400" s="480" t="s">
        <v>1100</v>
      </c>
      <c r="I3400" s="473"/>
      <c r="J3400" s="473"/>
      <c r="K3400" s="480">
        <f>SUM(K3396:K3399)</f>
        <v>244</v>
      </c>
      <c r="L3400" s="473"/>
      <c r="M3400" s="473"/>
    </row>
    <row r="3401" spans="5:13">
      <c r="E3401" s="473"/>
      <c r="F3401" s="473"/>
      <c r="G3401" s="473"/>
      <c r="H3401" s="473"/>
      <c r="I3401" s="473"/>
      <c r="J3401" s="473"/>
      <c r="K3401" s="478"/>
      <c r="L3401" s="473"/>
      <c r="M3401" s="473"/>
    </row>
    <row r="3402" spans="5:13">
      <c r="E3402" s="473"/>
      <c r="F3402" s="473"/>
      <c r="G3402" s="473"/>
      <c r="H3402" s="481" t="s">
        <v>2840</v>
      </c>
      <c r="I3402" s="473">
        <f>I3368</f>
        <v>73860</v>
      </c>
      <c r="J3402" s="487">
        <v>2.9999999999999997E-4</v>
      </c>
      <c r="K3402" s="480">
        <f>I3402*J3402</f>
        <v>22.16</v>
      </c>
      <c r="L3402" s="473"/>
      <c r="M3402" s="473"/>
    </row>
    <row r="3403" spans="5:13">
      <c r="E3403" s="473"/>
      <c r="F3403" s="473"/>
      <c r="G3403" s="473"/>
      <c r="H3403" s="473"/>
      <c r="I3403" s="473"/>
      <c r="J3403" s="473"/>
      <c r="K3403" s="478"/>
      <c r="L3403" s="473"/>
      <c r="M3403" s="473"/>
    </row>
    <row r="3404" spans="5:13">
      <c r="E3404" s="473"/>
      <c r="F3404" s="473"/>
      <c r="G3404" s="473"/>
      <c r="H3404" s="479" t="s">
        <v>144</v>
      </c>
      <c r="I3404" s="473"/>
      <c r="J3404" s="473"/>
      <c r="K3404" s="478"/>
      <c r="L3404" s="473"/>
      <c r="M3404" s="473"/>
    </row>
    <row r="3405" spans="5:13">
      <c r="E3405" s="473"/>
      <c r="F3405" s="473">
        <v>1</v>
      </c>
      <c r="G3405" s="473" t="s">
        <v>1454</v>
      </c>
      <c r="H3405" s="473" t="s">
        <v>2901</v>
      </c>
      <c r="I3405" s="473">
        <f>I3351</f>
        <v>254</v>
      </c>
      <c r="J3405" s="473" t="s">
        <v>1454</v>
      </c>
      <c r="K3405" s="478">
        <f>F3405*I3405</f>
        <v>254</v>
      </c>
      <c r="L3405" s="473"/>
      <c r="M3405" s="473"/>
    </row>
    <row r="3406" spans="5:13">
      <c r="E3406" s="473"/>
      <c r="F3406" s="473">
        <v>1</v>
      </c>
      <c r="G3406" s="473" t="s">
        <v>1454</v>
      </c>
      <c r="H3406" s="473" t="s">
        <v>2711</v>
      </c>
      <c r="I3406" s="473">
        <f>I3352</f>
        <v>240</v>
      </c>
      <c r="J3406" s="473" t="s">
        <v>1454</v>
      </c>
      <c r="K3406" s="478">
        <f>F3406*I3406</f>
        <v>240</v>
      </c>
      <c r="L3406" s="473"/>
      <c r="M3406" s="473"/>
    </row>
    <row r="3407" spans="5:13">
      <c r="E3407" s="473"/>
      <c r="F3407" s="473">
        <v>3</v>
      </c>
      <c r="G3407" s="473" t="s">
        <v>1454</v>
      </c>
      <c r="H3407" s="473" t="s">
        <v>2430</v>
      </c>
      <c r="I3407" s="473">
        <f>I3353</f>
        <v>181</v>
      </c>
      <c r="J3407" s="473" t="s">
        <v>1454</v>
      </c>
      <c r="K3407" s="478">
        <f>F3407*I3407</f>
        <v>543</v>
      </c>
      <c r="L3407" s="473"/>
      <c r="M3407" s="473"/>
    </row>
    <row r="3408" spans="5:13">
      <c r="E3408" s="473"/>
      <c r="F3408" s="473"/>
      <c r="G3408" s="473"/>
      <c r="H3408" s="478" t="s">
        <v>2788</v>
      </c>
      <c r="I3408" s="473"/>
      <c r="J3408" s="473"/>
      <c r="K3408" s="478">
        <f>SUM(K3405:K3407)</f>
        <v>1037</v>
      </c>
      <c r="L3408" s="473"/>
      <c r="M3408" s="473"/>
    </row>
    <row r="3409" spans="5:13">
      <c r="E3409" s="473"/>
      <c r="F3409" s="473"/>
      <c r="G3409" s="473"/>
      <c r="H3409" s="480" t="s">
        <v>2929</v>
      </c>
      <c r="I3409" s="473"/>
      <c r="J3409" s="473"/>
      <c r="K3409" s="480">
        <f>K3408/8</f>
        <v>129.63</v>
      </c>
      <c r="L3409" s="473"/>
      <c r="M3409" s="473"/>
    </row>
    <row r="3410" spans="5:13">
      <c r="E3410" s="473"/>
      <c r="F3410" s="473"/>
      <c r="G3410" s="473"/>
      <c r="H3410" s="473"/>
      <c r="I3410" s="473"/>
      <c r="J3410" s="473"/>
      <c r="K3410" s="478"/>
      <c r="L3410" s="473"/>
      <c r="M3410" s="473"/>
    </row>
    <row r="3411" spans="5:13">
      <c r="E3411" s="473"/>
      <c r="F3411" s="473"/>
      <c r="G3411" s="473"/>
      <c r="H3411" s="481" t="s">
        <v>2789</v>
      </c>
      <c r="I3411" s="473"/>
      <c r="J3411" s="473"/>
      <c r="K3411" s="478"/>
      <c r="L3411" s="473"/>
      <c r="M3411" s="473"/>
    </row>
    <row r="3412" spans="5:13">
      <c r="E3412" s="473"/>
      <c r="F3412" s="473"/>
      <c r="G3412" s="473"/>
      <c r="H3412" s="481" t="s">
        <v>2790</v>
      </c>
      <c r="I3412" s="473"/>
      <c r="J3412" s="473"/>
      <c r="K3412" s="478"/>
      <c r="L3412" s="473"/>
      <c r="M3412" s="473"/>
    </row>
    <row r="3413" spans="5:13">
      <c r="E3413" s="473"/>
      <c r="F3413" s="473"/>
      <c r="G3413" s="473"/>
      <c r="H3413" s="473"/>
      <c r="I3413" s="473"/>
      <c r="J3413" s="473"/>
      <c r="K3413" s="478"/>
      <c r="L3413" s="473"/>
      <c r="M3413" s="473"/>
    </row>
    <row r="3414" spans="5:13" ht="78.75">
      <c r="E3414" s="473"/>
      <c r="F3414" s="473"/>
      <c r="G3414" s="473"/>
      <c r="H3414" s="472" t="s">
        <v>2796</v>
      </c>
      <c r="I3414" s="473"/>
      <c r="J3414" s="473"/>
      <c r="K3414" s="478"/>
      <c r="L3414" s="473"/>
      <c r="M3414" s="473"/>
    </row>
    <row r="3415" spans="5:13">
      <c r="E3415" s="473"/>
      <c r="F3415" s="473">
        <v>3</v>
      </c>
      <c r="G3415" s="473" t="s">
        <v>1454</v>
      </c>
      <c r="H3415" s="473" t="s">
        <v>2837</v>
      </c>
      <c r="I3415" s="473">
        <v>89</v>
      </c>
      <c r="J3415" s="473" t="s">
        <v>1458</v>
      </c>
      <c r="K3415" s="478">
        <f>F3415*I3415</f>
        <v>267</v>
      </c>
      <c r="L3415" s="473"/>
      <c r="M3415" s="473"/>
    </row>
    <row r="3416" spans="5:13">
      <c r="E3416" s="473"/>
      <c r="F3416" s="473">
        <v>1</v>
      </c>
      <c r="G3416" s="473" t="s">
        <v>1454</v>
      </c>
      <c r="H3416" s="473" t="s">
        <v>3367</v>
      </c>
      <c r="I3416" s="473">
        <f>K3421</f>
        <v>44.32</v>
      </c>
      <c r="J3416" s="473" t="s">
        <v>1454</v>
      </c>
      <c r="K3416" s="478">
        <f>F3416*I3416</f>
        <v>44.32</v>
      </c>
      <c r="L3416" s="473"/>
      <c r="M3416" s="473"/>
    </row>
    <row r="3417" spans="5:13">
      <c r="E3417" s="473"/>
      <c r="F3417" s="473"/>
      <c r="G3417" s="473"/>
      <c r="H3417" s="473" t="s">
        <v>931</v>
      </c>
      <c r="I3417" s="473"/>
      <c r="J3417" s="473"/>
      <c r="K3417" s="478">
        <f>K3428</f>
        <v>152.25</v>
      </c>
      <c r="L3417" s="473"/>
      <c r="M3417" s="473"/>
    </row>
    <row r="3418" spans="5:13">
      <c r="E3418" s="473"/>
      <c r="F3418" s="473"/>
      <c r="G3418" s="473"/>
      <c r="H3418" s="473" t="s">
        <v>2839</v>
      </c>
      <c r="I3418" s="473" t="s">
        <v>667</v>
      </c>
      <c r="J3418" s="473"/>
      <c r="K3418" s="478">
        <f>5.6+0.83</f>
        <v>6.43</v>
      </c>
      <c r="L3418" s="473"/>
      <c r="M3418" s="473"/>
    </row>
    <row r="3419" spans="5:13">
      <c r="E3419" s="473"/>
      <c r="F3419" s="473"/>
      <c r="G3419" s="473"/>
      <c r="H3419" s="480" t="s">
        <v>1100</v>
      </c>
      <c r="I3419" s="473"/>
      <c r="J3419" s="473"/>
      <c r="K3419" s="480">
        <f>SUM(K3415:K3418)</f>
        <v>470</v>
      </c>
      <c r="L3419" s="473"/>
      <c r="M3419" s="473"/>
    </row>
    <row r="3420" spans="5:13">
      <c r="E3420" s="473"/>
      <c r="F3420" s="473"/>
      <c r="G3420" s="473"/>
      <c r="H3420" s="480"/>
      <c r="I3420" s="473"/>
      <c r="J3420" s="473"/>
      <c r="K3420" s="480"/>
      <c r="L3420" s="473"/>
      <c r="M3420" s="473"/>
    </row>
    <row r="3421" spans="5:13">
      <c r="E3421" s="473"/>
      <c r="F3421" s="473"/>
      <c r="G3421" s="473"/>
      <c r="H3421" s="481" t="s">
        <v>3367</v>
      </c>
      <c r="I3421" s="473">
        <f>I3402</f>
        <v>73860</v>
      </c>
      <c r="J3421" s="487">
        <v>5.9999999999999995E-4</v>
      </c>
      <c r="K3421" s="480">
        <f>I3421*J3421</f>
        <v>44.32</v>
      </c>
      <c r="L3421" s="473"/>
      <c r="M3421" s="473"/>
    </row>
    <row r="3422" spans="5:13">
      <c r="E3422" s="473"/>
      <c r="F3422" s="473"/>
      <c r="G3422" s="473"/>
      <c r="H3422" s="480"/>
      <c r="I3422" s="473"/>
      <c r="J3422" s="473"/>
      <c r="K3422" s="478"/>
      <c r="L3422" s="473"/>
      <c r="M3422" s="473"/>
    </row>
    <row r="3423" spans="5:13">
      <c r="E3423" s="473"/>
      <c r="F3423" s="473"/>
      <c r="G3423" s="473"/>
      <c r="H3423" s="479" t="s">
        <v>144</v>
      </c>
      <c r="I3423" s="473"/>
      <c r="J3423" s="473"/>
      <c r="K3423" s="478"/>
      <c r="L3423" s="473"/>
      <c r="M3423" s="473"/>
    </row>
    <row r="3424" spans="5:13">
      <c r="E3424" s="473"/>
      <c r="F3424" s="473">
        <v>1</v>
      </c>
      <c r="G3424" s="473" t="s">
        <v>1454</v>
      </c>
      <c r="H3424" s="473" t="s">
        <v>2901</v>
      </c>
      <c r="I3424" s="473">
        <f>I3405</f>
        <v>254</v>
      </c>
      <c r="J3424" s="473" t="s">
        <v>1454</v>
      </c>
      <c r="K3424" s="478">
        <f>F3424*I3424</f>
        <v>254</v>
      </c>
      <c r="L3424" s="473"/>
      <c r="M3424" s="473"/>
    </row>
    <row r="3425" spans="5:13">
      <c r="E3425" s="473"/>
      <c r="F3425" s="473">
        <v>1</v>
      </c>
      <c r="G3425" s="473" t="s">
        <v>1454</v>
      </c>
      <c r="H3425" s="473" t="s">
        <v>2711</v>
      </c>
      <c r="I3425" s="473">
        <f>I3406</f>
        <v>240</v>
      </c>
      <c r="J3425" s="473" t="s">
        <v>1454</v>
      </c>
      <c r="K3425" s="478">
        <f>F3425*I3425</f>
        <v>240</v>
      </c>
      <c r="L3425" s="473"/>
      <c r="M3425" s="473"/>
    </row>
    <row r="3426" spans="5:13">
      <c r="E3426" s="473"/>
      <c r="F3426" s="473">
        <v>4</v>
      </c>
      <c r="G3426" s="473" t="s">
        <v>1454</v>
      </c>
      <c r="H3426" s="473" t="s">
        <v>2430</v>
      </c>
      <c r="I3426" s="473">
        <f>I3407</f>
        <v>181</v>
      </c>
      <c r="J3426" s="473" t="s">
        <v>1454</v>
      </c>
      <c r="K3426" s="478">
        <f>F3426*I3426</f>
        <v>724</v>
      </c>
      <c r="L3426" s="473"/>
      <c r="M3426" s="473"/>
    </row>
    <row r="3427" spans="5:13">
      <c r="E3427" s="473"/>
      <c r="F3427" s="473"/>
      <c r="G3427" s="473"/>
      <c r="H3427" s="478" t="s">
        <v>2788</v>
      </c>
      <c r="I3427" s="473"/>
      <c r="J3427" s="473"/>
      <c r="K3427" s="478">
        <f>SUM(K3424:K3426)</f>
        <v>1218</v>
      </c>
      <c r="L3427" s="473"/>
      <c r="M3427" s="473"/>
    </row>
    <row r="3428" spans="5:13">
      <c r="E3428" s="473"/>
      <c r="F3428" s="473"/>
      <c r="G3428" s="473"/>
      <c r="H3428" s="480" t="s">
        <v>3042</v>
      </c>
      <c r="I3428" s="473"/>
      <c r="J3428" s="473"/>
      <c r="K3428" s="480">
        <f>K3427/8</f>
        <v>152.25</v>
      </c>
      <c r="L3428" s="473"/>
      <c r="M3428" s="473"/>
    </row>
    <row r="3429" spans="5:13">
      <c r="E3429" s="473"/>
      <c r="F3429" s="473"/>
      <c r="G3429" s="473"/>
      <c r="H3429" s="473"/>
      <c r="I3429" s="473"/>
      <c r="J3429" s="473"/>
      <c r="K3429" s="478"/>
      <c r="L3429" s="473"/>
      <c r="M3429" s="473"/>
    </row>
    <row r="3430" spans="5:13">
      <c r="E3430" s="473"/>
      <c r="F3430" s="473"/>
      <c r="G3430" s="473"/>
      <c r="H3430" s="481" t="s">
        <v>2797</v>
      </c>
      <c r="I3430" s="473"/>
      <c r="J3430" s="473"/>
      <c r="K3430" s="478"/>
      <c r="L3430" s="473"/>
      <c r="M3430" s="473"/>
    </row>
    <row r="3431" spans="5:13">
      <c r="E3431" s="473"/>
      <c r="F3431" s="473"/>
      <c r="G3431" s="473"/>
      <c r="H3431" s="473"/>
      <c r="I3431" s="473"/>
      <c r="J3431" s="473"/>
      <c r="K3431" s="478"/>
      <c r="L3431" s="473"/>
      <c r="M3431" s="473"/>
    </row>
    <row r="3432" spans="5:13">
      <c r="E3432" s="473"/>
      <c r="F3432" s="473"/>
      <c r="G3432" s="473"/>
      <c r="H3432" s="481" t="s">
        <v>2798</v>
      </c>
      <c r="I3432" s="473"/>
      <c r="J3432" s="473"/>
      <c r="K3432" s="478"/>
      <c r="L3432" s="473"/>
      <c r="M3432" s="473"/>
    </row>
    <row r="3433" spans="5:13">
      <c r="E3433" s="473"/>
      <c r="F3433" s="473"/>
      <c r="G3433" s="473"/>
      <c r="H3433" s="473"/>
      <c r="I3433" s="473"/>
      <c r="J3433" s="473"/>
      <c r="K3433" s="478"/>
      <c r="L3433" s="473"/>
      <c r="M3433" s="473"/>
    </row>
    <row r="3434" spans="5:13" ht="78.75">
      <c r="E3434" s="473"/>
      <c r="F3434" s="473"/>
      <c r="G3434" s="473"/>
      <c r="H3434" s="472" t="s">
        <v>2312</v>
      </c>
      <c r="I3434" s="473"/>
      <c r="J3434" s="473"/>
      <c r="K3434" s="478"/>
      <c r="L3434" s="473"/>
      <c r="M3434" s="473"/>
    </row>
    <row r="3435" spans="5:13">
      <c r="E3435" s="473"/>
      <c r="F3435" s="473"/>
      <c r="G3435" s="473"/>
      <c r="H3435" s="473"/>
      <c r="I3435" s="473"/>
      <c r="J3435" s="473"/>
      <c r="K3435" s="478"/>
      <c r="L3435" s="473"/>
      <c r="M3435" s="473"/>
    </row>
    <row r="3436" spans="5:13">
      <c r="E3436" s="473"/>
      <c r="F3436" s="473">
        <v>1</v>
      </c>
      <c r="G3436" s="473" t="s">
        <v>1454</v>
      </c>
      <c r="H3436" s="473" t="s">
        <v>2470</v>
      </c>
      <c r="I3436" s="473">
        <v>46</v>
      </c>
      <c r="J3436" s="473" t="s">
        <v>1454</v>
      </c>
      <c r="K3436" s="478">
        <f>F3436*I3436</f>
        <v>46</v>
      </c>
      <c r="L3436" s="473"/>
      <c r="M3436" s="473"/>
    </row>
    <row r="3437" spans="5:13">
      <c r="E3437" s="473"/>
      <c r="F3437" s="473">
        <v>1</v>
      </c>
      <c r="G3437" s="473" t="s">
        <v>1454</v>
      </c>
      <c r="H3437" s="472" t="s">
        <v>2471</v>
      </c>
      <c r="I3437" s="473">
        <f>K3443</f>
        <v>166.19</v>
      </c>
      <c r="J3437" s="473" t="s">
        <v>1454</v>
      </c>
      <c r="K3437" s="478">
        <f>F3437*I3437</f>
        <v>166.19</v>
      </c>
      <c r="L3437" s="473"/>
      <c r="M3437" s="473"/>
    </row>
    <row r="3438" spans="5:13">
      <c r="E3438" s="473"/>
      <c r="F3438" s="473">
        <v>1</v>
      </c>
      <c r="G3438" s="473" t="s">
        <v>1454</v>
      </c>
      <c r="H3438" s="473" t="s">
        <v>2472</v>
      </c>
      <c r="I3438" s="473">
        <v>25</v>
      </c>
      <c r="J3438" s="473" t="s">
        <v>2473</v>
      </c>
      <c r="K3438" s="478">
        <f>F3438*I3438</f>
        <v>25</v>
      </c>
      <c r="L3438" s="473"/>
      <c r="M3438" s="473"/>
    </row>
    <row r="3439" spans="5:13">
      <c r="E3439" s="473"/>
      <c r="F3439" s="473"/>
      <c r="G3439" s="473"/>
      <c r="H3439" s="473" t="s">
        <v>144</v>
      </c>
      <c r="I3439" s="473"/>
      <c r="J3439" s="473"/>
      <c r="K3439" s="478">
        <f>K3449</f>
        <v>154</v>
      </c>
      <c r="L3439" s="473"/>
      <c r="M3439" s="473"/>
    </row>
    <row r="3440" spans="5:13">
      <c r="E3440" s="473"/>
      <c r="F3440" s="473"/>
      <c r="G3440" s="473"/>
      <c r="H3440" s="473" t="s">
        <v>2474</v>
      </c>
      <c r="I3440" s="473"/>
      <c r="J3440" s="473"/>
      <c r="K3440" s="478">
        <v>4.8099999999999996</v>
      </c>
      <c r="L3440" s="473"/>
      <c r="M3440" s="473"/>
    </row>
    <row r="3441" spans="5:13">
      <c r="E3441" s="473"/>
      <c r="F3441" s="473"/>
      <c r="G3441" s="473"/>
      <c r="H3441" s="480" t="s">
        <v>2475</v>
      </c>
      <c r="I3441" s="473"/>
      <c r="J3441" s="473"/>
      <c r="K3441" s="480">
        <f>SUM(K3436:K3440)</f>
        <v>396</v>
      </c>
      <c r="L3441" s="473"/>
      <c r="M3441" s="473"/>
    </row>
    <row r="3442" spans="5:13">
      <c r="E3442" s="473"/>
      <c r="F3442" s="473"/>
      <c r="G3442" s="473"/>
      <c r="H3442" s="473"/>
      <c r="I3442" s="473"/>
      <c r="J3442" s="473"/>
      <c r="K3442" s="478"/>
      <c r="L3442" s="473"/>
      <c r="M3442" s="473"/>
    </row>
    <row r="3443" spans="5:13">
      <c r="E3443" s="473"/>
      <c r="F3443" s="473"/>
      <c r="G3443" s="473"/>
      <c r="H3443" s="481" t="s">
        <v>2476</v>
      </c>
      <c r="I3443" s="473">
        <f>I3421</f>
        <v>73860</v>
      </c>
      <c r="J3443" s="494">
        <v>2.2499999999999998E-3</v>
      </c>
      <c r="K3443" s="478">
        <f>I3443*J3443</f>
        <v>166.19</v>
      </c>
      <c r="L3443" s="473"/>
      <c r="M3443" s="473"/>
    </row>
    <row r="3444" spans="5:13">
      <c r="E3444" s="473"/>
      <c r="F3444" s="473"/>
      <c r="G3444" s="473"/>
      <c r="H3444" s="473"/>
      <c r="I3444" s="473"/>
      <c r="J3444" s="473"/>
      <c r="K3444" s="478"/>
      <c r="L3444" s="473"/>
      <c r="M3444" s="473"/>
    </row>
    <row r="3445" spans="5:13">
      <c r="E3445" s="473"/>
      <c r="F3445" s="473"/>
      <c r="G3445" s="473"/>
      <c r="H3445" s="473" t="s">
        <v>931</v>
      </c>
      <c r="I3445" s="473"/>
      <c r="J3445" s="473"/>
      <c r="K3445" s="478"/>
      <c r="L3445" s="473"/>
      <c r="M3445" s="473"/>
    </row>
    <row r="3446" spans="5:13">
      <c r="E3446" s="473"/>
      <c r="F3446" s="473">
        <v>1</v>
      </c>
      <c r="G3446" s="473" t="s">
        <v>1454</v>
      </c>
      <c r="H3446" s="473" t="s">
        <v>2901</v>
      </c>
      <c r="I3446" s="246">
        <f>I3424</f>
        <v>254</v>
      </c>
      <c r="J3446" s="473" t="s">
        <v>1454</v>
      </c>
      <c r="K3446" s="478">
        <f>F3446*I3446</f>
        <v>254</v>
      </c>
      <c r="L3446" s="473"/>
      <c r="M3446" s="473"/>
    </row>
    <row r="3447" spans="5:13">
      <c r="E3447" s="473"/>
      <c r="F3447" s="473">
        <v>2</v>
      </c>
      <c r="G3447" s="473" t="s">
        <v>1454</v>
      </c>
      <c r="H3447" s="473" t="s">
        <v>2712</v>
      </c>
      <c r="I3447" s="246">
        <f>I3426</f>
        <v>181</v>
      </c>
      <c r="J3447" s="473" t="s">
        <v>1454</v>
      </c>
      <c r="K3447" s="478">
        <f>F3447*I3447</f>
        <v>362</v>
      </c>
      <c r="L3447" s="473"/>
      <c r="M3447" s="473"/>
    </row>
    <row r="3448" spans="5:13">
      <c r="E3448" s="473"/>
      <c r="F3448" s="473"/>
      <c r="G3448" s="473"/>
      <c r="H3448" s="478" t="s">
        <v>2902</v>
      </c>
      <c r="I3448" s="473"/>
      <c r="J3448" s="473"/>
      <c r="K3448" s="478">
        <f>SUM(K3446:K3447)</f>
        <v>616</v>
      </c>
      <c r="L3448" s="473"/>
      <c r="M3448" s="473"/>
    </row>
    <row r="3449" spans="5:13">
      <c r="E3449" s="473"/>
      <c r="F3449" s="473"/>
      <c r="G3449" s="473"/>
      <c r="H3449" s="480" t="s">
        <v>2929</v>
      </c>
      <c r="I3449" s="473"/>
      <c r="J3449" s="473"/>
      <c r="K3449" s="480">
        <f>K3448/4</f>
        <v>154</v>
      </c>
      <c r="L3449" s="473"/>
      <c r="M3449" s="473"/>
    </row>
    <row r="3450" spans="5:13">
      <c r="E3450" s="473"/>
      <c r="F3450" s="473"/>
      <c r="G3450" s="473"/>
      <c r="H3450" s="473"/>
      <c r="I3450" s="473"/>
      <c r="J3450" s="473"/>
      <c r="K3450" s="478"/>
      <c r="L3450" s="473"/>
      <c r="M3450" s="473"/>
    </row>
    <row r="3451" spans="5:13">
      <c r="E3451" s="473"/>
      <c r="F3451" s="473"/>
      <c r="G3451" s="473"/>
      <c r="H3451" s="481" t="s">
        <v>2477</v>
      </c>
      <c r="I3451" s="473"/>
      <c r="J3451" s="473"/>
      <c r="K3451" s="478"/>
      <c r="L3451" s="473"/>
      <c r="M3451" s="473"/>
    </row>
    <row r="3452" spans="5:13">
      <c r="E3452" s="473"/>
      <c r="F3452" s="473"/>
      <c r="G3452" s="473"/>
      <c r="H3452" s="481" t="s">
        <v>2478</v>
      </c>
      <c r="I3452" s="473"/>
      <c r="J3452" s="473"/>
      <c r="K3452" s="478"/>
      <c r="L3452" s="473"/>
      <c r="M3452" s="473"/>
    </row>
    <row r="3453" spans="5:13">
      <c r="E3453" s="473"/>
      <c r="F3453" s="473"/>
      <c r="G3453" s="473"/>
      <c r="H3453" s="473" t="s">
        <v>995</v>
      </c>
      <c r="I3453" s="473"/>
      <c r="J3453" s="473"/>
      <c r="K3453" s="478"/>
      <c r="L3453" s="473"/>
      <c r="M3453" s="473"/>
    </row>
    <row r="3454" spans="5:13">
      <c r="E3454" s="473"/>
      <c r="F3454" s="473">
        <v>1</v>
      </c>
      <c r="G3454" s="473" t="s">
        <v>1454</v>
      </c>
      <c r="H3454" s="473" t="s">
        <v>2615</v>
      </c>
      <c r="I3454" s="473">
        <v>1660</v>
      </c>
      <c r="J3454" s="473" t="s">
        <v>1454</v>
      </c>
      <c r="K3454" s="478">
        <f>F3454*I3454</f>
        <v>1660</v>
      </c>
      <c r="L3454" s="473"/>
      <c r="M3454" s="473"/>
    </row>
    <row r="3455" spans="5:13">
      <c r="E3455" s="473"/>
      <c r="F3455" s="473">
        <v>3</v>
      </c>
      <c r="G3455" s="473" t="s">
        <v>1454</v>
      </c>
      <c r="H3455" s="473" t="s">
        <v>2616</v>
      </c>
      <c r="I3455" s="475">
        <v>141</v>
      </c>
      <c r="J3455" s="473" t="s">
        <v>1454</v>
      </c>
      <c r="K3455" s="478">
        <f>F3455*I3455</f>
        <v>423</v>
      </c>
      <c r="L3455" s="473"/>
      <c r="M3455" s="473"/>
    </row>
    <row r="3456" spans="5:13">
      <c r="E3456" s="473"/>
      <c r="F3456" s="473"/>
      <c r="G3456" s="473"/>
      <c r="H3456" s="473" t="s">
        <v>2617</v>
      </c>
      <c r="I3456" s="473"/>
      <c r="J3456" s="473"/>
      <c r="K3456" s="478">
        <f>K3348</f>
        <v>464</v>
      </c>
      <c r="L3456" s="473"/>
      <c r="M3456" s="473"/>
    </row>
    <row r="3457" spans="5:13">
      <c r="E3457" s="473"/>
      <c r="F3457" s="473"/>
      <c r="G3457" s="473"/>
      <c r="H3457" s="473" t="s">
        <v>2359</v>
      </c>
      <c r="I3457" s="473"/>
      <c r="J3457" s="473"/>
      <c r="K3457" s="478">
        <v>0</v>
      </c>
      <c r="L3457" s="473"/>
      <c r="M3457" s="473"/>
    </row>
    <row r="3458" spans="5:13">
      <c r="E3458" s="473"/>
      <c r="F3458" s="473"/>
      <c r="G3458" s="473"/>
      <c r="H3458" s="480" t="s">
        <v>2618</v>
      </c>
      <c r="I3458" s="473"/>
      <c r="J3458" s="473"/>
      <c r="K3458" s="480">
        <f>SUM(K3454:K3457)</f>
        <v>2547</v>
      </c>
      <c r="L3458" s="473"/>
      <c r="M3458" s="473"/>
    </row>
    <row r="3459" spans="5:13">
      <c r="E3459" s="473"/>
      <c r="F3459" s="473"/>
      <c r="G3459" s="473"/>
      <c r="H3459" s="473"/>
      <c r="I3459" s="473"/>
      <c r="J3459" s="473"/>
      <c r="K3459" s="478"/>
      <c r="L3459" s="473"/>
      <c r="M3459" s="473"/>
    </row>
    <row r="3460" spans="5:13">
      <c r="E3460" s="473"/>
      <c r="F3460" s="473"/>
      <c r="G3460" s="473"/>
      <c r="H3460" s="481" t="s">
        <v>2477</v>
      </c>
      <c r="I3460" s="473"/>
      <c r="J3460" s="473"/>
      <c r="K3460" s="478"/>
      <c r="L3460" s="473"/>
      <c r="M3460" s="473"/>
    </row>
    <row r="3461" spans="5:13">
      <c r="E3461" s="473"/>
      <c r="F3461" s="473"/>
      <c r="G3461" s="473"/>
      <c r="H3461" s="473"/>
      <c r="I3461" s="473"/>
      <c r="J3461" s="473"/>
      <c r="K3461" s="478"/>
      <c r="L3461" s="473"/>
      <c r="M3461" s="473"/>
    </row>
    <row r="3462" spans="5:13">
      <c r="E3462" s="473"/>
      <c r="F3462" s="473"/>
      <c r="G3462" s="473"/>
      <c r="H3462" s="481" t="s">
        <v>2619</v>
      </c>
      <c r="I3462" s="473"/>
      <c r="J3462" s="473"/>
      <c r="K3462" s="478"/>
      <c r="L3462" s="473"/>
      <c r="M3462" s="473"/>
    </row>
    <row r="3463" spans="5:13">
      <c r="E3463" s="473"/>
      <c r="F3463" s="473"/>
      <c r="G3463" s="473"/>
      <c r="H3463" s="473"/>
      <c r="I3463" s="473"/>
      <c r="J3463" s="473"/>
      <c r="K3463" s="478"/>
      <c r="L3463" s="473"/>
      <c r="M3463" s="473"/>
    </row>
    <row r="3464" spans="5:13">
      <c r="E3464" s="473"/>
      <c r="F3464" s="473">
        <v>1</v>
      </c>
      <c r="G3464" s="473" t="s">
        <v>1454</v>
      </c>
      <c r="H3464" s="473" t="s">
        <v>2620</v>
      </c>
      <c r="I3464" s="473">
        <f>K3389</f>
        <v>2040</v>
      </c>
      <c r="J3464" s="473" t="s">
        <v>1454</v>
      </c>
      <c r="K3464" s="478">
        <f>F3464*I3464</f>
        <v>2040</v>
      </c>
      <c r="L3464" s="473"/>
      <c r="M3464" s="473"/>
    </row>
    <row r="3465" spans="5:13">
      <c r="E3465" s="473"/>
      <c r="F3465" s="473">
        <v>3</v>
      </c>
      <c r="G3465" s="473" t="s">
        <v>1454</v>
      </c>
      <c r="H3465" s="473" t="s">
        <v>2616</v>
      </c>
      <c r="I3465" s="473">
        <f>I3455</f>
        <v>141</v>
      </c>
      <c r="J3465" s="473" t="s">
        <v>1454</v>
      </c>
      <c r="K3465" s="478">
        <f>F3465*I3465</f>
        <v>423</v>
      </c>
      <c r="L3465" s="473"/>
      <c r="M3465" s="473"/>
    </row>
    <row r="3466" spans="5:13">
      <c r="E3466" s="473"/>
      <c r="F3466" s="473"/>
      <c r="G3466" s="473"/>
      <c r="H3466" s="473" t="s">
        <v>3007</v>
      </c>
      <c r="I3466" s="473"/>
      <c r="J3466" s="473"/>
      <c r="K3466" s="478">
        <f>K3379</f>
        <v>478</v>
      </c>
      <c r="L3466" s="473"/>
      <c r="M3466" s="473"/>
    </row>
    <row r="3467" spans="5:13">
      <c r="E3467" s="473"/>
      <c r="F3467" s="473"/>
      <c r="G3467" s="473"/>
      <c r="H3467" s="473" t="s">
        <v>2359</v>
      </c>
      <c r="I3467" s="473"/>
      <c r="J3467" s="473"/>
      <c r="K3467" s="478">
        <v>0</v>
      </c>
      <c r="L3467" s="473"/>
      <c r="M3467" s="473"/>
    </row>
    <row r="3468" spans="5:13">
      <c r="E3468" s="473"/>
      <c r="F3468" s="473"/>
      <c r="G3468" s="473"/>
      <c r="H3468" s="480" t="s">
        <v>3008</v>
      </c>
      <c r="I3468" s="473"/>
      <c r="J3468" s="473"/>
      <c r="K3468" s="480">
        <f>SUM(K3464:K3467)</f>
        <v>2941</v>
      </c>
      <c r="L3468" s="473"/>
      <c r="M3468" s="473"/>
    </row>
    <row r="3469" spans="5:13">
      <c r="E3469" s="473"/>
      <c r="F3469" s="473"/>
      <c r="G3469" s="473"/>
      <c r="H3469" s="473"/>
      <c r="I3469" s="473"/>
      <c r="J3469" s="473"/>
      <c r="K3469" s="478"/>
      <c r="L3469" s="473"/>
      <c r="M3469" s="473"/>
    </row>
    <row r="3470" spans="5:13">
      <c r="E3470" s="473"/>
      <c r="F3470" s="473"/>
      <c r="G3470" s="473"/>
      <c r="H3470" s="481" t="s">
        <v>3009</v>
      </c>
      <c r="I3470" s="473"/>
      <c r="J3470" s="473"/>
      <c r="K3470" s="478"/>
      <c r="L3470" s="473"/>
      <c r="M3470" s="473"/>
    </row>
    <row r="3471" spans="5:13">
      <c r="E3471" s="473"/>
      <c r="F3471" s="473"/>
      <c r="G3471" s="473"/>
      <c r="H3471" s="473"/>
      <c r="I3471" s="473"/>
      <c r="J3471" s="473"/>
      <c r="K3471" s="478"/>
      <c r="L3471" s="473"/>
      <c r="M3471" s="473"/>
    </row>
    <row r="3472" spans="5:13">
      <c r="E3472" s="473"/>
      <c r="F3472" s="473"/>
      <c r="G3472" s="473"/>
      <c r="H3472" s="481" t="s">
        <v>3010</v>
      </c>
      <c r="I3472" s="473"/>
      <c r="J3472" s="473"/>
      <c r="K3472" s="478"/>
      <c r="L3472" s="473"/>
      <c r="M3472" s="473"/>
    </row>
    <row r="3473" spans="5:13">
      <c r="E3473" s="473"/>
      <c r="F3473" s="473"/>
      <c r="G3473" s="473"/>
      <c r="H3473" s="473"/>
      <c r="I3473" s="473"/>
      <c r="J3473" s="473"/>
      <c r="K3473" s="478"/>
      <c r="L3473" s="473"/>
      <c r="M3473" s="473"/>
    </row>
    <row r="3474" spans="5:13" ht="78.75">
      <c r="E3474" s="473"/>
      <c r="F3474" s="473"/>
      <c r="G3474" s="473"/>
      <c r="H3474" s="472" t="s">
        <v>1046</v>
      </c>
      <c r="I3474" s="473"/>
      <c r="J3474" s="473"/>
      <c r="K3474" s="478"/>
      <c r="L3474" s="473"/>
      <c r="M3474" s="473"/>
    </row>
    <row r="3475" spans="5:13">
      <c r="E3475" s="473"/>
      <c r="F3475" s="473"/>
      <c r="G3475" s="473"/>
      <c r="H3475" s="473"/>
      <c r="I3475" s="473"/>
      <c r="J3475" s="473"/>
      <c r="K3475" s="478"/>
      <c r="L3475" s="473"/>
      <c r="M3475" s="473"/>
    </row>
    <row r="3476" spans="5:13">
      <c r="E3476" s="473"/>
      <c r="F3476" s="473">
        <v>3</v>
      </c>
      <c r="G3476" s="473" t="s">
        <v>1454</v>
      </c>
      <c r="H3476" s="473" t="s">
        <v>3011</v>
      </c>
      <c r="I3476" s="473">
        <f>I3396</f>
        <v>89</v>
      </c>
      <c r="J3476" s="473" t="s">
        <v>1454</v>
      </c>
      <c r="K3476" s="478">
        <f>F3476*I3476</f>
        <v>267</v>
      </c>
      <c r="L3476" s="473"/>
      <c r="M3476" s="473"/>
    </row>
    <row r="3477" spans="5:13">
      <c r="E3477" s="473"/>
      <c r="F3477" s="473">
        <v>1</v>
      </c>
      <c r="G3477" s="473" t="s">
        <v>1454</v>
      </c>
      <c r="H3477" s="472" t="s">
        <v>3012</v>
      </c>
      <c r="I3477" s="473">
        <f>K3483</f>
        <v>249.28</v>
      </c>
      <c r="J3477" s="473" t="s">
        <v>1454</v>
      </c>
      <c r="K3477" s="478">
        <f>F3477*I3477</f>
        <v>249.28</v>
      </c>
      <c r="L3477" s="473"/>
      <c r="M3477" s="473"/>
    </row>
    <row r="3478" spans="5:13">
      <c r="E3478" s="473"/>
      <c r="F3478" s="473">
        <v>1</v>
      </c>
      <c r="G3478" s="473" t="s">
        <v>1454</v>
      </c>
      <c r="H3478" s="473" t="s">
        <v>2472</v>
      </c>
      <c r="I3478" s="473">
        <f>I3438</f>
        <v>25</v>
      </c>
      <c r="J3478" s="473" t="s">
        <v>2473</v>
      </c>
      <c r="K3478" s="478">
        <f>F3478*I3478</f>
        <v>25</v>
      </c>
      <c r="L3478" s="473"/>
      <c r="M3478" s="473"/>
    </row>
    <row r="3479" spans="5:13">
      <c r="E3479" s="473"/>
      <c r="F3479" s="473"/>
      <c r="G3479" s="473"/>
      <c r="H3479" s="473" t="s">
        <v>144</v>
      </c>
      <c r="I3479" s="473"/>
      <c r="J3479" s="473"/>
      <c r="K3479" s="478">
        <f>K3489</f>
        <v>205.33</v>
      </c>
      <c r="L3479" s="473"/>
      <c r="M3479" s="473"/>
    </row>
    <row r="3480" spans="5:13">
      <c r="E3480" s="473"/>
      <c r="F3480" s="473"/>
      <c r="G3480" s="473"/>
      <c r="H3480" s="473" t="s">
        <v>2474</v>
      </c>
      <c r="I3480" s="473"/>
      <c r="J3480" s="473"/>
      <c r="K3480" s="478">
        <f>2.4+0.99</f>
        <v>3.39</v>
      </c>
      <c r="L3480" s="473"/>
      <c r="M3480" s="473"/>
    </row>
    <row r="3481" spans="5:13">
      <c r="E3481" s="473"/>
      <c r="F3481" s="473"/>
      <c r="G3481" s="473"/>
      <c r="H3481" s="480" t="s">
        <v>2475</v>
      </c>
      <c r="I3481" s="473"/>
      <c r="J3481" s="473"/>
      <c r="K3481" s="480">
        <f>SUM(K3476:K3480)</f>
        <v>750</v>
      </c>
      <c r="L3481" s="473">
        <f>568-K3481</f>
        <v>-182</v>
      </c>
      <c r="M3481" s="473"/>
    </row>
    <row r="3482" spans="5:13">
      <c r="E3482" s="473"/>
      <c r="F3482" s="473"/>
      <c r="G3482" s="473"/>
      <c r="H3482" s="473"/>
      <c r="I3482" s="473"/>
      <c r="J3482" s="473"/>
      <c r="K3482" s="478"/>
      <c r="L3482" s="473"/>
      <c r="M3482" s="473"/>
    </row>
    <row r="3483" spans="5:13">
      <c r="E3483" s="473"/>
      <c r="F3483" s="473"/>
      <c r="G3483" s="473"/>
      <c r="H3483" s="481" t="s">
        <v>3013</v>
      </c>
      <c r="I3483" s="473">
        <f>I3443</f>
        <v>73860</v>
      </c>
      <c r="J3483" s="494">
        <v>3.375E-3</v>
      </c>
      <c r="K3483" s="478">
        <f>I3483*J3483</f>
        <v>249.28</v>
      </c>
      <c r="L3483" s="473"/>
      <c r="M3483" s="473"/>
    </row>
    <row r="3484" spans="5:13">
      <c r="E3484" s="473"/>
      <c r="F3484" s="473"/>
      <c r="G3484" s="473"/>
      <c r="H3484" s="473"/>
      <c r="I3484" s="473"/>
      <c r="J3484" s="473"/>
      <c r="K3484" s="478"/>
      <c r="L3484" s="473"/>
      <c r="M3484" s="473"/>
    </row>
    <row r="3485" spans="5:13">
      <c r="E3485" s="473"/>
      <c r="F3485" s="473"/>
      <c r="G3485" s="473"/>
      <c r="H3485" s="479" t="s">
        <v>931</v>
      </c>
      <c r="I3485" s="473"/>
      <c r="J3485" s="473"/>
      <c r="K3485" s="478"/>
      <c r="L3485" s="473"/>
      <c r="M3485" s="473"/>
    </row>
    <row r="3486" spans="5:13">
      <c r="E3486" s="473"/>
      <c r="F3486" s="473">
        <v>1</v>
      </c>
      <c r="G3486" s="473" t="s">
        <v>1454</v>
      </c>
      <c r="H3486" s="473" t="s">
        <v>2901</v>
      </c>
      <c r="I3486" s="473">
        <f>I3446</f>
        <v>254</v>
      </c>
      <c r="J3486" s="473" t="s">
        <v>1454</v>
      </c>
      <c r="K3486" s="478">
        <f>F3486*I3486</f>
        <v>254</v>
      </c>
      <c r="L3486" s="473"/>
      <c r="M3486" s="473"/>
    </row>
    <row r="3487" spans="5:13">
      <c r="E3487" s="473"/>
      <c r="F3487" s="473">
        <v>2</v>
      </c>
      <c r="G3487" s="473" t="s">
        <v>1454</v>
      </c>
      <c r="H3487" s="473" t="s">
        <v>2712</v>
      </c>
      <c r="I3487" s="473">
        <f>I3447</f>
        <v>181</v>
      </c>
      <c r="J3487" s="473" t="s">
        <v>1454</v>
      </c>
      <c r="K3487" s="478">
        <f>F3487*I3487</f>
        <v>362</v>
      </c>
      <c r="L3487" s="473"/>
      <c r="M3487" s="473"/>
    </row>
    <row r="3488" spans="5:13">
      <c r="E3488" s="473"/>
      <c r="F3488" s="473"/>
      <c r="G3488" s="473"/>
      <c r="H3488" s="478" t="s">
        <v>3014</v>
      </c>
      <c r="I3488" s="473"/>
      <c r="J3488" s="481"/>
      <c r="K3488" s="486">
        <f>SUM(K3486:K3487)</f>
        <v>616</v>
      </c>
      <c r="L3488" s="473"/>
      <c r="M3488" s="473"/>
    </row>
    <row r="3489" spans="5:13">
      <c r="E3489" s="473"/>
      <c r="F3489" s="473"/>
      <c r="G3489" s="473"/>
      <c r="H3489" s="480" t="s">
        <v>2929</v>
      </c>
      <c r="I3489" s="473"/>
      <c r="J3489" s="481"/>
      <c r="K3489" s="480">
        <f>K3488/3</f>
        <v>205.33</v>
      </c>
      <c r="L3489" s="473"/>
      <c r="M3489" s="473"/>
    </row>
    <row r="3490" spans="5:13">
      <c r="E3490" s="473"/>
      <c r="F3490" s="473"/>
      <c r="G3490" s="473"/>
      <c r="H3490" s="473"/>
      <c r="I3490" s="473"/>
      <c r="J3490" s="473"/>
      <c r="K3490" s="478"/>
      <c r="L3490" s="473"/>
      <c r="M3490" s="473"/>
    </row>
    <row r="3491" spans="5:13">
      <c r="E3491" s="473"/>
      <c r="F3491" s="473"/>
      <c r="G3491" s="473"/>
      <c r="H3491" s="481" t="s">
        <v>3015</v>
      </c>
      <c r="I3491" s="473"/>
      <c r="J3491" s="473"/>
      <c r="K3491" s="478"/>
      <c r="L3491" s="473"/>
      <c r="M3491" s="473"/>
    </row>
    <row r="3492" spans="5:13">
      <c r="E3492" s="473"/>
      <c r="F3492" s="473"/>
      <c r="G3492" s="473"/>
      <c r="H3492" s="473"/>
      <c r="I3492" s="473"/>
      <c r="J3492" s="473"/>
      <c r="K3492" s="478"/>
      <c r="L3492" s="473"/>
      <c r="M3492" s="473"/>
    </row>
    <row r="3493" spans="5:13" ht="61.5" customHeight="1">
      <c r="E3493" s="473"/>
      <c r="F3493" s="473"/>
      <c r="G3493" s="473"/>
      <c r="H3493" s="471" t="s">
        <v>2828</v>
      </c>
      <c r="I3493" s="473"/>
      <c r="J3493" s="473"/>
      <c r="K3493" s="478"/>
      <c r="L3493" s="473"/>
      <c r="M3493" s="473"/>
    </row>
    <row r="3494" spans="5:13" ht="36" customHeight="1">
      <c r="E3494" s="473"/>
      <c r="F3494" s="473">
        <v>180</v>
      </c>
      <c r="G3494" s="473" t="s">
        <v>840</v>
      </c>
      <c r="H3494" s="472" t="s">
        <v>2829</v>
      </c>
      <c r="I3494" s="474">
        <v>31.5</v>
      </c>
      <c r="J3494" s="473" t="s">
        <v>840</v>
      </c>
      <c r="K3494" s="478">
        <f>F3494*I3494</f>
        <v>5670</v>
      </c>
      <c r="L3494" s="473"/>
      <c r="M3494" s="473"/>
    </row>
    <row r="3495" spans="5:13">
      <c r="E3495" s="473"/>
      <c r="F3495" s="473">
        <v>4</v>
      </c>
      <c r="G3495" s="473" t="s">
        <v>1730</v>
      </c>
      <c r="H3495" s="473" t="s">
        <v>3517</v>
      </c>
      <c r="I3495" s="474">
        <v>84</v>
      </c>
      <c r="J3495" s="473" t="s">
        <v>1730</v>
      </c>
      <c r="K3495" s="478">
        <f>F3495*I3495</f>
        <v>336</v>
      </c>
      <c r="L3495" s="473"/>
      <c r="M3495" s="473"/>
    </row>
    <row r="3496" spans="5:13">
      <c r="E3496" s="473"/>
      <c r="F3496" s="473">
        <v>180</v>
      </c>
      <c r="G3496" s="473" t="s">
        <v>1458</v>
      </c>
      <c r="H3496" s="473" t="s">
        <v>2830</v>
      </c>
      <c r="I3496" s="474">
        <f>ROUND(6.7/12,2)</f>
        <v>0.56000000000000005</v>
      </c>
      <c r="J3496" s="473" t="s">
        <v>1458</v>
      </c>
      <c r="K3496" s="478">
        <f>F3496*I3496</f>
        <v>100.8</v>
      </c>
      <c r="L3496" s="473"/>
      <c r="M3496" s="473"/>
    </row>
    <row r="3497" spans="5:13">
      <c r="E3497" s="473"/>
      <c r="F3497" s="473">
        <v>1</v>
      </c>
      <c r="G3497" s="473" t="s">
        <v>1730</v>
      </c>
      <c r="H3497" s="473" t="s">
        <v>2831</v>
      </c>
      <c r="I3497" s="474">
        <v>84</v>
      </c>
      <c r="J3497" s="473" t="s">
        <v>1730</v>
      </c>
      <c r="K3497" s="478">
        <f>F3497*I3497</f>
        <v>84</v>
      </c>
      <c r="L3497" s="473"/>
      <c r="M3497" s="473"/>
    </row>
    <row r="3498" spans="5:13">
      <c r="E3498" s="473"/>
      <c r="F3498" s="473"/>
      <c r="G3498" s="473"/>
      <c r="H3498" s="473" t="s">
        <v>931</v>
      </c>
      <c r="I3498" s="473"/>
      <c r="J3498" s="473"/>
      <c r="K3498" s="478">
        <f>K3507</f>
        <v>1808</v>
      </c>
      <c r="L3498" s="473"/>
      <c r="M3498" s="473"/>
    </row>
    <row r="3499" spans="5:13">
      <c r="E3499" s="473"/>
      <c r="F3499" s="473"/>
      <c r="G3499" s="473"/>
      <c r="H3499" s="473" t="s">
        <v>2832</v>
      </c>
      <c r="I3499" s="473"/>
      <c r="J3499" s="473"/>
      <c r="K3499" s="478">
        <v>29.2</v>
      </c>
      <c r="L3499" s="473">
        <v>26.5</v>
      </c>
      <c r="M3499" s="473"/>
    </row>
    <row r="3500" spans="5:13">
      <c r="E3500" s="473"/>
      <c r="F3500" s="473"/>
      <c r="G3500" s="473"/>
      <c r="H3500" s="478" t="s">
        <v>2833</v>
      </c>
      <c r="I3500" s="473"/>
      <c r="J3500" s="473"/>
      <c r="K3500" s="478">
        <f>SUM(K3494:K3499)</f>
        <v>8028</v>
      </c>
      <c r="L3500" s="473"/>
      <c r="M3500" s="473"/>
    </row>
    <row r="3501" spans="5:13">
      <c r="E3501" s="473"/>
      <c r="F3501" s="473"/>
      <c r="G3501" s="473"/>
      <c r="H3501" s="480" t="s">
        <v>2499</v>
      </c>
      <c r="I3501" s="473"/>
      <c r="J3501" s="473"/>
      <c r="K3501" s="480">
        <f>K3500/90</f>
        <v>89.2</v>
      </c>
      <c r="L3501" s="473">
        <f>82.6*90</f>
        <v>7434</v>
      </c>
      <c r="M3501" s="473">
        <f>L3501-K3500</f>
        <v>-594</v>
      </c>
    </row>
    <row r="3502" spans="5:13">
      <c r="E3502" s="473"/>
      <c r="F3502" s="473"/>
      <c r="G3502" s="473"/>
      <c r="H3502" s="479" t="s">
        <v>2770</v>
      </c>
      <c r="I3502" s="473"/>
      <c r="J3502" s="473"/>
      <c r="K3502" s="478"/>
      <c r="L3502" s="473"/>
      <c r="M3502" s="473"/>
    </row>
    <row r="3503" spans="5:13">
      <c r="E3503" s="473"/>
      <c r="F3503" s="473">
        <v>1</v>
      </c>
      <c r="G3503" s="473" t="s">
        <v>1454</v>
      </c>
      <c r="H3503" s="482" t="s">
        <v>2834</v>
      </c>
      <c r="I3503" s="473">
        <f>I2866</f>
        <v>277</v>
      </c>
      <c r="J3503" s="473" t="s">
        <v>1454</v>
      </c>
      <c r="K3503" s="478">
        <f>F3503*I3503</f>
        <v>277</v>
      </c>
      <c r="L3503" s="473"/>
      <c r="M3503" s="473"/>
    </row>
    <row r="3504" spans="5:13">
      <c r="E3504" s="473"/>
      <c r="F3504" s="473">
        <v>2</v>
      </c>
      <c r="G3504" s="473" t="s">
        <v>1454</v>
      </c>
      <c r="H3504" s="473" t="s">
        <v>2901</v>
      </c>
      <c r="I3504" s="473">
        <f>I2867</f>
        <v>254</v>
      </c>
      <c r="J3504" s="473" t="s">
        <v>1454</v>
      </c>
      <c r="K3504" s="478">
        <f>F3504*I3504</f>
        <v>508</v>
      </c>
      <c r="L3504" s="473"/>
      <c r="M3504" s="473"/>
    </row>
    <row r="3505" spans="5:13">
      <c r="E3505" s="473"/>
      <c r="F3505" s="473">
        <v>2</v>
      </c>
      <c r="G3505" s="473" t="s">
        <v>1454</v>
      </c>
      <c r="H3505" s="473" t="s">
        <v>2711</v>
      </c>
      <c r="I3505" s="473">
        <f>I2868</f>
        <v>240</v>
      </c>
      <c r="J3505" s="473" t="s">
        <v>1454</v>
      </c>
      <c r="K3505" s="478">
        <f>F3505*I3505</f>
        <v>480</v>
      </c>
      <c r="L3505" s="473"/>
      <c r="M3505" s="473"/>
    </row>
    <row r="3506" spans="5:13">
      <c r="E3506" s="473"/>
      <c r="F3506" s="473">
        <v>3</v>
      </c>
      <c r="G3506" s="473" t="s">
        <v>1454</v>
      </c>
      <c r="H3506" s="473" t="s">
        <v>2430</v>
      </c>
      <c r="I3506" s="473">
        <f>I2869</f>
        <v>181</v>
      </c>
      <c r="J3506" s="473" t="s">
        <v>1454</v>
      </c>
      <c r="K3506" s="478">
        <f>F3506*I3506</f>
        <v>543</v>
      </c>
      <c r="L3506" s="473"/>
      <c r="M3506" s="473"/>
    </row>
    <row r="3507" spans="5:13">
      <c r="E3507" s="473"/>
      <c r="F3507" s="473"/>
      <c r="G3507" s="473"/>
      <c r="H3507" s="473"/>
      <c r="I3507" s="473"/>
      <c r="J3507" s="473"/>
      <c r="K3507" s="480">
        <f>SUM(K3503:K3506)</f>
        <v>1808</v>
      </c>
      <c r="L3507" s="473"/>
      <c r="M3507" s="473"/>
    </row>
    <row r="3508" spans="5:13">
      <c r="E3508" s="473"/>
      <c r="F3508" s="473"/>
      <c r="G3508" s="473"/>
      <c r="H3508" s="473"/>
      <c r="I3508" s="473"/>
      <c r="J3508" s="473"/>
      <c r="K3508" s="478"/>
      <c r="L3508" s="473"/>
      <c r="M3508" s="473"/>
    </row>
    <row r="3509" spans="5:13">
      <c r="E3509" s="473"/>
      <c r="F3509" s="473"/>
      <c r="G3509" s="473"/>
      <c r="H3509" s="481" t="s">
        <v>2835</v>
      </c>
      <c r="I3509" s="473"/>
      <c r="J3509" s="473"/>
      <c r="K3509" s="478"/>
      <c r="L3509" s="473"/>
      <c r="M3509" s="473"/>
    </row>
    <row r="3510" spans="5:13" ht="40.5" customHeight="1">
      <c r="E3510" s="473"/>
      <c r="F3510" s="473"/>
      <c r="G3510" s="473"/>
      <c r="H3510" s="471" t="s">
        <v>2403</v>
      </c>
      <c r="I3510" s="473"/>
      <c r="J3510" s="473"/>
      <c r="K3510" s="478"/>
      <c r="L3510" s="473"/>
      <c r="M3510" s="473"/>
    </row>
    <row r="3511" spans="5:13" ht="18" customHeight="1">
      <c r="E3511" s="473"/>
      <c r="F3511" s="473"/>
      <c r="G3511" s="473"/>
      <c r="H3511" s="473"/>
      <c r="I3511" s="473"/>
      <c r="J3511" s="473"/>
      <c r="K3511" s="478"/>
      <c r="L3511" s="473"/>
      <c r="M3511" s="473"/>
    </row>
    <row r="3512" spans="5:13" ht="57.75" customHeight="1">
      <c r="E3512" s="473"/>
      <c r="F3512" s="473"/>
      <c r="G3512" s="473"/>
      <c r="H3512" s="495" t="s">
        <v>2769</v>
      </c>
      <c r="I3512" s="473"/>
      <c r="J3512" s="473"/>
      <c r="K3512" s="478"/>
      <c r="L3512" s="473"/>
      <c r="M3512" s="473"/>
    </row>
    <row r="3513" spans="5:13">
      <c r="E3513" s="473"/>
      <c r="F3513" s="473">
        <v>1</v>
      </c>
      <c r="G3513" s="473" t="s">
        <v>840</v>
      </c>
      <c r="H3513" s="473" t="s">
        <v>3557</v>
      </c>
      <c r="I3513" s="474">
        <v>121.25</v>
      </c>
      <c r="J3513" s="473" t="s">
        <v>840</v>
      </c>
      <c r="K3513" s="478">
        <f>F3513*I3513</f>
        <v>121.25</v>
      </c>
      <c r="L3513" s="473"/>
      <c r="M3513" s="473"/>
    </row>
    <row r="3514" spans="5:13">
      <c r="E3514" s="473"/>
      <c r="F3514" s="473"/>
      <c r="G3514" s="473"/>
      <c r="H3514" s="473" t="s">
        <v>2359</v>
      </c>
      <c r="I3514" s="473"/>
      <c r="J3514" s="473"/>
      <c r="K3514" s="478">
        <v>0.75</v>
      </c>
      <c r="L3514" s="473"/>
      <c r="M3514" s="473"/>
    </row>
    <row r="3515" spans="5:13">
      <c r="E3515" s="473"/>
      <c r="F3515" s="473"/>
      <c r="G3515" s="473"/>
      <c r="H3515" s="480" t="s">
        <v>3558</v>
      </c>
      <c r="I3515" s="473"/>
      <c r="J3515" s="473"/>
      <c r="K3515" s="480">
        <f>SUM(K3513:K3514)</f>
        <v>122</v>
      </c>
      <c r="L3515" s="473"/>
      <c r="M3515" s="473"/>
    </row>
    <row r="3516" spans="5:13">
      <c r="E3516" s="473"/>
      <c r="F3516" s="473"/>
      <c r="G3516" s="473"/>
      <c r="H3516" s="473"/>
      <c r="I3516" s="473"/>
      <c r="J3516" s="473"/>
      <c r="K3516" s="478"/>
      <c r="L3516" s="473"/>
      <c r="M3516" s="473"/>
    </row>
    <row r="3517" spans="5:13">
      <c r="E3517" s="473"/>
      <c r="F3517" s="473"/>
      <c r="G3517" s="473"/>
      <c r="H3517" s="481" t="s">
        <v>3559</v>
      </c>
      <c r="I3517" s="473"/>
      <c r="J3517" s="473"/>
      <c r="K3517" s="478"/>
      <c r="L3517" s="473"/>
      <c r="M3517" s="473"/>
    </row>
    <row r="3518" spans="5:13">
      <c r="E3518" s="473"/>
      <c r="F3518" s="473"/>
      <c r="G3518" s="473"/>
      <c r="H3518" s="481" t="s">
        <v>3560</v>
      </c>
      <c r="I3518" s="473"/>
      <c r="J3518" s="473"/>
      <c r="K3518" s="478"/>
      <c r="L3518" s="473"/>
      <c r="M3518" s="473"/>
    </row>
    <row r="3519" spans="5:13">
      <c r="E3519" s="473"/>
      <c r="F3519" s="473"/>
      <c r="G3519" s="473"/>
      <c r="H3519" s="473"/>
      <c r="I3519" s="473"/>
      <c r="J3519" s="473"/>
      <c r="K3519" s="478"/>
      <c r="L3519" s="473"/>
      <c r="M3519" s="473"/>
    </row>
    <row r="3520" spans="5:13" ht="56.25" customHeight="1">
      <c r="E3520" s="473"/>
      <c r="F3520" s="473"/>
      <c r="G3520" s="473"/>
      <c r="H3520" s="495" t="s">
        <v>3561</v>
      </c>
      <c r="I3520" s="473"/>
      <c r="J3520" s="473"/>
      <c r="K3520" s="478"/>
      <c r="L3520" s="473"/>
      <c r="M3520" s="473"/>
    </row>
    <row r="3521" spans="5:13">
      <c r="E3521" s="473"/>
      <c r="F3521" s="473">
        <v>1</v>
      </c>
      <c r="G3521" s="473" t="s">
        <v>840</v>
      </c>
      <c r="H3521" s="473" t="s">
        <v>3562</v>
      </c>
      <c r="I3521" s="474">
        <v>48</v>
      </c>
      <c r="J3521" s="473" t="s">
        <v>364</v>
      </c>
      <c r="K3521" s="478">
        <f>F3522*I3521</f>
        <v>156</v>
      </c>
      <c r="L3521" s="473"/>
      <c r="M3521" s="473"/>
    </row>
    <row r="3522" spans="5:13">
      <c r="E3522" s="473"/>
      <c r="F3522" s="473">
        <v>3.25</v>
      </c>
      <c r="G3522" s="473" t="s">
        <v>3563</v>
      </c>
      <c r="H3522" s="473"/>
      <c r="I3522" s="473"/>
      <c r="J3522" s="473"/>
      <c r="K3522" s="478"/>
      <c r="L3522" s="473"/>
      <c r="M3522" s="473"/>
    </row>
    <row r="3523" spans="5:13">
      <c r="E3523" s="473"/>
      <c r="F3523" s="473"/>
      <c r="G3523" s="473"/>
      <c r="H3523" s="473" t="s">
        <v>2359</v>
      </c>
      <c r="I3523" s="473"/>
      <c r="J3523" s="473"/>
      <c r="K3523" s="478">
        <v>0.5</v>
      </c>
      <c r="L3523" s="473"/>
      <c r="M3523" s="473"/>
    </row>
    <row r="3524" spans="5:13">
      <c r="E3524" s="473"/>
      <c r="F3524" s="473"/>
      <c r="G3524" s="473"/>
      <c r="H3524" s="480" t="s">
        <v>2896</v>
      </c>
      <c r="I3524" s="473"/>
      <c r="J3524" s="473"/>
      <c r="K3524" s="480">
        <f>SUM(K3521:K3523)</f>
        <v>156.5</v>
      </c>
      <c r="L3524" s="473"/>
      <c r="M3524" s="473"/>
    </row>
    <row r="3525" spans="5:13">
      <c r="E3525" s="473"/>
      <c r="F3525" s="473"/>
      <c r="G3525" s="473"/>
      <c r="H3525" s="480"/>
      <c r="I3525" s="473"/>
      <c r="J3525" s="473"/>
      <c r="K3525" s="480"/>
      <c r="L3525" s="473"/>
      <c r="M3525" s="473"/>
    </row>
    <row r="3526" spans="5:13">
      <c r="E3526" s="473"/>
      <c r="F3526" s="473"/>
      <c r="G3526" s="473"/>
      <c r="H3526" s="481" t="s">
        <v>3564</v>
      </c>
      <c r="I3526" s="473"/>
      <c r="J3526" s="473"/>
      <c r="K3526" s="478"/>
      <c r="L3526" s="473"/>
      <c r="M3526" s="473"/>
    </row>
    <row r="3527" spans="5:13">
      <c r="E3527" s="473"/>
      <c r="F3527" s="473"/>
      <c r="G3527" s="473"/>
      <c r="H3527" s="473"/>
      <c r="I3527" s="473"/>
      <c r="J3527" s="473"/>
      <c r="K3527" s="478"/>
      <c r="L3527" s="473"/>
      <c r="M3527" s="473"/>
    </row>
    <row r="3528" spans="5:13" ht="51" customHeight="1">
      <c r="E3528" s="473"/>
      <c r="F3528" s="473"/>
      <c r="G3528" s="473"/>
      <c r="H3528" s="471" t="s">
        <v>3565</v>
      </c>
      <c r="I3528" s="473"/>
      <c r="J3528" s="473"/>
      <c r="K3528" s="478"/>
      <c r="L3528" s="473"/>
      <c r="M3528" s="473"/>
    </row>
    <row r="3529" spans="5:13">
      <c r="E3529" s="473"/>
      <c r="F3529" s="473"/>
      <c r="G3529" s="473"/>
      <c r="H3529" s="473"/>
      <c r="I3529" s="473"/>
      <c r="J3529" s="473"/>
      <c r="K3529" s="478"/>
      <c r="L3529" s="473"/>
      <c r="M3529" s="473"/>
    </row>
    <row r="3530" spans="5:13" ht="135.75" customHeight="1">
      <c r="E3530" s="473"/>
      <c r="F3530" s="473"/>
      <c r="G3530" s="473"/>
      <c r="H3530" s="495" t="s">
        <v>2313</v>
      </c>
      <c r="I3530" s="473"/>
      <c r="J3530" s="473"/>
      <c r="K3530" s="478"/>
      <c r="L3530" s="473"/>
      <c r="M3530" s="473"/>
    </row>
    <row r="3531" spans="5:13">
      <c r="E3531" s="473"/>
      <c r="F3531" s="473"/>
      <c r="G3531" s="473"/>
      <c r="H3531" s="473"/>
      <c r="I3531" s="473"/>
      <c r="J3531" s="473"/>
      <c r="K3531" s="478"/>
      <c r="L3531" s="473"/>
      <c r="M3531" s="473"/>
    </row>
    <row r="3532" spans="5:13" ht="40.5" customHeight="1">
      <c r="E3532" s="473"/>
      <c r="F3532" s="473">
        <v>360</v>
      </c>
      <c r="G3532" s="473" t="s">
        <v>840</v>
      </c>
      <c r="H3532" s="472" t="s">
        <v>2829</v>
      </c>
      <c r="I3532" s="473">
        <f>I3494</f>
        <v>31.5</v>
      </c>
      <c r="J3532" s="473" t="s">
        <v>840</v>
      </c>
      <c r="K3532" s="478">
        <f>F3532*I3532</f>
        <v>11340</v>
      </c>
      <c r="L3532" s="473"/>
      <c r="M3532" s="473"/>
    </row>
    <row r="3533" spans="5:13">
      <c r="E3533" s="473"/>
      <c r="F3533" s="473">
        <v>4</v>
      </c>
      <c r="G3533" s="473" t="s">
        <v>1730</v>
      </c>
      <c r="H3533" s="473" t="s">
        <v>3517</v>
      </c>
      <c r="I3533" s="473">
        <f>I3495</f>
        <v>84</v>
      </c>
      <c r="J3533" s="473" t="s">
        <v>1730</v>
      </c>
      <c r="K3533" s="478">
        <f>F3533*I3533</f>
        <v>336</v>
      </c>
      <c r="L3533" s="473"/>
      <c r="M3533" s="473"/>
    </row>
    <row r="3534" spans="5:13">
      <c r="E3534" s="473"/>
      <c r="F3534" s="473">
        <v>360</v>
      </c>
      <c r="G3534" s="473" t="s">
        <v>1458</v>
      </c>
      <c r="H3534" s="473" t="s">
        <v>2830</v>
      </c>
      <c r="I3534" s="473">
        <f>I3496</f>
        <v>0.56000000000000005</v>
      </c>
      <c r="J3534" s="473" t="s">
        <v>1458</v>
      </c>
      <c r="K3534" s="478">
        <f>F3534*I3534</f>
        <v>201.6</v>
      </c>
      <c r="L3534" s="473"/>
      <c r="M3534" s="473"/>
    </row>
    <row r="3535" spans="5:13">
      <c r="E3535" s="473"/>
      <c r="F3535" s="473">
        <v>1.5</v>
      </c>
      <c r="G3535" s="473" t="s">
        <v>1730</v>
      </c>
      <c r="H3535" s="473" t="s">
        <v>2831</v>
      </c>
      <c r="I3535" s="473">
        <f>I3497</f>
        <v>84</v>
      </c>
      <c r="J3535" s="473" t="s">
        <v>1730</v>
      </c>
      <c r="K3535" s="478">
        <f>F3535*I3535</f>
        <v>126</v>
      </c>
      <c r="L3535" s="473"/>
      <c r="M3535" s="473"/>
    </row>
    <row r="3536" spans="5:13">
      <c r="E3536" s="473"/>
      <c r="F3536" s="473"/>
      <c r="G3536" s="473"/>
      <c r="H3536" s="473" t="s">
        <v>3075</v>
      </c>
      <c r="I3536" s="473"/>
      <c r="J3536" s="473"/>
      <c r="K3536" s="478">
        <f>K3507*1.5</f>
        <v>2712</v>
      </c>
      <c r="L3536" s="473"/>
      <c r="M3536" s="473"/>
    </row>
    <row r="3537" spans="5:13">
      <c r="E3537" s="473"/>
      <c r="F3537" s="473"/>
      <c r="G3537" s="473"/>
      <c r="H3537" s="473" t="s">
        <v>2832</v>
      </c>
      <c r="I3537" s="473"/>
      <c r="J3537" s="473"/>
      <c r="K3537" s="478">
        <v>26.4</v>
      </c>
      <c r="L3537" s="473">
        <f>147.5*90</f>
        <v>13275</v>
      </c>
      <c r="M3537" s="473"/>
    </row>
    <row r="3538" spans="5:13">
      <c r="E3538" s="473"/>
      <c r="F3538" s="473"/>
      <c r="G3538" s="473"/>
      <c r="H3538" s="478" t="s">
        <v>2833</v>
      </c>
      <c r="I3538" s="473"/>
      <c r="J3538" s="473"/>
      <c r="K3538" s="478">
        <f>SUM(K3532:K3537)</f>
        <v>14742</v>
      </c>
      <c r="L3538" s="473"/>
      <c r="M3538" s="473"/>
    </row>
    <row r="3539" spans="5:13">
      <c r="E3539" s="473"/>
      <c r="F3539" s="473"/>
      <c r="G3539" s="473"/>
      <c r="H3539" s="480" t="s">
        <v>2499</v>
      </c>
      <c r="I3539" s="473"/>
      <c r="J3539" s="473"/>
      <c r="K3539" s="480">
        <f>K3538/90</f>
        <v>163.80000000000001</v>
      </c>
      <c r="L3539" s="473"/>
      <c r="M3539" s="473"/>
    </row>
    <row r="3540" spans="5:13">
      <c r="E3540" s="473"/>
      <c r="F3540" s="473"/>
      <c r="G3540" s="473"/>
      <c r="H3540" s="473"/>
      <c r="I3540" s="473"/>
      <c r="J3540" s="473"/>
      <c r="K3540" s="478"/>
      <c r="L3540" s="473"/>
      <c r="M3540" s="473"/>
    </row>
    <row r="3541" spans="5:13">
      <c r="E3541" s="473"/>
      <c r="F3541" s="473"/>
      <c r="G3541" s="473"/>
      <c r="H3541" s="481" t="s">
        <v>3076</v>
      </c>
      <c r="I3541" s="473"/>
      <c r="J3541" s="473"/>
      <c r="K3541" s="478"/>
      <c r="L3541" s="473"/>
      <c r="M3541" s="473"/>
    </row>
    <row r="3542" spans="5:13" ht="40.5" customHeight="1">
      <c r="E3542" s="473"/>
      <c r="F3542" s="473"/>
      <c r="G3542" s="473"/>
      <c r="H3542" s="471" t="s">
        <v>2479</v>
      </c>
      <c r="I3542" s="473"/>
      <c r="J3542" s="473"/>
      <c r="K3542" s="478"/>
      <c r="L3542" s="473"/>
      <c r="M3542" s="473"/>
    </row>
    <row r="3543" spans="5:13">
      <c r="E3543" s="473"/>
      <c r="F3543" s="473"/>
      <c r="G3543" s="473"/>
      <c r="H3543" s="473"/>
      <c r="I3543" s="473"/>
      <c r="J3543" s="473"/>
      <c r="K3543" s="478"/>
      <c r="L3543" s="473"/>
      <c r="M3543" s="473"/>
    </row>
    <row r="3544" spans="5:13" ht="54.75" customHeight="1">
      <c r="E3544" s="473"/>
      <c r="F3544" s="473"/>
      <c r="G3544" s="473"/>
      <c r="H3544" s="495" t="s">
        <v>2404</v>
      </c>
      <c r="I3544" s="473"/>
      <c r="J3544" s="473"/>
      <c r="K3544" s="478"/>
      <c r="L3544" s="473"/>
      <c r="M3544" s="473"/>
    </row>
    <row r="3545" spans="5:13">
      <c r="E3545" s="473"/>
      <c r="F3545" s="473">
        <v>1</v>
      </c>
      <c r="G3545" s="473" t="s">
        <v>840</v>
      </c>
      <c r="H3545" s="473" t="s">
        <v>2405</v>
      </c>
      <c r="I3545" s="473">
        <v>154.35</v>
      </c>
      <c r="J3545" s="473" t="s">
        <v>840</v>
      </c>
      <c r="K3545" s="478">
        <f>F3545*I3545</f>
        <v>154.35</v>
      </c>
      <c r="L3545" s="473"/>
      <c r="M3545" s="473"/>
    </row>
    <row r="3546" spans="5:13">
      <c r="E3546" s="473"/>
      <c r="F3546" s="473"/>
      <c r="G3546" s="473"/>
      <c r="H3546" s="473" t="s">
        <v>2359</v>
      </c>
      <c r="I3546" s="473"/>
      <c r="J3546" s="473"/>
      <c r="K3546" s="478">
        <v>0.65</v>
      </c>
      <c r="L3546" s="473"/>
      <c r="M3546" s="473"/>
    </row>
    <row r="3547" spans="5:13">
      <c r="E3547" s="473"/>
      <c r="F3547" s="473"/>
      <c r="G3547" s="473"/>
      <c r="H3547" s="480" t="s">
        <v>3558</v>
      </c>
      <c r="I3547" s="473"/>
      <c r="J3547" s="473"/>
      <c r="K3547" s="480">
        <f>SUM(K3545:K3546)</f>
        <v>155</v>
      </c>
      <c r="L3547" s="473"/>
      <c r="M3547" s="473"/>
    </row>
    <row r="3548" spans="5:13">
      <c r="E3548" s="473"/>
      <c r="F3548" s="473"/>
      <c r="G3548" s="473"/>
      <c r="H3548" s="473"/>
      <c r="I3548" s="473"/>
      <c r="J3548" s="473"/>
      <c r="K3548" s="478"/>
      <c r="L3548" s="473"/>
      <c r="M3548" s="473"/>
    </row>
    <row r="3549" spans="5:13">
      <c r="E3549" s="473"/>
      <c r="F3549" s="473"/>
      <c r="G3549" s="473"/>
      <c r="H3549" s="481" t="s">
        <v>2406</v>
      </c>
      <c r="I3549" s="473"/>
      <c r="J3549" s="473"/>
      <c r="K3549" s="478"/>
      <c r="L3549" s="473"/>
      <c r="M3549" s="473"/>
    </row>
    <row r="3550" spans="5:13">
      <c r="E3550" s="473"/>
      <c r="F3550" s="473"/>
      <c r="G3550" s="473"/>
      <c r="H3550" s="481" t="s">
        <v>3560</v>
      </c>
      <c r="I3550" s="473"/>
      <c r="J3550" s="473"/>
      <c r="K3550" s="478"/>
      <c r="L3550" s="473"/>
      <c r="M3550" s="473"/>
    </row>
    <row r="3551" spans="5:13">
      <c r="E3551" s="473"/>
      <c r="F3551" s="473"/>
      <c r="G3551" s="473"/>
      <c r="H3551" s="473"/>
      <c r="I3551" s="473"/>
      <c r="J3551" s="473"/>
      <c r="K3551" s="478"/>
      <c r="L3551" s="473"/>
      <c r="M3551" s="473"/>
    </row>
    <row r="3552" spans="5:13" ht="47.25">
      <c r="E3552" s="473"/>
      <c r="F3552" s="473"/>
      <c r="G3552" s="473"/>
      <c r="H3552" s="495" t="s">
        <v>3561</v>
      </c>
      <c r="I3552" s="473"/>
      <c r="J3552" s="473"/>
      <c r="K3552" s="478"/>
      <c r="L3552" s="473"/>
      <c r="M3552" s="473"/>
    </row>
    <row r="3553" spans="5:13">
      <c r="E3553" s="473"/>
      <c r="F3553" s="473">
        <v>1</v>
      </c>
      <c r="G3553" s="473" t="s">
        <v>840</v>
      </c>
      <c r="H3553" s="473" t="s">
        <v>3562</v>
      </c>
      <c r="I3553" s="474">
        <f>I3521</f>
        <v>48</v>
      </c>
      <c r="J3553" s="473" t="s">
        <v>364</v>
      </c>
      <c r="K3553" s="478">
        <f>F3554*I3553</f>
        <v>156</v>
      </c>
      <c r="L3553" s="473"/>
      <c r="M3553" s="473"/>
    </row>
    <row r="3554" spans="5:13">
      <c r="E3554" s="473"/>
      <c r="F3554" s="473">
        <v>3.25</v>
      </c>
      <c r="G3554" s="473" t="s">
        <v>3563</v>
      </c>
      <c r="H3554" s="473"/>
      <c r="I3554" s="473"/>
      <c r="J3554" s="473"/>
      <c r="K3554" s="478"/>
      <c r="L3554" s="473"/>
      <c r="M3554" s="473"/>
    </row>
    <row r="3555" spans="5:13">
      <c r="E3555" s="473"/>
      <c r="F3555" s="473"/>
      <c r="G3555" s="473"/>
      <c r="H3555" s="473" t="s">
        <v>2359</v>
      </c>
      <c r="I3555" s="473"/>
      <c r="J3555" s="473"/>
      <c r="K3555" s="478">
        <v>0.5</v>
      </c>
      <c r="L3555" s="473"/>
      <c r="M3555" s="473"/>
    </row>
    <row r="3556" spans="5:13">
      <c r="E3556" s="473"/>
      <c r="F3556" s="473"/>
      <c r="G3556" s="473"/>
      <c r="H3556" s="480" t="s">
        <v>2896</v>
      </c>
      <c r="I3556" s="473"/>
      <c r="J3556" s="473"/>
      <c r="K3556" s="480">
        <f>SUM(K3553:K3555)</f>
        <v>156.5</v>
      </c>
      <c r="L3556" s="473"/>
      <c r="M3556" s="473"/>
    </row>
    <row r="3557" spans="5:13">
      <c r="E3557" s="473"/>
      <c r="F3557" s="473"/>
      <c r="G3557" s="473"/>
      <c r="H3557" s="473"/>
      <c r="I3557" s="473"/>
      <c r="J3557" s="473"/>
      <c r="K3557" s="478"/>
      <c r="L3557" s="473"/>
      <c r="M3557" s="473"/>
    </row>
    <row r="3558" spans="5:13">
      <c r="E3558" s="473"/>
      <c r="F3558" s="473"/>
      <c r="G3558" s="473"/>
      <c r="H3558" s="481" t="s">
        <v>2407</v>
      </c>
      <c r="I3558" s="473"/>
      <c r="J3558" s="473"/>
      <c r="K3558" s="478"/>
      <c r="L3558" s="473"/>
      <c r="M3558" s="473"/>
    </row>
    <row r="3559" spans="5:13">
      <c r="E3559" s="473"/>
      <c r="F3559" s="473"/>
      <c r="G3559" s="473"/>
      <c r="H3559" s="473"/>
      <c r="I3559" s="473"/>
      <c r="J3559" s="473"/>
      <c r="K3559" s="478"/>
      <c r="L3559" s="473"/>
      <c r="M3559" s="473"/>
    </row>
    <row r="3560" spans="5:13" ht="90" customHeight="1">
      <c r="E3560" s="473"/>
      <c r="F3560" s="473"/>
      <c r="G3560" s="473"/>
      <c r="H3560" s="495" t="s">
        <v>3576</v>
      </c>
      <c r="I3560" s="473"/>
      <c r="J3560" s="473"/>
      <c r="K3560" s="478"/>
      <c r="L3560" s="473"/>
      <c r="M3560" s="473"/>
    </row>
    <row r="3561" spans="5:13">
      <c r="E3561" s="473"/>
      <c r="F3561" s="473">
        <v>30.42</v>
      </c>
      <c r="G3561" s="473" t="s">
        <v>2226</v>
      </c>
      <c r="H3561" s="473" t="s">
        <v>2480</v>
      </c>
      <c r="I3561" s="474">
        <v>89.87</v>
      </c>
      <c r="J3561" s="473" t="s">
        <v>2226</v>
      </c>
      <c r="K3561" s="478">
        <f>F3561*I3561</f>
        <v>2733.85</v>
      </c>
      <c r="L3561" s="473">
        <f>77.07+12.8</f>
        <v>89.87</v>
      </c>
      <c r="M3561" s="473"/>
    </row>
    <row r="3562" spans="5:13">
      <c r="E3562" s="473"/>
      <c r="F3562" s="473">
        <v>6.1</v>
      </c>
      <c r="G3562" s="473" t="s">
        <v>2226</v>
      </c>
      <c r="H3562" s="473" t="s">
        <v>1103</v>
      </c>
      <c r="I3562" s="473">
        <v>110</v>
      </c>
      <c r="J3562" s="473" t="s">
        <v>2226</v>
      </c>
      <c r="K3562" s="478">
        <f>F3562*I3562</f>
        <v>671</v>
      </c>
      <c r="L3562" s="473"/>
      <c r="M3562" s="473"/>
    </row>
    <row r="3563" spans="5:13">
      <c r="E3563" s="473"/>
      <c r="F3563" s="473">
        <v>750</v>
      </c>
      <c r="G3563" s="473" t="s">
        <v>1454</v>
      </c>
      <c r="H3563" s="473" t="s">
        <v>2481</v>
      </c>
      <c r="I3563" s="474">
        <v>3625</v>
      </c>
      <c r="J3563" s="473" t="s">
        <v>1544</v>
      </c>
      <c r="K3563" s="478">
        <f>F3563*(I3563/1000)</f>
        <v>2718.75</v>
      </c>
      <c r="L3563" s="473"/>
      <c r="M3563" s="473"/>
    </row>
    <row r="3564" spans="5:13">
      <c r="E3564" s="473"/>
      <c r="F3564" s="473"/>
      <c r="G3564" s="473"/>
      <c r="H3564" s="473" t="s">
        <v>931</v>
      </c>
      <c r="I3564" s="473"/>
      <c r="J3564" s="473"/>
      <c r="K3564" s="478">
        <f>K3573</f>
        <v>1255</v>
      </c>
      <c r="L3564" s="473">
        <f>K3564/90</f>
        <v>13.94</v>
      </c>
      <c r="M3564" s="473"/>
    </row>
    <row r="3565" spans="5:13">
      <c r="E3565" s="473"/>
      <c r="F3565" s="473"/>
      <c r="G3565" s="473"/>
      <c r="H3565" s="473" t="s">
        <v>2359</v>
      </c>
      <c r="I3565" s="473"/>
      <c r="J3565" s="473"/>
      <c r="K3565" s="478">
        <f>16+1.11+2.29</f>
        <v>19.399999999999999</v>
      </c>
      <c r="L3565" s="473"/>
      <c r="M3565" s="473"/>
    </row>
    <row r="3566" spans="5:13">
      <c r="E3566" s="473"/>
      <c r="F3566" s="473"/>
      <c r="G3566" s="473"/>
      <c r="H3566" s="478" t="s">
        <v>2833</v>
      </c>
      <c r="I3566" s="473"/>
      <c r="J3566" s="473"/>
      <c r="K3566" s="478">
        <f>SUM(K3561:K3565)</f>
        <v>7398</v>
      </c>
      <c r="L3566" s="473">
        <f>70.8*90</f>
        <v>6372</v>
      </c>
      <c r="M3566" s="473"/>
    </row>
    <row r="3567" spans="5:13">
      <c r="E3567" s="473"/>
      <c r="F3567" s="473"/>
      <c r="G3567" s="473"/>
      <c r="H3567" s="480" t="s">
        <v>2499</v>
      </c>
      <c r="I3567" s="473"/>
      <c r="J3567" s="473"/>
      <c r="K3567" s="480">
        <f>K3566/90</f>
        <v>82.2</v>
      </c>
      <c r="L3567" s="473">
        <f>82.2*90</f>
        <v>7398</v>
      </c>
      <c r="M3567" s="473"/>
    </row>
    <row r="3568" spans="5:13">
      <c r="E3568" s="473"/>
      <c r="F3568" s="473"/>
      <c r="G3568" s="473"/>
      <c r="H3568" s="473"/>
      <c r="I3568" s="473"/>
      <c r="J3568" s="473"/>
      <c r="K3568" s="478"/>
      <c r="L3568" s="473">
        <f>L3567-K3566</f>
        <v>0</v>
      </c>
      <c r="M3568" s="473"/>
    </row>
    <row r="3569" spans="5:13">
      <c r="E3569" s="473"/>
      <c r="F3569" s="473"/>
      <c r="G3569" s="473"/>
      <c r="H3569" s="479" t="s">
        <v>144</v>
      </c>
      <c r="K3569" s="478"/>
      <c r="L3569" s="473"/>
      <c r="M3569" s="473"/>
    </row>
    <row r="3570" spans="5:13">
      <c r="E3570" s="473"/>
      <c r="F3570" s="473">
        <v>1</v>
      </c>
      <c r="G3570" s="473" t="s">
        <v>1454</v>
      </c>
      <c r="H3570" s="482" t="s">
        <v>2834</v>
      </c>
      <c r="I3570" s="246">
        <f>I3503</f>
        <v>277</v>
      </c>
      <c r="J3570" s="473" t="s">
        <v>1454</v>
      </c>
      <c r="K3570" s="478">
        <f>F3570*I3570</f>
        <v>277</v>
      </c>
      <c r="L3570" s="473"/>
      <c r="M3570" s="473"/>
    </row>
    <row r="3571" spans="5:13">
      <c r="E3571" s="473"/>
      <c r="F3571" s="473">
        <v>1</v>
      </c>
      <c r="G3571" s="473" t="s">
        <v>1454</v>
      </c>
      <c r="H3571" s="473" t="s">
        <v>2901</v>
      </c>
      <c r="I3571" s="246">
        <f>I3504</f>
        <v>254</v>
      </c>
      <c r="J3571" s="473" t="s">
        <v>1454</v>
      </c>
      <c r="K3571" s="478">
        <f>F3571*I3571</f>
        <v>254</v>
      </c>
      <c r="L3571" s="473"/>
      <c r="M3571" s="473"/>
    </row>
    <row r="3572" spans="5:13">
      <c r="E3572" s="473"/>
      <c r="F3572" s="473">
        <v>4</v>
      </c>
      <c r="G3572" s="473" t="s">
        <v>1454</v>
      </c>
      <c r="H3572" s="473" t="s">
        <v>2430</v>
      </c>
      <c r="I3572" s="473">
        <f>I3506</f>
        <v>181</v>
      </c>
      <c r="J3572" s="473" t="s">
        <v>1454</v>
      </c>
      <c r="K3572" s="478">
        <f>F3572*I3572</f>
        <v>724</v>
      </c>
      <c r="L3572" s="473"/>
      <c r="M3572" s="473"/>
    </row>
    <row r="3573" spans="5:13">
      <c r="E3573" s="473"/>
      <c r="F3573" s="473"/>
      <c r="G3573" s="473"/>
      <c r="H3573" s="473"/>
      <c r="I3573" s="473"/>
      <c r="J3573" s="473"/>
      <c r="K3573" s="480">
        <f>SUM(K3570:K3572)</f>
        <v>1255</v>
      </c>
      <c r="L3573" s="473"/>
      <c r="M3573" s="473"/>
    </row>
    <row r="3574" spans="5:13">
      <c r="E3574" s="473"/>
      <c r="F3574" s="473"/>
      <c r="G3574" s="473"/>
      <c r="H3574" s="481" t="s">
        <v>2482</v>
      </c>
      <c r="I3574" s="473"/>
      <c r="J3574" s="473"/>
      <c r="K3574" s="478"/>
      <c r="L3574" s="473"/>
      <c r="M3574" s="473"/>
    </row>
    <row r="3575" spans="5:13">
      <c r="E3575" s="473"/>
      <c r="F3575" s="473"/>
      <c r="G3575" s="473"/>
      <c r="H3575" s="473"/>
      <c r="I3575" s="473"/>
      <c r="J3575" s="473"/>
      <c r="K3575" s="478"/>
      <c r="L3575" s="473"/>
      <c r="M3575" s="473"/>
    </row>
    <row r="3576" spans="5:13">
      <c r="E3576" s="473"/>
      <c r="F3576" s="473"/>
      <c r="G3576" s="473"/>
      <c r="H3576" s="481" t="s">
        <v>3499</v>
      </c>
      <c r="I3576" s="473"/>
      <c r="J3576" s="473"/>
      <c r="K3576" s="478"/>
      <c r="L3576" s="473"/>
      <c r="M3576" s="473"/>
    </row>
    <row r="3577" spans="5:13" ht="78.75">
      <c r="E3577" s="473"/>
      <c r="F3577" s="473"/>
      <c r="G3577" s="473"/>
      <c r="H3577" s="495" t="s">
        <v>2882</v>
      </c>
      <c r="I3577" s="473"/>
      <c r="J3577" s="473"/>
      <c r="K3577" s="478"/>
      <c r="L3577" s="473"/>
      <c r="M3577" s="473"/>
    </row>
    <row r="3578" spans="5:13">
      <c r="E3578" s="473"/>
      <c r="F3578" s="473">
        <v>1</v>
      </c>
      <c r="G3578" s="473" t="s">
        <v>2763</v>
      </c>
      <c r="H3578" s="473" t="s">
        <v>2583</v>
      </c>
      <c r="I3578" s="474">
        <v>68.2</v>
      </c>
      <c r="J3578" s="473" t="s">
        <v>2763</v>
      </c>
      <c r="K3578" s="478">
        <f>F3578*I3578</f>
        <v>68.2</v>
      </c>
      <c r="L3578" s="473"/>
      <c r="M3578" s="473"/>
    </row>
    <row r="3579" spans="5:13">
      <c r="E3579" s="473"/>
      <c r="F3579" s="473">
        <v>300</v>
      </c>
      <c r="G3579" s="473" t="s">
        <v>1454</v>
      </c>
      <c r="H3579" s="473" t="s">
        <v>2883</v>
      </c>
      <c r="I3579" s="474">
        <v>78.7</v>
      </c>
      <c r="J3579" s="473" t="s">
        <v>2763</v>
      </c>
      <c r="K3579" s="478">
        <f>F3579*(I3579/144)</f>
        <v>163.96</v>
      </c>
      <c r="L3579" s="473"/>
      <c r="M3579" s="473"/>
    </row>
    <row r="3580" spans="5:13">
      <c r="E3580" s="473"/>
      <c r="F3580" s="473">
        <v>300</v>
      </c>
      <c r="G3580" s="473" t="s">
        <v>1454</v>
      </c>
      <c r="H3580" s="473" t="s">
        <v>2884</v>
      </c>
      <c r="I3580" s="474">
        <v>325</v>
      </c>
      <c r="J3580" s="473" t="s">
        <v>1544</v>
      </c>
      <c r="K3580" s="478">
        <f>F3580*(I3580/1000)</f>
        <v>97.5</v>
      </c>
      <c r="L3580" s="473"/>
      <c r="M3580" s="473"/>
    </row>
    <row r="3581" spans="5:13">
      <c r="E3581" s="473"/>
      <c r="F3581" s="473"/>
      <c r="G3581" s="473"/>
      <c r="H3581" s="473" t="s">
        <v>2885</v>
      </c>
      <c r="I3581" s="473"/>
      <c r="J3581" s="473"/>
      <c r="K3581" s="478">
        <v>17.34</v>
      </c>
      <c r="L3581" s="473">
        <f>45.2*90</f>
        <v>4068</v>
      </c>
      <c r="M3581" s="473"/>
    </row>
    <row r="3582" spans="5:13">
      <c r="E3582" s="473"/>
      <c r="F3582" s="473"/>
      <c r="G3582" s="473"/>
      <c r="H3582" s="473" t="s">
        <v>931</v>
      </c>
      <c r="I3582" s="473"/>
      <c r="J3582" s="473"/>
      <c r="K3582" s="478">
        <f>K3592</f>
        <v>4486</v>
      </c>
      <c r="L3582" s="473">
        <f>36.5*90</f>
        <v>3285</v>
      </c>
      <c r="M3582" s="473"/>
    </row>
    <row r="3583" spans="5:13">
      <c r="E3583" s="473"/>
      <c r="F3583" s="473"/>
      <c r="G3583" s="473"/>
      <c r="H3583" s="478" t="s">
        <v>2886</v>
      </c>
      <c r="I3583" s="473"/>
      <c r="J3583" s="473"/>
      <c r="K3583" s="571">
        <f>SUM(K3578:K3582)</f>
        <v>4833</v>
      </c>
      <c r="L3583" s="473">
        <f>L3582-K3583</f>
        <v>-1548</v>
      </c>
      <c r="M3583" s="473"/>
    </row>
    <row r="3584" spans="5:13">
      <c r="E3584" s="473"/>
      <c r="F3584" s="473"/>
      <c r="G3584" s="473"/>
      <c r="H3584" s="480" t="s">
        <v>2896</v>
      </c>
      <c r="I3584" s="473"/>
      <c r="J3584" s="473"/>
      <c r="K3584" s="480">
        <f>K3583/90</f>
        <v>53.7</v>
      </c>
      <c r="L3584" s="473"/>
      <c r="M3584" s="473"/>
    </row>
    <row r="3585" spans="5:13">
      <c r="E3585" s="473"/>
      <c r="F3585" s="473"/>
      <c r="G3585" s="473"/>
      <c r="H3585" s="473"/>
      <c r="I3585" s="473"/>
      <c r="J3585" s="473"/>
      <c r="K3585" s="478"/>
      <c r="L3585" s="473"/>
      <c r="M3585" s="473"/>
    </row>
    <row r="3586" spans="5:13">
      <c r="E3586" s="473"/>
      <c r="F3586" s="473"/>
      <c r="G3586" s="473"/>
      <c r="H3586" s="479" t="s">
        <v>2770</v>
      </c>
      <c r="I3586" s="473"/>
      <c r="J3586" s="473"/>
      <c r="K3586" s="478"/>
      <c r="L3586" s="473"/>
      <c r="M3586" s="473"/>
    </row>
    <row r="3587" spans="5:13">
      <c r="E3587" s="473"/>
      <c r="F3587" s="473">
        <v>1</v>
      </c>
      <c r="G3587" s="473" t="s">
        <v>1454</v>
      </c>
      <c r="H3587" s="482" t="s">
        <v>2887</v>
      </c>
      <c r="I3587" s="474">
        <f>I3354</f>
        <v>291</v>
      </c>
      <c r="J3587" s="473" t="s">
        <v>1454</v>
      </c>
      <c r="K3587" s="478">
        <f>F3587*I3587</f>
        <v>291</v>
      </c>
      <c r="L3587" s="473"/>
      <c r="M3587" s="473"/>
    </row>
    <row r="3588" spans="5:13">
      <c r="E3588" s="473"/>
      <c r="F3588" s="473">
        <v>2</v>
      </c>
      <c r="G3588" s="473" t="s">
        <v>1454</v>
      </c>
      <c r="H3588" s="473" t="s">
        <v>2901</v>
      </c>
      <c r="I3588" s="473">
        <f>I3504</f>
        <v>254</v>
      </c>
      <c r="J3588" s="473" t="s">
        <v>1454</v>
      </c>
      <c r="K3588" s="478">
        <f>F3588*I3588</f>
        <v>508</v>
      </c>
      <c r="L3588" s="473"/>
      <c r="M3588" s="473"/>
    </row>
    <row r="3589" spans="5:13">
      <c r="E3589" s="473"/>
      <c r="F3589" s="473">
        <v>3</v>
      </c>
      <c r="G3589" s="473" t="s">
        <v>1454</v>
      </c>
      <c r="H3589" s="473" t="s">
        <v>2711</v>
      </c>
      <c r="I3589" s="473">
        <f>I3505</f>
        <v>240</v>
      </c>
      <c r="J3589" s="473" t="s">
        <v>1454</v>
      </c>
      <c r="K3589" s="478">
        <f>F3589*I3589</f>
        <v>720</v>
      </c>
      <c r="L3589" s="473"/>
      <c r="M3589" s="473"/>
    </row>
    <row r="3590" spans="5:13">
      <c r="E3590" s="473"/>
      <c r="F3590" s="473">
        <v>4</v>
      </c>
      <c r="G3590" s="473" t="s">
        <v>1454</v>
      </c>
      <c r="H3590" s="473" t="s">
        <v>2430</v>
      </c>
      <c r="I3590" s="473">
        <f>I3506</f>
        <v>181</v>
      </c>
      <c r="J3590" s="473" t="s">
        <v>1454</v>
      </c>
      <c r="K3590" s="478">
        <f>F3590*I3590</f>
        <v>724</v>
      </c>
      <c r="L3590" s="473"/>
      <c r="M3590" s="473"/>
    </row>
    <row r="3591" spans="5:13">
      <c r="E3591" s="473"/>
      <c r="F3591" s="473"/>
      <c r="G3591" s="473"/>
      <c r="H3591" s="478" t="s">
        <v>2888</v>
      </c>
      <c r="I3591" s="473"/>
      <c r="J3591" s="473"/>
      <c r="K3591" s="478">
        <f>SUM(K3587:K3590)</f>
        <v>2243</v>
      </c>
      <c r="L3591" s="473"/>
      <c r="M3591" s="473"/>
    </row>
    <row r="3592" spans="5:13">
      <c r="E3592" s="473"/>
      <c r="F3592" s="473"/>
      <c r="G3592" s="473"/>
      <c r="H3592" s="480" t="s">
        <v>2889</v>
      </c>
      <c r="I3592" s="473"/>
      <c r="J3592" s="473"/>
      <c r="K3592" s="480">
        <f>K3591*2</f>
        <v>4486</v>
      </c>
      <c r="L3592" s="473"/>
      <c r="M3592" s="473"/>
    </row>
    <row r="3593" spans="5:13" hidden="1">
      <c r="E3593" s="473"/>
      <c r="F3593" s="473"/>
      <c r="G3593" s="473"/>
      <c r="H3593" s="473"/>
      <c r="I3593" s="473"/>
      <c r="J3593" s="473"/>
      <c r="K3593" s="478"/>
      <c r="L3593" s="473"/>
      <c r="M3593" s="473"/>
    </row>
    <row r="3594" spans="5:13">
      <c r="E3594" s="473"/>
      <c r="F3594" s="473"/>
      <c r="G3594" s="473"/>
      <c r="H3594" s="481" t="s">
        <v>2890</v>
      </c>
      <c r="I3594" s="473"/>
      <c r="J3594" s="473"/>
      <c r="K3594" s="478"/>
      <c r="L3594" s="473"/>
      <c r="M3594" s="473"/>
    </row>
    <row r="3595" spans="5:13">
      <c r="E3595" s="473"/>
      <c r="F3595" s="473"/>
      <c r="G3595" s="473"/>
      <c r="H3595" s="473"/>
      <c r="I3595" s="473"/>
      <c r="J3595" s="473"/>
      <c r="K3595" s="478"/>
      <c r="L3595" s="473"/>
      <c r="M3595" s="473"/>
    </row>
    <row r="3596" spans="5:13">
      <c r="E3596" s="473"/>
      <c r="F3596" s="473"/>
      <c r="G3596" s="473"/>
      <c r="H3596" s="481" t="s">
        <v>2891</v>
      </c>
      <c r="I3596" s="473"/>
      <c r="J3596" s="473"/>
      <c r="K3596" s="478"/>
      <c r="L3596" s="473"/>
      <c r="M3596" s="473"/>
    </row>
    <row r="3597" spans="5:13">
      <c r="E3597" s="473"/>
      <c r="F3597" s="473"/>
      <c r="G3597" s="473"/>
      <c r="H3597" s="473"/>
      <c r="I3597" s="473"/>
      <c r="J3597" s="473"/>
      <c r="K3597" s="478"/>
      <c r="L3597" s="473"/>
      <c r="M3597" s="473"/>
    </row>
    <row r="3598" spans="5:13" ht="94.5">
      <c r="E3598" s="473"/>
      <c r="F3598" s="473"/>
      <c r="G3598" s="473"/>
      <c r="H3598" s="495" t="s">
        <v>2315</v>
      </c>
      <c r="I3598" s="473"/>
      <c r="J3598" s="473"/>
      <c r="K3598" s="478"/>
      <c r="L3598" s="473"/>
      <c r="M3598" s="473"/>
    </row>
    <row r="3599" spans="5:13">
      <c r="E3599" s="473"/>
      <c r="F3599" s="473"/>
      <c r="G3599" s="473"/>
      <c r="H3599" s="481" t="s">
        <v>3268</v>
      </c>
      <c r="I3599" s="473"/>
      <c r="J3599" s="473"/>
      <c r="K3599" s="478"/>
      <c r="L3599" s="473"/>
      <c r="M3599" s="473"/>
    </row>
    <row r="3600" spans="5:13">
      <c r="E3600" s="473"/>
      <c r="F3600" s="473"/>
      <c r="G3600" s="473"/>
      <c r="H3600" s="473"/>
      <c r="I3600" s="473"/>
      <c r="J3600" s="473"/>
      <c r="K3600" s="478"/>
      <c r="L3600" s="473"/>
      <c r="M3600" s="473"/>
    </row>
    <row r="3601" spans="5:13" ht="225" customHeight="1">
      <c r="E3601" s="473"/>
      <c r="F3601" s="473"/>
      <c r="G3601" s="473"/>
      <c r="H3601" s="495" t="s">
        <v>864</v>
      </c>
      <c r="I3601" s="473"/>
      <c r="J3601" s="473"/>
      <c r="K3601" s="478"/>
      <c r="L3601" s="473"/>
      <c r="M3601" s="473"/>
    </row>
    <row r="3602" spans="5:13">
      <c r="E3602" s="473"/>
      <c r="F3602" s="473"/>
      <c r="G3602" s="473"/>
      <c r="H3602" s="479" t="s">
        <v>2954</v>
      </c>
      <c r="I3602" s="479" t="s">
        <v>2955</v>
      </c>
      <c r="J3602" s="479" t="s">
        <v>2956</v>
      </c>
      <c r="K3602" s="571" t="s">
        <v>2957</v>
      </c>
      <c r="L3602" s="479" t="s">
        <v>2958</v>
      </c>
      <c r="M3602" s="473"/>
    </row>
    <row r="3603" spans="5:13">
      <c r="E3603" s="473"/>
      <c r="F3603" s="473"/>
      <c r="G3603" s="473"/>
      <c r="H3603" s="473" t="s">
        <v>2954</v>
      </c>
      <c r="I3603" s="474">
        <v>3255</v>
      </c>
      <c r="J3603" s="474">
        <f>I3603</f>
        <v>3255</v>
      </c>
      <c r="K3603" s="573">
        <v>3280</v>
      </c>
      <c r="L3603" s="474">
        <v>3330</v>
      </c>
      <c r="M3603" s="473"/>
    </row>
    <row r="3604" spans="5:13">
      <c r="E3604" s="473"/>
      <c r="F3604" s="473"/>
      <c r="G3604" s="473"/>
      <c r="H3604" s="473" t="s">
        <v>2959</v>
      </c>
      <c r="I3604" s="473">
        <v>191</v>
      </c>
      <c r="J3604" s="473">
        <v>466</v>
      </c>
      <c r="K3604" s="575">
        <v>630</v>
      </c>
      <c r="L3604" s="496">
        <v>735</v>
      </c>
      <c r="M3604" s="473"/>
    </row>
    <row r="3605" spans="5:13">
      <c r="E3605" s="473"/>
      <c r="F3605" s="473"/>
      <c r="G3605" s="473"/>
      <c r="H3605" s="480" t="s">
        <v>2960</v>
      </c>
      <c r="I3605" s="481">
        <f>SUM(I3603:I3604)</f>
        <v>3446</v>
      </c>
      <c r="J3605" s="481">
        <f>SUM(J3603:J3604)</f>
        <v>3721</v>
      </c>
      <c r="K3605" s="574">
        <f>SUM(K3603:K3604)</f>
        <v>3910</v>
      </c>
      <c r="L3605" s="493">
        <f>SUM(L3603:L3604)</f>
        <v>4065</v>
      </c>
      <c r="M3605" s="473"/>
    </row>
    <row r="3606" spans="5:13">
      <c r="E3606" s="473"/>
      <c r="F3606" s="473"/>
      <c r="G3606" s="473"/>
      <c r="H3606" s="473"/>
      <c r="I3606" s="473"/>
      <c r="J3606" s="473"/>
      <c r="K3606" s="478"/>
      <c r="L3606" s="473"/>
      <c r="M3606" s="473"/>
    </row>
    <row r="3607" spans="5:13">
      <c r="E3607" s="473"/>
      <c r="F3607" s="473"/>
      <c r="G3607" s="473"/>
      <c r="H3607" s="481" t="s">
        <v>2961</v>
      </c>
      <c r="I3607" s="473"/>
      <c r="J3607" s="473"/>
      <c r="K3607" s="478"/>
      <c r="L3607" s="473"/>
      <c r="M3607" s="473"/>
    </row>
    <row r="3608" spans="5:13">
      <c r="E3608" s="473"/>
      <c r="F3608" s="473"/>
      <c r="G3608" s="473"/>
      <c r="H3608" s="473"/>
      <c r="I3608" s="473"/>
      <c r="J3608" s="473"/>
      <c r="K3608" s="478"/>
      <c r="L3608" s="473"/>
      <c r="M3608" s="473"/>
    </row>
    <row r="3609" spans="5:13">
      <c r="E3609" s="473"/>
      <c r="F3609" s="473"/>
      <c r="G3609" s="473"/>
      <c r="H3609" s="481" t="s">
        <v>2962</v>
      </c>
      <c r="I3609" s="473"/>
      <c r="J3609" s="473"/>
      <c r="K3609" s="478"/>
      <c r="L3609" s="473"/>
      <c r="M3609" s="473"/>
    </row>
    <row r="3610" spans="5:13" ht="86.25" customHeight="1">
      <c r="E3610" s="473"/>
      <c r="F3610" s="473"/>
      <c r="G3610" s="473"/>
      <c r="H3610" s="495" t="s">
        <v>3025</v>
      </c>
      <c r="I3610" s="473"/>
      <c r="J3610" s="473"/>
      <c r="K3610" s="478"/>
      <c r="L3610" s="473"/>
      <c r="M3610" s="473"/>
    </row>
    <row r="3611" spans="5:13">
      <c r="E3611" s="473"/>
      <c r="F3611" s="473"/>
      <c r="G3611" s="473"/>
      <c r="H3611" s="473"/>
      <c r="I3611" s="473"/>
      <c r="J3611" s="473"/>
      <c r="K3611" s="478"/>
      <c r="L3611" s="473"/>
      <c r="M3611" s="473"/>
    </row>
    <row r="3612" spans="5:13">
      <c r="E3612" s="473"/>
      <c r="F3612" s="473">
        <v>2</v>
      </c>
      <c r="G3612" s="473" t="s">
        <v>840</v>
      </c>
      <c r="H3612" s="473" t="s">
        <v>3026</v>
      </c>
      <c r="I3612" s="474">
        <v>93.45</v>
      </c>
      <c r="J3612" s="473" t="s">
        <v>840</v>
      </c>
      <c r="K3612" s="478">
        <f>F3612*I3612</f>
        <v>186.9</v>
      </c>
      <c r="L3612" s="473"/>
      <c r="M3612" s="473"/>
    </row>
    <row r="3613" spans="5:13">
      <c r="E3613" s="473"/>
      <c r="F3613" s="473">
        <v>2</v>
      </c>
      <c r="G3613" s="473" t="s">
        <v>2068</v>
      </c>
      <c r="H3613" s="473" t="s">
        <v>3027</v>
      </c>
      <c r="I3613" s="473">
        <v>35</v>
      </c>
      <c r="J3613" s="473" t="s">
        <v>2068</v>
      </c>
      <c r="K3613" s="478">
        <f>F3613*I3613</f>
        <v>70</v>
      </c>
      <c r="L3613" s="473"/>
      <c r="M3613" s="473"/>
    </row>
    <row r="3614" spans="5:13">
      <c r="E3614" s="473"/>
      <c r="F3614" s="473">
        <v>1</v>
      </c>
      <c r="G3614" s="473" t="s">
        <v>1454</v>
      </c>
      <c r="H3614" s="473" t="s">
        <v>3028</v>
      </c>
      <c r="I3614" s="474">
        <v>50</v>
      </c>
      <c r="J3614" s="473" t="s">
        <v>1458</v>
      </c>
      <c r="K3614" s="478">
        <f>F3614*I3614</f>
        <v>50</v>
      </c>
      <c r="L3614" s="473"/>
      <c r="M3614" s="473"/>
    </row>
    <row r="3615" spans="5:13">
      <c r="E3615" s="473"/>
      <c r="F3615" s="473">
        <v>1</v>
      </c>
      <c r="G3615" s="473" t="s">
        <v>1454</v>
      </c>
      <c r="H3615" s="473" t="s">
        <v>3029</v>
      </c>
      <c r="I3615" s="473">
        <f>K3628</f>
        <v>22.16</v>
      </c>
      <c r="J3615" s="473" t="s">
        <v>1458</v>
      </c>
      <c r="K3615" s="478">
        <f>F3615*I3615</f>
        <v>22.16</v>
      </c>
      <c r="L3615" s="473"/>
      <c r="M3615" s="473"/>
    </row>
    <row r="3616" spans="5:13">
      <c r="E3616" s="473"/>
      <c r="F3616" s="473">
        <v>8</v>
      </c>
      <c r="G3616" s="473" t="s">
        <v>840</v>
      </c>
      <c r="H3616" s="473" t="s">
        <v>3030</v>
      </c>
      <c r="I3616" s="473">
        <f>I3101</f>
        <v>19.899999999999999</v>
      </c>
      <c r="J3616" s="473" t="s">
        <v>3484</v>
      </c>
      <c r="K3616" s="478">
        <f>F3616*I3616</f>
        <v>159.19999999999999</v>
      </c>
      <c r="L3616" s="473"/>
      <c r="M3616" s="473"/>
    </row>
    <row r="3617" spans="5:13" ht="51" customHeight="1">
      <c r="E3617" s="473"/>
      <c r="F3617" s="473">
        <v>1</v>
      </c>
      <c r="G3617" s="473" t="s">
        <v>1454</v>
      </c>
      <c r="H3617" s="495" t="s">
        <v>3031</v>
      </c>
      <c r="I3617" s="473"/>
      <c r="J3617" s="473"/>
      <c r="K3617" s="478">
        <f>K3627</f>
        <v>518</v>
      </c>
      <c r="L3617" s="473"/>
      <c r="M3617" s="473"/>
    </row>
    <row r="3618" spans="5:13" ht="36.75" customHeight="1">
      <c r="E3618" s="473"/>
      <c r="F3618" s="473"/>
      <c r="G3618" s="473"/>
      <c r="H3618" s="495" t="s">
        <v>2612</v>
      </c>
      <c r="I3618" s="473" t="s">
        <v>667</v>
      </c>
      <c r="J3618" s="473"/>
      <c r="K3618" s="478">
        <v>13.84</v>
      </c>
      <c r="L3618" s="473"/>
      <c r="M3618" s="473"/>
    </row>
    <row r="3619" spans="5:13">
      <c r="E3619" s="473"/>
      <c r="F3619" s="473"/>
      <c r="G3619" s="473"/>
      <c r="H3619" s="480" t="s">
        <v>2475</v>
      </c>
      <c r="I3619" s="473"/>
      <c r="J3619" s="473"/>
      <c r="K3619" s="480">
        <f>SUM(K3612:K3618)</f>
        <v>1020.1</v>
      </c>
      <c r="L3619" s="473"/>
      <c r="M3619" s="473"/>
    </row>
    <row r="3620" spans="5:13">
      <c r="E3620" s="473"/>
      <c r="F3620" s="473"/>
      <c r="G3620" s="473"/>
      <c r="H3620" s="473"/>
      <c r="I3620" s="473"/>
      <c r="J3620" s="473"/>
      <c r="K3620" s="478"/>
      <c r="L3620" s="473"/>
      <c r="M3620" s="473"/>
    </row>
    <row r="3621" spans="5:13">
      <c r="E3621" s="473"/>
      <c r="F3621" s="473"/>
      <c r="G3621" s="473"/>
      <c r="H3621" s="479" t="s">
        <v>2613</v>
      </c>
      <c r="I3621" s="473"/>
      <c r="J3621" s="473"/>
      <c r="K3621" s="478"/>
      <c r="L3621" s="473"/>
      <c r="M3621" s="473"/>
    </row>
    <row r="3622" spans="5:13">
      <c r="E3622" s="473"/>
      <c r="F3622" s="473">
        <v>1</v>
      </c>
      <c r="G3622" s="473" t="s">
        <v>1454</v>
      </c>
      <c r="H3622" s="482" t="s">
        <v>2834</v>
      </c>
      <c r="I3622" s="473">
        <f>I3503</f>
        <v>277</v>
      </c>
      <c r="J3622" s="473" t="s">
        <v>1454</v>
      </c>
      <c r="K3622" s="478">
        <f>F3622*I3622</f>
        <v>277</v>
      </c>
      <c r="L3622" s="473"/>
      <c r="M3622" s="473"/>
    </row>
    <row r="3623" spans="5:13">
      <c r="E3623" s="473"/>
      <c r="F3623" s="473">
        <v>1</v>
      </c>
      <c r="G3623" s="473" t="s">
        <v>1454</v>
      </c>
      <c r="H3623" s="473" t="s">
        <v>2901</v>
      </c>
      <c r="I3623" s="473">
        <f>I3504</f>
        <v>254</v>
      </c>
      <c r="J3623" s="473" t="s">
        <v>1454</v>
      </c>
      <c r="K3623" s="478">
        <f>F3623*I3623</f>
        <v>254</v>
      </c>
      <c r="L3623" s="473"/>
      <c r="M3623" s="473"/>
    </row>
    <row r="3624" spans="5:13">
      <c r="E3624" s="473"/>
      <c r="F3624" s="473">
        <v>2</v>
      </c>
      <c r="G3624" s="473" t="s">
        <v>1454</v>
      </c>
      <c r="H3624" s="473" t="s">
        <v>2711</v>
      </c>
      <c r="I3624" s="473">
        <f>I3505</f>
        <v>240</v>
      </c>
      <c r="J3624" s="473" t="s">
        <v>1454</v>
      </c>
      <c r="K3624" s="478">
        <f>F3624*I3624</f>
        <v>480</v>
      </c>
      <c r="L3624" s="473"/>
      <c r="M3624" s="473"/>
    </row>
    <row r="3625" spans="5:13">
      <c r="E3625" s="473"/>
      <c r="F3625" s="473">
        <v>3</v>
      </c>
      <c r="G3625" s="473" t="s">
        <v>1454</v>
      </c>
      <c r="H3625" s="473" t="s">
        <v>2430</v>
      </c>
      <c r="I3625" s="473">
        <f>I3506</f>
        <v>181</v>
      </c>
      <c r="J3625" s="473" t="s">
        <v>1454</v>
      </c>
      <c r="K3625" s="478">
        <f>F3625*I3625</f>
        <v>543</v>
      </c>
      <c r="L3625" s="473"/>
      <c r="M3625" s="473"/>
    </row>
    <row r="3626" spans="5:13">
      <c r="E3626" s="473"/>
      <c r="F3626" s="473"/>
      <c r="G3626" s="473"/>
      <c r="H3626" s="478" t="s">
        <v>3014</v>
      </c>
      <c r="I3626" s="473"/>
      <c r="J3626" s="473"/>
      <c r="K3626" s="571">
        <f>SUM(K3622:K3625)</f>
        <v>1554</v>
      </c>
      <c r="L3626" s="473"/>
      <c r="M3626" s="473"/>
    </row>
    <row r="3627" spans="5:13">
      <c r="E3627" s="473"/>
      <c r="F3627" s="473"/>
      <c r="G3627" s="473"/>
      <c r="H3627" s="480" t="s">
        <v>2929</v>
      </c>
      <c r="I3627" s="473"/>
      <c r="J3627" s="473"/>
      <c r="K3627" s="480">
        <f>K3626/3</f>
        <v>518</v>
      </c>
      <c r="L3627" s="473"/>
      <c r="M3627" s="473"/>
    </row>
    <row r="3628" spans="5:13">
      <c r="E3628" s="473"/>
      <c r="F3628" s="473"/>
      <c r="G3628" s="473"/>
      <c r="H3628" s="481" t="s">
        <v>2614</v>
      </c>
      <c r="I3628" s="473">
        <f>I3483</f>
        <v>73860</v>
      </c>
      <c r="J3628" s="487">
        <v>2.9999999999999997E-4</v>
      </c>
      <c r="K3628" s="480">
        <f>I3628*J3628</f>
        <v>22.16</v>
      </c>
      <c r="L3628" s="473"/>
      <c r="M3628" s="473"/>
    </row>
    <row r="3629" spans="5:13">
      <c r="E3629" s="473"/>
      <c r="F3629" s="473"/>
      <c r="G3629" s="473"/>
      <c r="H3629" s="473"/>
      <c r="I3629" s="473"/>
      <c r="J3629" s="473"/>
      <c r="K3629" s="478"/>
      <c r="L3629" s="473"/>
      <c r="M3629" s="473"/>
    </row>
    <row r="3630" spans="5:13">
      <c r="E3630" s="473"/>
      <c r="F3630" s="473"/>
      <c r="G3630" s="473"/>
      <c r="H3630" s="481" t="s">
        <v>2477</v>
      </c>
      <c r="I3630" s="473"/>
      <c r="J3630" s="473"/>
      <c r="K3630" s="478"/>
      <c r="L3630" s="473"/>
      <c r="M3630" s="473"/>
    </row>
    <row r="3631" spans="5:13">
      <c r="E3631" s="473"/>
      <c r="F3631" s="473"/>
      <c r="G3631" s="473"/>
      <c r="H3631" s="473"/>
      <c r="I3631" s="473"/>
      <c r="J3631" s="473"/>
      <c r="K3631" s="478"/>
      <c r="L3631" s="473"/>
      <c r="M3631" s="473"/>
    </row>
    <row r="3632" spans="5:13">
      <c r="E3632" s="473"/>
      <c r="F3632" s="473"/>
      <c r="G3632" s="473"/>
      <c r="H3632" s="481" t="s">
        <v>3277</v>
      </c>
      <c r="I3632" s="473"/>
      <c r="J3632" s="473"/>
      <c r="K3632" s="478"/>
      <c r="L3632" s="473"/>
      <c r="M3632" s="473"/>
    </row>
    <row r="3633" spans="5:13">
      <c r="E3633" s="473"/>
      <c r="F3633" s="473"/>
      <c r="G3633" s="473"/>
      <c r="H3633" s="473"/>
      <c r="I3633" s="473"/>
      <c r="J3633" s="473"/>
      <c r="K3633" s="478"/>
      <c r="L3633" s="473"/>
      <c r="M3633" s="473"/>
    </row>
    <row r="3634" spans="5:13">
      <c r="E3634" s="473"/>
      <c r="F3634" s="473">
        <v>1</v>
      </c>
      <c r="G3634" s="473" t="s">
        <v>1454</v>
      </c>
      <c r="H3634" s="495" t="s">
        <v>3278</v>
      </c>
      <c r="I3634" s="475">
        <v>674</v>
      </c>
      <c r="J3634" s="473" t="s">
        <v>1454</v>
      </c>
      <c r="K3634" s="478">
        <f>F3634*I3634</f>
        <v>674</v>
      </c>
      <c r="L3634" s="473"/>
      <c r="M3634" s="473"/>
    </row>
    <row r="3635" spans="5:13">
      <c r="E3635" s="473"/>
      <c r="F3635" s="473">
        <v>1</v>
      </c>
      <c r="G3635" s="473" t="s">
        <v>1454</v>
      </c>
      <c r="H3635" s="495" t="s">
        <v>3261</v>
      </c>
      <c r="I3635" s="475">
        <v>39.9</v>
      </c>
      <c r="J3635" s="473" t="s">
        <v>1454</v>
      </c>
      <c r="K3635" s="478">
        <f>F3635*I3635</f>
        <v>39.9</v>
      </c>
      <c r="L3635" s="473"/>
      <c r="M3635" s="473"/>
    </row>
    <row r="3636" spans="5:13">
      <c r="E3636" s="473"/>
      <c r="F3636" s="473">
        <v>1</v>
      </c>
      <c r="G3636" s="473" t="s">
        <v>1454</v>
      </c>
      <c r="H3636" s="495" t="s">
        <v>931</v>
      </c>
      <c r="I3636" s="473">
        <f>K3619</f>
        <v>1020.1</v>
      </c>
      <c r="J3636" s="473" t="s">
        <v>1454</v>
      </c>
      <c r="K3636" s="478">
        <f>F3636*I3636</f>
        <v>1020.1</v>
      </c>
      <c r="L3636" s="473"/>
      <c r="M3636" s="473"/>
    </row>
    <row r="3637" spans="5:13">
      <c r="E3637" s="473"/>
      <c r="F3637" s="473"/>
      <c r="G3637" s="473"/>
      <c r="H3637" s="480" t="s">
        <v>1100</v>
      </c>
      <c r="I3637" s="473"/>
      <c r="J3637" s="473"/>
      <c r="K3637" s="480">
        <f>SUM(K3634:K3636)</f>
        <v>1734</v>
      </c>
      <c r="L3637" s="473"/>
      <c r="M3637" s="473"/>
    </row>
    <row r="3638" spans="5:13">
      <c r="E3638" s="473"/>
      <c r="F3638" s="473"/>
      <c r="G3638" s="473"/>
      <c r="H3638" s="473"/>
      <c r="I3638" s="473"/>
      <c r="J3638" s="473"/>
      <c r="K3638" s="478"/>
      <c r="L3638" s="473"/>
      <c r="M3638" s="473"/>
    </row>
    <row r="3639" spans="5:13">
      <c r="E3639" s="473"/>
      <c r="F3639" s="473"/>
      <c r="G3639" s="473"/>
      <c r="H3639" s="481" t="s">
        <v>3262</v>
      </c>
      <c r="I3639" s="473"/>
      <c r="J3639" s="473"/>
      <c r="K3639" s="478"/>
      <c r="L3639" s="473"/>
      <c r="M3639" s="473"/>
    </row>
    <row r="3640" spans="5:13" ht="78.75">
      <c r="E3640" s="473"/>
      <c r="F3640" s="473"/>
      <c r="G3640" s="473"/>
      <c r="H3640" s="495" t="s">
        <v>3263</v>
      </c>
      <c r="I3640" s="473"/>
      <c r="J3640" s="473"/>
      <c r="K3640" s="478"/>
      <c r="L3640" s="473"/>
      <c r="M3640" s="473"/>
    </row>
    <row r="3641" spans="5:13">
      <c r="E3641" s="473"/>
      <c r="F3641" s="473"/>
      <c r="G3641" s="473"/>
      <c r="H3641" s="473"/>
      <c r="I3641" s="473"/>
      <c r="J3641" s="473"/>
      <c r="K3641" s="478"/>
      <c r="L3641" s="473"/>
      <c r="M3641" s="473"/>
    </row>
    <row r="3642" spans="5:13">
      <c r="E3642" s="473"/>
      <c r="F3642" s="473">
        <v>1.5</v>
      </c>
      <c r="G3642" s="473" t="s">
        <v>840</v>
      </c>
      <c r="H3642" s="473" t="s">
        <v>3274</v>
      </c>
      <c r="I3642" s="474">
        <v>198.45</v>
      </c>
      <c r="J3642" s="473" t="s">
        <v>840</v>
      </c>
      <c r="K3642" s="478">
        <f>F3642*I3642</f>
        <v>297.68</v>
      </c>
      <c r="L3642" s="473"/>
      <c r="M3642" s="473"/>
    </row>
    <row r="3643" spans="5:13">
      <c r="E3643" s="473"/>
      <c r="F3643" s="473">
        <v>2</v>
      </c>
      <c r="G3643" s="473" t="s">
        <v>3275</v>
      </c>
      <c r="H3643" s="473" t="s">
        <v>3276</v>
      </c>
      <c r="I3643" s="473">
        <f>I3613</f>
        <v>35</v>
      </c>
      <c r="J3643" s="473" t="s">
        <v>3275</v>
      </c>
      <c r="K3643" s="478">
        <f>F3643*I3643</f>
        <v>70</v>
      </c>
      <c r="L3643" s="473"/>
      <c r="M3643" s="473"/>
    </row>
    <row r="3644" spans="5:13">
      <c r="E3644" s="473"/>
      <c r="F3644" s="473">
        <v>1</v>
      </c>
      <c r="G3644" s="473" t="s">
        <v>1454</v>
      </c>
      <c r="H3644" s="473" t="s">
        <v>3264</v>
      </c>
      <c r="I3644" s="473">
        <f>I3614</f>
        <v>50</v>
      </c>
      <c r="J3644" s="473" t="s">
        <v>1454</v>
      </c>
      <c r="K3644" s="478">
        <f>F3644*I3644</f>
        <v>50</v>
      </c>
      <c r="L3644" s="473"/>
      <c r="M3644" s="473"/>
    </row>
    <row r="3645" spans="5:13">
      <c r="E3645" s="473"/>
      <c r="F3645" s="473">
        <v>1</v>
      </c>
      <c r="G3645" s="473" t="s">
        <v>1454</v>
      </c>
      <c r="H3645" s="473" t="s">
        <v>3408</v>
      </c>
      <c r="I3645" s="473">
        <f>I3615</f>
        <v>22.16</v>
      </c>
      <c r="J3645" s="473" t="s">
        <v>1454</v>
      </c>
      <c r="K3645" s="478">
        <f>F3645*I3645</f>
        <v>22.16</v>
      </c>
      <c r="L3645" s="473"/>
      <c r="M3645" s="473"/>
    </row>
    <row r="3646" spans="5:13">
      <c r="E3646" s="473"/>
      <c r="F3646" s="473">
        <v>8</v>
      </c>
      <c r="G3646" s="473" t="s">
        <v>840</v>
      </c>
      <c r="H3646" s="473" t="s">
        <v>3030</v>
      </c>
      <c r="I3646" s="473">
        <f>I3616</f>
        <v>19.899999999999999</v>
      </c>
      <c r="J3646" s="473" t="s">
        <v>3484</v>
      </c>
      <c r="K3646" s="478">
        <f>F3646*I3646</f>
        <v>159.19999999999999</v>
      </c>
      <c r="L3646" s="473"/>
      <c r="M3646" s="473"/>
    </row>
    <row r="3647" spans="5:13" ht="51" customHeight="1">
      <c r="E3647" s="473"/>
      <c r="F3647" s="473"/>
      <c r="G3647" s="473"/>
      <c r="H3647" s="495" t="s">
        <v>3031</v>
      </c>
      <c r="I3647" s="473"/>
      <c r="J3647" s="473"/>
      <c r="K3647" s="478">
        <f>K3627</f>
        <v>518</v>
      </c>
      <c r="L3647" s="473"/>
      <c r="M3647" s="473"/>
    </row>
    <row r="3648" spans="5:13" ht="42.75" customHeight="1">
      <c r="E3648" s="473"/>
      <c r="F3648" s="473"/>
      <c r="G3648" s="473"/>
      <c r="H3648" s="495" t="s">
        <v>2612</v>
      </c>
      <c r="I3648" s="473"/>
      <c r="J3648" s="473" t="s">
        <v>667</v>
      </c>
      <c r="K3648" s="478">
        <v>8.9600000000000009</v>
      </c>
      <c r="L3648" s="473">
        <f>8.32-0.52</f>
        <v>7.8</v>
      </c>
      <c r="M3648" s="473"/>
    </row>
    <row r="3649" spans="5:13">
      <c r="E3649" s="473"/>
      <c r="F3649" s="473"/>
      <c r="G3649" s="473"/>
      <c r="H3649" s="480" t="s">
        <v>2475</v>
      </c>
      <c r="I3649" s="473"/>
      <c r="J3649" s="473"/>
      <c r="K3649" s="480">
        <f>SUM(K3642:K3648)</f>
        <v>1126</v>
      </c>
      <c r="L3649" s="473"/>
      <c r="M3649" s="473"/>
    </row>
    <row r="3650" spans="5:13">
      <c r="E3650" s="473"/>
      <c r="F3650" s="473"/>
      <c r="G3650" s="473"/>
      <c r="H3650" s="473"/>
      <c r="I3650" s="473"/>
      <c r="J3650" s="473"/>
      <c r="K3650" s="478"/>
      <c r="L3650" s="473"/>
      <c r="M3650" s="473"/>
    </row>
    <row r="3651" spans="5:13">
      <c r="E3651" s="473"/>
      <c r="F3651" s="473"/>
      <c r="G3651" s="473"/>
      <c r="H3651" s="493" t="s">
        <v>2961</v>
      </c>
      <c r="I3651" s="473"/>
      <c r="J3651" s="473"/>
      <c r="K3651" s="478"/>
      <c r="L3651" s="473"/>
      <c r="M3651" s="473"/>
    </row>
    <row r="3652" spans="5:13" hidden="1">
      <c r="E3652" s="473"/>
      <c r="F3652" s="473"/>
      <c r="G3652" s="473"/>
      <c r="H3652" s="473"/>
      <c r="I3652" s="473"/>
      <c r="J3652" s="473"/>
      <c r="K3652" s="478"/>
      <c r="L3652" s="473"/>
      <c r="M3652" s="473"/>
    </row>
    <row r="3653" spans="5:13">
      <c r="E3653" s="473"/>
      <c r="F3653" s="473"/>
      <c r="G3653" s="473"/>
      <c r="H3653" s="493" t="s">
        <v>3174</v>
      </c>
      <c r="I3653" s="473"/>
      <c r="J3653" s="473"/>
      <c r="K3653" s="478"/>
      <c r="L3653" s="473"/>
      <c r="M3653" s="473"/>
    </row>
    <row r="3654" spans="5:13">
      <c r="E3654" s="473"/>
      <c r="F3654" s="473"/>
      <c r="G3654" s="473"/>
      <c r="H3654" s="473"/>
      <c r="I3654" s="473"/>
      <c r="J3654" s="473"/>
      <c r="K3654" s="478"/>
      <c r="L3654" s="473"/>
      <c r="M3654" s="473"/>
    </row>
    <row r="3655" spans="5:13" ht="78.75">
      <c r="E3655" s="473"/>
      <c r="F3655" s="473"/>
      <c r="G3655" s="473"/>
      <c r="H3655" s="495" t="s">
        <v>865</v>
      </c>
      <c r="I3655" s="473"/>
      <c r="J3655" s="473"/>
      <c r="K3655" s="478"/>
      <c r="L3655" s="473"/>
      <c r="M3655" s="473"/>
    </row>
    <row r="3656" spans="5:13">
      <c r="E3656" s="473"/>
      <c r="F3656" s="473"/>
      <c r="G3656" s="473"/>
      <c r="H3656" s="473"/>
      <c r="I3656" s="473"/>
      <c r="J3656" s="473"/>
      <c r="K3656" s="478"/>
      <c r="L3656" s="473"/>
      <c r="M3656" s="473"/>
    </row>
    <row r="3657" spans="5:13">
      <c r="E3657" s="473"/>
      <c r="F3657" s="473"/>
      <c r="G3657" s="473"/>
      <c r="H3657" s="481" t="s">
        <v>2982</v>
      </c>
      <c r="I3657" s="473"/>
      <c r="K3657" s="478"/>
      <c r="L3657" s="473"/>
      <c r="M3657" s="473"/>
    </row>
    <row r="3658" spans="5:13" ht="47.25">
      <c r="E3658" s="473"/>
      <c r="F3658" s="473">
        <v>1</v>
      </c>
      <c r="G3658" s="473" t="s">
        <v>1454</v>
      </c>
      <c r="H3658" s="495" t="s">
        <v>2983</v>
      </c>
      <c r="I3658" s="473">
        <v>225</v>
      </c>
      <c r="J3658" s="473" t="s">
        <v>1454</v>
      </c>
      <c r="K3658" s="478">
        <f t="shared" ref="K3658:K3663" si="103">F3658*I3658</f>
        <v>225</v>
      </c>
      <c r="L3658" s="473"/>
      <c r="M3658" s="473"/>
    </row>
    <row r="3659" spans="5:13">
      <c r="E3659" s="473"/>
      <c r="F3659" s="473">
        <v>1</v>
      </c>
      <c r="G3659" s="473" t="s">
        <v>1454</v>
      </c>
      <c r="H3659" s="473" t="s">
        <v>2984</v>
      </c>
      <c r="I3659" s="473">
        <f>K3673</f>
        <v>199.42</v>
      </c>
      <c r="J3659" s="473" t="s">
        <v>1454</v>
      </c>
      <c r="K3659" s="478">
        <f t="shared" si="103"/>
        <v>199.42</v>
      </c>
      <c r="L3659" s="473"/>
      <c r="M3659" s="473"/>
    </row>
    <row r="3660" spans="5:13">
      <c r="E3660" s="473"/>
      <c r="F3660" s="473">
        <v>1</v>
      </c>
      <c r="G3660" s="473" t="s">
        <v>1454</v>
      </c>
      <c r="H3660" s="473" t="s">
        <v>2985</v>
      </c>
      <c r="I3660" s="474">
        <v>89</v>
      </c>
      <c r="J3660" s="473" t="s">
        <v>1454</v>
      </c>
      <c r="K3660" s="478">
        <f t="shared" si="103"/>
        <v>89</v>
      </c>
      <c r="L3660" s="473"/>
      <c r="M3660" s="473"/>
    </row>
    <row r="3661" spans="5:13">
      <c r="E3661" s="473"/>
      <c r="F3661" s="473">
        <v>1</v>
      </c>
      <c r="G3661" s="473" t="s">
        <v>1454</v>
      </c>
      <c r="H3661" s="473" t="s">
        <v>2986</v>
      </c>
      <c r="I3661" s="473">
        <f>I3478</f>
        <v>25</v>
      </c>
      <c r="J3661" s="473" t="s">
        <v>1454</v>
      </c>
      <c r="K3661" s="478">
        <f t="shared" si="103"/>
        <v>25</v>
      </c>
      <c r="L3661" s="473"/>
      <c r="M3661" s="473"/>
    </row>
    <row r="3662" spans="5:13">
      <c r="E3662" s="473"/>
      <c r="F3662" s="473">
        <v>5</v>
      </c>
      <c r="G3662" s="473" t="s">
        <v>840</v>
      </c>
      <c r="H3662" s="473" t="s">
        <v>3401</v>
      </c>
      <c r="I3662" s="474">
        <v>93.45</v>
      </c>
      <c r="J3662" s="473" t="s">
        <v>840</v>
      </c>
      <c r="K3662" s="478">
        <f t="shared" si="103"/>
        <v>467.25</v>
      </c>
      <c r="L3662" s="473"/>
      <c r="M3662" s="473"/>
    </row>
    <row r="3663" spans="5:13" ht="31.5">
      <c r="E3663" s="473"/>
      <c r="F3663" s="473">
        <v>20</v>
      </c>
      <c r="G3663" s="473" t="s">
        <v>840</v>
      </c>
      <c r="H3663" s="495" t="s">
        <v>2829</v>
      </c>
      <c r="I3663" s="473">
        <f>I3098</f>
        <v>31.5</v>
      </c>
      <c r="J3663" s="473" t="s">
        <v>840</v>
      </c>
      <c r="K3663" s="478">
        <f t="shared" si="103"/>
        <v>630</v>
      </c>
      <c r="L3663" s="473"/>
      <c r="M3663" s="473"/>
    </row>
    <row r="3664" spans="5:13">
      <c r="E3664" s="473"/>
      <c r="F3664" s="473"/>
      <c r="G3664" s="473"/>
      <c r="H3664" s="481" t="s">
        <v>3402</v>
      </c>
      <c r="I3664" s="473"/>
      <c r="J3664" s="473"/>
      <c r="K3664" s="478"/>
      <c r="L3664" s="473"/>
      <c r="M3664" s="473"/>
    </row>
    <row r="3665" spans="4:13" ht="56.25" customHeight="1">
      <c r="E3665" s="473"/>
      <c r="F3665" s="473">
        <v>1</v>
      </c>
      <c r="G3665" s="473" t="s">
        <v>1454</v>
      </c>
      <c r="H3665" s="495" t="s">
        <v>3436</v>
      </c>
      <c r="I3665" s="473">
        <v>225</v>
      </c>
      <c r="J3665" s="473" t="s">
        <v>1454</v>
      </c>
      <c r="K3665" s="478">
        <f>F3665*I3665</f>
        <v>225</v>
      </c>
      <c r="L3665" s="473"/>
      <c r="M3665" s="473"/>
    </row>
    <row r="3666" spans="4:13">
      <c r="E3666" s="473"/>
      <c r="F3666" s="473">
        <v>1</v>
      </c>
      <c r="G3666" s="473" t="s">
        <v>1454</v>
      </c>
      <c r="H3666" s="473" t="s">
        <v>3437</v>
      </c>
      <c r="I3666" s="473">
        <v>808</v>
      </c>
      <c r="J3666" s="473" t="s">
        <v>1454</v>
      </c>
      <c r="K3666" s="478">
        <f>F3666*I3666</f>
        <v>808</v>
      </c>
      <c r="L3666" s="473"/>
      <c r="M3666" s="473"/>
    </row>
    <row r="3667" spans="4:13">
      <c r="E3667" s="473"/>
      <c r="F3667" s="473">
        <v>1</v>
      </c>
      <c r="G3667" s="473" t="s">
        <v>1454</v>
      </c>
      <c r="H3667" s="473" t="s">
        <v>3438</v>
      </c>
      <c r="I3667" s="473">
        <v>93.5</v>
      </c>
      <c r="J3667" s="473" t="s">
        <v>1454</v>
      </c>
      <c r="K3667" s="478">
        <f>F3667*I3667</f>
        <v>93.5</v>
      </c>
      <c r="L3667" s="473"/>
      <c r="M3667" s="473"/>
    </row>
    <row r="3668" spans="4:13">
      <c r="E3668" s="473"/>
      <c r="F3668" s="473">
        <v>1</v>
      </c>
      <c r="G3668" s="473" t="s">
        <v>1454</v>
      </c>
      <c r="H3668" s="473" t="s">
        <v>3439</v>
      </c>
      <c r="I3668" s="473">
        <v>89.6</v>
      </c>
      <c r="J3668" s="473" t="s">
        <v>1454</v>
      </c>
      <c r="K3668" s="478">
        <f>F3668*I3668</f>
        <v>89.6</v>
      </c>
      <c r="L3668" s="473"/>
      <c r="M3668" s="473"/>
    </row>
    <row r="3669" spans="4:13">
      <c r="E3669" s="473"/>
      <c r="F3669" s="473">
        <v>1</v>
      </c>
      <c r="G3669" s="473" t="s">
        <v>1454</v>
      </c>
      <c r="H3669" s="473" t="s">
        <v>2984</v>
      </c>
      <c r="I3669" s="473">
        <f>K3673</f>
        <v>199.42</v>
      </c>
      <c r="J3669" s="473" t="s">
        <v>1454</v>
      </c>
      <c r="K3669" s="478">
        <f>F3669*I3669</f>
        <v>199.42</v>
      </c>
      <c r="L3669" s="473"/>
      <c r="M3669" s="473"/>
    </row>
    <row r="3670" spans="4:13">
      <c r="D3670" s="497">
        <f>0.6*0.225*0.02</f>
        <v>2.7000000000000001E-3</v>
      </c>
      <c r="E3670" s="473"/>
      <c r="F3670" s="473"/>
      <c r="G3670" s="473"/>
      <c r="H3670" s="473" t="s">
        <v>2746</v>
      </c>
      <c r="I3670" s="473"/>
      <c r="J3670" s="473"/>
      <c r="K3670" s="478">
        <f>K3627</f>
        <v>518</v>
      </c>
      <c r="L3670" s="473"/>
      <c r="M3670" s="473"/>
    </row>
    <row r="3671" spans="4:13" ht="41.25" customHeight="1">
      <c r="E3671" s="473"/>
      <c r="F3671" s="473"/>
      <c r="G3671" s="473"/>
      <c r="H3671" s="495" t="s">
        <v>2747</v>
      </c>
      <c r="I3671" s="473"/>
      <c r="J3671" s="473"/>
      <c r="K3671" s="478">
        <f>5.26+0.55</f>
        <v>5.81</v>
      </c>
      <c r="L3671" s="473"/>
      <c r="M3671" s="473"/>
    </row>
    <row r="3672" spans="4:13">
      <c r="E3672" s="473"/>
      <c r="F3672" s="473"/>
      <c r="G3672" s="473"/>
      <c r="H3672" s="478" t="s">
        <v>1100</v>
      </c>
      <c r="I3672" s="473"/>
      <c r="J3672" s="473"/>
      <c r="K3672" s="480">
        <f>SUM(K3658:K3671)</f>
        <v>3575</v>
      </c>
      <c r="L3672" s="473"/>
      <c r="M3672" s="473"/>
    </row>
    <row r="3673" spans="4:13">
      <c r="E3673" s="473"/>
      <c r="F3673" s="473"/>
      <c r="G3673" s="473"/>
      <c r="H3673" s="481" t="s">
        <v>3412</v>
      </c>
      <c r="I3673" s="473">
        <f>I3628</f>
        <v>73860</v>
      </c>
      <c r="J3673" s="487">
        <v>2.7000000000000001E-3</v>
      </c>
      <c r="K3673" s="480">
        <f>I3673*J3673</f>
        <v>199.42</v>
      </c>
      <c r="L3673" s="473"/>
      <c r="M3673" s="473"/>
    </row>
    <row r="3674" spans="4:13">
      <c r="E3674" s="473"/>
      <c r="F3674" s="473"/>
      <c r="G3674" s="473"/>
      <c r="H3674" s="481" t="s">
        <v>2748</v>
      </c>
      <c r="I3674" s="473"/>
      <c r="J3674" s="473"/>
      <c r="K3674" s="478"/>
      <c r="L3674" s="473"/>
      <c r="M3674" s="473"/>
    </row>
    <row r="3675" spans="4:13">
      <c r="E3675" s="473"/>
      <c r="F3675" s="473"/>
      <c r="G3675" s="473"/>
      <c r="H3675" s="481"/>
      <c r="I3675" s="473"/>
      <c r="J3675" s="473"/>
      <c r="K3675" s="478"/>
      <c r="L3675" s="473"/>
      <c r="M3675" s="473"/>
    </row>
    <row r="3676" spans="4:13" ht="31.5">
      <c r="E3676" s="473"/>
      <c r="F3676" s="473"/>
      <c r="G3676" s="473"/>
      <c r="H3676" s="471" t="s">
        <v>1802</v>
      </c>
      <c r="I3676" s="473"/>
      <c r="J3676" s="473"/>
      <c r="K3676" s="478"/>
      <c r="L3676" s="473"/>
      <c r="M3676" s="473"/>
    </row>
    <row r="3677" spans="4:13">
      <c r="E3677" s="473"/>
      <c r="F3677" s="473"/>
      <c r="G3677" s="473"/>
      <c r="H3677" s="473" t="s">
        <v>813</v>
      </c>
      <c r="I3677" s="473"/>
      <c r="J3677" s="473"/>
      <c r="K3677" s="478"/>
      <c r="L3677" s="473"/>
      <c r="M3677" s="473"/>
    </row>
    <row r="3678" spans="4:13" ht="39" customHeight="1">
      <c r="E3678" s="473"/>
      <c r="F3678" s="473">
        <v>90</v>
      </c>
      <c r="G3678" s="473" t="s">
        <v>374</v>
      </c>
      <c r="H3678" s="472" t="s">
        <v>2293</v>
      </c>
      <c r="I3678" s="473">
        <f>I2996</f>
        <v>19.5</v>
      </c>
      <c r="J3678" s="473" t="s">
        <v>374</v>
      </c>
      <c r="K3678" s="478">
        <f>F3678*I3678</f>
        <v>1755</v>
      </c>
      <c r="L3678" s="473"/>
      <c r="M3678" s="473"/>
    </row>
    <row r="3679" spans="4:13">
      <c r="E3679" s="473"/>
      <c r="F3679" s="473">
        <v>0.15</v>
      </c>
      <c r="G3679" s="473" t="s">
        <v>528</v>
      </c>
      <c r="H3679" s="473" t="s">
        <v>877</v>
      </c>
      <c r="I3679" s="474">
        <v>5200</v>
      </c>
      <c r="J3679" s="473" t="s">
        <v>528</v>
      </c>
      <c r="K3679" s="478">
        <f>F3679*I3679</f>
        <v>780</v>
      </c>
      <c r="L3679" s="473"/>
      <c r="M3679" s="473"/>
    </row>
    <row r="3680" spans="4:13">
      <c r="E3680" s="473"/>
      <c r="F3680" s="473">
        <v>1</v>
      </c>
      <c r="G3680" s="473" t="s">
        <v>781</v>
      </c>
      <c r="H3680" s="473" t="s">
        <v>373</v>
      </c>
      <c r="I3680" s="473">
        <f>I3623</f>
        <v>254</v>
      </c>
      <c r="J3680" s="473" t="s">
        <v>781</v>
      </c>
      <c r="K3680" s="478">
        <f>F3680*I3680</f>
        <v>254</v>
      </c>
      <c r="L3680" s="473"/>
      <c r="M3680" s="473"/>
    </row>
    <row r="3681" spans="5:13">
      <c r="E3681" s="473"/>
      <c r="F3681" s="473">
        <v>2</v>
      </c>
      <c r="G3681" s="473" t="s">
        <v>781</v>
      </c>
      <c r="H3681" s="473" t="s">
        <v>1791</v>
      </c>
      <c r="I3681" s="474">
        <f>I2871</f>
        <v>261</v>
      </c>
      <c r="J3681" s="473" t="s">
        <v>781</v>
      </c>
      <c r="K3681" s="478">
        <f>F3681*I3681</f>
        <v>522</v>
      </c>
      <c r="L3681" s="473"/>
      <c r="M3681" s="473"/>
    </row>
    <row r="3682" spans="5:13">
      <c r="E3682" s="473"/>
      <c r="F3682" s="473">
        <v>4</v>
      </c>
      <c r="G3682" s="473" t="s">
        <v>781</v>
      </c>
      <c r="H3682" s="473" t="s">
        <v>1343</v>
      </c>
      <c r="I3682" s="473">
        <f>I3590</f>
        <v>181</v>
      </c>
      <c r="J3682" s="473" t="s">
        <v>781</v>
      </c>
      <c r="K3682" s="478">
        <f>F3682*I3682</f>
        <v>724</v>
      </c>
      <c r="L3682" s="473"/>
      <c r="M3682" s="473"/>
    </row>
    <row r="3683" spans="5:13" ht="31.5">
      <c r="E3683" s="473"/>
      <c r="F3683" s="473"/>
      <c r="G3683" s="473"/>
      <c r="H3683" s="472" t="s">
        <v>375</v>
      </c>
      <c r="I3683" s="473"/>
      <c r="J3683" s="473"/>
      <c r="K3683" s="478">
        <v>6</v>
      </c>
      <c r="L3683" s="473">
        <f>37.4*90</f>
        <v>3366</v>
      </c>
      <c r="M3683" s="473"/>
    </row>
    <row r="3684" spans="5:13">
      <c r="E3684" s="473"/>
      <c r="F3684" s="473"/>
      <c r="G3684" s="473"/>
      <c r="H3684" s="478" t="s">
        <v>2354</v>
      </c>
      <c r="I3684" s="473"/>
      <c r="J3684" s="473"/>
      <c r="K3684" s="478">
        <f>SUM(K3678:K3683)</f>
        <v>4041</v>
      </c>
      <c r="L3684" s="473">
        <f>40.8*90</f>
        <v>3672</v>
      </c>
      <c r="M3684" s="473"/>
    </row>
    <row r="3685" spans="5:13">
      <c r="E3685" s="473"/>
      <c r="F3685" s="473"/>
      <c r="G3685" s="473"/>
      <c r="H3685" s="480" t="s">
        <v>1167</v>
      </c>
      <c r="I3685" s="473"/>
      <c r="J3685" s="473"/>
      <c r="K3685" s="576">
        <f>K3684/90</f>
        <v>44.9</v>
      </c>
      <c r="L3685" s="473">
        <f>L3684-K3684</f>
        <v>-369</v>
      </c>
      <c r="M3685" s="473"/>
    </row>
    <row r="3686" spans="5:13">
      <c r="E3686" s="473"/>
      <c r="F3686" s="473"/>
      <c r="G3686" s="473"/>
      <c r="H3686" s="473"/>
      <c r="I3686" s="473"/>
      <c r="J3686" s="473"/>
      <c r="K3686" s="478"/>
      <c r="L3686" s="473"/>
      <c r="M3686" s="473"/>
    </row>
    <row r="3687" spans="5:13">
      <c r="E3687" s="473"/>
      <c r="F3687" s="473"/>
      <c r="G3687" s="473"/>
      <c r="H3687" s="481" t="s">
        <v>2749</v>
      </c>
      <c r="I3687" s="473"/>
      <c r="J3687" s="473"/>
      <c r="K3687" s="478"/>
      <c r="L3687" s="473"/>
      <c r="M3687" s="473"/>
    </row>
    <row r="3688" spans="5:13">
      <c r="E3688" s="473"/>
      <c r="F3688" s="473"/>
      <c r="G3688" s="473"/>
      <c r="H3688" s="473" t="s">
        <v>2750</v>
      </c>
      <c r="I3688" s="473"/>
      <c r="J3688" s="473"/>
      <c r="K3688" s="478">
        <f>K3685</f>
        <v>44.9</v>
      </c>
      <c r="L3688" s="473"/>
      <c r="M3688" s="473"/>
    </row>
    <row r="3689" spans="5:13">
      <c r="E3689" s="473"/>
      <c r="F3689" s="473">
        <v>1</v>
      </c>
      <c r="G3689" s="473" t="s">
        <v>840</v>
      </c>
      <c r="H3689" s="473" t="s">
        <v>2751</v>
      </c>
      <c r="I3689" s="473">
        <f>I3678</f>
        <v>19.5</v>
      </c>
      <c r="J3689" s="473" t="s">
        <v>840</v>
      </c>
      <c r="K3689" s="478">
        <f>F3689*I3689</f>
        <v>19.5</v>
      </c>
      <c r="L3689" s="473"/>
      <c r="M3689" s="473"/>
    </row>
    <row r="3690" spans="5:13">
      <c r="E3690" s="473"/>
      <c r="F3690" s="473">
        <v>1</v>
      </c>
      <c r="G3690" s="473" t="s">
        <v>840</v>
      </c>
      <c r="H3690" s="473" t="s">
        <v>2752</v>
      </c>
      <c r="I3690" s="474">
        <v>28.9</v>
      </c>
      <c r="J3690" s="473" t="s">
        <v>840</v>
      </c>
      <c r="K3690" s="478">
        <f>F3690*I3690</f>
        <v>28.9</v>
      </c>
      <c r="L3690" s="473"/>
      <c r="M3690" s="473"/>
    </row>
    <row r="3691" spans="5:13">
      <c r="E3691" s="473"/>
      <c r="F3691" s="473"/>
      <c r="G3691" s="473"/>
      <c r="H3691" s="473"/>
      <c r="I3691" s="473"/>
      <c r="J3691" s="473"/>
      <c r="K3691" s="480">
        <f>(K3688-K3689)+K3690</f>
        <v>54.3</v>
      </c>
      <c r="L3691" s="473"/>
      <c r="M3691" s="473"/>
    </row>
    <row r="3692" spans="5:13">
      <c r="E3692" s="473"/>
      <c r="F3692" s="473"/>
      <c r="G3692" s="473"/>
      <c r="H3692" s="481" t="s">
        <v>2753</v>
      </c>
      <c r="I3692" s="473"/>
      <c r="J3692" s="473"/>
      <c r="K3692" s="478"/>
      <c r="L3692" s="473"/>
      <c r="M3692" s="473"/>
    </row>
    <row r="3693" spans="5:13">
      <c r="E3693" s="473"/>
      <c r="F3693" s="473"/>
      <c r="G3693" s="473"/>
      <c r="H3693" s="481"/>
      <c r="I3693" s="473"/>
      <c r="J3693" s="473"/>
      <c r="K3693" s="478"/>
      <c r="L3693" s="473"/>
      <c r="M3693" s="473"/>
    </row>
    <row r="3694" spans="5:13">
      <c r="E3694" s="473"/>
      <c r="F3694" s="473"/>
      <c r="G3694" s="473"/>
      <c r="H3694" s="481" t="s">
        <v>2754</v>
      </c>
      <c r="I3694" s="473"/>
      <c r="J3694" s="473"/>
      <c r="K3694" s="478"/>
      <c r="L3694" s="473"/>
      <c r="M3694" s="473"/>
    </row>
    <row r="3695" spans="5:13">
      <c r="E3695" s="473"/>
      <c r="F3695" s="473">
        <v>1</v>
      </c>
      <c r="G3695" s="473" t="s">
        <v>1454</v>
      </c>
      <c r="H3695" s="473" t="s">
        <v>3665</v>
      </c>
      <c r="I3695" s="474">
        <v>42</v>
      </c>
      <c r="J3695" s="473" t="s">
        <v>1454</v>
      </c>
      <c r="K3695" s="478">
        <f>F3695*I3695</f>
        <v>42</v>
      </c>
      <c r="L3695" s="473"/>
      <c r="M3695" s="473"/>
    </row>
    <row r="3696" spans="5:13" ht="20.25" customHeight="1">
      <c r="E3696" s="473"/>
      <c r="F3696" s="476">
        <v>1.4999999999999999E-2</v>
      </c>
      <c r="G3696" s="473" t="s">
        <v>2371</v>
      </c>
      <c r="H3696" s="495" t="s">
        <v>3666</v>
      </c>
      <c r="I3696" s="473">
        <f>I3000</f>
        <v>640</v>
      </c>
      <c r="J3696" s="473" t="s">
        <v>2371</v>
      </c>
      <c r="K3696" s="478">
        <f>F3696*I3696</f>
        <v>9.6</v>
      </c>
      <c r="L3696" s="473"/>
      <c r="M3696" s="473"/>
    </row>
    <row r="3697" spans="5:13">
      <c r="E3697" s="473"/>
      <c r="F3697" s="473"/>
      <c r="G3697" s="473"/>
      <c r="H3697" s="473" t="s">
        <v>3654</v>
      </c>
      <c r="I3697" s="473"/>
      <c r="J3697" s="473" t="s">
        <v>667</v>
      </c>
      <c r="K3697" s="478">
        <v>4.4000000000000004</v>
      </c>
      <c r="L3697" s="473"/>
      <c r="M3697" s="473"/>
    </row>
    <row r="3698" spans="5:13">
      <c r="E3698" s="473"/>
      <c r="F3698" s="473"/>
      <c r="G3698" s="473"/>
      <c r="H3698" s="480" t="s">
        <v>1100</v>
      </c>
      <c r="I3698" s="473"/>
      <c r="J3698" s="473"/>
      <c r="K3698" s="480">
        <f>SUM(K3695:K3697)</f>
        <v>56</v>
      </c>
      <c r="L3698" s="473"/>
      <c r="M3698" s="473"/>
    </row>
    <row r="3699" spans="5:13">
      <c r="E3699" s="473"/>
      <c r="F3699" s="473"/>
      <c r="G3699" s="473"/>
      <c r="H3699" s="473"/>
      <c r="I3699" s="473"/>
      <c r="J3699" s="473"/>
      <c r="K3699" s="478"/>
      <c r="L3699" s="473"/>
      <c r="M3699" s="473"/>
    </row>
    <row r="3700" spans="5:13">
      <c r="E3700" s="473"/>
      <c r="F3700" s="473"/>
      <c r="G3700" s="473"/>
      <c r="H3700" s="481" t="s">
        <v>3655</v>
      </c>
      <c r="I3700" s="473"/>
      <c r="J3700" s="473"/>
      <c r="K3700" s="478"/>
      <c r="L3700" s="473"/>
      <c r="M3700" s="473"/>
    </row>
    <row r="3701" spans="5:13">
      <c r="E3701" s="473"/>
      <c r="F3701" s="473"/>
      <c r="G3701" s="473"/>
      <c r="H3701" s="473"/>
      <c r="I3701" s="473"/>
      <c r="J3701" s="473"/>
      <c r="K3701" s="478"/>
      <c r="L3701" s="473"/>
      <c r="M3701" s="473"/>
    </row>
    <row r="3702" spans="5:13" ht="51.75" customHeight="1">
      <c r="E3702" s="473"/>
      <c r="F3702" s="473"/>
      <c r="G3702" s="473"/>
      <c r="H3702" s="495" t="s">
        <v>3577</v>
      </c>
      <c r="I3702" s="473"/>
      <c r="J3702" s="473"/>
      <c r="K3702" s="478"/>
      <c r="L3702" s="473"/>
      <c r="M3702" s="473"/>
    </row>
    <row r="3703" spans="5:13">
      <c r="E3703" s="473"/>
      <c r="F3703" s="473"/>
      <c r="G3703" s="473"/>
      <c r="H3703" s="473"/>
      <c r="I3703" s="473"/>
      <c r="J3703" s="473"/>
      <c r="K3703" s="478"/>
      <c r="L3703" s="473"/>
      <c r="M3703" s="473"/>
    </row>
    <row r="3704" spans="5:13">
      <c r="E3704" s="473"/>
      <c r="F3704" s="473">
        <v>1</v>
      </c>
      <c r="G3704" s="473" t="s">
        <v>1454</v>
      </c>
      <c r="H3704" s="473" t="s">
        <v>3656</v>
      </c>
      <c r="I3704" s="474">
        <v>15.7</v>
      </c>
      <c r="J3704" s="473" t="s">
        <v>1454</v>
      </c>
      <c r="K3704" s="478">
        <f>F3704*I3704</f>
        <v>15.7</v>
      </c>
      <c r="L3704" s="473"/>
      <c r="M3704" s="473"/>
    </row>
    <row r="3705" spans="5:13">
      <c r="E3705" s="473"/>
      <c r="F3705" s="473">
        <v>0.01</v>
      </c>
      <c r="G3705" s="473" t="s">
        <v>3657</v>
      </c>
      <c r="H3705" s="473" t="s">
        <v>3666</v>
      </c>
      <c r="I3705" s="473">
        <f>I3696</f>
        <v>640</v>
      </c>
      <c r="J3705" s="473" t="s">
        <v>2371</v>
      </c>
      <c r="K3705" s="478">
        <f>F3705*I3705</f>
        <v>6.4</v>
      </c>
      <c r="L3705" s="473"/>
      <c r="M3705" s="473"/>
    </row>
    <row r="3706" spans="5:13">
      <c r="E3706" s="473"/>
      <c r="F3706" s="473">
        <v>1</v>
      </c>
      <c r="G3706" s="473" t="s">
        <v>1454</v>
      </c>
      <c r="H3706" s="473" t="s">
        <v>3658</v>
      </c>
      <c r="I3706" s="474">
        <v>24</v>
      </c>
      <c r="J3706" s="473" t="s">
        <v>1454</v>
      </c>
      <c r="K3706" s="478">
        <f>F3706*I3706</f>
        <v>24</v>
      </c>
      <c r="L3706" s="473"/>
      <c r="M3706" s="473"/>
    </row>
    <row r="3707" spans="5:13">
      <c r="E3707" s="473"/>
      <c r="F3707" s="473"/>
      <c r="G3707" s="473"/>
      <c r="H3707" s="473" t="s">
        <v>3659</v>
      </c>
      <c r="I3707" s="473" t="s">
        <v>667</v>
      </c>
      <c r="J3707" s="473"/>
      <c r="K3707" s="478">
        <v>5.9</v>
      </c>
      <c r="L3707" s="473"/>
      <c r="M3707" s="473"/>
    </row>
    <row r="3708" spans="5:13">
      <c r="E3708" s="473"/>
      <c r="F3708" s="473"/>
      <c r="G3708" s="473"/>
      <c r="H3708" s="480" t="s">
        <v>3660</v>
      </c>
      <c r="I3708" s="473"/>
      <c r="J3708" s="473"/>
      <c r="K3708" s="480">
        <f>SUM(K3704:K3707)</f>
        <v>52</v>
      </c>
      <c r="L3708" s="473"/>
      <c r="M3708" s="473"/>
    </row>
    <row r="3709" spans="5:13">
      <c r="E3709" s="473"/>
      <c r="F3709" s="473"/>
      <c r="G3709" s="473"/>
      <c r="H3709" s="473"/>
      <c r="I3709" s="473"/>
      <c r="J3709" s="473"/>
      <c r="K3709" s="478"/>
      <c r="L3709" s="473"/>
      <c r="M3709" s="473"/>
    </row>
    <row r="3710" spans="5:13">
      <c r="E3710" s="473"/>
      <c r="F3710" s="473"/>
      <c r="G3710" s="473"/>
      <c r="H3710" s="481" t="s">
        <v>3661</v>
      </c>
      <c r="I3710" s="473"/>
      <c r="J3710" s="473"/>
      <c r="K3710" s="478"/>
      <c r="L3710" s="473"/>
      <c r="M3710" s="473"/>
    </row>
    <row r="3711" spans="5:13">
      <c r="E3711" s="473"/>
      <c r="F3711" s="473"/>
      <c r="G3711" s="473"/>
      <c r="H3711" s="473"/>
      <c r="I3711" s="473"/>
      <c r="J3711" s="473"/>
      <c r="K3711" s="478"/>
      <c r="L3711" s="473"/>
      <c r="M3711" s="473"/>
    </row>
    <row r="3712" spans="5:13" ht="78.75">
      <c r="E3712" s="473"/>
      <c r="F3712" s="473"/>
      <c r="G3712" s="473"/>
      <c r="H3712" s="495" t="s">
        <v>2395</v>
      </c>
      <c r="I3712" s="473"/>
      <c r="J3712" s="473"/>
      <c r="K3712" s="478"/>
      <c r="L3712" s="473"/>
      <c r="M3712" s="473"/>
    </row>
    <row r="3713" spans="5:13">
      <c r="E3713" s="473"/>
      <c r="F3713" s="473"/>
      <c r="G3713" s="473"/>
      <c r="H3713" s="473"/>
      <c r="I3713" s="473"/>
      <c r="J3713" s="473"/>
      <c r="K3713" s="478"/>
      <c r="L3713" s="473"/>
      <c r="M3713" s="473"/>
    </row>
    <row r="3714" spans="5:13">
      <c r="F3714" s="473">
        <v>6</v>
      </c>
      <c r="G3714" s="473" t="s">
        <v>840</v>
      </c>
      <c r="H3714" s="473" t="s">
        <v>3582</v>
      </c>
      <c r="I3714" s="474">
        <v>231.5</v>
      </c>
      <c r="J3714" s="473" t="s">
        <v>840</v>
      </c>
      <c r="K3714" s="478">
        <f>F3714*I3714</f>
        <v>1389</v>
      </c>
      <c r="L3714" s="473"/>
      <c r="M3714" s="473"/>
    </row>
    <row r="3715" spans="5:13">
      <c r="F3715" s="473">
        <v>2</v>
      </c>
      <c r="G3715" s="473" t="s">
        <v>840</v>
      </c>
      <c r="H3715" s="473" t="s">
        <v>3583</v>
      </c>
      <c r="I3715" s="474">
        <v>93.45</v>
      </c>
      <c r="J3715" s="473" t="s">
        <v>840</v>
      </c>
      <c r="K3715" s="478">
        <f>F3715*I3715</f>
        <v>186.9</v>
      </c>
      <c r="L3715" s="473"/>
      <c r="M3715" s="473"/>
    </row>
    <row r="3716" spans="5:13">
      <c r="F3716" s="473">
        <v>1</v>
      </c>
      <c r="G3716" s="473" t="s">
        <v>1454</v>
      </c>
      <c r="H3716" s="473" t="s">
        <v>3584</v>
      </c>
      <c r="I3716" s="473">
        <v>130</v>
      </c>
      <c r="J3716" s="473" t="s">
        <v>1454</v>
      </c>
      <c r="K3716" s="478">
        <f>F3716*I3716</f>
        <v>130</v>
      </c>
      <c r="L3716" s="473"/>
      <c r="M3716" s="473"/>
    </row>
    <row r="3717" spans="5:13">
      <c r="F3717" s="473">
        <v>1</v>
      </c>
      <c r="G3717" s="473" t="s">
        <v>1454</v>
      </c>
      <c r="H3717" s="473" t="s">
        <v>3585</v>
      </c>
      <c r="I3717" s="473">
        <v>90</v>
      </c>
      <c r="J3717" s="473" t="s">
        <v>1454</v>
      </c>
      <c r="K3717" s="478">
        <f>F3717*I3717</f>
        <v>90</v>
      </c>
      <c r="L3717" s="473"/>
      <c r="M3717" s="473"/>
    </row>
    <row r="3718" spans="5:13">
      <c r="F3718" s="476">
        <v>0.23799999999999999</v>
      </c>
      <c r="G3718" s="473" t="s">
        <v>2226</v>
      </c>
      <c r="H3718" s="473" t="s">
        <v>2981</v>
      </c>
      <c r="I3718" s="474">
        <v>3500</v>
      </c>
      <c r="J3718" s="473" t="s">
        <v>2226</v>
      </c>
      <c r="K3718" s="478">
        <f>F3718*I3718</f>
        <v>833</v>
      </c>
      <c r="L3718" s="473">
        <f>Data!K218+62.16</f>
        <v>4236.28</v>
      </c>
      <c r="M3718" s="473"/>
    </row>
    <row r="3719" spans="5:13" ht="41.25" customHeight="1">
      <c r="F3719" s="473"/>
      <c r="G3719" s="473" t="s">
        <v>667</v>
      </c>
      <c r="H3719" s="495" t="s">
        <v>3225</v>
      </c>
      <c r="I3719" s="473" t="s">
        <v>667</v>
      </c>
      <c r="J3719" s="473"/>
      <c r="K3719" s="478">
        <v>224.7</v>
      </c>
      <c r="L3719" s="473"/>
      <c r="M3719" s="473"/>
    </row>
    <row r="3720" spans="5:13" ht="52.5" customHeight="1">
      <c r="F3720" s="473">
        <v>1</v>
      </c>
      <c r="G3720" s="473" t="s">
        <v>1454</v>
      </c>
      <c r="H3720" s="495" t="s">
        <v>2841</v>
      </c>
      <c r="I3720" s="473" t="s">
        <v>667</v>
      </c>
      <c r="J3720" s="473"/>
      <c r="K3720" s="478">
        <v>60</v>
      </c>
      <c r="L3720" s="473"/>
      <c r="M3720" s="473"/>
    </row>
    <row r="3721" spans="5:13" ht="37.5" customHeight="1">
      <c r="F3721" s="473">
        <v>8</v>
      </c>
      <c r="G3721" s="473" t="s">
        <v>840</v>
      </c>
      <c r="H3721" s="495" t="s">
        <v>2842</v>
      </c>
      <c r="I3721" s="473">
        <f>I2843</f>
        <v>12.8</v>
      </c>
      <c r="J3721" s="473"/>
      <c r="K3721" s="478">
        <f>F3721*I3721</f>
        <v>102.4</v>
      </c>
      <c r="L3721" s="473"/>
      <c r="M3721" s="473"/>
    </row>
    <row r="3722" spans="5:13">
      <c r="E3722" s="473"/>
      <c r="F3722" s="473"/>
      <c r="G3722" s="473"/>
      <c r="H3722" s="473" t="s">
        <v>931</v>
      </c>
      <c r="I3722" s="473"/>
      <c r="J3722" s="473"/>
      <c r="K3722" s="478">
        <f>K3729</f>
        <v>969</v>
      </c>
      <c r="L3722" s="473"/>
      <c r="M3722" s="473"/>
    </row>
    <row r="3723" spans="5:13">
      <c r="E3723" s="473"/>
      <c r="F3723" s="473"/>
      <c r="G3723" s="473"/>
      <c r="H3723" s="480" t="s">
        <v>1100</v>
      </c>
      <c r="I3723" s="473"/>
      <c r="J3723" s="473"/>
      <c r="K3723" s="480">
        <f>SUM(K3714:K3722)</f>
        <v>3985</v>
      </c>
      <c r="L3723" s="473"/>
      <c r="M3723" s="473"/>
    </row>
    <row r="3724" spans="5:13">
      <c r="E3724" s="473"/>
      <c r="F3724" s="473"/>
      <c r="G3724" s="473"/>
      <c r="H3724" s="473"/>
      <c r="I3724" s="473"/>
      <c r="J3724" s="473"/>
      <c r="K3724" s="478"/>
      <c r="L3724" s="473"/>
      <c r="M3724" s="473"/>
    </row>
    <row r="3725" spans="5:13">
      <c r="E3725" s="473"/>
      <c r="F3725" s="473"/>
      <c r="G3725" s="473"/>
      <c r="H3725" s="479" t="s">
        <v>144</v>
      </c>
      <c r="I3725" s="473"/>
      <c r="J3725" s="473"/>
      <c r="K3725" s="478"/>
      <c r="L3725" s="473"/>
      <c r="M3725" s="473"/>
    </row>
    <row r="3726" spans="5:13">
      <c r="E3726" s="473"/>
      <c r="F3726" s="473">
        <v>0.5</v>
      </c>
      <c r="G3726" s="473" t="s">
        <v>1454</v>
      </c>
      <c r="H3726" s="473" t="s">
        <v>2901</v>
      </c>
      <c r="I3726" s="473">
        <f>I3623</f>
        <v>254</v>
      </c>
      <c r="J3726" s="473" t="s">
        <v>1454</v>
      </c>
      <c r="K3726" s="478">
        <f>F3726*I3726</f>
        <v>127</v>
      </c>
      <c r="L3726" s="473"/>
      <c r="M3726" s="473"/>
    </row>
    <row r="3727" spans="5:13">
      <c r="E3727" s="473"/>
      <c r="F3727" s="473">
        <v>2</v>
      </c>
      <c r="G3727" s="473" t="s">
        <v>1454</v>
      </c>
      <c r="H3727" s="473" t="s">
        <v>2711</v>
      </c>
      <c r="I3727" s="473">
        <f>I3624</f>
        <v>240</v>
      </c>
      <c r="J3727" s="473" t="s">
        <v>1454</v>
      </c>
      <c r="K3727" s="478">
        <f>F3727*I3727</f>
        <v>480</v>
      </c>
      <c r="L3727" s="473"/>
      <c r="M3727" s="473"/>
    </row>
    <row r="3728" spans="5:13">
      <c r="E3728" s="473"/>
      <c r="F3728" s="473">
        <v>2</v>
      </c>
      <c r="G3728" s="473" t="s">
        <v>1454</v>
      </c>
      <c r="H3728" s="473" t="s">
        <v>2430</v>
      </c>
      <c r="I3728" s="473">
        <f>I3625</f>
        <v>181</v>
      </c>
      <c r="J3728" s="473" t="s">
        <v>1454</v>
      </c>
      <c r="K3728" s="478">
        <f>F3728*I3728</f>
        <v>362</v>
      </c>
      <c r="L3728" s="473"/>
      <c r="M3728" s="473"/>
    </row>
    <row r="3729" spans="5:13">
      <c r="E3729" s="473"/>
      <c r="F3729" s="473"/>
      <c r="G3729" s="473"/>
      <c r="H3729" s="473"/>
      <c r="I3729" s="473"/>
      <c r="J3729" s="473"/>
      <c r="K3729" s="571">
        <f>SUM(K3726:K3728)</f>
        <v>969</v>
      </c>
      <c r="L3729" s="473"/>
      <c r="M3729" s="473"/>
    </row>
    <row r="3730" spans="5:13">
      <c r="E3730" s="473"/>
      <c r="F3730" s="473"/>
      <c r="G3730" s="473"/>
      <c r="H3730" s="473"/>
      <c r="I3730" s="473"/>
      <c r="J3730" s="473"/>
      <c r="K3730" s="478"/>
      <c r="L3730" s="473"/>
      <c r="M3730" s="473"/>
    </row>
    <row r="3731" spans="5:13">
      <c r="E3731" s="473"/>
      <c r="F3731" s="473"/>
      <c r="G3731" s="473"/>
      <c r="H3731" s="481" t="s">
        <v>2843</v>
      </c>
      <c r="I3731" s="473"/>
      <c r="J3731" s="473"/>
      <c r="K3731" s="478"/>
      <c r="L3731" s="473"/>
      <c r="M3731" s="473"/>
    </row>
    <row r="3732" spans="5:13">
      <c r="E3732" s="473"/>
      <c r="F3732" s="473"/>
      <c r="G3732" s="473"/>
      <c r="H3732" s="473"/>
      <c r="I3732" s="473"/>
      <c r="J3732" s="473"/>
      <c r="K3732" s="478"/>
      <c r="L3732" s="473"/>
      <c r="M3732" s="473"/>
    </row>
    <row r="3733" spans="5:13">
      <c r="E3733" s="473"/>
      <c r="F3733" s="473"/>
      <c r="G3733" s="473"/>
      <c r="H3733" s="481" t="s">
        <v>2844</v>
      </c>
      <c r="I3733" s="473"/>
      <c r="J3733" s="473"/>
      <c r="K3733" s="478"/>
      <c r="L3733" s="473"/>
      <c r="M3733" s="473"/>
    </row>
    <row r="3734" spans="5:13">
      <c r="E3734" s="473"/>
      <c r="F3734" s="473"/>
      <c r="G3734" s="473"/>
      <c r="H3734" s="473"/>
      <c r="I3734" s="473"/>
      <c r="J3734" s="473"/>
      <c r="K3734" s="478"/>
      <c r="L3734" s="473"/>
      <c r="M3734" s="473"/>
    </row>
    <row r="3735" spans="5:13">
      <c r="E3735" s="473"/>
      <c r="F3735" s="473">
        <v>1</v>
      </c>
      <c r="G3735" s="473" t="s">
        <v>1454</v>
      </c>
      <c r="H3735" s="473" t="s">
        <v>2845</v>
      </c>
      <c r="I3735" s="496">
        <v>1270</v>
      </c>
      <c r="J3735" s="473" t="s">
        <v>1454</v>
      </c>
      <c r="K3735" s="478">
        <f>F3735*I3735</f>
        <v>1270</v>
      </c>
      <c r="L3735" s="473"/>
      <c r="M3735" s="473"/>
    </row>
    <row r="3736" spans="5:13">
      <c r="E3736" s="473"/>
      <c r="F3736" s="473"/>
      <c r="G3736" s="473"/>
      <c r="H3736" s="473" t="s">
        <v>2582</v>
      </c>
      <c r="I3736" s="474">
        <v>102.85</v>
      </c>
      <c r="J3736" s="473" t="s">
        <v>1454</v>
      </c>
      <c r="K3736" s="478">
        <f>I3736</f>
        <v>102.85</v>
      </c>
      <c r="L3736" s="473"/>
      <c r="M3736" s="473"/>
    </row>
    <row r="3737" spans="5:13" ht="39" customHeight="1">
      <c r="E3737" s="473"/>
      <c r="F3737" s="473"/>
      <c r="G3737" s="473"/>
      <c r="H3737" s="495" t="s">
        <v>3016</v>
      </c>
      <c r="I3737" s="473"/>
      <c r="J3737" s="473"/>
      <c r="K3737" s="573">
        <v>15.7</v>
      </c>
      <c r="L3737" s="473"/>
      <c r="M3737" s="473"/>
    </row>
    <row r="3738" spans="5:13">
      <c r="E3738" s="473"/>
      <c r="F3738" s="473"/>
      <c r="G3738" s="473"/>
      <c r="H3738" s="473" t="s">
        <v>3017</v>
      </c>
      <c r="I3738" s="473"/>
      <c r="J3738" s="482">
        <f>SUM(K3735:K3737)</f>
        <v>1388.55</v>
      </c>
      <c r="K3738" s="478">
        <f>J3738*1%+1.56</f>
        <v>15.45</v>
      </c>
      <c r="L3738" s="473"/>
      <c r="M3738" s="473"/>
    </row>
    <row r="3739" spans="5:13">
      <c r="E3739" s="473"/>
      <c r="F3739" s="473"/>
      <c r="G3739" s="473"/>
      <c r="H3739" s="473" t="s">
        <v>3018</v>
      </c>
      <c r="I3739" s="473"/>
      <c r="J3739" s="473"/>
      <c r="K3739" s="478">
        <f>K3746</f>
        <v>154</v>
      </c>
      <c r="L3739" s="473"/>
      <c r="M3739" s="473"/>
    </row>
    <row r="3740" spans="5:13">
      <c r="E3740" s="473"/>
      <c r="F3740" s="473"/>
      <c r="G3740" s="473"/>
      <c r="H3740" s="480" t="s">
        <v>3019</v>
      </c>
      <c r="I3740" s="473"/>
      <c r="J3740" s="473"/>
      <c r="K3740" s="480">
        <f>SUM(K3735:K3739)</f>
        <v>1558</v>
      </c>
      <c r="L3740" s="473"/>
      <c r="M3740" s="473"/>
    </row>
    <row r="3741" spans="5:13">
      <c r="E3741" s="473"/>
      <c r="F3741" s="473"/>
      <c r="G3741" s="473"/>
      <c r="H3741" s="473"/>
      <c r="I3741" s="473"/>
      <c r="J3741" s="473"/>
      <c r="K3741" s="478"/>
      <c r="L3741" s="473"/>
      <c r="M3741" s="473"/>
    </row>
    <row r="3742" spans="5:13">
      <c r="E3742" s="473"/>
      <c r="F3742" s="473"/>
      <c r="G3742" s="473"/>
      <c r="H3742" s="479" t="s">
        <v>931</v>
      </c>
      <c r="I3742" s="473"/>
      <c r="J3742" s="473"/>
      <c r="K3742" s="478"/>
      <c r="L3742" s="473"/>
      <c r="M3742" s="473"/>
    </row>
    <row r="3743" spans="5:13">
      <c r="E3743" s="473"/>
      <c r="F3743" s="473">
        <v>1</v>
      </c>
      <c r="G3743" s="473" t="s">
        <v>1454</v>
      </c>
      <c r="H3743" s="473" t="s">
        <v>2901</v>
      </c>
      <c r="I3743" s="473">
        <f>I3726</f>
        <v>254</v>
      </c>
      <c r="J3743" s="473" t="s">
        <v>1454</v>
      </c>
      <c r="K3743" s="478">
        <f>F3743*I3743</f>
        <v>254</v>
      </c>
      <c r="L3743" s="473"/>
      <c r="M3743" s="473"/>
    </row>
    <row r="3744" spans="5:13">
      <c r="E3744" s="473"/>
      <c r="F3744" s="473">
        <v>2</v>
      </c>
      <c r="G3744" s="473" t="s">
        <v>1454</v>
      </c>
      <c r="H3744" s="473" t="s">
        <v>2430</v>
      </c>
      <c r="I3744" s="473">
        <f>I3728</f>
        <v>181</v>
      </c>
      <c r="J3744" s="473" t="s">
        <v>1454</v>
      </c>
      <c r="K3744" s="478">
        <f>F3744*I3744</f>
        <v>362</v>
      </c>
      <c r="L3744" s="473"/>
      <c r="M3744" s="473"/>
    </row>
    <row r="3745" spans="5:13">
      <c r="E3745" s="473"/>
      <c r="F3745" s="473"/>
      <c r="G3745" s="473"/>
      <c r="H3745" s="478" t="s">
        <v>3020</v>
      </c>
      <c r="I3745" s="473"/>
      <c r="J3745" s="473"/>
      <c r="K3745" s="571">
        <f>SUM(K3743:K3744)</f>
        <v>616</v>
      </c>
      <c r="L3745" s="473"/>
      <c r="M3745" s="473"/>
    </row>
    <row r="3746" spans="5:13">
      <c r="E3746" s="473"/>
      <c r="F3746" s="473"/>
      <c r="G3746" s="473"/>
      <c r="H3746" s="480" t="s">
        <v>2929</v>
      </c>
      <c r="I3746" s="473"/>
      <c r="J3746" s="473"/>
      <c r="K3746" s="480">
        <f>K3745/4</f>
        <v>154</v>
      </c>
      <c r="L3746" s="473"/>
      <c r="M3746" s="473"/>
    </row>
    <row r="3747" spans="5:13" hidden="1">
      <c r="E3747" s="473"/>
      <c r="F3747" s="473"/>
      <c r="G3747" s="473"/>
      <c r="H3747" s="473"/>
      <c r="I3747" s="473"/>
      <c r="J3747" s="473"/>
      <c r="K3747" s="478"/>
      <c r="L3747" s="473"/>
      <c r="M3747" s="473"/>
    </row>
    <row r="3748" spans="5:13" hidden="1">
      <c r="E3748" s="473"/>
      <c r="F3748" s="473"/>
      <c r="G3748" s="473"/>
      <c r="H3748" s="473"/>
      <c r="I3748" s="473"/>
      <c r="J3748" s="473"/>
      <c r="K3748" s="478"/>
      <c r="L3748" s="473"/>
      <c r="M3748" s="473"/>
    </row>
    <row r="3749" spans="5:13">
      <c r="E3749" s="473"/>
      <c r="F3749" s="473"/>
      <c r="G3749" s="473"/>
      <c r="H3749" s="481" t="s">
        <v>3021</v>
      </c>
      <c r="I3749" s="473"/>
      <c r="J3749" s="473"/>
      <c r="K3749" s="478"/>
      <c r="L3749" s="473"/>
      <c r="M3749" s="473"/>
    </row>
    <row r="3750" spans="5:13">
      <c r="E3750" s="473"/>
      <c r="F3750" s="473"/>
      <c r="G3750" s="473"/>
      <c r="H3750" s="473"/>
      <c r="I3750" s="473"/>
      <c r="J3750" s="473"/>
      <c r="K3750" s="478"/>
      <c r="L3750" s="473"/>
      <c r="M3750" s="473"/>
    </row>
    <row r="3751" spans="5:13">
      <c r="E3751" s="473"/>
      <c r="F3751" s="473"/>
      <c r="G3751" s="473"/>
      <c r="H3751" s="481" t="s">
        <v>3022</v>
      </c>
      <c r="I3751" s="473"/>
      <c r="J3751" s="473"/>
      <c r="K3751" s="478"/>
      <c r="L3751" s="473"/>
      <c r="M3751" s="473"/>
    </row>
    <row r="3752" spans="5:13">
      <c r="E3752" s="473"/>
      <c r="F3752" s="473"/>
      <c r="G3752" s="473"/>
      <c r="H3752" s="473"/>
      <c r="I3752" s="473"/>
      <c r="J3752" s="473"/>
      <c r="K3752" s="478"/>
      <c r="L3752" s="473"/>
      <c r="M3752" s="473"/>
    </row>
    <row r="3753" spans="5:13">
      <c r="E3753" s="473"/>
      <c r="F3753" s="473"/>
      <c r="G3753" s="473"/>
      <c r="H3753" s="473" t="s">
        <v>3023</v>
      </c>
      <c r="I3753" s="496">
        <v>1110</v>
      </c>
      <c r="J3753" s="473" t="s">
        <v>1454</v>
      </c>
      <c r="K3753" s="478">
        <f>I3753</f>
        <v>1110</v>
      </c>
      <c r="L3753" s="473"/>
      <c r="M3753" s="473"/>
    </row>
    <row r="3754" spans="5:13">
      <c r="E3754" s="473"/>
      <c r="F3754" s="473"/>
      <c r="G3754" s="473"/>
      <c r="H3754" s="473" t="s">
        <v>2582</v>
      </c>
      <c r="I3754" s="473">
        <f>I3736</f>
        <v>102.85</v>
      </c>
      <c r="J3754" s="473" t="s">
        <v>1454</v>
      </c>
      <c r="K3754" s="478">
        <f>I3754</f>
        <v>102.85</v>
      </c>
      <c r="L3754" s="473"/>
      <c r="M3754" s="473"/>
    </row>
    <row r="3755" spans="5:13" ht="31.5">
      <c r="E3755" s="473"/>
      <c r="F3755" s="473"/>
      <c r="G3755" s="473"/>
      <c r="H3755" s="495" t="s">
        <v>3016</v>
      </c>
      <c r="I3755" s="473"/>
      <c r="J3755" s="473"/>
      <c r="K3755" s="478">
        <f>K3737</f>
        <v>15.7</v>
      </c>
      <c r="L3755" s="473"/>
      <c r="M3755" s="473"/>
    </row>
    <row r="3756" spans="5:13">
      <c r="E3756" s="473"/>
      <c r="F3756" s="473"/>
      <c r="G3756" s="473"/>
      <c r="H3756" s="473" t="s">
        <v>3017</v>
      </c>
      <c r="I3756" s="473"/>
      <c r="J3756" s="473"/>
      <c r="K3756" s="478">
        <f>K3738</f>
        <v>15.45</v>
      </c>
      <c r="L3756" s="473"/>
      <c r="M3756" s="473"/>
    </row>
    <row r="3757" spans="5:13">
      <c r="E3757" s="473"/>
      <c r="F3757" s="473"/>
      <c r="G3757" s="473"/>
      <c r="H3757" s="473" t="s">
        <v>3018</v>
      </c>
      <c r="I3757" s="473"/>
      <c r="J3757" s="473"/>
      <c r="K3757" s="478">
        <f>K3739</f>
        <v>154</v>
      </c>
      <c r="L3757" s="473"/>
      <c r="M3757" s="473"/>
    </row>
    <row r="3758" spans="5:13">
      <c r="E3758" s="473"/>
      <c r="F3758" s="473"/>
      <c r="G3758" s="473"/>
      <c r="H3758" s="480" t="s">
        <v>3019</v>
      </c>
      <c r="I3758" s="473"/>
      <c r="J3758" s="473"/>
      <c r="K3758" s="480">
        <f>SUM(K3753:K3757)</f>
        <v>1398</v>
      </c>
      <c r="L3758" s="473"/>
      <c r="M3758" s="473"/>
    </row>
    <row r="3759" spans="5:13">
      <c r="E3759" s="473"/>
      <c r="F3759" s="473"/>
      <c r="G3759" s="473"/>
      <c r="H3759" s="473"/>
      <c r="I3759" s="473"/>
      <c r="J3759" s="473"/>
      <c r="K3759" s="478"/>
      <c r="L3759" s="473"/>
      <c r="M3759" s="473"/>
    </row>
    <row r="3760" spans="5:13">
      <c r="E3760" s="473"/>
      <c r="F3760" s="473"/>
      <c r="G3760" s="473"/>
      <c r="H3760" s="479" t="s">
        <v>3024</v>
      </c>
      <c r="I3760" s="473"/>
      <c r="J3760" s="473"/>
      <c r="K3760" s="478"/>
      <c r="L3760" s="473">
        <f>1318-K3761</f>
        <v>118</v>
      </c>
      <c r="M3760" s="473"/>
    </row>
    <row r="3761" spans="5:13">
      <c r="E3761" s="473"/>
      <c r="F3761" s="473">
        <v>1</v>
      </c>
      <c r="G3761" s="473" t="s">
        <v>1454</v>
      </c>
      <c r="H3761" s="473" t="s">
        <v>2545</v>
      </c>
      <c r="I3761" s="474">
        <v>1200</v>
      </c>
      <c r="J3761" s="473" t="s">
        <v>1454</v>
      </c>
      <c r="K3761" s="478">
        <f>F3761*I3761</f>
        <v>1200</v>
      </c>
      <c r="L3761" s="473"/>
      <c r="M3761" s="473"/>
    </row>
    <row r="3762" spans="5:13">
      <c r="E3762" s="473"/>
      <c r="F3762" s="473">
        <v>1</v>
      </c>
      <c r="G3762" s="473" t="s">
        <v>1454</v>
      </c>
      <c r="H3762" s="473" t="s">
        <v>2546</v>
      </c>
      <c r="I3762" s="473">
        <v>168</v>
      </c>
      <c r="J3762" s="473" t="s">
        <v>1454</v>
      </c>
      <c r="K3762" s="478">
        <f>F3762*I3762</f>
        <v>168</v>
      </c>
      <c r="L3762" s="473"/>
      <c r="M3762" s="473"/>
    </row>
    <row r="3763" spans="5:13">
      <c r="E3763" s="473"/>
      <c r="F3763" s="473"/>
      <c r="G3763" s="473"/>
      <c r="H3763" s="478"/>
      <c r="I3763" s="473"/>
      <c r="J3763" s="473"/>
      <c r="K3763" s="480">
        <f>SUM(K3761:K3762)</f>
        <v>1368</v>
      </c>
      <c r="L3763" s="473"/>
      <c r="M3763" s="473"/>
    </row>
    <row r="3764" spans="5:13">
      <c r="E3764" s="473"/>
      <c r="F3764" s="473"/>
      <c r="G3764" s="473"/>
      <c r="H3764" s="481" t="s">
        <v>2547</v>
      </c>
      <c r="I3764" s="473"/>
      <c r="J3764" s="473"/>
      <c r="K3764" s="478"/>
      <c r="L3764" s="473"/>
      <c r="M3764" s="473"/>
    </row>
    <row r="3765" spans="5:13">
      <c r="E3765" s="473"/>
      <c r="F3765" s="473">
        <v>1</v>
      </c>
      <c r="G3765" s="473" t="s">
        <v>1454</v>
      </c>
      <c r="H3765" s="473" t="s">
        <v>2548</v>
      </c>
      <c r="I3765" s="473">
        <v>404</v>
      </c>
      <c r="J3765" s="473" t="s">
        <v>1454</v>
      </c>
      <c r="K3765" s="478">
        <f>F3765*I3765</f>
        <v>404</v>
      </c>
      <c r="L3765" s="473"/>
      <c r="M3765" s="473"/>
    </row>
    <row r="3766" spans="5:13">
      <c r="E3766" s="473"/>
      <c r="F3766" s="473">
        <v>1</v>
      </c>
      <c r="G3766" s="473" t="s">
        <v>1454</v>
      </c>
      <c r="H3766" s="473" t="s">
        <v>2549</v>
      </c>
      <c r="I3766" s="496">
        <v>38.799999999999997</v>
      </c>
      <c r="J3766" s="473" t="s">
        <v>1454</v>
      </c>
      <c r="K3766" s="478">
        <f>F3766*I3766</f>
        <v>38.799999999999997</v>
      </c>
      <c r="L3766" s="473"/>
      <c r="M3766" s="473"/>
    </row>
    <row r="3767" spans="5:13">
      <c r="E3767" s="473"/>
      <c r="F3767" s="473"/>
      <c r="G3767" s="473"/>
      <c r="H3767" s="473" t="s">
        <v>2550</v>
      </c>
      <c r="I3767" s="473"/>
      <c r="J3767" s="473"/>
      <c r="K3767" s="478">
        <f>K3244</f>
        <v>114</v>
      </c>
      <c r="L3767" s="473"/>
      <c r="M3767" s="473"/>
    </row>
    <row r="3768" spans="5:13">
      <c r="E3768" s="473"/>
      <c r="F3768" s="473"/>
      <c r="G3768" s="473"/>
      <c r="H3768" s="473" t="s">
        <v>2359</v>
      </c>
      <c r="I3768" s="473"/>
      <c r="J3768" s="473"/>
      <c r="K3768" s="478">
        <v>0.2</v>
      </c>
      <c r="L3768" s="473"/>
      <c r="M3768" s="473"/>
    </row>
    <row r="3769" spans="5:13">
      <c r="E3769" s="473"/>
      <c r="F3769" s="473"/>
      <c r="G3769" s="473"/>
      <c r="H3769" s="473"/>
      <c r="I3769" s="473"/>
      <c r="J3769" s="473"/>
      <c r="K3769" s="480">
        <f>SUM(K3765:K3768)</f>
        <v>557</v>
      </c>
      <c r="L3769" s="473"/>
      <c r="M3769" s="473"/>
    </row>
    <row r="3770" spans="5:13">
      <c r="E3770" s="473"/>
      <c r="F3770" s="473"/>
      <c r="G3770" s="473"/>
      <c r="H3770" s="473"/>
      <c r="I3770" s="473"/>
      <c r="J3770" s="473"/>
      <c r="K3770" s="478"/>
      <c r="L3770" s="473"/>
      <c r="M3770" s="473"/>
    </row>
    <row r="3771" spans="5:13">
      <c r="E3771" s="473"/>
      <c r="F3771" s="473"/>
      <c r="G3771" s="473"/>
      <c r="H3771" s="481" t="s">
        <v>2551</v>
      </c>
      <c r="I3771" s="473"/>
      <c r="J3771" s="473"/>
      <c r="K3771" s="478"/>
      <c r="L3771" s="473"/>
      <c r="M3771" s="473"/>
    </row>
    <row r="3772" spans="5:13">
      <c r="E3772" s="473"/>
      <c r="F3772" s="473">
        <v>1</v>
      </c>
      <c r="G3772" s="473" t="s">
        <v>1454</v>
      </c>
      <c r="H3772" s="473" t="s">
        <v>2548</v>
      </c>
      <c r="I3772" s="473">
        <v>322</v>
      </c>
      <c r="J3772" s="473" t="s">
        <v>1454</v>
      </c>
      <c r="K3772" s="478">
        <f>F3772*I3772</f>
        <v>322</v>
      </c>
      <c r="L3772" s="473"/>
      <c r="M3772" s="473"/>
    </row>
    <row r="3773" spans="5:13">
      <c r="E3773" s="473"/>
      <c r="F3773" s="473">
        <v>1</v>
      </c>
      <c r="G3773" s="473" t="s">
        <v>1454</v>
      </c>
      <c r="H3773" s="473" t="s">
        <v>2549</v>
      </c>
      <c r="I3773" s="496">
        <v>38.799999999999997</v>
      </c>
      <c r="J3773" s="473" t="s">
        <v>1454</v>
      </c>
      <c r="K3773" s="478">
        <f>F3773*I3773</f>
        <v>38.799999999999997</v>
      </c>
      <c r="L3773" s="473"/>
      <c r="M3773" s="473"/>
    </row>
    <row r="3774" spans="5:13">
      <c r="E3774" s="473"/>
      <c r="F3774" s="473"/>
      <c r="G3774" s="473"/>
      <c r="H3774" s="473" t="s">
        <v>2550</v>
      </c>
      <c r="I3774" s="473"/>
      <c r="J3774" s="473"/>
      <c r="K3774" s="478">
        <f>K3767</f>
        <v>114</v>
      </c>
      <c r="L3774" s="473"/>
      <c r="M3774" s="473"/>
    </row>
    <row r="3775" spans="5:13">
      <c r="E3775" s="473"/>
      <c r="F3775" s="473"/>
      <c r="G3775" s="473"/>
      <c r="H3775" s="473" t="s">
        <v>2359</v>
      </c>
      <c r="I3775" s="473"/>
      <c r="J3775" s="473"/>
      <c r="K3775" s="478">
        <v>0.2</v>
      </c>
      <c r="L3775" s="473"/>
      <c r="M3775" s="473"/>
    </row>
    <row r="3776" spans="5:13">
      <c r="E3776" s="473"/>
      <c r="F3776" s="473"/>
      <c r="G3776" s="473"/>
      <c r="H3776" s="473"/>
      <c r="I3776" s="473"/>
      <c r="J3776" s="473"/>
      <c r="K3776" s="480">
        <f>SUM(K3772:K3775)</f>
        <v>475</v>
      </c>
      <c r="L3776" s="473"/>
      <c r="M3776" s="473"/>
    </row>
    <row r="3777" spans="5:13" hidden="1">
      <c r="E3777" s="473"/>
      <c r="F3777" s="473"/>
      <c r="G3777" s="473"/>
      <c r="H3777" s="473"/>
      <c r="I3777" s="473"/>
      <c r="J3777" s="473"/>
      <c r="K3777" s="478"/>
      <c r="L3777" s="473"/>
      <c r="M3777" s="473"/>
    </row>
    <row r="3778" spans="5:13" hidden="1">
      <c r="E3778" s="473"/>
      <c r="F3778" s="473"/>
      <c r="G3778" s="473"/>
      <c r="H3778" s="473"/>
      <c r="I3778" s="473"/>
      <c r="J3778" s="473"/>
      <c r="K3778" s="478"/>
      <c r="L3778" s="473"/>
      <c r="M3778" s="473"/>
    </row>
    <row r="3779" spans="5:13" hidden="1">
      <c r="E3779" s="473"/>
      <c r="F3779" s="473"/>
      <c r="G3779" s="473"/>
      <c r="H3779" s="473"/>
      <c r="I3779" s="473"/>
      <c r="J3779" s="473"/>
      <c r="K3779" s="478"/>
      <c r="L3779" s="473"/>
      <c r="M3779" s="473"/>
    </row>
    <row r="3780" spans="5:13" hidden="1">
      <c r="E3780" s="473"/>
      <c r="F3780" s="473"/>
      <c r="G3780" s="473"/>
      <c r="H3780" s="473"/>
      <c r="I3780" s="473"/>
      <c r="J3780" s="473"/>
      <c r="K3780" s="478"/>
      <c r="L3780" s="473"/>
      <c r="M3780" s="473"/>
    </row>
    <row r="3781" spans="5:13" hidden="1">
      <c r="E3781" s="473"/>
      <c r="F3781" s="473"/>
      <c r="G3781" s="473"/>
      <c r="H3781" s="473"/>
      <c r="I3781" s="473"/>
      <c r="J3781" s="473"/>
      <c r="K3781" s="478"/>
      <c r="L3781" s="473"/>
      <c r="M3781" s="473"/>
    </row>
    <row r="3782" spans="5:13" hidden="1">
      <c r="E3782" s="473"/>
      <c r="F3782" s="473"/>
      <c r="G3782" s="473"/>
      <c r="J3782" s="245"/>
      <c r="L3782" s="473"/>
      <c r="M3782" s="473"/>
    </row>
    <row r="3783" spans="5:13" hidden="1">
      <c r="E3783" s="473"/>
      <c r="F3783" s="473"/>
      <c r="G3783" s="473"/>
      <c r="H3783" s="473"/>
      <c r="I3783" s="473"/>
      <c r="J3783" s="473"/>
      <c r="K3783" s="480"/>
      <c r="L3783" s="473"/>
      <c r="M3783" s="473"/>
    </row>
    <row r="3784" spans="5:13" hidden="1">
      <c r="E3784" s="473"/>
      <c r="F3784" s="473"/>
      <c r="G3784" s="473"/>
      <c r="H3784" s="473"/>
      <c r="I3784" s="473"/>
      <c r="J3784" s="473"/>
      <c r="K3784" s="478"/>
      <c r="L3784" s="473"/>
      <c r="M3784" s="473"/>
    </row>
    <row r="3785" spans="5:13">
      <c r="E3785" s="473"/>
      <c r="H3785" s="254" t="s">
        <v>2559</v>
      </c>
      <c r="L3785" s="473"/>
      <c r="M3785" s="473"/>
    </row>
    <row r="3786" spans="5:13">
      <c r="E3786" s="473"/>
      <c r="L3786" s="473"/>
      <c r="M3786" s="473"/>
    </row>
    <row r="3787" spans="5:13">
      <c r="E3787" s="473"/>
      <c r="H3787" s="254" t="s">
        <v>3048</v>
      </c>
      <c r="L3787" s="473"/>
      <c r="M3787" s="473"/>
    </row>
    <row r="3788" spans="5:13">
      <c r="E3788" s="473"/>
      <c r="L3788" s="473"/>
      <c r="M3788" s="473"/>
    </row>
    <row r="3789" spans="5:13" ht="94.5">
      <c r="E3789" s="473"/>
      <c r="H3789" s="472" t="s">
        <v>912</v>
      </c>
      <c r="L3789" s="473"/>
      <c r="M3789" s="473"/>
    </row>
    <row r="3790" spans="5:13" ht="31.5">
      <c r="E3790" s="473"/>
      <c r="F3790" s="473">
        <v>90</v>
      </c>
      <c r="G3790" s="473" t="s">
        <v>840</v>
      </c>
      <c r="H3790" s="394" t="s">
        <v>2662</v>
      </c>
      <c r="I3790" s="473">
        <f>I2843</f>
        <v>12.8</v>
      </c>
      <c r="J3790" s="473" t="s">
        <v>2663</v>
      </c>
      <c r="K3790" s="478">
        <f>F3790*I3790</f>
        <v>1152</v>
      </c>
      <c r="L3790" s="473"/>
      <c r="M3790" s="473"/>
    </row>
    <row r="3791" spans="5:13" ht="31.5">
      <c r="E3791" s="473"/>
      <c r="F3791" s="473">
        <v>45</v>
      </c>
      <c r="G3791" s="473" t="s">
        <v>840</v>
      </c>
      <c r="H3791" s="472" t="s">
        <v>2466</v>
      </c>
      <c r="I3791" s="473">
        <f>I2844</f>
        <v>19.5</v>
      </c>
      <c r="J3791" s="473" t="s">
        <v>2467</v>
      </c>
      <c r="K3791" s="478">
        <f>F3791*I3791</f>
        <v>877.5</v>
      </c>
      <c r="L3791" s="473"/>
      <c r="M3791" s="473"/>
    </row>
    <row r="3792" spans="5:13">
      <c r="E3792" s="473"/>
      <c r="F3792" s="473">
        <v>20</v>
      </c>
      <c r="G3792" s="473" t="s">
        <v>1454</v>
      </c>
      <c r="H3792" s="473" t="s">
        <v>2468</v>
      </c>
      <c r="I3792" s="473">
        <f>I2845</f>
        <v>3.15</v>
      </c>
      <c r="J3792" s="473" t="s">
        <v>1454</v>
      </c>
      <c r="K3792" s="478">
        <f>F3792*I3792</f>
        <v>63</v>
      </c>
      <c r="L3792" s="473"/>
      <c r="M3792" s="473"/>
    </row>
    <row r="3793" spans="5:13">
      <c r="E3793" s="473"/>
      <c r="F3793" s="473">
        <v>150</v>
      </c>
      <c r="G3793" s="473" t="s">
        <v>1454</v>
      </c>
      <c r="H3793" s="473" t="s">
        <v>2803</v>
      </c>
      <c r="I3793" s="474">
        <v>325</v>
      </c>
      <c r="J3793" s="473" t="s">
        <v>2804</v>
      </c>
      <c r="K3793" s="478">
        <f>(F3793*I3793)/1000</f>
        <v>48.75</v>
      </c>
      <c r="L3793" s="473"/>
      <c r="M3793" s="473"/>
    </row>
    <row r="3794" spans="5:13">
      <c r="E3794" s="473"/>
      <c r="F3794" s="473">
        <v>10</v>
      </c>
      <c r="G3794" s="473" t="s">
        <v>1454</v>
      </c>
      <c r="H3794" s="473" t="s">
        <v>3571</v>
      </c>
      <c r="I3794" s="473">
        <f>I2846</f>
        <v>1.31</v>
      </c>
      <c r="J3794" s="473" t="s">
        <v>1454</v>
      </c>
      <c r="K3794" s="478">
        <f>F3794*I3794</f>
        <v>13.1</v>
      </c>
      <c r="L3794" s="473"/>
      <c r="M3794" s="473"/>
    </row>
    <row r="3795" spans="5:13">
      <c r="E3795" s="473"/>
      <c r="F3795" s="473">
        <v>10</v>
      </c>
      <c r="G3795" s="473" t="s">
        <v>1454</v>
      </c>
      <c r="H3795" s="473" t="s">
        <v>2805</v>
      </c>
      <c r="I3795" s="473">
        <v>38.75</v>
      </c>
      <c r="J3795" s="473" t="s">
        <v>3574</v>
      </c>
      <c r="K3795" s="478">
        <f>(F3795*I3795)/12</f>
        <v>32.29</v>
      </c>
      <c r="L3795" s="473"/>
      <c r="M3795" s="473"/>
    </row>
    <row r="3796" spans="5:13">
      <c r="E3796" s="473"/>
      <c r="F3796" s="476">
        <v>1.4999999999999999E-2</v>
      </c>
      <c r="G3796" s="473" t="s">
        <v>2371</v>
      </c>
      <c r="H3796" s="473" t="s">
        <v>3440</v>
      </c>
      <c r="I3796" s="473">
        <f>I2849</f>
        <v>640</v>
      </c>
      <c r="J3796" s="473" t="s">
        <v>2371</v>
      </c>
      <c r="K3796" s="478">
        <f>F3796*I3796</f>
        <v>9.6</v>
      </c>
      <c r="L3796" s="473"/>
      <c r="M3796" s="473"/>
    </row>
    <row r="3797" spans="5:13">
      <c r="E3797" s="473"/>
      <c r="F3797" s="473">
        <v>10</v>
      </c>
      <c r="G3797" s="473" t="s">
        <v>1454</v>
      </c>
      <c r="H3797" s="473" t="s">
        <v>3441</v>
      </c>
      <c r="I3797" s="473">
        <f>I2850</f>
        <v>16.170000000000002</v>
      </c>
      <c r="J3797" s="473" t="s">
        <v>1454</v>
      </c>
      <c r="K3797" s="478">
        <f>(F3797*I3797)</f>
        <v>161.69999999999999</v>
      </c>
      <c r="L3797" s="473"/>
      <c r="M3797" s="473"/>
    </row>
    <row r="3798" spans="5:13">
      <c r="E3798" s="473"/>
      <c r="F3798" s="473">
        <v>10</v>
      </c>
      <c r="G3798" s="473" t="s">
        <v>1454</v>
      </c>
      <c r="H3798" s="473" t="s">
        <v>2755</v>
      </c>
      <c r="I3798" s="473">
        <f>I2851</f>
        <v>15.75</v>
      </c>
      <c r="J3798" s="473" t="s">
        <v>1454</v>
      </c>
      <c r="K3798" s="478">
        <f>F3798*I3798</f>
        <v>157.5</v>
      </c>
      <c r="L3798" s="473"/>
      <c r="M3798" s="473"/>
    </row>
    <row r="3799" spans="5:13">
      <c r="E3799" s="473"/>
      <c r="F3799" s="473">
        <v>1</v>
      </c>
      <c r="G3799" s="473" t="s">
        <v>2763</v>
      </c>
      <c r="H3799" s="473" t="s">
        <v>474</v>
      </c>
      <c r="I3799" s="474">
        <v>78.7</v>
      </c>
      <c r="J3799" s="473" t="s">
        <v>2763</v>
      </c>
      <c r="K3799" s="478">
        <f>F3799*I3799</f>
        <v>78.7</v>
      </c>
      <c r="L3799" s="473"/>
      <c r="M3799" s="473"/>
    </row>
    <row r="3800" spans="5:13">
      <c r="E3800" s="473"/>
      <c r="F3800" s="473">
        <v>72</v>
      </c>
      <c r="G3800" s="473" t="s">
        <v>1454</v>
      </c>
      <c r="H3800" s="473" t="s">
        <v>2806</v>
      </c>
      <c r="I3800" s="474">
        <v>42.5</v>
      </c>
      <c r="J3800" s="473" t="s">
        <v>2763</v>
      </c>
      <c r="K3800" s="478">
        <f>(F3800*I3800)/144</f>
        <v>21.25</v>
      </c>
      <c r="L3800" s="473"/>
      <c r="M3800" s="473"/>
    </row>
    <row r="3801" spans="5:13">
      <c r="E3801" s="473"/>
      <c r="F3801" s="477">
        <v>0.16666666666666666</v>
      </c>
      <c r="G3801" s="473" t="s">
        <v>2759</v>
      </c>
      <c r="H3801" s="473" t="s">
        <v>391</v>
      </c>
      <c r="I3801" s="473">
        <v>260</v>
      </c>
      <c r="J3801" s="473" t="s">
        <v>2759</v>
      </c>
      <c r="K3801" s="478">
        <f t="shared" ref="K3801:K3806" si="104">F3801*I3801</f>
        <v>43.33</v>
      </c>
      <c r="L3801" s="473">
        <f>SUM(K3790:K3806)</f>
        <v>3584.87</v>
      </c>
      <c r="M3801" s="473"/>
    </row>
    <row r="3802" spans="5:13">
      <c r="E3802" s="473"/>
      <c r="F3802" s="473">
        <v>10</v>
      </c>
      <c r="G3802" s="473" t="s">
        <v>1454</v>
      </c>
      <c r="H3802" s="473" t="s">
        <v>2807</v>
      </c>
      <c r="I3802" s="473">
        <v>15.7</v>
      </c>
      <c r="J3802" s="473" t="s">
        <v>1454</v>
      </c>
      <c r="K3802" s="478">
        <f t="shared" si="104"/>
        <v>157</v>
      </c>
      <c r="L3802" s="473">
        <f>L3801*1/100</f>
        <v>35.85</v>
      </c>
      <c r="M3802" s="473"/>
    </row>
    <row r="3803" spans="5:13">
      <c r="E3803" s="473"/>
      <c r="F3803" s="473">
        <v>1</v>
      </c>
      <c r="G3803" s="473" t="s">
        <v>1454</v>
      </c>
      <c r="H3803" s="473" t="s">
        <v>3188</v>
      </c>
      <c r="I3803" s="473">
        <v>18.899999999999999</v>
      </c>
      <c r="J3803" s="473" t="s">
        <v>1454</v>
      </c>
      <c r="K3803" s="478">
        <f t="shared" si="104"/>
        <v>18.899999999999999</v>
      </c>
      <c r="L3803" s="473"/>
      <c r="M3803" s="473"/>
    </row>
    <row r="3804" spans="5:13">
      <c r="E3804" s="473"/>
      <c r="F3804" s="473">
        <v>0.1</v>
      </c>
      <c r="G3804" s="473" t="s">
        <v>2371</v>
      </c>
      <c r="H3804" s="473" t="s">
        <v>3189</v>
      </c>
      <c r="I3804" s="473">
        <f>I2855</f>
        <v>640</v>
      </c>
      <c r="J3804" s="473" t="s">
        <v>2371</v>
      </c>
      <c r="K3804" s="478">
        <f t="shared" si="104"/>
        <v>64</v>
      </c>
      <c r="L3804" s="473"/>
      <c r="M3804" s="473"/>
    </row>
    <row r="3805" spans="5:13" ht="31.5">
      <c r="E3805" s="473"/>
      <c r="F3805" s="473">
        <v>45</v>
      </c>
      <c r="G3805" s="473" t="s">
        <v>840</v>
      </c>
      <c r="H3805" s="394" t="s">
        <v>2765</v>
      </c>
      <c r="I3805" s="473">
        <f>I2856</f>
        <v>12.8</v>
      </c>
      <c r="J3805" s="473" t="s">
        <v>3484</v>
      </c>
      <c r="K3805" s="478">
        <f t="shared" si="104"/>
        <v>576</v>
      </c>
      <c r="L3805" s="473"/>
      <c r="M3805" s="473"/>
    </row>
    <row r="3806" spans="5:13">
      <c r="E3806" s="473"/>
      <c r="F3806" s="477">
        <v>0.5</v>
      </c>
      <c r="G3806" s="473" t="s">
        <v>59</v>
      </c>
      <c r="H3806" s="394" t="s">
        <v>3190</v>
      </c>
      <c r="I3806" s="473">
        <v>220.5</v>
      </c>
      <c r="J3806" s="473" t="s">
        <v>59</v>
      </c>
      <c r="K3806" s="478">
        <f t="shared" si="104"/>
        <v>110.25</v>
      </c>
      <c r="L3806" s="473"/>
      <c r="M3806" s="473"/>
    </row>
    <row r="3807" spans="5:13">
      <c r="E3807" s="473"/>
      <c r="F3807" s="473">
        <v>10</v>
      </c>
      <c r="G3807" s="473" t="s">
        <v>3488</v>
      </c>
      <c r="H3807" s="473" t="s">
        <v>931</v>
      </c>
      <c r="I3807" s="473"/>
      <c r="J3807" s="473" t="s">
        <v>667</v>
      </c>
      <c r="K3807" s="478">
        <f>K3826</f>
        <v>1486</v>
      </c>
      <c r="L3807" s="473">
        <f>438.5*10</f>
        <v>4385</v>
      </c>
      <c r="M3807" s="473"/>
    </row>
    <row r="3808" spans="5:13">
      <c r="E3808" s="473"/>
      <c r="F3808" s="473" t="s">
        <v>667</v>
      </c>
      <c r="G3808" s="473"/>
      <c r="H3808" s="473" t="s">
        <v>3191</v>
      </c>
      <c r="I3808" s="473"/>
      <c r="J3808" s="473" t="s">
        <v>667</v>
      </c>
      <c r="K3808" s="478">
        <v>9.1300000000000008</v>
      </c>
      <c r="L3808" s="473"/>
      <c r="M3808" s="473"/>
    </row>
    <row r="3809" spans="5:13">
      <c r="E3809" s="473"/>
      <c r="F3809" s="473"/>
      <c r="G3809" s="473"/>
      <c r="H3809" s="478" t="s">
        <v>3487</v>
      </c>
      <c r="I3809" s="473"/>
      <c r="J3809" s="473"/>
      <c r="K3809" s="571">
        <f>SUM(K3790:K3808)</f>
        <v>5080</v>
      </c>
      <c r="L3809" s="473">
        <f>K3809-150+180</f>
        <v>5110</v>
      </c>
      <c r="M3809" s="473"/>
    </row>
    <row r="3810" spans="5:13">
      <c r="E3810" s="473"/>
      <c r="F3810" s="473"/>
      <c r="G3810" s="473"/>
      <c r="H3810" s="480" t="s">
        <v>3489</v>
      </c>
      <c r="I3810" s="473"/>
      <c r="J3810" s="473"/>
      <c r="K3810" s="480">
        <f>K3809/10</f>
        <v>508</v>
      </c>
      <c r="L3810" s="473">
        <f>464*10</f>
        <v>4640</v>
      </c>
      <c r="M3810" s="473"/>
    </row>
    <row r="3811" spans="5:13" hidden="1">
      <c r="E3811" s="473"/>
      <c r="F3811" s="473"/>
      <c r="G3811" s="473"/>
      <c r="H3811" s="473"/>
      <c r="I3811" s="473"/>
      <c r="J3811" s="473"/>
      <c r="K3811" s="478"/>
      <c r="L3811" s="473"/>
      <c r="M3811" s="473"/>
    </row>
    <row r="3812" spans="5:13" hidden="1">
      <c r="E3812" s="473"/>
      <c r="F3812" s="473"/>
      <c r="G3812" s="473"/>
      <c r="H3812" s="473"/>
      <c r="I3812" s="473"/>
      <c r="J3812" s="473"/>
      <c r="K3812" s="478"/>
      <c r="L3812" s="473"/>
      <c r="M3812" s="473"/>
    </row>
    <row r="3813" spans="5:13" hidden="1">
      <c r="E3813" s="473"/>
      <c r="F3813" s="473"/>
      <c r="G3813" s="473"/>
      <c r="H3813" s="473"/>
      <c r="I3813" s="473"/>
      <c r="J3813" s="473"/>
      <c r="K3813" s="478"/>
      <c r="L3813" s="473"/>
      <c r="M3813" s="473"/>
    </row>
    <row r="3814" spans="5:13">
      <c r="E3814" s="473"/>
      <c r="F3814" s="473"/>
      <c r="G3814" s="473"/>
      <c r="H3814" s="473"/>
      <c r="I3814" s="473"/>
      <c r="J3814" s="473"/>
      <c r="K3814" s="478"/>
      <c r="L3814" s="473"/>
      <c r="M3814" s="473"/>
    </row>
    <row r="3815" spans="5:13">
      <c r="E3815" s="473"/>
      <c r="F3815" s="473"/>
      <c r="G3815" s="481" t="s">
        <v>3491</v>
      </c>
      <c r="H3815" s="473"/>
      <c r="I3815" s="473"/>
      <c r="J3815" s="473"/>
      <c r="L3815" s="245">
        <f>L3810-K3809</f>
        <v>-440</v>
      </c>
      <c r="M3815" s="473"/>
    </row>
    <row r="3816" spans="5:13">
      <c r="E3816" s="473"/>
      <c r="F3816" s="473"/>
      <c r="G3816" s="473"/>
      <c r="H3816" s="473"/>
      <c r="I3816" s="473"/>
      <c r="J3816" s="473"/>
      <c r="M3816" s="473"/>
    </row>
    <row r="3817" spans="5:13">
      <c r="E3817" s="473"/>
      <c r="F3817" s="473"/>
      <c r="G3817" s="481" t="s">
        <v>3569</v>
      </c>
      <c r="H3817" s="473"/>
      <c r="I3817" s="473"/>
      <c r="J3817" s="473"/>
      <c r="M3817" s="473"/>
    </row>
    <row r="3818" spans="5:13">
      <c r="E3818" s="473"/>
      <c r="F3818" s="473"/>
      <c r="G3818" s="473"/>
      <c r="H3818" s="473"/>
      <c r="I3818" s="473"/>
      <c r="J3818" s="473"/>
      <c r="M3818" s="473"/>
    </row>
    <row r="3819" spans="5:13">
      <c r="F3819" s="473">
        <v>1</v>
      </c>
      <c r="G3819" s="473" t="s">
        <v>1454</v>
      </c>
      <c r="H3819" s="473" t="s">
        <v>3493</v>
      </c>
      <c r="I3819" s="473">
        <f>I2866</f>
        <v>277</v>
      </c>
      <c r="J3819" s="473" t="s">
        <v>1454</v>
      </c>
      <c r="K3819" s="478">
        <f>F3819*I3819</f>
        <v>277</v>
      </c>
      <c r="L3819" s="473"/>
      <c r="M3819" s="473"/>
    </row>
    <row r="3820" spans="5:13">
      <c r="F3820" s="473">
        <v>2</v>
      </c>
      <c r="G3820" s="473" t="s">
        <v>1454</v>
      </c>
      <c r="H3820" s="473" t="s">
        <v>3494</v>
      </c>
      <c r="I3820" s="473">
        <f>I2867</f>
        <v>254</v>
      </c>
      <c r="J3820" s="473" t="s">
        <v>1454</v>
      </c>
      <c r="K3820" s="478">
        <f>F3820*I3820</f>
        <v>508</v>
      </c>
      <c r="L3820" s="473"/>
      <c r="M3820" s="473"/>
    </row>
    <row r="3821" spans="5:13">
      <c r="F3821" s="473">
        <v>3</v>
      </c>
      <c r="G3821" s="473" t="s">
        <v>1454</v>
      </c>
      <c r="H3821" s="473" t="s">
        <v>3495</v>
      </c>
      <c r="I3821" s="473">
        <f>I2868</f>
        <v>240</v>
      </c>
      <c r="J3821" s="473" t="s">
        <v>1454</v>
      </c>
      <c r="K3821" s="478">
        <f>F3821*I3821</f>
        <v>720</v>
      </c>
      <c r="L3821" s="473"/>
      <c r="M3821" s="473"/>
    </row>
    <row r="3822" spans="5:13">
      <c r="F3822" s="473">
        <v>4</v>
      </c>
      <c r="G3822" s="473" t="s">
        <v>1454</v>
      </c>
      <c r="H3822" s="473" t="s">
        <v>2430</v>
      </c>
      <c r="I3822" s="473">
        <f>I2869</f>
        <v>181</v>
      </c>
      <c r="J3822" s="473" t="s">
        <v>1454</v>
      </c>
      <c r="K3822" s="478">
        <f>F3822*I3822</f>
        <v>724</v>
      </c>
      <c r="L3822" s="473"/>
      <c r="M3822" s="473"/>
    </row>
    <row r="3823" spans="5:13">
      <c r="F3823" s="473"/>
      <c r="G3823" s="473"/>
      <c r="H3823" s="473"/>
      <c r="I3823" s="473"/>
      <c r="J3823" s="473"/>
      <c r="K3823" s="478"/>
      <c r="L3823" s="473"/>
      <c r="M3823" s="473"/>
    </row>
    <row r="3824" spans="5:13" ht="51">
      <c r="E3824" s="473"/>
      <c r="F3824" s="473"/>
      <c r="G3824" s="245"/>
      <c r="H3824" s="483" t="s">
        <v>2989</v>
      </c>
      <c r="J3824" s="245"/>
      <c r="K3824" s="577">
        <f>SUM(K3819:K3822)</f>
        <v>2229</v>
      </c>
      <c r="L3824" s="484"/>
      <c r="M3824" s="473"/>
    </row>
    <row r="3825" spans="5:13" hidden="1">
      <c r="E3825" s="473"/>
      <c r="F3825" s="473"/>
      <c r="G3825" s="245"/>
      <c r="J3825" s="245"/>
      <c r="M3825" s="473"/>
    </row>
    <row r="3826" spans="5:13">
      <c r="E3826" s="473"/>
      <c r="F3826" s="473"/>
      <c r="G3826" s="245"/>
      <c r="J3826" s="485"/>
      <c r="K3826" s="578">
        <f>K3824*2/3</f>
        <v>1486</v>
      </c>
      <c r="L3826" s="255"/>
      <c r="M3826" s="473"/>
    </row>
    <row r="3827" spans="5:13" hidden="1">
      <c r="E3827" s="473"/>
      <c r="F3827" s="473"/>
      <c r="G3827" s="473"/>
      <c r="H3827" s="473"/>
      <c r="I3827" s="473"/>
      <c r="J3827" s="473"/>
      <c r="K3827" s="478"/>
      <c r="L3827" s="473"/>
      <c r="M3827" s="473"/>
    </row>
    <row r="3828" spans="5:13">
      <c r="E3828" s="473"/>
      <c r="F3828" s="473"/>
      <c r="G3828" s="473"/>
      <c r="H3828" s="254" t="s">
        <v>3192</v>
      </c>
      <c r="I3828" s="473"/>
      <c r="J3828" s="473"/>
      <c r="K3828" s="478"/>
      <c r="L3828" s="473"/>
      <c r="M3828" s="473"/>
    </row>
    <row r="3829" spans="5:13" hidden="1">
      <c r="E3829" s="473"/>
      <c r="F3829" s="473"/>
      <c r="G3829" s="473"/>
      <c r="H3829" s="473"/>
      <c r="I3829" s="473"/>
      <c r="J3829" s="473"/>
      <c r="K3829" s="478"/>
      <c r="L3829" s="473"/>
      <c r="M3829" s="473"/>
    </row>
    <row r="3830" spans="5:13" ht="94.5">
      <c r="E3830" s="473"/>
      <c r="F3830" s="473"/>
      <c r="G3830" s="473"/>
      <c r="H3830" s="472" t="s">
        <v>866</v>
      </c>
      <c r="I3830" s="473"/>
      <c r="J3830" s="473"/>
      <c r="K3830" s="478"/>
      <c r="L3830" s="473"/>
      <c r="M3830" s="473"/>
    </row>
    <row r="3831" spans="5:13">
      <c r="E3831" s="473"/>
      <c r="F3831" s="473"/>
      <c r="G3831" s="473"/>
      <c r="H3831" s="473" t="s">
        <v>2564</v>
      </c>
      <c r="I3831" s="473"/>
      <c r="J3831" s="473"/>
      <c r="K3831" s="478">
        <f>K3809-K3808</f>
        <v>5070.87</v>
      </c>
      <c r="L3831" s="473"/>
      <c r="M3831" s="473"/>
    </row>
    <row r="3832" spans="5:13">
      <c r="E3832" s="473"/>
      <c r="F3832" s="473"/>
      <c r="G3832" s="473"/>
      <c r="H3832" s="473" t="s">
        <v>2565</v>
      </c>
      <c r="I3832" s="473"/>
      <c r="J3832" s="473"/>
      <c r="K3832" s="478">
        <f>K3798</f>
        <v>157.5</v>
      </c>
      <c r="L3832" s="473"/>
      <c r="M3832" s="473"/>
    </row>
    <row r="3833" spans="5:13">
      <c r="E3833" s="473"/>
      <c r="F3833" s="473"/>
      <c r="G3833" s="473"/>
      <c r="H3833" s="473" t="s">
        <v>1615</v>
      </c>
      <c r="I3833" s="473"/>
      <c r="J3833" s="473"/>
      <c r="K3833" s="478">
        <f>10*18.9</f>
        <v>189</v>
      </c>
      <c r="L3833" s="473"/>
      <c r="M3833" s="473"/>
    </row>
    <row r="3834" spans="5:13">
      <c r="E3834" s="473"/>
      <c r="F3834" s="473"/>
      <c r="G3834" s="473"/>
      <c r="H3834" s="473" t="s">
        <v>2359</v>
      </c>
      <c r="I3834" s="473"/>
      <c r="J3834" s="473"/>
      <c r="K3834" s="478">
        <v>7.63</v>
      </c>
      <c r="L3834" s="473"/>
      <c r="M3834" s="473"/>
    </row>
    <row r="3835" spans="5:13">
      <c r="E3835" s="473"/>
      <c r="F3835" s="473"/>
      <c r="G3835" s="473"/>
      <c r="H3835" s="478" t="s">
        <v>2540</v>
      </c>
      <c r="I3835" s="473"/>
      <c r="J3835" s="473"/>
      <c r="K3835" s="571">
        <f>K3831-K3832+K3833+K3834</f>
        <v>5110</v>
      </c>
      <c r="L3835" s="473"/>
      <c r="M3835" s="473"/>
    </row>
    <row r="3836" spans="5:13">
      <c r="E3836" s="473"/>
      <c r="F3836" s="473"/>
      <c r="G3836" s="473"/>
      <c r="H3836" s="480" t="s">
        <v>2541</v>
      </c>
      <c r="I3836" s="473"/>
      <c r="J3836" s="473"/>
      <c r="K3836" s="480">
        <f>K3835/10</f>
        <v>511</v>
      </c>
      <c r="L3836" s="473"/>
      <c r="M3836" s="473"/>
    </row>
    <row r="3837" spans="5:13" hidden="1">
      <c r="E3837" s="473"/>
      <c r="F3837" s="473"/>
      <c r="G3837" s="473"/>
      <c r="H3837" s="473"/>
      <c r="I3837" s="473"/>
      <c r="J3837" s="473"/>
      <c r="K3837" s="478"/>
      <c r="L3837" s="473"/>
      <c r="M3837" s="473"/>
    </row>
    <row r="3838" spans="5:13" hidden="1">
      <c r="E3838" s="473"/>
      <c r="F3838" s="473"/>
      <c r="G3838" s="473"/>
      <c r="H3838" s="473"/>
      <c r="I3838" s="473"/>
      <c r="J3838" s="473"/>
      <c r="K3838" s="478"/>
      <c r="L3838" s="473"/>
      <c r="M3838" s="473"/>
    </row>
    <row r="3839" spans="5:13">
      <c r="E3839" s="473"/>
      <c r="F3839" s="473"/>
      <c r="G3839" s="473"/>
      <c r="H3839" s="473"/>
      <c r="I3839" s="473"/>
      <c r="J3839" s="473"/>
      <c r="K3839" s="478"/>
      <c r="L3839" s="473"/>
      <c r="M3839" s="473"/>
    </row>
    <row r="3840" spans="5:13" ht="47.25">
      <c r="E3840" s="473"/>
      <c r="F3840" s="473"/>
      <c r="G3840" s="473"/>
      <c r="H3840" s="471" t="s">
        <v>3570</v>
      </c>
      <c r="I3840" s="473"/>
      <c r="J3840" s="473"/>
      <c r="K3840" s="478"/>
      <c r="L3840" s="473"/>
      <c r="M3840" s="473"/>
    </row>
    <row r="3841" spans="5:13">
      <c r="E3841" s="473"/>
      <c r="F3841" s="473"/>
      <c r="G3841" s="473"/>
      <c r="H3841" s="473"/>
      <c r="I3841" s="473"/>
      <c r="J3841" s="473"/>
      <c r="K3841" s="478"/>
      <c r="L3841" s="473"/>
      <c r="M3841" s="473"/>
    </row>
    <row r="3842" spans="5:13" ht="94.5">
      <c r="E3842" s="473"/>
      <c r="F3842" s="473"/>
      <c r="G3842" s="473"/>
      <c r="H3842" s="472" t="s">
        <v>911</v>
      </c>
      <c r="I3842" s="473"/>
      <c r="J3842" s="473"/>
      <c r="K3842" s="478"/>
      <c r="L3842" s="473"/>
      <c r="M3842" s="473"/>
    </row>
    <row r="3843" spans="5:13">
      <c r="E3843" s="473"/>
      <c r="F3843" s="473"/>
      <c r="G3843" s="473"/>
      <c r="H3843" s="473" t="s">
        <v>3579</v>
      </c>
      <c r="I3843" s="473"/>
      <c r="J3843" s="473"/>
      <c r="K3843" s="478">
        <f>K3831</f>
        <v>5070.87</v>
      </c>
      <c r="L3843" s="473"/>
      <c r="M3843" s="473"/>
    </row>
    <row r="3844" spans="5:13">
      <c r="E3844" s="473"/>
      <c r="F3844" s="473"/>
      <c r="G3844" s="473"/>
      <c r="H3844" s="473" t="s">
        <v>3146</v>
      </c>
      <c r="I3844" s="473"/>
      <c r="J3844" s="473"/>
      <c r="K3844" s="478">
        <f>K3832</f>
        <v>157.5</v>
      </c>
      <c r="L3844" s="473"/>
      <c r="M3844" s="473"/>
    </row>
    <row r="3845" spans="5:13">
      <c r="E3845" s="473"/>
      <c r="F3845" s="473"/>
      <c r="G3845" s="473"/>
      <c r="H3845" s="473" t="s">
        <v>3147</v>
      </c>
      <c r="I3845" s="473"/>
      <c r="J3845" s="473"/>
      <c r="K3845" s="478">
        <f>K2892</f>
        <v>35</v>
      </c>
      <c r="L3845" s="473"/>
      <c r="M3845" s="473"/>
    </row>
    <row r="3846" spans="5:13">
      <c r="E3846" s="473"/>
      <c r="F3846" s="473"/>
      <c r="G3846" s="473"/>
      <c r="H3846" s="473" t="s">
        <v>3148</v>
      </c>
      <c r="I3846" s="473"/>
      <c r="J3846" s="473"/>
      <c r="K3846" s="478">
        <f>K2893</f>
        <v>161.69999999999999</v>
      </c>
      <c r="L3846" s="473"/>
      <c r="M3846" s="473"/>
    </row>
    <row r="3847" spans="5:13">
      <c r="E3847" s="473"/>
      <c r="F3847" s="473"/>
      <c r="G3847" s="473"/>
      <c r="H3847" s="473" t="s">
        <v>3149</v>
      </c>
      <c r="I3847" s="473"/>
      <c r="J3847" s="473"/>
      <c r="K3847" s="478">
        <v>450</v>
      </c>
      <c r="L3847" s="473"/>
      <c r="M3847" s="473"/>
    </row>
    <row r="3848" spans="5:13">
      <c r="E3848" s="473"/>
      <c r="F3848" s="473"/>
      <c r="G3848" s="473"/>
      <c r="H3848" s="473" t="s">
        <v>3150</v>
      </c>
      <c r="I3848" s="473"/>
      <c r="J3848" s="473"/>
      <c r="K3848" s="478">
        <f>10*9</f>
        <v>90</v>
      </c>
      <c r="L3848" s="473"/>
      <c r="M3848" s="473"/>
    </row>
    <row r="3849" spans="5:13">
      <c r="E3849" s="473"/>
      <c r="F3849" s="473"/>
      <c r="G3849" s="473"/>
      <c r="H3849" s="473" t="s">
        <v>3337</v>
      </c>
      <c r="I3849" s="473"/>
      <c r="J3849" s="473"/>
      <c r="K3849" s="478">
        <v>180</v>
      </c>
      <c r="L3849" s="473"/>
      <c r="M3849" s="473"/>
    </row>
    <row r="3850" spans="5:13">
      <c r="E3850" s="473"/>
      <c r="F3850" s="473"/>
      <c r="G3850" s="473"/>
      <c r="H3850" s="473" t="s">
        <v>2359</v>
      </c>
      <c r="I3850" s="473"/>
      <c r="J3850" s="473"/>
      <c r="K3850" s="478">
        <f>K3834+0.53+0.17+5</f>
        <v>13.33</v>
      </c>
      <c r="L3850" s="473"/>
      <c r="M3850" s="473"/>
    </row>
    <row r="3851" spans="5:13">
      <c r="E3851" s="473"/>
      <c r="F3851" s="473"/>
      <c r="G3851" s="473"/>
      <c r="H3851" s="478" t="s">
        <v>2540</v>
      </c>
      <c r="I3851" s="473"/>
      <c r="J3851" s="473"/>
      <c r="K3851" s="571">
        <f>(K3843-K3844-K3845-K3846)+(K3847+K3848+K3849+K3850)</f>
        <v>5450</v>
      </c>
      <c r="L3851" s="473"/>
      <c r="M3851" s="473"/>
    </row>
    <row r="3852" spans="5:13">
      <c r="E3852" s="473"/>
      <c r="F3852" s="473"/>
      <c r="G3852" s="473"/>
      <c r="H3852" s="480" t="s">
        <v>3338</v>
      </c>
      <c r="I3852" s="473"/>
      <c r="J3852" s="473"/>
      <c r="K3852" s="480">
        <f>K3851/10</f>
        <v>545</v>
      </c>
      <c r="L3852" s="473"/>
      <c r="M3852" s="473"/>
    </row>
    <row r="3853" spans="5:13" hidden="1">
      <c r="E3853" s="473"/>
      <c r="F3853" s="473"/>
      <c r="G3853" s="473"/>
      <c r="H3853" s="473"/>
      <c r="I3853" s="473"/>
      <c r="J3853" s="473"/>
      <c r="K3853" s="478"/>
      <c r="L3853" s="473"/>
      <c r="M3853" s="473"/>
    </row>
    <row r="3854" spans="5:13" hidden="1">
      <c r="E3854" s="473"/>
      <c r="F3854" s="473"/>
      <c r="G3854" s="473"/>
      <c r="H3854" s="473"/>
      <c r="I3854" s="473"/>
      <c r="J3854" s="473"/>
      <c r="K3854" s="478"/>
      <c r="L3854" s="473"/>
      <c r="M3854" s="473"/>
    </row>
    <row r="3855" spans="5:13" hidden="1">
      <c r="E3855" s="473"/>
      <c r="F3855" s="473"/>
      <c r="G3855" s="473"/>
      <c r="H3855" s="473"/>
      <c r="I3855" s="473"/>
      <c r="J3855" s="473"/>
      <c r="K3855" s="478"/>
      <c r="L3855" s="473"/>
      <c r="M3855" s="473"/>
    </row>
    <row r="3856" spans="5:13" hidden="1">
      <c r="E3856" s="473"/>
      <c r="F3856" s="473"/>
      <c r="G3856" s="473"/>
      <c r="H3856" s="473"/>
      <c r="I3856" s="473"/>
      <c r="J3856" s="473"/>
      <c r="K3856" s="478"/>
      <c r="L3856" s="473"/>
      <c r="M3856" s="473"/>
    </row>
    <row r="3857" spans="5:13">
      <c r="E3857" s="473"/>
      <c r="F3857" s="473"/>
      <c r="G3857" s="473"/>
      <c r="H3857" s="473"/>
      <c r="I3857" s="473"/>
      <c r="J3857" s="473"/>
      <c r="K3857" s="478"/>
      <c r="L3857" s="473"/>
      <c r="M3857" s="473"/>
    </row>
    <row r="3858" spans="5:13" ht="31.5">
      <c r="E3858" s="473"/>
      <c r="F3858" s="473"/>
      <c r="G3858" s="473"/>
      <c r="H3858" s="471" t="s">
        <v>3046</v>
      </c>
      <c r="I3858" s="473"/>
      <c r="J3858" s="473"/>
      <c r="K3858" s="478"/>
      <c r="L3858" s="473"/>
      <c r="M3858" s="473"/>
    </row>
    <row r="3859" spans="5:13" hidden="1">
      <c r="E3859" s="473"/>
      <c r="F3859" s="473"/>
      <c r="G3859" s="473"/>
      <c r="I3859" s="473"/>
      <c r="J3859" s="473"/>
      <c r="K3859" s="478"/>
      <c r="L3859" s="473"/>
      <c r="M3859" s="473"/>
    </row>
    <row r="3860" spans="5:13" hidden="1">
      <c r="E3860" s="473"/>
      <c r="F3860" s="473"/>
      <c r="G3860" s="473"/>
      <c r="I3860" s="473"/>
      <c r="J3860" s="473"/>
      <c r="K3860" s="478"/>
      <c r="L3860" s="473"/>
      <c r="M3860" s="473"/>
    </row>
    <row r="3861" spans="5:13" hidden="1">
      <c r="E3861" s="473"/>
      <c r="F3861" s="473"/>
      <c r="G3861" s="473"/>
      <c r="I3861" s="473"/>
      <c r="J3861" s="473"/>
      <c r="K3861" s="478"/>
      <c r="L3861" s="473"/>
      <c r="M3861" s="473"/>
    </row>
    <row r="3862" spans="5:13" hidden="1">
      <c r="E3862" s="473"/>
      <c r="F3862" s="473"/>
      <c r="G3862" s="473"/>
      <c r="I3862" s="473"/>
      <c r="J3862" s="473"/>
      <c r="K3862" s="478"/>
      <c r="L3862" s="473"/>
      <c r="M3862" s="473"/>
    </row>
    <row r="3863" spans="5:13" ht="94.5">
      <c r="E3863" s="473"/>
      <c r="F3863" s="473"/>
      <c r="G3863" s="473"/>
      <c r="H3863" s="472" t="s">
        <v>1045</v>
      </c>
      <c r="I3863" s="473"/>
      <c r="J3863" s="473"/>
      <c r="K3863" s="478"/>
      <c r="L3863" s="473"/>
      <c r="M3863" s="473"/>
    </row>
    <row r="3864" spans="5:13" hidden="1">
      <c r="E3864" s="473"/>
      <c r="F3864" s="473"/>
      <c r="G3864" s="473"/>
      <c r="H3864" s="473"/>
      <c r="I3864" s="473"/>
      <c r="J3864" s="473"/>
      <c r="K3864" s="478"/>
      <c r="L3864" s="473"/>
      <c r="M3864" s="473"/>
    </row>
    <row r="3865" spans="5:13" hidden="1">
      <c r="E3865" s="473"/>
      <c r="F3865" s="473"/>
      <c r="G3865" s="473"/>
      <c r="H3865" s="473"/>
      <c r="I3865" s="473"/>
      <c r="J3865" s="473"/>
      <c r="K3865" s="478"/>
      <c r="L3865" s="473"/>
      <c r="M3865" s="473"/>
    </row>
    <row r="3866" spans="5:13">
      <c r="E3866" s="473"/>
      <c r="F3866" s="473"/>
      <c r="G3866" s="473"/>
      <c r="H3866" s="473"/>
      <c r="I3866" s="473"/>
      <c r="J3866" s="473"/>
      <c r="K3866" s="478"/>
      <c r="L3866" s="473"/>
      <c r="M3866" s="473"/>
    </row>
    <row r="3867" spans="5:13">
      <c r="E3867" s="473"/>
      <c r="F3867" s="473"/>
      <c r="G3867" s="473"/>
      <c r="H3867" s="473" t="s">
        <v>2564</v>
      </c>
      <c r="I3867" s="473"/>
      <c r="J3867" s="473"/>
      <c r="K3867" s="478">
        <f>K3809</f>
        <v>5080</v>
      </c>
      <c r="L3867" s="473"/>
      <c r="M3867" s="473"/>
    </row>
    <row r="3868" spans="5:13">
      <c r="E3868" s="473"/>
      <c r="F3868" s="473"/>
      <c r="G3868" s="473"/>
      <c r="H3868" s="473" t="s">
        <v>2951</v>
      </c>
      <c r="I3868" s="473"/>
      <c r="J3868" s="473"/>
      <c r="K3868" s="478">
        <f>K3802</f>
        <v>157</v>
      </c>
      <c r="L3868" s="473"/>
      <c r="M3868" s="473"/>
    </row>
    <row r="3869" spans="5:13">
      <c r="E3869" s="473"/>
      <c r="F3869" s="473"/>
      <c r="G3869" s="473"/>
      <c r="H3869" s="473" t="s">
        <v>2952</v>
      </c>
      <c r="I3869" s="473"/>
      <c r="J3869" s="473"/>
      <c r="K3869" s="478">
        <f>K3804</f>
        <v>64</v>
      </c>
      <c r="L3869" s="473"/>
      <c r="M3869" s="473"/>
    </row>
    <row r="3870" spans="5:13">
      <c r="E3870" s="473"/>
      <c r="F3870" s="473"/>
      <c r="G3870" s="473"/>
      <c r="H3870" s="473" t="s">
        <v>3226</v>
      </c>
      <c r="I3870" s="473"/>
      <c r="J3870" s="473"/>
      <c r="K3870" s="478">
        <f>78.7*10</f>
        <v>787</v>
      </c>
      <c r="L3870" s="473"/>
      <c r="M3870" s="473"/>
    </row>
    <row r="3871" spans="5:13">
      <c r="E3871" s="473"/>
      <c r="F3871" s="473"/>
      <c r="G3871" s="473"/>
      <c r="H3871" s="473" t="s">
        <v>3227</v>
      </c>
      <c r="I3871" s="473"/>
      <c r="J3871" s="473"/>
      <c r="K3871" s="478">
        <f>0.6*640</f>
        <v>384</v>
      </c>
      <c r="L3871" s="473"/>
      <c r="M3871" s="473"/>
    </row>
    <row r="3872" spans="5:13">
      <c r="E3872" s="473"/>
      <c r="F3872" s="473"/>
      <c r="G3872" s="473"/>
      <c r="H3872" s="473" t="s">
        <v>3193</v>
      </c>
      <c r="I3872" s="473"/>
      <c r="J3872" s="473"/>
      <c r="K3872" s="478">
        <v>10</v>
      </c>
      <c r="L3872" s="473"/>
      <c r="M3872" s="473"/>
    </row>
    <row r="3873" spans="5:13">
      <c r="E3873" s="473"/>
      <c r="F3873" s="473"/>
      <c r="G3873" s="473"/>
      <c r="H3873" s="478" t="s">
        <v>2540</v>
      </c>
      <c r="I3873" s="473"/>
      <c r="J3873" s="473"/>
      <c r="K3873" s="571">
        <f>K3867-K3868-K3869+K3870+K3871+K3872</f>
        <v>6040</v>
      </c>
      <c r="L3873" s="473"/>
      <c r="M3873" s="473"/>
    </row>
    <row r="3874" spans="5:13">
      <c r="E3874" s="473"/>
      <c r="F3874" s="473"/>
      <c r="G3874" s="473"/>
      <c r="H3874" s="480" t="s">
        <v>2541</v>
      </c>
      <c r="I3874" s="473"/>
      <c r="J3874" s="473"/>
      <c r="K3874" s="480">
        <f>K3873/10</f>
        <v>604</v>
      </c>
      <c r="L3874" s="473"/>
      <c r="M3874" s="473"/>
    </row>
    <row r="3875" spans="5:13" hidden="1">
      <c r="E3875" s="473"/>
      <c r="F3875" s="473"/>
      <c r="G3875" s="473"/>
      <c r="H3875" s="473"/>
      <c r="I3875" s="473"/>
      <c r="J3875" s="473"/>
      <c r="K3875" s="478"/>
      <c r="L3875" s="473"/>
      <c r="M3875" s="473"/>
    </row>
    <row r="3876" spans="5:13" hidden="1">
      <c r="E3876" s="473"/>
      <c r="F3876" s="473"/>
      <c r="G3876" s="473"/>
      <c r="H3876" s="473"/>
      <c r="I3876" s="473"/>
      <c r="J3876" s="473"/>
      <c r="K3876" s="478"/>
      <c r="L3876" s="473"/>
      <c r="M3876" s="473"/>
    </row>
    <row r="3877" spans="5:13">
      <c r="E3877" s="473"/>
      <c r="F3877" s="473"/>
      <c r="G3877" s="473"/>
      <c r="H3877" s="473"/>
      <c r="I3877" s="473"/>
      <c r="J3877" s="473"/>
      <c r="K3877" s="478"/>
      <c r="L3877" s="473"/>
      <c r="M3877" s="473"/>
    </row>
    <row r="3878" spans="5:13" ht="47.25">
      <c r="E3878" s="473"/>
      <c r="F3878" s="473"/>
      <c r="G3878" s="473"/>
      <c r="H3878" s="471" t="s">
        <v>3140</v>
      </c>
      <c r="I3878" s="473"/>
      <c r="J3878" s="473"/>
      <c r="K3878" s="478"/>
      <c r="L3878" s="473"/>
      <c r="M3878" s="473"/>
    </row>
    <row r="3879" spans="5:13" ht="189" customHeight="1">
      <c r="E3879" s="473"/>
      <c r="F3879" s="473"/>
      <c r="G3879" s="473"/>
      <c r="H3879" s="472" t="s">
        <v>911</v>
      </c>
      <c r="I3879" s="473"/>
      <c r="J3879" s="473"/>
      <c r="K3879" s="478"/>
      <c r="L3879" s="473"/>
      <c r="M3879" s="473"/>
    </row>
    <row r="3880" spans="5:13" ht="31.5">
      <c r="E3880" s="473"/>
      <c r="F3880" s="473">
        <v>90</v>
      </c>
      <c r="G3880" s="473" t="s">
        <v>840</v>
      </c>
      <c r="H3880" s="394" t="s">
        <v>2662</v>
      </c>
      <c r="I3880" s="473">
        <f>I3049</f>
        <v>12.8</v>
      </c>
      <c r="J3880" s="473" t="s">
        <v>2663</v>
      </c>
      <c r="K3880" s="478">
        <f t="shared" ref="K3880:K3890" si="105">F3880*I3880</f>
        <v>1152</v>
      </c>
      <c r="L3880" s="473"/>
      <c r="M3880" s="473"/>
    </row>
    <row r="3881" spans="5:13" ht="31.5">
      <c r="E3881" s="473"/>
      <c r="F3881" s="473">
        <v>30</v>
      </c>
      <c r="G3881" s="473" t="s">
        <v>840</v>
      </c>
      <c r="H3881" s="472" t="s">
        <v>2466</v>
      </c>
      <c r="I3881" s="473">
        <f>I3050</f>
        <v>19.5</v>
      </c>
      <c r="J3881" s="473" t="s">
        <v>840</v>
      </c>
      <c r="K3881" s="478">
        <f t="shared" si="105"/>
        <v>585</v>
      </c>
      <c r="L3881" s="473"/>
      <c r="M3881" s="473"/>
    </row>
    <row r="3882" spans="5:13">
      <c r="E3882" s="473"/>
      <c r="F3882" s="473">
        <v>10</v>
      </c>
      <c r="G3882" s="473" t="s">
        <v>1454</v>
      </c>
      <c r="H3882" s="473" t="s">
        <v>2468</v>
      </c>
      <c r="I3882" s="473">
        <f>I3051</f>
        <v>3.15</v>
      </c>
      <c r="J3882" s="473" t="s">
        <v>1454</v>
      </c>
      <c r="K3882" s="478">
        <f t="shared" si="105"/>
        <v>31.5</v>
      </c>
      <c r="L3882" s="473"/>
      <c r="M3882" s="473"/>
    </row>
    <row r="3883" spans="5:13">
      <c r="E3883" s="473"/>
      <c r="F3883" s="473">
        <v>5</v>
      </c>
      <c r="G3883" s="473" t="s">
        <v>1454</v>
      </c>
      <c r="H3883" s="473" t="s">
        <v>3571</v>
      </c>
      <c r="I3883" s="473">
        <f>I3052</f>
        <v>1.31</v>
      </c>
      <c r="J3883" s="473" t="s">
        <v>1454</v>
      </c>
      <c r="K3883" s="478">
        <f t="shared" si="105"/>
        <v>6.55</v>
      </c>
      <c r="L3883" s="473"/>
      <c r="M3883" s="473"/>
    </row>
    <row r="3884" spans="5:13">
      <c r="E3884" s="473"/>
      <c r="F3884" s="473">
        <v>10</v>
      </c>
      <c r="G3884" s="473" t="s">
        <v>1454</v>
      </c>
      <c r="H3884" s="473" t="s">
        <v>2561</v>
      </c>
      <c r="I3884" s="473">
        <f>I3053</f>
        <v>20.079999999999998</v>
      </c>
      <c r="J3884" s="473" t="s">
        <v>1454</v>
      </c>
      <c r="K3884" s="478">
        <f t="shared" si="105"/>
        <v>200.8</v>
      </c>
      <c r="L3884" s="473"/>
      <c r="M3884" s="473"/>
    </row>
    <row r="3885" spans="5:13">
      <c r="E3885" s="473"/>
      <c r="F3885" s="473">
        <v>5</v>
      </c>
      <c r="G3885" s="473" t="s">
        <v>1454</v>
      </c>
      <c r="H3885" s="473" t="s">
        <v>3137</v>
      </c>
      <c r="I3885" s="473">
        <v>2.5</v>
      </c>
      <c r="J3885" s="473" t="s">
        <v>1458</v>
      </c>
      <c r="K3885" s="478">
        <f t="shared" si="105"/>
        <v>12.5</v>
      </c>
      <c r="L3885" s="473"/>
      <c r="M3885" s="473"/>
    </row>
    <row r="3886" spans="5:13">
      <c r="E3886" s="473"/>
      <c r="F3886" s="473">
        <v>5</v>
      </c>
      <c r="G3886" s="473" t="s">
        <v>1454</v>
      </c>
      <c r="H3886" s="473" t="s">
        <v>2755</v>
      </c>
      <c r="I3886" s="473">
        <f>I3054</f>
        <v>15.75</v>
      </c>
      <c r="J3886" s="473" t="s">
        <v>1454</v>
      </c>
      <c r="K3886" s="478">
        <f t="shared" si="105"/>
        <v>78.75</v>
      </c>
      <c r="L3886" s="473"/>
      <c r="M3886" s="473"/>
    </row>
    <row r="3887" spans="5:13">
      <c r="E3887" s="473"/>
      <c r="F3887" s="476">
        <v>0.09</v>
      </c>
      <c r="G3887" s="473" t="s">
        <v>2371</v>
      </c>
      <c r="H3887" s="473" t="s">
        <v>2675</v>
      </c>
      <c r="I3887" s="473">
        <f>I3057</f>
        <v>640</v>
      </c>
      <c r="J3887" s="473" t="s">
        <v>2371</v>
      </c>
      <c r="K3887" s="478">
        <f t="shared" si="105"/>
        <v>57.6</v>
      </c>
      <c r="L3887" s="473"/>
      <c r="M3887" s="473"/>
    </row>
    <row r="3888" spans="5:13">
      <c r="E3888" s="473"/>
      <c r="F3888" s="473">
        <v>1</v>
      </c>
      <c r="G3888" s="473" t="s">
        <v>2759</v>
      </c>
      <c r="H3888" s="473" t="s">
        <v>391</v>
      </c>
      <c r="I3888" s="473">
        <v>260</v>
      </c>
      <c r="J3888" s="473" t="s">
        <v>2759</v>
      </c>
      <c r="K3888" s="478">
        <f t="shared" si="105"/>
        <v>260</v>
      </c>
      <c r="L3888" s="473"/>
      <c r="M3888" s="473"/>
    </row>
    <row r="3889" spans="5:13">
      <c r="E3889" s="473"/>
      <c r="F3889" s="473">
        <v>6</v>
      </c>
      <c r="G3889" s="473" t="s">
        <v>1454</v>
      </c>
      <c r="H3889" s="473" t="s">
        <v>3138</v>
      </c>
      <c r="I3889" s="473">
        <v>18.899999999999999</v>
      </c>
      <c r="J3889" s="473" t="s">
        <v>1458</v>
      </c>
      <c r="K3889" s="478">
        <f t="shared" si="105"/>
        <v>113.4</v>
      </c>
      <c r="L3889" s="473"/>
      <c r="M3889" s="473"/>
    </row>
    <row r="3890" spans="5:13" ht="31.5">
      <c r="E3890" s="473"/>
      <c r="F3890" s="473">
        <v>30</v>
      </c>
      <c r="G3890" s="473" t="s">
        <v>840</v>
      </c>
      <c r="H3890" s="394" t="s">
        <v>2765</v>
      </c>
      <c r="I3890" s="473">
        <f>I3880</f>
        <v>12.8</v>
      </c>
      <c r="J3890" s="473" t="s">
        <v>2663</v>
      </c>
      <c r="K3890" s="478">
        <f t="shared" si="105"/>
        <v>384</v>
      </c>
      <c r="L3890" s="473"/>
      <c r="M3890" s="473"/>
    </row>
    <row r="3891" spans="5:13">
      <c r="E3891" s="473"/>
      <c r="F3891" s="473"/>
      <c r="G3891" s="473"/>
      <c r="H3891" s="473" t="s">
        <v>931</v>
      </c>
      <c r="I3891" s="473"/>
      <c r="J3891" s="473"/>
      <c r="K3891" s="478">
        <f>K3824</f>
        <v>2229</v>
      </c>
      <c r="L3891" s="473"/>
      <c r="M3891" s="473"/>
    </row>
    <row r="3892" spans="5:13">
      <c r="E3892" s="473"/>
      <c r="F3892" s="473"/>
      <c r="G3892" s="473"/>
      <c r="H3892" s="473" t="s">
        <v>2359</v>
      </c>
      <c r="I3892" s="473"/>
      <c r="J3892" s="473"/>
      <c r="K3892" s="478">
        <v>8.9</v>
      </c>
      <c r="L3892" s="473"/>
      <c r="M3892" s="473"/>
    </row>
    <row r="3893" spans="5:13">
      <c r="E3893" s="473"/>
      <c r="F3893" s="473"/>
      <c r="G3893" s="473"/>
      <c r="H3893" s="478" t="s">
        <v>2676</v>
      </c>
      <c r="I3893" s="473"/>
      <c r="J3893" s="473"/>
      <c r="K3893" s="571">
        <f>SUM(K3880:K3892)</f>
        <v>5120</v>
      </c>
      <c r="L3893" s="473">
        <f>924*5</f>
        <v>4620</v>
      </c>
      <c r="M3893" s="473"/>
    </row>
    <row r="3894" spans="5:13">
      <c r="E3894" s="473"/>
      <c r="F3894" s="473"/>
      <c r="G3894" s="473"/>
      <c r="H3894" s="480" t="s">
        <v>3338</v>
      </c>
      <c r="I3894" s="473"/>
      <c r="J3894" s="473"/>
      <c r="K3894" s="480">
        <f>K3893/5</f>
        <v>1024</v>
      </c>
      <c r="L3894" s="473">
        <f>L3893-K3893</f>
        <v>-500</v>
      </c>
      <c r="M3894" s="473"/>
    </row>
    <row r="3895" spans="5:13">
      <c r="E3895" s="473"/>
      <c r="F3895" s="473"/>
      <c r="G3895" s="473"/>
      <c r="H3895" s="481"/>
      <c r="I3895" s="473"/>
      <c r="J3895" s="473"/>
      <c r="K3895" s="478"/>
      <c r="L3895" s="473"/>
      <c r="M3895" s="473"/>
    </row>
    <row r="3896" spans="5:13">
      <c r="E3896" s="473"/>
      <c r="F3896" s="473"/>
      <c r="G3896" s="473"/>
      <c r="H3896" s="481" t="s">
        <v>1581</v>
      </c>
      <c r="I3896" s="473"/>
      <c r="J3896" s="473"/>
      <c r="K3896" s="478"/>
      <c r="L3896" s="473"/>
      <c r="M3896" s="473"/>
    </row>
    <row r="3897" spans="5:13">
      <c r="E3897" s="473"/>
      <c r="F3897" s="473"/>
      <c r="G3897" s="473"/>
      <c r="H3897" s="473"/>
      <c r="I3897" s="473"/>
      <c r="J3897" s="473"/>
      <c r="K3897" s="478"/>
      <c r="L3897" s="473"/>
      <c r="M3897" s="473"/>
    </row>
    <row r="3898" spans="5:13" ht="94.5">
      <c r="E3898" s="473"/>
      <c r="F3898" s="473"/>
      <c r="G3898" s="473"/>
      <c r="H3898" s="472" t="s">
        <v>911</v>
      </c>
      <c r="I3898" s="473"/>
      <c r="J3898" s="473"/>
      <c r="K3898" s="478"/>
      <c r="L3898" s="473"/>
      <c r="M3898" s="473"/>
    </row>
    <row r="3899" spans="5:13" ht="31.5">
      <c r="E3899" s="473"/>
      <c r="F3899" s="473">
        <v>90</v>
      </c>
      <c r="G3899" s="473" t="s">
        <v>840</v>
      </c>
      <c r="H3899" s="394" t="s">
        <v>2662</v>
      </c>
      <c r="I3899" s="473">
        <f t="shared" ref="I3899:I3909" si="106">I2951</f>
        <v>12.8</v>
      </c>
      <c r="J3899" s="473" t="s">
        <v>3484</v>
      </c>
      <c r="K3899" s="478">
        <f t="shared" ref="K3899:K3909" si="107">F3899*I3899</f>
        <v>1152</v>
      </c>
      <c r="L3899" s="473"/>
      <c r="M3899" s="473"/>
    </row>
    <row r="3900" spans="5:13" ht="31.5">
      <c r="E3900" s="473"/>
      <c r="F3900" s="473">
        <v>45</v>
      </c>
      <c r="G3900" s="473" t="s">
        <v>840</v>
      </c>
      <c r="H3900" s="472" t="s">
        <v>2466</v>
      </c>
      <c r="I3900" s="473">
        <f t="shared" si="106"/>
        <v>19.5</v>
      </c>
      <c r="J3900" s="473" t="s">
        <v>840</v>
      </c>
      <c r="K3900" s="478">
        <f t="shared" si="107"/>
        <v>877.5</v>
      </c>
      <c r="L3900" s="473"/>
      <c r="M3900" s="473"/>
    </row>
    <row r="3901" spans="5:13">
      <c r="E3901" s="473"/>
      <c r="F3901" s="473">
        <v>20</v>
      </c>
      <c r="G3901" s="473" t="s">
        <v>1454</v>
      </c>
      <c r="H3901" s="473" t="s">
        <v>2468</v>
      </c>
      <c r="I3901" s="473">
        <f t="shared" si="106"/>
        <v>3.15</v>
      </c>
      <c r="J3901" s="473" t="s">
        <v>3574</v>
      </c>
      <c r="K3901" s="478">
        <f t="shared" si="107"/>
        <v>63</v>
      </c>
      <c r="L3901" s="473"/>
      <c r="M3901" s="473"/>
    </row>
    <row r="3902" spans="5:13">
      <c r="E3902" s="473"/>
      <c r="F3902" s="473">
        <v>10</v>
      </c>
      <c r="G3902" s="473" t="s">
        <v>1454</v>
      </c>
      <c r="H3902" s="473" t="s">
        <v>3571</v>
      </c>
      <c r="I3902" s="473">
        <f t="shared" si="106"/>
        <v>1.31</v>
      </c>
      <c r="J3902" s="473" t="s">
        <v>3574</v>
      </c>
      <c r="K3902" s="478">
        <f t="shared" si="107"/>
        <v>13.1</v>
      </c>
      <c r="L3902" s="473"/>
      <c r="M3902" s="473"/>
    </row>
    <row r="3903" spans="5:13">
      <c r="E3903" s="473"/>
      <c r="F3903" s="473">
        <v>1</v>
      </c>
      <c r="G3903" s="473" t="s">
        <v>1454</v>
      </c>
      <c r="H3903" s="473" t="s">
        <v>2562</v>
      </c>
      <c r="I3903" s="473">
        <f t="shared" si="106"/>
        <v>64</v>
      </c>
      <c r="J3903" s="473" t="s">
        <v>1454</v>
      </c>
      <c r="K3903" s="478">
        <f t="shared" si="107"/>
        <v>64</v>
      </c>
      <c r="L3903" s="473"/>
      <c r="M3903" s="473"/>
    </row>
    <row r="3904" spans="5:13">
      <c r="E3904" s="473"/>
      <c r="F3904" s="476">
        <v>1.4999999999999999E-2</v>
      </c>
      <c r="G3904" s="473" t="s">
        <v>2371</v>
      </c>
      <c r="H3904" s="473" t="s">
        <v>2675</v>
      </c>
      <c r="I3904" s="473">
        <f t="shared" si="106"/>
        <v>640</v>
      </c>
      <c r="J3904" s="473" t="s">
        <v>2371</v>
      </c>
      <c r="K3904" s="478">
        <f t="shared" si="107"/>
        <v>9.6</v>
      </c>
      <c r="L3904" s="473"/>
      <c r="M3904" s="473"/>
    </row>
    <row r="3905" spans="5:13">
      <c r="E3905" s="473"/>
      <c r="F3905" s="473">
        <v>15</v>
      </c>
      <c r="G3905" s="473" t="s">
        <v>1454</v>
      </c>
      <c r="H3905" s="473" t="s">
        <v>2853</v>
      </c>
      <c r="I3905" s="473">
        <f t="shared" si="106"/>
        <v>35</v>
      </c>
      <c r="J3905" s="473" t="s">
        <v>1454</v>
      </c>
      <c r="K3905" s="478">
        <f t="shared" si="107"/>
        <v>525</v>
      </c>
      <c r="L3905" s="473"/>
      <c r="M3905" s="473"/>
    </row>
    <row r="3906" spans="5:13">
      <c r="E3906" s="473"/>
      <c r="F3906" s="473">
        <v>15</v>
      </c>
      <c r="G3906" s="473" t="s">
        <v>1454</v>
      </c>
      <c r="H3906" s="473" t="s">
        <v>2562</v>
      </c>
      <c r="I3906" s="473">
        <f t="shared" si="106"/>
        <v>64</v>
      </c>
      <c r="J3906" s="473" t="s">
        <v>1454</v>
      </c>
      <c r="K3906" s="478">
        <f t="shared" si="107"/>
        <v>960</v>
      </c>
      <c r="L3906" s="473"/>
      <c r="M3906" s="473"/>
    </row>
    <row r="3907" spans="5:13">
      <c r="E3907" s="473"/>
      <c r="F3907" s="476">
        <v>0.22500000000000001</v>
      </c>
      <c r="G3907" s="473" t="s">
        <v>2371</v>
      </c>
      <c r="H3907" s="473" t="s">
        <v>2675</v>
      </c>
      <c r="I3907" s="473">
        <f t="shared" si="106"/>
        <v>640</v>
      </c>
      <c r="J3907" s="473" t="s">
        <v>2854</v>
      </c>
      <c r="K3907" s="478">
        <f t="shared" si="107"/>
        <v>144</v>
      </c>
      <c r="L3907" s="473"/>
      <c r="M3907" s="473"/>
    </row>
    <row r="3908" spans="5:13">
      <c r="E3908" s="473"/>
      <c r="F3908" s="473">
        <v>1.25</v>
      </c>
      <c r="G3908" s="473" t="s">
        <v>2759</v>
      </c>
      <c r="H3908" s="473" t="s">
        <v>391</v>
      </c>
      <c r="I3908" s="473">
        <f t="shared" si="106"/>
        <v>260</v>
      </c>
      <c r="J3908" s="473" t="s">
        <v>2759</v>
      </c>
      <c r="K3908" s="478">
        <f t="shared" si="107"/>
        <v>325</v>
      </c>
      <c r="L3908" s="473"/>
      <c r="M3908" s="473"/>
    </row>
    <row r="3909" spans="5:13" ht="31.5">
      <c r="E3909" s="473"/>
      <c r="F3909" s="473">
        <v>45</v>
      </c>
      <c r="G3909" s="473" t="s">
        <v>2371</v>
      </c>
      <c r="H3909" s="394" t="s">
        <v>2765</v>
      </c>
      <c r="I3909" s="473">
        <f t="shared" si="106"/>
        <v>12.8</v>
      </c>
      <c r="J3909" s="473" t="s">
        <v>3484</v>
      </c>
      <c r="K3909" s="478">
        <f t="shared" si="107"/>
        <v>576</v>
      </c>
      <c r="L3909" s="473">
        <f>SUM(K3899:K3909)</f>
        <v>4709.2</v>
      </c>
      <c r="M3909" s="473"/>
    </row>
    <row r="3910" spans="5:13">
      <c r="E3910" s="473"/>
      <c r="F3910" s="473"/>
      <c r="G3910" s="473"/>
      <c r="H3910" s="473" t="s">
        <v>931</v>
      </c>
      <c r="I3910" s="473"/>
      <c r="J3910" s="473"/>
      <c r="K3910" s="478">
        <f>K3826</f>
        <v>1486</v>
      </c>
      <c r="L3910" s="473">
        <f>L3909*1%</f>
        <v>47.09</v>
      </c>
      <c r="M3910" s="473"/>
    </row>
    <row r="3911" spans="5:13">
      <c r="E3911" s="473"/>
      <c r="F3911" s="473"/>
      <c r="G3911" s="473"/>
      <c r="H3911" s="473" t="s">
        <v>2359</v>
      </c>
      <c r="I3911" s="473"/>
      <c r="J3911" s="473"/>
      <c r="K3911" s="478">
        <v>14.8</v>
      </c>
      <c r="L3911" s="473"/>
      <c r="M3911" s="473"/>
    </row>
    <row r="3912" spans="5:13">
      <c r="E3912" s="473"/>
      <c r="F3912" s="473"/>
      <c r="G3912" s="473"/>
      <c r="H3912" s="478" t="s">
        <v>2855</v>
      </c>
      <c r="I3912" s="473"/>
      <c r="J3912" s="473"/>
      <c r="K3912" s="571">
        <f>SUM(K3899:K3911)</f>
        <v>6210</v>
      </c>
      <c r="L3912" s="473"/>
      <c r="M3912" s="473"/>
    </row>
    <row r="3913" spans="5:13">
      <c r="E3913" s="473"/>
      <c r="F3913" s="473"/>
      <c r="G3913" s="473"/>
      <c r="H3913" s="480" t="s">
        <v>3338</v>
      </c>
      <c r="I3913" s="473"/>
      <c r="J3913" s="473"/>
      <c r="K3913" s="480">
        <f>K3912/15</f>
        <v>414</v>
      </c>
      <c r="L3913" s="473"/>
      <c r="M3913" s="473"/>
    </row>
    <row r="3914" spans="5:13">
      <c r="E3914" s="473"/>
      <c r="F3914" s="473"/>
      <c r="G3914" s="473"/>
      <c r="H3914" s="481" t="s">
        <v>931</v>
      </c>
      <c r="I3914" s="473"/>
      <c r="J3914" s="473"/>
      <c r="K3914" s="480"/>
      <c r="L3914" s="473"/>
      <c r="M3914" s="473"/>
    </row>
    <row r="3915" spans="5:13">
      <c r="E3915" s="473"/>
      <c r="F3915" s="473">
        <v>1</v>
      </c>
      <c r="G3915" s="473" t="s">
        <v>1454</v>
      </c>
      <c r="H3915" s="473" t="s">
        <v>3493</v>
      </c>
      <c r="I3915" s="473">
        <f>I2866</f>
        <v>277</v>
      </c>
      <c r="J3915" s="473" t="s">
        <v>1454</v>
      </c>
      <c r="K3915" s="478">
        <f>F3915*I3915</f>
        <v>277</v>
      </c>
      <c r="L3915" s="473"/>
      <c r="M3915" s="473"/>
    </row>
    <row r="3916" spans="5:13">
      <c r="E3916" s="473"/>
      <c r="F3916" s="473">
        <v>2</v>
      </c>
      <c r="G3916" s="473" t="s">
        <v>1454</v>
      </c>
      <c r="H3916" s="473" t="s">
        <v>3494</v>
      </c>
      <c r="I3916" s="473">
        <f>I2867</f>
        <v>254</v>
      </c>
      <c r="J3916" s="473" t="s">
        <v>1454</v>
      </c>
      <c r="K3916" s="478">
        <f>F3916*I3916</f>
        <v>508</v>
      </c>
      <c r="L3916" s="473"/>
      <c r="M3916" s="473"/>
    </row>
    <row r="3917" spans="5:13">
      <c r="E3917" s="473"/>
      <c r="F3917" s="473">
        <v>3</v>
      </c>
      <c r="G3917" s="473" t="s">
        <v>1454</v>
      </c>
      <c r="H3917" s="473" t="s">
        <v>3495</v>
      </c>
      <c r="I3917" s="473">
        <f>I2868</f>
        <v>240</v>
      </c>
      <c r="J3917" s="473" t="s">
        <v>1454</v>
      </c>
      <c r="K3917" s="478">
        <f>F3917*I3917</f>
        <v>720</v>
      </c>
      <c r="L3917" s="473"/>
      <c r="M3917" s="473"/>
    </row>
    <row r="3918" spans="5:13">
      <c r="E3918" s="473"/>
      <c r="F3918" s="473">
        <v>4</v>
      </c>
      <c r="G3918" s="473" t="s">
        <v>1454</v>
      </c>
      <c r="H3918" s="473" t="s">
        <v>2430</v>
      </c>
      <c r="I3918" s="473">
        <f>I2869</f>
        <v>181</v>
      </c>
      <c r="J3918" s="473" t="s">
        <v>1454</v>
      </c>
      <c r="K3918" s="478">
        <f>F3918*I3918</f>
        <v>724</v>
      </c>
      <c r="L3918" s="473"/>
      <c r="M3918" s="473"/>
    </row>
    <row r="3919" spans="5:13">
      <c r="E3919" s="473"/>
      <c r="F3919" s="473"/>
      <c r="G3919" s="473"/>
      <c r="H3919" s="480"/>
      <c r="I3919" s="473"/>
      <c r="J3919" s="473"/>
      <c r="K3919" s="480">
        <f>SUM(K3915:K3918)</f>
        <v>2229</v>
      </c>
      <c r="L3919" s="473"/>
      <c r="M3919" s="473"/>
    </row>
    <row r="3920" spans="5:13">
      <c r="E3920" s="473"/>
      <c r="F3920" s="473"/>
      <c r="G3920" s="473"/>
      <c r="H3920" s="480"/>
      <c r="I3920" s="473"/>
      <c r="J3920" s="473"/>
      <c r="K3920" s="480"/>
      <c r="L3920" s="473"/>
      <c r="M3920" s="473"/>
    </row>
    <row r="3921" spans="5:13">
      <c r="E3921" s="473"/>
      <c r="F3921" s="473"/>
      <c r="G3921" s="473"/>
      <c r="H3921" s="480"/>
      <c r="I3921" s="473"/>
      <c r="J3921" s="473"/>
      <c r="K3921" s="480"/>
      <c r="L3921" s="473"/>
      <c r="M3921" s="473"/>
    </row>
    <row r="3922" spans="5:13">
      <c r="E3922" s="473"/>
      <c r="F3922" s="473"/>
      <c r="G3922" s="473"/>
      <c r="H3922" s="481" t="s">
        <v>2496</v>
      </c>
      <c r="I3922" s="473"/>
      <c r="J3922" s="473"/>
      <c r="K3922" s="478"/>
      <c r="L3922" s="473"/>
      <c r="M3922" s="473"/>
    </row>
    <row r="3923" spans="5:13">
      <c r="E3923" s="473"/>
      <c r="F3923" s="473"/>
      <c r="G3923" s="473"/>
      <c r="H3923" s="473"/>
      <c r="I3923" s="473"/>
      <c r="J3923" s="473"/>
      <c r="K3923" s="478"/>
      <c r="L3923" s="473"/>
      <c r="M3923" s="473"/>
    </row>
    <row r="3924" spans="5:13" ht="94.5">
      <c r="E3924" s="473"/>
      <c r="F3924" s="473"/>
      <c r="G3924" s="473"/>
      <c r="H3924" s="472" t="s">
        <v>792</v>
      </c>
      <c r="I3924" s="473"/>
      <c r="J3924" s="473"/>
      <c r="K3924" s="478"/>
      <c r="L3924" s="473"/>
      <c r="M3924" s="473"/>
    </row>
    <row r="3925" spans="5:13">
      <c r="E3925" s="473"/>
      <c r="F3925" s="473"/>
      <c r="G3925" s="473"/>
      <c r="H3925" s="473"/>
      <c r="I3925" s="473"/>
      <c r="J3925" s="473"/>
      <c r="K3925" s="478"/>
      <c r="L3925" s="473"/>
      <c r="M3925" s="473"/>
    </row>
    <row r="3926" spans="5:13" ht="31.5">
      <c r="E3926" s="473"/>
      <c r="F3926" s="473">
        <v>180</v>
      </c>
      <c r="G3926" s="473" t="s">
        <v>840</v>
      </c>
      <c r="H3926" s="394" t="s">
        <v>2662</v>
      </c>
      <c r="I3926" s="473">
        <f>I3072</f>
        <v>12.8</v>
      </c>
      <c r="J3926" s="473" t="s">
        <v>840</v>
      </c>
      <c r="K3926" s="478">
        <f>I3926*F3926</f>
        <v>2304</v>
      </c>
      <c r="L3926" s="473"/>
      <c r="M3926" s="473"/>
    </row>
    <row r="3927" spans="5:13" ht="31.5">
      <c r="E3927" s="473"/>
      <c r="F3927" s="473">
        <v>90</v>
      </c>
      <c r="G3927" s="473" t="s">
        <v>840</v>
      </c>
      <c r="H3927" s="472" t="s">
        <v>2466</v>
      </c>
      <c r="I3927" s="473">
        <f>I3073</f>
        <v>19.5</v>
      </c>
      <c r="J3927" s="473" t="s">
        <v>840</v>
      </c>
      <c r="K3927" s="478">
        <f>I3927*F3927</f>
        <v>1755</v>
      </c>
      <c r="L3927" s="473"/>
      <c r="M3927" s="473"/>
    </row>
    <row r="3928" spans="5:13">
      <c r="E3928" s="473"/>
      <c r="F3928" s="473">
        <v>1</v>
      </c>
      <c r="G3928" s="473" t="s">
        <v>3301</v>
      </c>
      <c r="H3928" s="472" t="s">
        <v>3302</v>
      </c>
      <c r="I3928" s="475">
        <v>44.6</v>
      </c>
      <c r="J3928" s="473" t="s">
        <v>3301</v>
      </c>
      <c r="K3928" s="478">
        <f>I3928*F3928</f>
        <v>44.6</v>
      </c>
      <c r="L3928" s="473"/>
      <c r="M3928" s="473"/>
    </row>
    <row r="3929" spans="5:13">
      <c r="E3929" s="473"/>
      <c r="F3929" s="473">
        <v>300</v>
      </c>
      <c r="G3929" s="473" t="s">
        <v>1492</v>
      </c>
      <c r="H3929" s="472" t="s">
        <v>3303</v>
      </c>
      <c r="I3929" s="475">
        <v>325</v>
      </c>
      <c r="J3929" s="473" t="s">
        <v>3305</v>
      </c>
      <c r="K3929" s="478">
        <f>(I3929*F3929)/1000</f>
        <v>97.5</v>
      </c>
      <c r="L3929" s="473"/>
      <c r="M3929" s="473"/>
    </row>
    <row r="3930" spans="5:13">
      <c r="E3930" s="473"/>
      <c r="F3930" s="473">
        <v>2</v>
      </c>
      <c r="G3930" s="473" t="s">
        <v>2763</v>
      </c>
      <c r="H3930" s="472" t="s">
        <v>3304</v>
      </c>
      <c r="I3930" s="473">
        <f>I3799</f>
        <v>78.7</v>
      </c>
      <c r="J3930" s="473" t="s">
        <v>3301</v>
      </c>
      <c r="K3930" s="478">
        <f>I3930*F3930</f>
        <v>157.4</v>
      </c>
      <c r="L3930" s="473"/>
      <c r="M3930" s="473"/>
    </row>
    <row r="3931" spans="5:13">
      <c r="E3931" s="473"/>
      <c r="F3931" s="473">
        <v>0.33</v>
      </c>
      <c r="G3931" s="473" t="s">
        <v>2759</v>
      </c>
      <c r="H3931" s="473" t="s">
        <v>391</v>
      </c>
      <c r="I3931" s="473">
        <f>I3074</f>
        <v>260</v>
      </c>
      <c r="J3931" s="473" t="s">
        <v>2759</v>
      </c>
      <c r="K3931" s="478">
        <f>I3931*F3931</f>
        <v>85.8</v>
      </c>
      <c r="L3931" s="473"/>
      <c r="M3931" s="473"/>
    </row>
    <row r="3932" spans="5:13" ht="31.5">
      <c r="E3932" s="473"/>
      <c r="F3932" s="473">
        <v>90</v>
      </c>
      <c r="G3932" s="473" t="s">
        <v>840</v>
      </c>
      <c r="H3932" s="394" t="s">
        <v>2765</v>
      </c>
      <c r="I3932" s="473">
        <f>I3075</f>
        <v>12.8</v>
      </c>
      <c r="J3932" s="473" t="s">
        <v>2663</v>
      </c>
      <c r="K3932" s="478">
        <f>I3932*F3932</f>
        <v>1152</v>
      </c>
      <c r="L3932" s="473"/>
      <c r="M3932" s="473"/>
    </row>
    <row r="3933" spans="5:13">
      <c r="E3933" s="473"/>
      <c r="F3933" s="535" t="s">
        <v>3308</v>
      </c>
      <c r="G3933" s="473"/>
      <c r="H3933" s="473" t="s">
        <v>931</v>
      </c>
      <c r="I3933" s="473">
        <f>K3919</f>
        <v>2229</v>
      </c>
      <c r="J3933" s="473"/>
      <c r="K3933" s="478">
        <f>2/3*I3933</f>
        <v>1486</v>
      </c>
      <c r="L3933" s="473"/>
      <c r="M3933" s="473"/>
    </row>
    <row r="3934" spans="5:13">
      <c r="E3934" s="473"/>
      <c r="F3934" s="473"/>
      <c r="G3934" s="473"/>
      <c r="H3934" s="473"/>
      <c r="I3934" s="473"/>
      <c r="J3934" s="473"/>
      <c r="K3934" s="478">
        <f>SUM(K3926:K3933)</f>
        <v>7082.3</v>
      </c>
      <c r="L3934" s="473"/>
      <c r="M3934" s="473"/>
    </row>
    <row r="3935" spans="5:13">
      <c r="E3935" s="473"/>
      <c r="F3935" s="473"/>
      <c r="G3935" s="473"/>
      <c r="H3935" s="473" t="s">
        <v>2359</v>
      </c>
      <c r="I3935" s="473"/>
      <c r="J3935" s="473"/>
      <c r="K3935" s="478">
        <f>54.3</f>
        <v>54.3</v>
      </c>
      <c r="L3935" s="473"/>
      <c r="M3935" s="473"/>
    </row>
    <row r="3936" spans="5:13">
      <c r="E3936" s="473"/>
      <c r="F3936" s="473"/>
      <c r="G3936" s="473"/>
      <c r="H3936" s="478" t="s">
        <v>2498</v>
      </c>
      <c r="I3936" s="473"/>
      <c r="J3936" s="473"/>
      <c r="K3936" s="571">
        <f>SUM(K3934:K3935)</f>
        <v>7136.6</v>
      </c>
      <c r="L3936" s="473"/>
      <c r="M3936" s="473"/>
    </row>
    <row r="3937" spans="5:13">
      <c r="E3937" s="473"/>
      <c r="F3937" s="473"/>
      <c r="G3937" s="473"/>
      <c r="H3937" s="480" t="s">
        <v>2499</v>
      </c>
      <c r="I3937" s="473"/>
      <c r="J3937" s="473"/>
      <c r="K3937" s="480">
        <f>K3936/90</f>
        <v>79.3</v>
      </c>
      <c r="L3937" s="473"/>
      <c r="M3937" s="473"/>
    </row>
    <row r="3938" spans="5:13">
      <c r="E3938" s="473"/>
      <c r="F3938" s="473"/>
      <c r="G3938" s="473"/>
      <c r="H3938" s="473"/>
      <c r="I3938" s="473"/>
      <c r="J3938" s="473"/>
      <c r="K3938" s="478"/>
      <c r="L3938" s="473"/>
      <c r="M3938" s="473"/>
    </row>
    <row r="3939" spans="5:13">
      <c r="E3939" s="473"/>
      <c r="F3939" s="473"/>
      <c r="G3939" s="473"/>
      <c r="H3939" s="481" t="s">
        <v>3306</v>
      </c>
      <c r="I3939" s="473"/>
      <c r="J3939" s="473"/>
      <c r="K3939" s="478"/>
      <c r="L3939" s="473"/>
      <c r="M3939" s="473"/>
    </row>
    <row r="3940" spans="5:13">
      <c r="E3940" s="473"/>
      <c r="F3940" s="473"/>
      <c r="G3940" s="473"/>
      <c r="H3940" s="473"/>
      <c r="I3940" s="473"/>
      <c r="J3940" s="473"/>
      <c r="K3940" s="478"/>
      <c r="L3940" s="473"/>
      <c r="M3940" s="473"/>
    </row>
    <row r="3941" spans="5:13" ht="94.5">
      <c r="E3941" s="473"/>
      <c r="F3941" s="473"/>
      <c r="G3941" s="473"/>
      <c r="H3941" s="472" t="s">
        <v>793</v>
      </c>
      <c r="I3941" s="473"/>
      <c r="J3941" s="473"/>
      <c r="K3941" s="478"/>
      <c r="L3941" s="473"/>
      <c r="M3941" s="473"/>
    </row>
    <row r="3942" spans="5:13">
      <c r="E3942" s="473"/>
      <c r="F3942" s="473"/>
      <c r="G3942" s="473"/>
      <c r="H3942" s="473"/>
      <c r="I3942" s="473"/>
      <c r="J3942" s="473"/>
      <c r="K3942" s="478"/>
      <c r="L3942" s="473"/>
      <c r="M3942" s="473"/>
    </row>
    <row r="3943" spans="5:13">
      <c r="E3943" s="473"/>
      <c r="F3943" s="473"/>
      <c r="G3943" s="473"/>
      <c r="H3943" s="473" t="s">
        <v>3307</v>
      </c>
      <c r="I3943" s="473"/>
      <c r="J3943" s="473"/>
      <c r="K3943" s="478">
        <f>K3936</f>
        <v>7136.6</v>
      </c>
      <c r="L3943" s="473"/>
      <c r="M3943" s="473"/>
    </row>
    <row r="3944" spans="5:13" ht="31.5">
      <c r="E3944" s="473"/>
      <c r="F3944" s="473">
        <v>180</v>
      </c>
      <c r="G3944" s="473" t="s">
        <v>840</v>
      </c>
      <c r="H3944" s="472" t="s">
        <v>3419</v>
      </c>
      <c r="I3944" s="473">
        <f>I3088</f>
        <v>19.899999999999999</v>
      </c>
      <c r="J3944" s="473" t="s">
        <v>840</v>
      </c>
      <c r="K3944" s="478">
        <f>F3944*I3944</f>
        <v>3582</v>
      </c>
      <c r="L3944" s="473"/>
      <c r="M3944" s="473"/>
    </row>
    <row r="3945" spans="5:13" ht="31.5">
      <c r="E3945" s="473"/>
      <c r="F3945" s="473">
        <v>180</v>
      </c>
      <c r="G3945" s="473" t="s">
        <v>840</v>
      </c>
      <c r="H3945" s="472" t="s">
        <v>3118</v>
      </c>
      <c r="I3945" s="473">
        <f>I3926</f>
        <v>12.8</v>
      </c>
      <c r="J3945" s="473" t="s">
        <v>2663</v>
      </c>
      <c r="K3945" s="478">
        <f>F3945*I3945</f>
        <v>2304</v>
      </c>
      <c r="L3945" s="473"/>
      <c r="M3945" s="473"/>
    </row>
    <row r="3946" spans="5:13">
      <c r="E3946" s="473"/>
      <c r="F3946" s="473"/>
      <c r="G3946" s="473"/>
      <c r="H3946" s="473" t="s">
        <v>2359</v>
      </c>
      <c r="I3946" s="473"/>
      <c r="J3946" s="473"/>
      <c r="K3946" s="478">
        <v>45.8</v>
      </c>
      <c r="L3946" s="473"/>
      <c r="M3946" s="473"/>
    </row>
    <row r="3947" spans="5:13">
      <c r="E3947" s="473"/>
      <c r="F3947" s="473"/>
      <c r="G3947" s="473"/>
      <c r="H3947" s="478" t="s">
        <v>3119</v>
      </c>
      <c r="I3947" s="473"/>
      <c r="J3947" s="473"/>
      <c r="K3947" s="571">
        <f>K3943+K3944-K3945+K3946</f>
        <v>8460.4</v>
      </c>
      <c r="L3947" s="473"/>
      <c r="M3947" s="473"/>
    </row>
    <row r="3948" spans="5:13">
      <c r="E3948" s="473"/>
      <c r="F3948" s="473"/>
      <c r="G3948" s="473"/>
      <c r="H3948" s="480" t="s">
        <v>2499</v>
      </c>
      <c r="I3948" s="473"/>
      <c r="J3948" s="473"/>
      <c r="K3948" s="480">
        <f>K3947/90</f>
        <v>94</v>
      </c>
      <c r="L3948" s="473"/>
      <c r="M3948" s="473"/>
    </row>
    <row r="3949" spans="5:13">
      <c r="E3949" s="473"/>
      <c r="F3949" s="473"/>
      <c r="G3949" s="473"/>
      <c r="H3949" s="473"/>
      <c r="I3949" s="473"/>
      <c r="J3949" s="473"/>
      <c r="K3949" s="478"/>
      <c r="L3949" s="473"/>
      <c r="M3949" s="473"/>
    </row>
    <row r="3950" spans="5:13">
      <c r="E3950" s="473"/>
      <c r="F3950" s="473"/>
      <c r="G3950" s="473"/>
      <c r="H3950" s="473"/>
      <c r="I3950" s="473"/>
      <c r="J3950" s="473"/>
      <c r="K3950" s="478"/>
      <c r="L3950" s="473"/>
      <c r="M3950" s="473"/>
    </row>
    <row r="3951" spans="5:13">
      <c r="E3951" s="473"/>
      <c r="F3951" s="473"/>
      <c r="G3951" s="473"/>
      <c r="H3951" s="481"/>
      <c r="I3951" s="473"/>
      <c r="J3951" s="473"/>
      <c r="K3951" s="478"/>
      <c r="L3951" s="473"/>
      <c r="M3951" s="473"/>
    </row>
    <row r="3952" spans="5:13">
      <c r="E3952" s="473"/>
      <c r="F3952" s="473"/>
      <c r="G3952" s="473"/>
      <c r="H3952" s="472"/>
      <c r="I3952" s="473"/>
      <c r="J3952" s="473"/>
      <c r="K3952" s="478"/>
      <c r="L3952" s="473"/>
      <c r="M3952" s="473"/>
    </row>
    <row r="3953" spans="5:13">
      <c r="E3953" s="473"/>
      <c r="F3953" s="473"/>
      <c r="G3953" s="473"/>
      <c r="H3953" s="394"/>
      <c r="I3953" s="473"/>
      <c r="J3953" s="473"/>
      <c r="K3953" s="478"/>
      <c r="L3953" s="473"/>
      <c r="M3953" s="473"/>
    </row>
    <row r="3954" spans="5:13">
      <c r="E3954" s="473"/>
      <c r="F3954" s="473"/>
      <c r="G3954" s="473"/>
      <c r="H3954" s="472"/>
      <c r="I3954" s="473"/>
      <c r="J3954" s="473"/>
      <c r="K3954" s="478"/>
      <c r="L3954" s="473"/>
      <c r="M3954" s="473"/>
    </row>
    <row r="3955" spans="5:13">
      <c r="E3955" s="473"/>
      <c r="F3955" s="473"/>
      <c r="G3955" s="473"/>
      <c r="H3955" s="473"/>
      <c r="I3955" s="473"/>
      <c r="J3955" s="473"/>
      <c r="K3955" s="478"/>
      <c r="L3955" s="473"/>
      <c r="M3955" s="473"/>
    </row>
    <row r="3956" spans="5:13">
      <c r="E3956" s="473"/>
      <c r="F3956" s="473"/>
      <c r="G3956" s="473"/>
      <c r="H3956" s="473"/>
      <c r="I3956" s="473"/>
      <c r="J3956" s="473"/>
      <c r="K3956" s="478"/>
      <c r="L3956" s="473"/>
      <c r="M3956" s="473"/>
    </row>
    <row r="3957" spans="5:13">
      <c r="E3957" s="473"/>
      <c r="F3957" s="473"/>
      <c r="G3957" s="473"/>
      <c r="H3957" s="473"/>
      <c r="I3957" s="473"/>
      <c r="J3957" s="473"/>
      <c r="K3957" s="478"/>
      <c r="L3957" s="473"/>
      <c r="M3957" s="473"/>
    </row>
    <row r="3958" spans="5:13">
      <c r="E3958" s="473"/>
      <c r="F3958" s="473"/>
      <c r="G3958" s="473"/>
      <c r="H3958" s="473"/>
      <c r="I3958" s="473"/>
      <c r="J3958" s="473"/>
      <c r="K3958" s="478"/>
      <c r="L3958" s="473"/>
      <c r="M3958" s="473"/>
    </row>
    <row r="3959" spans="5:13">
      <c r="E3959" s="473"/>
      <c r="F3959" s="473"/>
      <c r="G3959" s="473"/>
      <c r="H3959" s="473"/>
      <c r="I3959" s="473"/>
      <c r="J3959" s="473"/>
      <c r="K3959" s="478"/>
      <c r="L3959" s="473"/>
      <c r="M3959" s="473"/>
    </row>
    <row r="3960" spans="5:13">
      <c r="E3960" s="473"/>
      <c r="F3960" s="473"/>
      <c r="G3960" s="473"/>
      <c r="H3960" s="473"/>
      <c r="I3960" s="473"/>
      <c r="J3960" s="473"/>
      <c r="K3960" s="478"/>
      <c r="L3960" s="473"/>
      <c r="M3960" s="473"/>
    </row>
    <row r="3961" spans="5:13" ht="50.1" customHeight="1">
      <c r="E3961" s="473"/>
      <c r="F3961" s="473"/>
      <c r="G3961" s="579">
        <v>1</v>
      </c>
      <c r="H3961" s="1203" t="s">
        <v>3048</v>
      </c>
      <c r="I3961" s="1203"/>
      <c r="J3961" s="1203"/>
      <c r="K3961" s="580">
        <f>Elec.Data!K2860</f>
        <v>882</v>
      </c>
      <c r="L3961" s="473"/>
      <c r="M3961" s="473"/>
    </row>
    <row r="3962" spans="5:13" ht="50.1" customHeight="1">
      <c r="E3962" s="473"/>
      <c r="F3962" s="473"/>
      <c r="G3962" s="581">
        <v>2</v>
      </c>
      <c r="H3962" s="1200" t="s">
        <v>3580</v>
      </c>
      <c r="I3962" s="1200"/>
      <c r="J3962" s="1200"/>
      <c r="K3962" s="582">
        <f>Elec.Data!K2884</f>
        <v>885</v>
      </c>
      <c r="L3962" s="473"/>
      <c r="M3962" s="473"/>
    </row>
    <row r="3963" spans="5:13" ht="50.1" customHeight="1">
      <c r="E3963" s="473"/>
      <c r="F3963" s="473"/>
      <c r="G3963" s="581">
        <v>3</v>
      </c>
      <c r="H3963" s="1200" t="s">
        <v>1047</v>
      </c>
      <c r="I3963" s="1200"/>
      <c r="J3963" s="1200"/>
      <c r="K3963" s="582">
        <f>Elec.Data!K2899</f>
        <v>922</v>
      </c>
      <c r="L3963" s="473"/>
      <c r="M3963" s="473"/>
    </row>
    <row r="3964" spans="5:13" ht="50.1" customHeight="1">
      <c r="E3964" s="473"/>
      <c r="F3964" s="473"/>
      <c r="G3964" s="583">
        <v>4</v>
      </c>
      <c r="H3964" s="1200" t="s">
        <v>3340</v>
      </c>
      <c r="I3964" s="1200"/>
      <c r="J3964" s="1200"/>
      <c r="K3964" s="582">
        <f>Elec.Data!K2921</f>
        <v>953</v>
      </c>
      <c r="L3964" s="473"/>
      <c r="M3964" s="473"/>
    </row>
    <row r="3965" spans="5:13" ht="50.1" customHeight="1">
      <c r="E3965" s="473"/>
      <c r="F3965" s="473"/>
      <c r="G3965" s="583">
        <v>5</v>
      </c>
      <c r="H3965" s="1200" t="s">
        <v>2971</v>
      </c>
      <c r="I3965" s="1200"/>
      <c r="J3965" s="1200"/>
      <c r="K3965" s="582">
        <f>Elec.Data!K2945</f>
        <v>1562</v>
      </c>
      <c r="L3965" s="473"/>
      <c r="M3965" s="473"/>
    </row>
    <row r="3966" spans="5:13" ht="50.1" customHeight="1">
      <c r="E3966" s="473"/>
      <c r="F3966" s="473"/>
      <c r="G3966" s="583">
        <v>6</v>
      </c>
      <c r="H3966" s="1200" t="s">
        <v>2678</v>
      </c>
      <c r="I3966" s="1200"/>
      <c r="J3966" s="1200"/>
      <c r="K3966" s="582">
        <f>Elec.Data!K2965</f>
        <v>633</v>
      </c>
      <c r="L3966" s="473"/>
      <c r="M3966" s="473"/>
    </row>
    <row r="3967" spans="5:13" ht="50.1" customHeight="1">
      <c r="E3967" s="473"/>
      <c r="F3967" s="473"/>
      <c r="G3967" s="583">
        <v>7</v>
      </c>
      <c r="H3967" s="1200" t="s">
        <v>2857</v>
      </c>
      <c r="I3967" s="1200"/>
      <c r="J3967" s="1200"/>
      <c r="K3967" s="582">
        <f>Elec.Data!K2977</f>
        <v>424</v>
      </c>
      <c r="L3967" s="473"/>
      <c r="M3967" s="473"/>
    </row>
    <row r="3968" spans="5:13" ht="50.1" customHeight="1">
      <c r="E3968" s="473"/>
      <c r="F3968" s="473"/>
      <c r="G3968" s="583">
        <v>8</v>
      </c>
      <c r="H3968" s="1200" t="s">
        <v>2655</v>
      </c>
      <c r="I3968" s="1200"/>
      <c r="J3968" s="1200"/>
      <c r="K3968" s="582">
        <f>Elec.Data!K2988</f>
        <v>150</v>
      </c>
      <c r="L3968" s="473"/>
      <c r="M3968" s="473"/>
    </row>
    <row r="3969" spans="5:13" ht="50.1" customHeight="1">
      <c r="E3969" s="473"/>
      <c r="F3969" s="473"/>
      <c r="G3969" s="583">
        <v>9</v>
      </c>
      <c r="H3969" s="1200" t="s">
        <v>3320</v>
      </c>
      <c r="I3969" s="1200"/>
      <c r="J3969" s="1200"/>
      <c r="K3969" s="582">
        <f>Elec.Data!K3011</f>
        <v>1388</v>
      </c>
      <c r="L3969" s="473"/>
      <c r="M3969" s="473"/>
    </row>
    <row r="3970" spans="5:13" ht="50.1" customHeight="1">
      <c r="E3970" s="473"/>
      <c r="F3970" s="473"/>
      <c r="G3970" s="583">
        <v>10</v>
      </c>
      <c r="H3970" s="1200" t="s">
        <v>2544</v>
      </c>
      <c r="I3970" s="1200"/>
      <c r="J3970" s="1200"/>
      <c r="K3970" s="582">
        <f>Elec.Data!K3023</f>
        <v>1390</v>
      </c>
      <c r="L3970" s="473"/>
      <c r="M3970" s="473"/>
    </row>
    <row r="3971" spans="5:13" ht="50.1" customHeight="1">
      <c r="E3971" s="473"/>
      <c r="F3971" s="473"/>
      <c r="G3971" s="583">
        <v>11</v>
      </c>
      <c r="H3971" s="1200" t="s">
        <v>3046</v>
      </c>
      <c r="I3971" s="1200"/>
      <c r="J3971" s="1200"/>
      <c r="K3971" s="582">
        <f>Elec.Data!K3044</f>
        <v>1460</v>
      </c>
      <c r="L3971" s="473"/>
      <c r="M3971" s="473"/>
    </row>
    <row r="3972" spans="5:13" ht="50.1" customHeight="1">
      <c r="E3972" s="473"/>
      <c r="F3972" s="473"/>
      <c r="G3972" s="583">
        <v>12</v>
      </c>
      <c r="H3972" s="1200" t="s">
        <v>2495</v>
      </c>
      <c r="I3972" s="1200"/>
      <c r="J3972" s="1200"/>
      <c r="K3972" s="582">
        <f>Elec.Data!K3063</f>
        <v>2480</v>
      </c>
      <c r="L3972" s="473"/>
      <c r="M3972" s="473"/>
    </row>
    <row r="3973" spans="5:13" ht="50.1" customHeight="1">
      <c r="E3973" s="473"/>
      <c r="F3973" s="473"/>
      <c r="G3973" s="583">
        <v>13</v>
      </c>
      <c r="H3973" s="1200" t="s">
        <v>2496</v>
      </c>
      <c r="I3973" s="1200"/>
      <c r="J3973" s="1200"/>
      <c r="K3973" s="582">
        <f>Elec.Data!K3080</f>
        <v>120</v>
      </c>
      <c r="L3973" s="473"/>
      <c r="M3973" s="473"/>
    </row>
    <row r="3974" spans="5:13" ht="50.1" customHeight="1">
      <c r="E3974" s="473"/>
      <c r="F3974" s="473"/>
      <c r="G3974" s="583">
        <v>14</v>
      </c>
      <c r="H3974" s="1200" t="s">
        <v>2501</v>
      </c>
      <c r="I3974" s="1200"/>
      <c r="J3974" s="1200"/>
      <c r="K3974" s="582">
        <f>Elec.Data!K3092</f>
        <v>135.6</v>
      </c>
      <c r="L3974" s="473"/>
      <c r="M3974" s="473"/>
    </row>
    <row r="3975" spans="5:13" ht="50.1" customHeight="1">
      <c r="E3975" s="473"/>
      <c r="F3975" s="473"/>
      <c r="G3975" s="583">
        <v>15</v>
      </c>
      <c r="H3975" s="1200" t="s">
        <v>3121</v>
      </c>
      <c r="I3975" s="1200"/>
      <c r="J3975" s="1200"/>
      <c r="K3975" s="582">
        <f>Elec.Data!K3105</f>
        <v>168.9</v>
      </c>
      <c r="L3975" s="473"/>
      <c r="M3975" s="473"/>
    </row>
    <row r="3976" spans="5:13" ht="50.1" customHeight="1">
      <c r="E3976" s="473"/>
      <c r="F3976" s="473"/>
      <c r="G3976" s="583">
        <v>16</v>
      </c>
      <c r="H3976" s="1200" t="s">
        <v>2435</v>
      </c>
      <c r="I3976" s="1200"/>
      <c r="J3976" s="1200"/>
      <c r="K3976" s="582">
        <f>Elec.Data!K3119</f>
        <v>263.5</v>
      </c>
      <c r="L3976" s="473"/>
      <c r="M3976" s="473"/>
    </row>
    <row r="3977" spans="5:13" ht="50.1" customHeight="1">
      <c r="E3977" s="473"/>
      <c r="F3977" s="473"/>
      <c r="G3977" s="583">
        <v>17</v>
      </c>
      <c r="H3977" s="1200" t="s">
        <v>2449</v>
      </c>
      <c r="I3977" s="1200"/>
      <c r="J3977" s="1200"/>
      <c r="K3977" s="582">
        <f>Elec.Data!K3135</f>
        <v>417</v>
      </c>
      <c r="L3977" s="473"/>
      <c r="M3977" s="473"/>
    </row>
    <row r="3978" spans="5:13" ht="50.1" customHeight="1">
      <c r="E3978" s="473"/>
      <c r="F3978" s="473"/>
      <c r="G3978" s="583">
        <v>18</v>
      </c>
      <c r="H3978" s="1200" t="s">
        <v>3635</v>
      </c>
      <c r="I3978" s="1200"/>
      <c r="J3978" s="1200"/>
      <c r="K3978" s="582">
        <f>Elec.Data!K3154</f>
        <v>480</v>
      </c>
      <c r="L3978" s="473"/>
      <c r="M3978" s="473"/>
    </row>
    <row r="3979" spans="5:13" ht="50.1" customHeight="1">
      <c r="E3979" s="473"/>
      <c r="F3979" s="473"/>
      <c r="G3979" s="583">
        <v>19</v>
      </c>
      <c r="H3979" s="1200" t="s">
        <v>2904</v>
      </c>
      <c r="I3979" s="1200"/>
      <c r="J3979" s="1200"/>
      <c r="K3979" s="582">
        <f>Elec.Data!K3173</f>
        <v>735</v>
      </c>
      <c r="L3979" s="473"/>
      <c r="M3979" s="473"/>
    </row>
    <row r="3980" spans="5:13" ht="50.1" customHeight="1">
      <c r="E3980" s="473"/>
      <c r="F3980" s="473"/>
      <c r="G3980" s="583">
        <v>20</v>
      </c>
      <c r="H3980" s="1200" t="s">
        <v>2511</v>
      </c>
      <c r="I3980" s="1200"/>
      <c r="J3980" s="1200"/>
      <c r="K3980" s="582">
        <f>Elec.Data!K3184</f>
        <v>810</v>
      </c>
      <c r="L3980" s="473"/>
      <c r="M3980" s="473"/>
    </row>
    <row r="3981" spans="5:13" ht="50.1" customHeight="1">
      <c r="E3981" s="473"/>
      <c r="F3981" s="473"/>
      <c r="G3981" s="583">
        <v>21</v>
      </c>
      <c r="H3981" s="1200" t="s">
        <v>3619</v>
      </c>
      <c r="I3981" s="1200"/>
      <c r="J3981" s="1200"/>
      <c r="K3981" s="582">
        <f>Elec.Data!K3195</f>
        <v>874</v>
      </c>
      <c r="L3981" s="473"/>
      <c r="M3981" s="473"/>
    </row>
    <row r="3982" spans="5:13" ht="50.1" customHeight="1">
      <c r="E3982" s="473"/>
      <c r="F3982" s="473"/>
      <c r="G3982" s="583">
        <v>22</v>
      </c>
      <c r="H3982" s="1200" t="s">
        <v>1048</v>
      </c>
      <c r="I3982" s="1200"/>
      <c r="J3982" s="1200"/>
      <c r="K3982" s="582">
        <f>Elec.Data!K3210</f>
        <v>1193</v>
      </c>
      <c r="L3982" s="473"/>
      <c r="M3982" s="473"/>
    </row>
    <row r="3983" spans="5:13" ht="50.1" customHeight="1">
      <c r="E3983" s="473"/>
      <c r="F3983" s="473"/>
      <c r="G3983" s="583">
        <v>23</v>
      </c>
      <c r="H3983" s="1200" t="s">
        <v>3309</v>
      </c>
      <c r="I3983" s="1200"/>
      <c r="J3983" s="1200"/>
      <c r="K3983" s="582">
        <f>Elec.Data!K3221</f>
        <v>3240</v>
      </c>
      <c r="L3983" s="473"/>
      <c r="M3983" s="473"/>
    </row>
    <row r="3984" spans="5:13" ht="50.1" customHeight="1">
      <c r="E3984" s="473"/>
      <c r="F3984" s="473"/>
      <c r="G3984" s="583">
        <v>24</v>
      </c>
      <c r="H3984" s="1200" t="s">
        <v>2708</v>
      </c>
      <c r="I3984" s="1200"/>
      <c r="J3984" s="1200"/>
      <c r="K3984" s="582">
        <f>Elec.Data!K3233</f>
        <v>4120</v>
      </c>
      <c r="L3984" s="473"/>
      <c r="M3984" s="473"/>
    </row>
    <row r="3985" spans="5:13" ht="50.1" customHeight="1">
      <c r="E3985" s="473"/>
      <c r="F3985" s="473"/>
      <c r="G3985" s="583">
        <v>25</v>
      </c>
      <c r="H3985" s="1200" t="s">
        <v>3531</v>
      </c>
      <c r="I3985" s="1200"/>
      <c r="J3985" s="1200"/>
      <c r="K3985" s="582">
        <f>Elec.Data!K3244</f>
        <v>135</v>
      </c>
      <c r="L3985" s="473"/>
      <c r="M3985" s="473"/>
    </row>
    <row r="3986" spans="5:13" ht="50.1" customHeight="1">
      <c r="E3986" s="473"/>
      <c r="F3986" s="473"/>
      <c r="G3986" s="583">
        <v>26</v>
      </c>
      <c r="H3986" s="1200" t="s">
        <v>3550</v>
      </c>
      <c r="I3986" s="1200"/>
      <c r="J3986" s="1200"/>
      <c r="K3986" s="582">
        <f>Elec.Data!K3262</f>
        <v>247</v>
      </c>
      <c r="L3986" s="473"/>
      <c r="M3986" s="473"/>
    </row>
    <row r="3987" spans="5:13" ht="50.1" customHeight="1">
      <c r="E3987" s="473"/>
      <c r="F3987" s="473"/>
      <c r="G3987" s="583">
        <v>27</v>
      </c>
      <c r="H3987" s="1200" t="s">
        <v>3289</v>
      </c>
      <c r="I3987" s="1200"/>
      <c r="J3987" s="1200"/>
      <c r="K3987" s="582">
        <f>Elec.Data!K3277</f>
        <v>225</v>
      </c>
      <c r="L3987" s="473"/>
      <c r="M3987" s="473"/>
    </row>
    <row r="3988" spans="5:13" ht="50.1" customHeight="1">
      <c r="E3988" s="473"/>
      <c r="F3988" s="473"/>
      <c r="G3988" s="583">
        <v>28</v>
      </c>
      <c r="H3988" s="1200" t="s">
        <v>3647</v>
      </c>
      <c r="I3988" s="1200"/>
      <c r="J3988" s="1200"/>
      <c r="K3988" s="582">
        <f>Elec.Data!K3294</f>
        <v>15.5</v>
      </c>
      <c r="L3988" s="473"/>
      <c r="M3988" s="473"/>
    </row>
    <row r="3989" spans="5:13" ht="50.1" customHeight="1">
      <c r="E3989" s="473"/>
      <c r="F3989" s="473"/>
      <c r="G3989" s="583">
        <v>29</v>
      </c>
      <c r="H3989" s="1200" t="s">
        <v>2773</v>
      </c>
      <c r="I3989" s="1200"/>
      <c r="J3989" s="1200"/>
      <c r="K3989" s="582">
        <f>Elec.Data!K3319</f>
        <v>1830</v>
      </c>
      <c r="L3989" s="473"/>
      <c r="M3989" s="473"/>
    </row>
    <row r="3990" spans="5:13" ht="50.1" customHeight="1">
      <c r="E3990" s="473"/>
      <c r="F3990" s="473"/>
      <c r="G3990" s="583">
        <v>30</v>
      </c>
      <c r="H3990" s="1200" t="s">
        <v>3496</v>
      </c>
      <c r="I3990" s="1200"/>
      <c r="J3990" s="1200"/>
      <c r="K3990" s="582">
        <f>Elec.Data!K3333</f>
        <v>183</v>
      </c>
      <c r="L3990" s="473"/>
      <c r="M3990" s="473"/>
    </row>
    <row r="3991" spans="5:13" ht="50.1" customHeight="1">
      <c r="E3991" s="473"/>
      <c r="F3991" s="473"/>
      <c r="G3991" s="583">
        <v>31</v>
      </c>
      <c r="H3991" s="1200" t="s">
        <v>3374</v>
      </c>
      <c r="I3991" s="1200"/>
      <c r="J3991" s="1200"/>
      <c r="K3991" s="582">
        <f>Elec.Data!K3348</f>
        <v>512</v>
      </c>
      <c r="L3991" s="473"/>
      <c r="M3991" s="473"/>
    </row>
    <row r="3992" spans="5:13" ht="50.1" customHeight="1">
      <c r="E3992" s="473"/>
      <c r="F3992" s="473"/>
      <c r="G3992" s="583">
        <v>32</v>
      </c>
      <c r="H3992" s="1200" t="s">
        <v>3411</v>
      </c>
      <c r="I3992" s="1200"/>
      <c r="J3992" s="1200"/>
      <c r="K3992" s="582">
        <f>Elec.Data!K3366</f>
        <v>258</v>
      </c>
      <c r="L3992" s="473"/>
      <c r="M3992" s="473"/>
    </row>
    <row r="3993" spans="5:13" ht="50.1" customHeight="1">
      <c r="E3993" s="473"/>
      <c r="F3993" s="473"/>
      <c r="G3993" s="583">
        <v>33</v>
      </c>
      <c r="H3993" s="1200" t="s">
        <v>2518</v>
      </c>
      <c r="I3993" s="1200"/>
      <c r="J3993" s="1200"/>
      <c r="K3993" s="582">
        <f>Elec.Data!K3379</f>
        <v>526</v>
      </c>
      <c r="L3993" s="473"/>
      <c r="M3993" s="473"/>
    </row>
    <row r="3994" spans="5:13" ht="50.1" customHeight="1">
      <c r="E3994" s="473"/>
      <c r="F3994" s="473"/>
      <c r="G3994" s="583">
        <v>34</v>
      </c>
      <c r="H3994" s="1200" t="s">
        <v>2520</v>
      </c>
      <c r="I3994" s="1200"/>
      <c r="J3994" s="1200"/>
      <c r="K3994" s="582">
        <f>Elec.Data!K3384</f>
        <v>1740</v>
      </c>
      <c r="L3994" s="473"/>
      <c r="M3994" s="473"/>
    </row>
    <row r="3995" spans="5:13" ht="50.1" customHeight="1">
      <c r="E3995" s="473"/>
      <c r="F3995" s="473"/>
      <c r="G3995" s="583">
        <v>35</v>
      </c>
      <c r="H3995" s="1200" t="s">
        <v>2507</v>
      </c>
      <c r="I3995" s="1200"/>
      <c r="J3995" s="1200"/>
      <c r="K3995" s="582">
        <f>Elec.Data!K3389</f>
        <v>2140</v>
      </c>
      <c r="L3995" s="473"/>
      <c r="M3995" s="473"/>
    </row>
    <row r="3996" spans="5:13" ht="50.1" customHeight="1">
      <c r="E3996" s="473"/>
      <c r="F3996" s="473"/>
      <c r="G3996" s="583">
        <v>36</v>
      </c>
      <c r="H3996" s="1200" t="s">
        <v>2836</v>
      </c>
      <c r="I3996" s="1200"/>
      <c r="J3996" s="1200"/>
      <c r="K3996" s="582">
        <f>Elec.Data!K3400</f>
        <v>287</v>
      </c>
      <c r="L3996" s="473"/>
      <c r="M3996" s="473"/>
    </row>
    <row r="3997" spans="5:13" ht="50.1" customHeight="1">
      <c r="E3997" s="473"/>
      <c r="F3997" s="473"/>
      <c r="G3997" s="583">
        <v>37</v>
      </c>
      <c r="H3997" s="1200" t="s">
        <v>2796</v>
      </c>
      <c r="I3997" s="1200"/>
      <c r="J3997" s="1200"/>
      <c r="K3997" s="582">
        <f>Elec.Data!K3419</f>
        <v>538</v>
      </c>
      <c r="L3997" s="473"/>
      <c r="M3997" s="473"/>
    </row>
    <row r="3998" spans="5:13" ht="50.1" customHeight="1">
      <c r="E3998" s="473"/>
      <c r="F3998" s="473"/>
      <c r="G3998" s="583">
        <v>38</v>
      </c>
      <c r="H3998" s="1200" t="s">
        <v>2469</v>
      </c>
      <c r="I3998" s="1200"/>
      <c r="J3998" s="1200"/>
      <c r="K3998" s="582">
        <f>Elec.Data!K3441</f>
        <v>452</v>
      </c>
      <c r="L3998" s="473"/>
      <c r="M3998" s="473"/>
    </row>
    <row r="3999" spans="5:13" ht="50.1" customHeight="1">
      <c r="E3999" s="473"/>
      <c r="F3999" s="473"/>
      <c r="G3999" s="583">
        <v>39</v>
      </c>
      <c r="H3999" s="1200" t="s">
        <v>2478</v>
      </c>
      <c r="I3999" s="1200"/>
      <c r="J3999" s="1200"/>
      <c r="K3999" s="582">
        <f>Elec.Data!K3458</f>
        <v>2696</v>
      </c>
      <c r="L3999" s="473"/>
      <c r="M3999" s="473"/>
    </row>
    <row r="4000" spans="5:13" ht="50.1" customHeight="1">
      <c r="E4000" s="473"/>
      <c r="F4000" s="473"/>
      <c r="G4000" s="583">
        <v>40</v>
      </c>
      <c r="H4000" s="1200" t="s">
        <v>2619</v>
      </c>
      <c r="I4000" s="1200"/>
      <c r="J4000" s="1200"/>
      <c r="K4000" s="582">
        <f>Elec.Data!K3468</f>
        <v>3110</v>
      </c>
      <c r="L4000" s="473"/>
      <c r="M4000" s="473"/>
    </row>
    <row r="4001" spans="5:13" ht="50.1" customHeight="1">
      <c r="E4001" s="473"/>
      <c r="F4001" s="473"/>
      <c r="G4001" s="583">
        <v>41</v>
      </c>
      <c r="H4001" s="1200" t="s">
        <v>1049</v>
      </c>
      <c r="I4001" s="1200"/>
      <c r="J4001" s="1200"/>
      <c r="K4001" s="582">
        <f>Elec.Data!K3481</f>
        <v>853</v>
      </c>
      <c r="L4001" s="473"/>
      <c r="M4001" s="473"/>
    </row>
    <row r="4002" spans="5:13" ht="50.1" customHeight="1">
      <c r="E4002" s="473"/>
      <c r="F4002" s="473"/>
      <c r="G4002" s="583">
        <v>42</v>
      </c>
      <c r="H4002" s="1200" t="s">
        <v>2828</v>
      </c>
      <c r="I4002" s="1200"/>
      <c r="J4002" s="1200"/>
      <c r="K4002" s="582">
        <f>Elec.Data!K3501</f>
        <v>100.6</v>
      </c>
      <c r="L4002" s="473"/>
      <c r="M4002" s="473"/>
    </row>
    <row r="4003" spans="5:13" ht="50.1" customHeight="1">
      <c r="E4003" s="473"/>
      <c r="F4003" s="473"/>
      <c r="G4003" s="583">
        <v>43</v>
      </c>
      <c r="H4003" s="1200" t="s">
        <v>2403</v>
      </c>
      <c r="I4003" s="1200"/>
      <c r="J4003" s="1200"/>
      <c r="K4003" s="582">
        <f>Elec.Data!K3515</f>
        <v>134</v>
      </c>
      <c r="L4003" s="473"/>
      <c r="M4003" s="473"/>
    </row>
    <row r="4004" spans="5:13" ht="50.1" customHeight="1">
      <c r="E4004" s="473"/>
      <c r="F4004" s="473"/>
      <c r="G4004" s="583">
        <v>44</v>
      </c>
      <c r="H4004" s="1200" t="s">
        <v>3561</v>
      </c>
      <c r="I4004" s="1200"/>
      <c r="J4004" s="1200"/>
      <c r="K4004" s="582">
        <f>Elec.Data!K3524</f>
        <v>165</v>
      </c>
      <c r="L4004" s="473"/>
      <c r="M4004" s="473"/>
    </row>
    <row r="4005" spans="5:13" ht="50.1" customHeight="1">
      <c r="E4005" s="473"/>
      <c r="F4005" s="473"/>
      <c r="G4005" s="583">
        <v>45</v>
      </c>
      <c r="H4005" s="1200" t="s">
        <v>3565</v>
      </c>
      <c r="I4005" s="1200"/>
      <c r="J4005" s="1200"/>
      <c r="K4005" s="582">
        <f>Elec.Data!K3539</f>
        <v>183.9</v>
      </c>
      <c r="L4005" s="473"/>
      <c r="M4005" s="473"/>
    </row>
    <row r="4006" spans="5:13" ht="50.1" customHeight="1">
      <c r="E4006" s="473"/>
      <c r="F4006" s="473"/>
      <c r="G4006" s="583">
        <v>46</v>
      </c>
      <c r="H4006" s="1200" t="s">
        <v>2479</v>
      </c>
      <c r="I4006" s="1200"/>
      <c r="J4006" s="1200"/>
      <c r="K4006" s="582">
        <f>Elec.Data!K3547</f>
        <v>170.5</v>
      </c>
      <c r="L4006" s="473"/>
      <c r="M4006" s="473"/>
    </row>
    <row r="4007" spans="5:13" ht="50.1" customHeight="1">
      <c r="E4007" s="473"/>
      <c r="F4007" s="473"/>
      <c r="G4007" s="583">
        <v>47</v>
      </c>
      <c r="H4007" s="1200" t="s">
        <v>3561</v>
      </c>
      <c r="I4007" s="1200"/>
      <c r="J4007" s="1200"/>
      <c r="K4007" s="582">
        <f>Elec.Data!K3556</f>
        <v>165</v>
      </c>
      <c r="L4007" s="473"/>
      <c r="M4007" s="473"/>
    </row>
    <row r="4008" spans="5:13" ht="50.1" customHeight="1">
      <c r="E4008" s="473"/>
      <c r="F4008" s="473"/>
      <c r="G4008" s="583">
        <v>48</v>
      </c>
      <c r="H4008" s="1200" t="s">
        <v>958</v>
      </c>
      <c r="I4008" s="1200"/>
      <c r="J4008" s="1200"/>
      <c r="K4008" s="582">
        <f>Elec.Data!K3567</f>
        <v>88.3</v>
      </c>
      <c r="L4008" s="473"/>
      <c r="M4008" s="473"/>
    </row>
    <row r="4009" spans="5:13" ht="50.1" customHeight="1">
      <c r="E4009" s="473"/>
      <c r="F4009" s="473"/>
      <c r="G4009" s="583">
        <v>49</v>
      </c>
      <c r="H4009" s="1200" t="s">
        <v>2882</v>
      </c>
      <c r="I4009" s="1200"/>
      <c r="J4009" s="1200"/>
      <c r="K4009" s="582">
        <f>Elec.Data!K3584</f>
        <v>66.3</v>
      </c>
      <c r="L4009" s="473"/>
      <c r="M4009" s="473"/>
    </row>
    <row r="4010" spans="5:13" ht="50.1" customHeight="1">
      <c r="E4010" s="473"/>
      <c r="F4010" s="473"/>
      <c r="G4010" s="583">
        <v>50</v>
      </c>
      <c r="H4010" s="1200" t="s">
        <v>3280</v>
      </c>
      <c r="I4010" s="1200"/>
      <c r="J4010" s="1200"/>
      <c r="K4010" s="582">
        <f>Elec.Data!K3638</f>
        <v>1972</v>
      </c>
      <c r="L4010" s="473"/>
      <c r="M4010" s="473"/>
    </row>
    <row r="4011" spans="5:13" ht="50.1" customHeight="1">
      <c r="E4011" s="473"/>
      <c r="F4011" s="473"/>
      <c r="G4011" s="583">
        <v>51</v>
      </c>
      <c r="H4011" s="1200" t="s">
        <v>3277</v>
      </c>
      <c r="I4011" s="1200"/>
      <c r="J4011" s="1200"/>
      <c r="K4011" s="582">
        <f>Elec.Data!K3638</f>
        <v>1972</v>
      </c>
      <c r="L4011" s="473"/>
      <c r="M4011" s="473"/>
    </row>
    <row r="4012" spans="5:13" ht="50.1" customHeight="1">
      <c r="E4012" s="473"/>
      <c r="F4012" s="473"/>
      <c r="G4012" s="583">
        <v>52</v>
      </c>
      <c r="H4012" s="1200" t="s">
        <v>3263</v>
      </c>
      <c r="I4012" s="1200"/>
      <c r="J4012" s="1200"/>
      <c r="K4012" s="582">
        <f>Elec.Data!K3650</f>
        <v>1308</v>
      </c>
      <c r="L4012" s="473"/>
      <c r="M4012" s="473"/>
    </row>
    <row r="4013" spans="5:13" ht="50.1" customHeight="1">
      <c r="E4013" s="473"/>
      <c r="F4013" s="473"/>
      <c r="G4013" s="583">
        <v>53</v>
      </c>
      <c r="H4013" s="1200" t="s">
        <v>2657</v>
      </c>
      <c r="I4013" s="1200"/>
      <c r="J4013" s="1200"/>
      <c r="K4013" s="582">
        <f>Elec.Data!K3673</f>
        <v>3940</v>
      </c>
      <c r="L4013" s="473"/>
      <c r="M4013" s="473"/>
    </row>
    <row r="4014" spans="5:13" ht="50.1" customHeight="1">
      <c r="E4014" s="473"/>
      <c r="F4014" s="473"/>
      <c r="G4014" s="583">
        <v>54</v>
      </c>
      <c r="H4014" s="1200" t="s">
        <v>1802</v>
      </c>
      <c r="I4014" s="1200"/>
      <c r="J4014" s="1200"/>
      <c r="K4014" s="582">
        <f>Elec.Data!K3686</f>
        <v>50.5</v>
      </c>
      <c r="L4014" s="473"/>
      <c r="M4014" s="473"/>
    </row>
    <row r="4015" spans="5:13" ht="50.1" customHeight="1">
      <c r="E4015" s="473"/>
      <c r="F4015" s="473"/>
      <c r="G4015" s="583">
        <v>55</v>
      </c>
      <c r="H4015" s="1200" t="s">
        <v>2749</v>
      </c>
      <c r="I4015" s="1200"/>
      <c r="J4015" s="1200"/>
      <c r="K4015" s="582">
        <f>Elec.Data!K3692</f>
        <v>60.4</v>
      </c>
      <c r="L4015" s="473"/>
      <c r="M4015" s="473"/>
    </row>
    <row r="4016" spans="5:13" ht="50.1" customHeight="1">
      <c r="E4016" s="473"/>
      <c r="F4016" s="473"/>
      <c r="G4016" s="583">
        <v>56</v>
      </c>
      <c r="H4016" s="1200" t="s">
        <v>2754</v>
      </c>
      <c r="I4016" s="1200"/>
      <c r="J4016" s="1200"/>
      <c r="K4016" s="582">
        <f>Elec.Data!K3699</f>
        <v>59</v>
      </c>
      <c r="L4016" s="473"/>
      <c r="M4016" s="473"/>
    </row>
    <row r="4017" spans="5:13" ht="50.1" customHeight="1">
      <c r="E4017" s="473"/>
      <c r="F4017" s="473"/>
      <c r="G4017" s="583">
        <v>57</v>
      </c>
      <c r="H4017" s="1200" t="s">
        <v>959</v>
      </c>
      <c r="I4017" s="1200"/>
      <c r="J4017" s="1200"/>
      <c r="K4017" s="582">
        <f>Elec.Data!K3709</f>
        <v>53</v>
      </c>
      <c r="L4017" s="473"/>
      <c r="M4017" s="473"/>
    </row>
    <row r="4018" spans="5:13" ht="50.1" customHeight="1">
      <c r="E4018" s="473"/>
      <c r="F4018" s="473"/>
      <c r="G4018" s="583">
        <v>58</v>
      </c>
      <c r="H4018" s="1200" t="s">
        <v>3139</v>
      </c>
      <c r="I4018" s="1200"/>
      <c r="J4018" s="1200"/>
      <c r="K4018" s="582">
        <f>Elec.Data!K3724</f>
        <v>4461</v>
      </c>
      <c r="L4018" s="473"/>
      <c r="M4018" s="473"/>
    </row>
    <row r="4019" spans="5:13" ht="50.1" customHeight="1">
      <c r="E4019" s="473"/>
      <c r="F4019" s="473"/>
      <c r="G4019" s="583">
        <v>59</v>
      </c>
      <c r="H4019" s="1200" t="s">
        <v>1216</v>
      </c>
      <c r="I4019" s="1200"/>
      <c r="J4019" s="1200"/>
      <c r="K4019" s="582">
        <f>Elec.Data!K3741</f>
        <v>1766</v>
      </c>
      <c r="L4019" s="473"/>
      <c r="M4019" s="473"/>
    </row>
    <row r="4020" spans="5:13" ht="50.1" customHeight="1">
      <c r="E4020" s="473"/>
      <c r="F4020" s="473"/>
      <c r="G4020" s="583">
        <v>60</v>
      </c>
      <c r="H4020" s="1200" t="s">
        <v>1217</v>
      </c>
      <c r="I4020" s="1200"/>
      <c r="J4020" s="1200"/>
      <c r="K4020" s="582">
        <f>Elec.Data!K3759</f>
        <v>1591</v>
      </c>
      <c r="L4020" s="473"/>
      <c r="M4020" s="473"/>
    </row>
    <row r="4021" spans="5:13" ht="50.1" customHeight="1">
      <c r="E4021" s="473"/>
      <c r="F4021" s="473"/>
      <c r="G4021" s="583">
        <v>61</v>
      </c>
      <c r="H4021" s="1200" t="str">
        <f>Elec.Data!H3761</f>
        <v>Supply of ceiling fan 1200mm</v>
      </c>
      <c r="I4021" s="1200"/>
      <c r="J4021" s="1200"/>
      <c r="K4021" s="582">
        <f>Elec.Data!K3764</f>
        <v>1499</v>
      </c>
      <c r="L4021" s="473"/>
      <c r="M4021" s="473"/>
    </row>
    <row r="4022" spans="5:13" ht="50.1" customHeight="1">
      <c r="E4022" s="473"/>
      <c r="F4022" s="473"/>
      <c r="G4022" s="583">
        <v>62</v>
      </c>
      <c r="H4022" s="1200" t="s">
        <v>2547</v>
      </c>
      <c r="I4022" s="1200"/>
      <c r="J4022" s="1200"/>
      <c r="K4022" s="582">
        <f>Elec.Data!K3770</f>
        <v>580</v>
      </c>
      <c r="L4022" s="473"/>
      <c r="M4022" s="473"/>
    </row>
    <row r="4023" spans="5:13" ht="50.1" customHeight="1">
      <c r="E4023" s="473"/>
      <c r="F4023" s="473"/>
      <c r="G4023" s="583">
        <v>63</v>
      </c>
      <c r="H4023" s="1200" t="s">
        <v>2551</v>
      </c>
      <c r="I4023" s="1200"/>
      <c r="J4023" s="1200"/>
      <c r="K4023" s="582">
        <f>Elec.Data!K3777</f>
        <v>498</v>
      </c>
      <c r="L4023" s="473"/>
      <c r="M4023" s="473"/>
    </row>
    <row r="4024" spans="5:13" ht="50.1" customHeight="1">
      <c r="E4024" s="473"/>
      <c r="F4024" s="473"/>
      <c r="G4024" s="583"/>
      <c r="H4024" s="1200" t="s">
        <v>2559</v>
      </c>
      <c r="I4024" s="1200"/>
      <c r="J4024" s="1200"/>
      <c r="K4024" s="582"/>
      <c r="L4024" s="473"/>
      <c r="M4024" s="473"/>
    </row>
    <row r="4025" spans="5:13" ht="50.1" customHeight="1">
      <c r="E4025" s="473"/>
      <c r="F4025" s="473"/>
      <c r="G4025" s="583">
        <v>64</v>
      </c>
      <c r="H4025" s="1200" t="s">
        <v>3048</v>
      </c>
      <c r="I4025" s="1200"/>
      <c r="J4025" s="1200"/>
      <c r="K4025" s="582">
        <f>Elec.Data!K3811</f>
        <v>571</v>
      </c>
      <c r="L4025" s="473"/>
      <c r="M4025" s="473"/>
    </row>
    <row r="4026" spans="5:13" ht="50.1" customHeight="1">
      <c r="E4026" s="473"/>
      <c r="F4026" s="473"/>
      <c r="G4026" s="583">
        <v>65</v>
      </c>
      <c r="H4026" s="1200" t="s">
        <v>3192</v>
      </c>
      <c r="I4026" s="1200"/>
      <c r="J4026" s="1200"/>
      <c r="K4026" s="582">
        <f>Elec.Data!K3837</f>
        <v>574</v>
      </c>
      <c r="L4026" s="473"/>
      <c r="M4026" s="473"/>
    </row>
    <row r="4027" spans="5:13" ht="50.1" customHeight="1">
      <c r="E4027" s="473"/>
      <c r="F4027" s="473"/>
      <c r="G4027" s="583">
        <v>66</v>
      </c>
      <c r="H4027" s="1200" t="s">
        <v>3570</v>
      </c>
      <c r="I4027" s="1200"/>
      <c r="J4027" s="1200"/>
      <c r="K4027" s="582">
        <f>Elec.Data!K3853</f>
        <v>620</v>
      </c>
      <c r="L4027" s="473"/>
      <c r="M4027" s="473"/>
    </row>
    <row r="4028" spans="5:13" ht="50.1" customHeight="1">
      <c r="E4028" s="473"/>
      <c r="F4028" s="473"/>
      <c r="G4028" s="583">
        <v>67</v>
      </c>
      <c r="H4028" s="1200" t="s">
        <v>1061</v>
      </c>
      <c r="I4028" s="1200"/>
      <c r="J4028" s="1200"/>
      <c r="K4028" s="582">
        <f>Elec.Data!K3875</f>
        <v>672</v>
      </c>
      <c r="L4028" s="473"/>
      <c r="M4028" s="473"/>
    </row>
    <row r="4029" spans="5:13" ht="50.1" customHeight="1">
      <c r="E4029" s="473"/>
      <c r="F4029" s="473"/>
      <c r="G4029" s="583">
        <v>68</v>
      </c>
      <c r="H4029" s="1200" t="s">
        <v>3140</v>
      </c>
      <c r="I4029" s="1200"/>
      <c r="J4029" s="1200"/>
      <c r="K4029" s="582">
        <f>Elec.Data!K3895</f>
        <v>1178</v>
      </c>
      <c r="L4029" s="473"/>
      <c r="M4029" s="473"/>
    </row>
    <row r="4030" spans="5:13" ht="50.1" customHeight="1">
      <c r="E4030" s="473"/>
      <c r="F4030" s="473"/>
      <c r="G4030" s="583">
        <v>69</v>
      </c>
      <c r="H4030" s="1200" t="str">
        <f>Elec.Data!H3897</f>
        <v>5 AMPS 5 PIN PLUG SOCKET POINT AT CONVENIENT PLACES (OPEN WIRING)</v>
      </c>
      <c r="I4030" s="1200"/>
      <c r="J4030" s="1200"/>
      <c r="K4030" s="582">
        <f>Elec.Data!K3914</f>
        <v>467.62</v>
      </c>
      <c r="L4030" s="473"/>
      <c r="M4030" s="473"/>
    </row>
    <row r="4031" spans="5:13" ht="50.1" customHeight="1">
      <c r="E4031" s="473"/>
      <c r="F4031" s="473"/>
      <c r="G4031" s="583">
        <v>70</v>
      </c>
      <c r="H4031" s="1200" t="str">
        <f>Elec.Data!H3923</f>
        <v>2 X1.5 Sqmm in fully concealed PVC conduit</v>
      </c>
      <c r="I4031" s="1200"/>
      <c r="J4031" s="1200"/>
      <c r="K4031" s="582">
        <f>Elec.Data!K3938</f>
        <v>88</v>
      </c>
      <c r="L4031" s="473"/>
      <c r="M4031" s="473"/>
    </row>
    <row r="4032" spans="5:13" ht="50.1" customHeight="1">
      <c r="E4032" s="473"/>
      <c r="F4032" s="473"/>
      <c r="G4032" s="584"/>
      <c r="H4032" s="1202" t="str">
        <f>Elec.Data!H3940</f>
        <v>2 X 2.5 Sq mm in fully concealed PVC conduit (open wiring)</v>
      </c>
      <c r="I4032" s="1202"/>
      <c r="J4032" s="1202"/>
      <c r="K4032" s="585">
        <f>Elec.Data!K3949</f>
        <v>103.9</v>
      </c>
      <c r="L4032" s="473"/>
      <c r="M4032" s="473"/>
    </row>
    <row r="4033" spans="5:13" ht="50.1" customHeight="1">
      <c r="E4033" s="473"/>
      <c r="F4033" s="473"/>
      <c r="G4033" s="473"/>
      <c r="H4033" s="1201"/>
      <c r="I4033" s="1201"/>
      <c r="J4033" s="1201"/>
      <c r="K4033" s="478"/>
      <c r="L4033" s="473"/>
      <c r="M4033" s="473"/>
    </row>
    <row r="4034" spans="5:13">
      <c r="E4034" s="473"/>
      <c r="F4034" s="473"/>
      <c r="G4034" s="473"/>
      <c r="H4034" s="473"/>
      <c r="I4034" s="473"/>
      <c r="J4034" s="473"/>
      <c r="K4034" s="478"/>
      <c r="L4034" s="473"/>
      <c r="M4034" s="473"/>
    </row>
    <row r="4035" spans="5:13">
      <c r="E4035" s="473"/>
      <c r="F4035" s="473"/>
      <c r="G4035" s="473"/>
      <c r="H4035" s="473"/>
      <c r="I4035" s="473"/>
      <c r="J4035" s="473"/>
      <c r="K4035" s="478"/>
      <c r="L4035" s="473"/>
      <c r="M4035" s="473"/>
    </row>
    <row r="4036" spans="5:13">
      <c r="E4036" s="473"/>
      <c r="F4036" s="473"/>
      <c r="G4036" s="473"/>
      <c r="H4036" s="473"/>
      <c r="I4036" s="473"/>
      <c r="J4036" s="473"/>
      <c r="K4036" s="478"/>
      <c r="L4036" s="473"/>
      <c r="M4036" s="473"/>
    </row>
    <row r="4037" spans="5:13">
      <c r="E4037" s="473"/>
      <c r="F4037" s="473"/>
      <c r="G4037" s="473"/>
      <c r="H4037" s="473"/>
      <c r="I4037" s="473"/>
      <c r="J4037" s="473"/>
      <c r="K4037" s="478"/>
      <c r="L4037" s="473"/>
      <c r="M4037" s="473"/>
    </row>
    <row r="4038" spans="5:13">
      <c r="E4038" s="473"/>
      <c r="F4038" s="473"/>
      <c r="G4038" s="473"/>
      <c r="H4038" s="473"/>
      <c r="I4038" s="473"/>
      <c r="J4038" s="473"/>
      <c r="K4038" s="478"/>
      <c r="L4038" s="473"/>
      <c r="M4038" s="473"/>
    </row>
    <row r="4039" spans="5:13">
      <c r="E4039" s="473"/>
      <c r="F4039" s="473"/>
      <c r="G4039" s="473"/>
      <c r="H4039" s="473"/>
      <c r="I4039" s="473"/>
      <c r="J4039" s="473"/>
      <c r="K4039" s="478"/>
      <c r="L4039" s="473"/>
      <c r="M4039" s="473"/>
    </row>
    <row r="4040" spans="5:13">
      <c r="E4040" s="473"/>
      <c r="F4040" s="473"/>
      <c r="G4040" s="473"/>
      <c r="H4040" s="473"/>
      <c r="I4040" s="473"/>
      <c r="J4040" s="473"/>
      <c r="K4040" s="478"/>
      <c r="L4040" s="473"/>
      <c r="M4040" s="473"/>
    </row>
    <row r="4041" spans="5:13">
      <c r="E4041" s="473"/>
      <c r="F4041" s="473"/>
      <c r="G4041" s="473"/>
      <c r="H4041" s="473"/>
      <c r="I4041" s="473"/>
      <c r="J4041" s="473"/>
      <c r="K4041" s="478"/>
      <c r="L4041" s="473"/>
      <c r="M4041" s="473"/>
    </row>
    <row r="4042" spans="5:13">
      <c r="E4042" s="473"/>
      <c r="F4042" s="473"/>
      <c r="G4042" s="473"/>
      <c r="H4042" s="473"/>
      <c r="I4042" s="473"/>
      <c r="J4042" s="473"/>
      <c r="K4042" s="478"/>
      <c r="L4042" s="473"/>
      <c r="M4042" s="473"/>
    </row>
    <row r="4043" spans="5:13">
      <c r="E4043" s="473"/>
      <c r="F4043" s="473"/>
      <c r="G4043" s="473"/>
      <c r="H4043" s="473"/>
      <c r="I4043" s="473"/>
      <c r="J4043" s="473"/>
      <c r="K4043" s="478"/>
      <c r="L4043" s="473"/>
      <c r="M4043" s="473"/>
    </row>
    <row r="4044" spans="5:13">
      <c r="E4044" s="473"/>
      <c r="F4044" s="473"/>
      <c r="G4044" s="473"/>
      <c r="H4044" s="473"/>
      <c r="I4044" s="473"/>
      <c r="J4044" s="473"/>
      <c r="K4044" s="478"/>
      <c r="L4044" s="473"/>
      <c r="M4044" s="473"/>
    </row>
    <row r="4045" spans="5:13">
      <c r="E4045" s="473"/>
      <c r="F4045" s="473"/>
      <c r="G4045" s="473"/>
      <c r="H4045" s="473"/>
      <c r="I4045" s="473"/>
      <c r="J4045" s="473"/>
      <c r="K4045" s="478"/>
      <c r="L4045" s="473"/>
      <c r="M4045" s="473"/>
    </row>
    <row r="4046" spans="5:13">
      <c r="E4046" s="473"/>
      <c r="F4046" s="473"/>
      <c r="G4046" s="473"/>
      <c r="H4046" s="473"/>
      <c r="I4046" s="473"/>
      <c r="J4046" s="473"/>
      <c r="K4046" s="478"/>
      <c r="L4046" s="473"/>
      <c r="M4046" s="473"/>
    </row>
    <row r="4047" spans="5:13">
      <c r="E4047" s="473"/>
      <c r="F4047" s="473"/>
      <c r="G4047" s="473"/>
      <c r="H4047" s="473"/>
      <c r="I4047" s="473"/>
      <c r="J4047" s="473"/>
      <c r="K4047" s="478"/>
      <c r="L4047" s="473"/>
      <c r="M4047" s="473"/>
    </row>
    <row r="4048" spans="5:13">
      <c r="E4048" s="473"/>
      <c r="F4048" s="473"/>
      <c r="G4048" s="473"/>
      <c r="H4048" s="473"/>
      <c r="I4048" s="473"/>
      <c r="J4048" s="473"/>
      <c r="K4048" s="478"/>
      <c r="L4048" s="473"/>
      <c r="M4048" s="473"/>
    </row>
    <row r="4049" spans="5:13">
      <c r="E4049" s="473"/>
      <c r="F4049" s="473"/>
      <c r="G4049" s="473"/>
      <c r="H4049" s="473"/>
      <c r="I4049" s="473"/>
      <c r="J4049" s="473"/>
      <c r="K4049" s="478"/>
      <c r="L4049" s="473"/>
      <c r="M4049" s="473"/>
    </row>
    <row r="4050" spans="5:13">
      <c r="E4050" s="473"/>
      <c r="F4050" s="473"/>
      <c r="G4050" s="473"/>
      <c r="H4050" s="473"/>
      <c r="I4050" s="473"/>
      <c r="J4050" s="473"/>
      <c r="K4050" s="478"/>
      <c r="L4050" s="473"/>
      <c r="M4050" s="473"/>
    </row>
    <row r="4051" spans="5:13">
      <c r="E4051" s="473"/>
      <c r="F4051" s="473"/>
      <c r="G4051" s="473"/>
      <c r="H4051" s="473"/>
      <c r="I4051" s="473"/>
      <c r="J4051" s="473"/>
      <c r="K4051" s="478"/>
      <c r="L4051" s="473"/>
      <c r="M4051" s="473"/>
    </row>
    <row r="4052" spans="5:13">
      <c r="E4052" s="473"/>
      <c r="F4052" s="473"/>
      <c r="G4052" s="473"/>
      <c r="H4052" s="473"/>
      <c r="I4052" s="473"/>
      <c r="J4052" s="473"/>
      <c r="K4052" s="478"/>
      <c r="L4052" s="473"/>
      <c r="M4052" s="473"/>
    </row>
    <row r="4053" spans="5:13">
      <c r="E4053" s="473"/>
      <c r="F4053" s="473"/>
      <c r="G4053" s="473"/>
      <c r="H4053" s="473"/>
      <c r="I4053" s="473"/>
      <c r="J4053" s="473"/>
      <c r="K4053" s="478"/>
      <c r="L4053" s="473"/>
      <c r="M4053" s="473"/>
    </row>
    <row r="4054" spans="5:13">
      <c r="E4054" s="473"/>
      <c r="F4054" s="473"/>
      <c r="G4054" s="473"/>
      <c r="H4054" s="473"/>
      <c r="I4054" s="473"/>
      <c r="J4054" s="473"/>
      <c r="K4054" s="478"/>
      <c r="L4054" s="473"/>
      <c r="M4054" s="473"/>
    </row>
    <row r="4055" spans="5:13">
      <c r="E4055" s="473"/>
      <c r="F4055" s="473"/>
      <c r="G4055" s="473"/>
      <c r="H4055" s="473"/>
      <c r="I4055" s="473"/>
      <c r="J4055" s="473"/>
      <c r="K4055" s="478"/>
      <c r="L4055" s="473"/>
      <c r="M4055" s="473"/>
    </row>
    <row r="4056" spans="5:13">
      <c r="E4056" s="473"/>
      <c r="F4056" s="473"/>
      <c r="G4056" s="473"/>
      <c r="H4056" s="473"/>
      <c r="I4056" s="473"/>
      <c r="J4056" s="473"/>
      <c r="K4056" s="478"/>
      <c r="L4056" s="473"/>
      <c r="M4056" s="473"/>
    </row>
    <row r="4057" spans="5:13">
      <c r="E4057" s="473"/>
      <c r="F4057" s="473"/>
      <c r="G4057" s="473"/>
      <c r="H4057" s="473"/>
      <c r="I4057" s="473"/>
      <c r="J4057" s="473"/>
      <c r="K4057" s="478"/>
      <c r="L4057" s="473"/>
      <c r="M4057" s="473"/>
    </row>
    <row r="4058" spans="5:13">
      <c r="E4058" s="473"/>
      <c r="F4058" s="473"/>
      <c r="G4058" s="473"/>
      <c r="H4058" s="473"/>
      <c r="I4058" s="473"/>
      <c r="J4058" s="473"/>
      <c r="K4058" s="478"/>
      <c r="L4058" s="473"/>
      <c r="M4058" s="473"/>
    </row>
    <row r="4059" spans="5:13">
      <c r="E4059" s="473"/>
      <c r="F4059" s="473"/>
      <c r="G4059" s="473"/>
      <c r="H4059" s="473"/>
      <c r="I4059" s="473"/>
      <c r="J4059" s="473"/>
      <c r="K4059" s="478"/>
      <c r="L4059" s="473"/>
      <c r="M4059" s="473"/>
    </row>
    <row r="4060" spans="5:13">
      <c r="E4060" s="473"/>
      <c r="F4060" s="473"/>
      <c r="G4060" s="473"/>
      <c r="H4060" s="473"/>
      <c r="I4060" s="473"/>
      <c r="J4060" s="473"/>
      <c r="K4060" s="478"/>
      <c r="L4060" s="473"/>
      <c r="M4060" s="473"/>
    </row>
    <row r="4061" spans="5:13">
      <c r="E4061" s="473"/>
      <c r="F4061" s="473"/>
      <c r="G4061" s="473"/>
      <c r="H4061" s="473"/>
      <c r="I4061" s="473"/>
      <c r="J4061" s="473"/>
      <c r="K4061" s="478"/>
      <c r="L4061" s="473"/>
      <c r="M4061" s="473"/>
    </row>
    <row r="4062" spans="5:13">
      <c r="E4062" s="473"/>
      <c r="F4062" s="473"/>
      <c r="G4062" s="473"/>
      <c r="H4062" s="473"/>
      <c r="I4062" s="473"/>
      <c r="J4062" s="473"/>
      <c r="K4062" s="478"/>
      <c r="L4062" s="473"/>
      <c r="M4062" s="473"/>
    </row>
    <row r="4063" spans="5:13">
      <c r="E4063" s="473"/>
      <c r="F4063" s="473"/>
      <c r="G4063" s="473"/>
      <c r="H4063" s="473"/>
      <c r="I4063" s="473"/>
      <c r="J4063" s="473"/>
      <c r="K4063" s="478"/>
      <c r="L4063" s="473"/>
      <c r="M4063" s="473"/>
    </row>
    <row r="4064" spans="5:13">
      <c r="E4064" s="473"/>
      <c r="F4064" s="473"/>
      <c r="G4064" s="473"/>
      <c r="H4064" s="473"/>
      <c r="I4064" s="473"/>
      <c r="J4064" s="473"/>
      <c r="K4064" s="478"/>
      <c r="L4064" s="473"/>
      <c r="M4064" s="473"/>
    </row>
    <row r="4065" spans="5:13">
      <c r="E4065" s="473"/>
      <c r="F4065" s="473"/>
      <c r="G4065" s="473"/>
      <c r="H4065" s="473"/>
      <c r="I4065" s="473"/>
      <c r="J4065" s="473"/>
      <c r="K4065" s="478"/>
      <c r="L4065" s="473"/>
      <c r="M4065" s="473"/>
    </row>
    <row r="4066" spans="5:13">
      <c r="E4066" s="473"/>
      <c r="F4066" s="473"/>
      <c r="G4066" s="473"/>
      <c r="H4066" s="473"/>
      <c r="I4066" s="473"/>
      <c r="J4066" s="473"/>
      <c r="K4066" s="478"/>
      <c r="L4066" s="473"/>
      <c r="M4066" s="473"/>
    </row>
    <row r="4067" spans="5:13">
      <c r="E4067" s="473"/>
      <c r="F4067" s="473"/>
      <c r="G4067" s="473"/>
      <c r="H4067" s="473"/>
      <c r="I4067" s="473"/>
      <c r="J4067" s="473"/>
      <c r="K4067" s="478"/>
      <c r="L4067" s="473"/>
      <c r="M4067" s="473"/>
    </row>
    <row r="4068" spans="5:13">
      <c r="E4068" s="473"/>
      <c r="F4068" s="473"/>
      <c r="G4068" s="473"/>
      <c r="H4068" s="473"/>
      <c r="I4068" s="473"/>
      <c r="J4068" s="473"/>
      <c r="K4068" s="478"/>
      <c r="L4068" s="473"/>
      <c r="M4068" s="473"/>
    </row>
    <row r="4069" spans="5:13">
      <c r="E4069" s="473"/>
      <c r="F4069" s="473"/>
      <c r="G4069" s="473"/>
      <c r="H4069" s="473"/>
      <c r="I4069" s="473"/>
      <c r="J4069" s="473"/>
      <c r="K4069" s="478"/>
      <c r="L4069" s="473"/>
      <c r="M4069" s="473"/>
    </row>
    <row r="4070" spans="5:13">
      <c r="E4070" s="473"/>
      <c r="F4070" s="473"/>
      <c r="G4070" s="473"/>
      <c r="H4070" s="473"/>
      <c r="I4070" s="473"/>
      <c r="J4070" s="473"/>
      <c r="K4070" s="478"/>
      <c r="L4070" s="473"/>
      <c r="M4070" s="473"/>
    </row>
    <row r="4071" spans="5:13">
      <c r="E4071" s="473"/>
      <c r="F4071" s="473"/>
      <c r="G4071" s="473"/>
      <c r="H4071" s="473"/>
      <c r="I4071" s="473"/>
      <c r="J4071" s="473"/>
      <c r="K4071" s="478"/>
      <c r="L4071" s="473"/>
      <c r="M4071" s="473"/>
    </row>
    <row r="4072" spans="5:13">
      <c r="E4072" s="473"/>
      <c r="F4072" s="473"/>
      <c r="G4072" s="473"/>
      <c r="H4072" s="473"/>
      <c r="I4072" s="473"/>
      <c r="J4072" s="473"/>
      <c r="K4072" s="478"/>
      <c r="L4072" s="473"/>
      <c r="M4072" s="473"/>
    </row>
    <row r="4073" spans="5:13">
      <c r="E4073" s="473"/>
      <c r="F4073" s="473"/>
      <c r="G4073" s="473"/>
      <c r="H4073" s="473"/>
      <c r="I4073" s="473"/>
      <c r="J4073" s="473"/>
      <c r="K4073" s="478"/>
      <c r="L4073" s="473"/>
      <c r="M4073" s="473"/>
    </row>
    <row r="4074" spans="5:13">
      <c r="E4074" s="473"/>
      <c r="F4074" s="473"/>
      <c r="G4074" s="473"/>
      <c r="H4074" s="473"/>
      <c r="I4074" s="473"/>
      <c r="J4074" s="473"/>
      <c r="K4074" s="478"/>
      <c r="L4074" s="473"/>
      <c r="M4074" s="473"/>
    </row>
    <row r="4075" spans="5:13">
      <c r="E4075" s="473"/>
      <c r="F4075" s="473"/>
      <c r="G4075" s="473"/>
      <c r="H4075" s="473"/>
      <c r="I4075" s="473"/>
      <c r="J4075" s="473"/>
      <c r="K4075" s="478"/>
      <c r="L4075" s="473"/>
      <c r="M4075" s="473"/>
    </row>
    <row r="4076" spans="5:13">
      <c r="E4076" s="473"/>
      <c r="F4076" s="473"/>
      <c r="G4076" s="473"/>
      <c r="H4076" s="473"/>
      <c r="I4076" s="473"/>
      <c r="J4076" s="473"/>
      <c r="K4076" s="478"/>
      <c r="L4076" s="473"/>
      <c r="M4076" s="473"/>
    </row>
    <row r="4077" spans="5:13">
      <c r="E4077" s="473"/>
      <c r="F4077" s="473"/>
      <c r="G4077" s="473"/>
      <c r="H4077" s="473"/>
      <c r="I4077" s="473"/>
      <c r="J4077" s="473"/>
      <c r="K4077" s="478"/>
      <c r="L4077" s="473"/>
      <c r="M4077" s="473"/>
    </row>
    <row r="4078" spans="5:13">
      <c r="E4078" s="473"/>
      <c r="F4078" s="473"/>
      <c r="G4078" s="473"/>
      <c r="H4078" s="473"/>
      <c r="I4078" s="473"/>
      <c r="J4078" s="473"/>
      <c r="K4078" s="478"/>
      <c r="L4078" s="473"/>
      <c r="M4078" s="473"/>
    </row>
    <row r="4079" spans="5:13">
      <c r="E4079" s="473"/>
      <c r="F4079" s="473"/>
      <c r="G4079" s="473"/>
      <c r="H4079" s="473"/>
      <c r="I4079" s="473"/>
      <c r="J4079" s="473"/>
      <c r="K4079" s="478"/>
      <c r="L4079" s="473"/>
      <c r="M4079" s="473"/>
    </row>
    <row r="4080" spans="5:13">
      <c r="E4080" s="473"/>
      <c r="F4080" s="473"/>
      <c r="G4080" s="473"/>
      <c r="H4080" s="473"/>
      <c r="I4080" s="473"/>
      <c r="J4080" s="473"/>
      <c r="K4080" s="478"/>
      <c r="L4080" s="473"/>
      <c r="M4080" s="473"/>
    </row>
    <row r="4081" spans="5:13">
      <c r="E4081" s="473"/>
      <c r="F4081" s="473"/>
      <c r="G4081" s="473"/>
      <c r="H4081" s="473"/>
      <c r="I4081" s="473"/>
      <c r="J4081" s="473"/>
      <c r="K4081" s="478"/>
      <c r="L4081" s="473"/>
      <c r="M4081" s="473"/>
    </row>
    <row r="4082" spans="5:13">
      <c r="E4082" s="473"/>
      <c r="F4082" s="473"/>
      <c r="G4082" s="473"/>
      <c r="H4082" s="473"/>
      <c r="I4082" s="473"/>
      <c r="J4082" s="473"/>
      <c r="K4082" s="478"/>
      <c r="L4082" s="473"/>
      <c r="M4082" s="473"/>
    </row>
    <row r="4083" spans="5:13">
      <c r="E4083" s="473"/>
      <c r="F4083" s="473"/>
      <c r="G4083" s="473"/>
      <c r="H4083" s="473"/>
      <c r="I4083" s="473"/>
      <c r="J4083" s="473"/>
      <c r="K4083" s="478"/>
      <c r="L4083" s="473"/>
      <c r="M4083" s="473"/>
    </row>
    <row r="4084" spans="5:13">
      <c r="E4084" s="473"/>
      <c r="F4084" s="473"/>
      <c r="G4084" s="473"/>
      <c r="H4084" s="473"/>
      <c r="I4084" s="473"/>
      <c r="J4084" s="473"/>
      <c r="K4084" s="478"/>
      <c r="L4084" s="473"/>
      <c r="M4084" s="473"/>
    </row>
    <row r="4085" spans="5:13">
      <c r="E4085" s="473"/>
      <c r="F4085" s="473"/>
      <c r="G4085" s="473"/>
      <c r="H4085" s="473"/>
      <c r="I4085" s="473"/>
      <c r="J4085" s="473"/>
      <c r="K4085" s="478"/>
      <c r="L4085" s="473"/>
      <c r="M4085" s="473"/>
    </row>
    <row r="4086" spans="5:13">
      <c r="E4086" s="473"/>
      <c r="F4086" s="473"/>
      <c r="G4086" s="473"/>
      <c r="H4086" s="473"/>
      <c r="I4086" s="473"/>
      <c r="J4086" s="473"/>
      <c r="K4086" s="478"/>
      <c r="L4086" s="473"/>
      <c r="M4086" s="473"/>
    </row>
    <row r="4087" spans="5:13">
      <c r="E4087" s="473"/>
      <c r="F4087" s="473"/>
      <c r="G4087" s="473"/>
      <c r="H4087" s="473"/>
      <c r="I4087" s="473"/>
      <c r="J4087" s="473"/>
      <c r="K4087" s="478"/>
      <c r="L4087" s="473"/>
      <c r="M4087" s="473"/>
    </row>
    <row r="4088" spans="5:13">
      <c r="E4088" s="473"/>
      <c r="F4088" s="473"/>
      <c r="G4088" s="473"/>
      <c r="H4088" s="473"/>
      <c r="I4088" s="473"/>
      <c r="J4088" s="473"/>
      <c r="K4088" s="478"/>
      <c r="L4088" s="473"/>
      <c r="M4088" s="473"/>
    </row>
    <row r="4089" spans="5:13">
      <c r="E4089" s="473"/>
      <c r="F4089" s="473"/>
      <c r="G4089" s="473"/>
      <c r="H4089" s="473"/>
      <c r="I4089" s="473"/>
      <c r="J4089" s="473"/>
      <c r="K4089" s="478"/>
      <c r="L4089" s="473"/>
      <c r="M4089" s="473"/>
    </row>
    <row r="4090" spans="5:13">
      <c r="E4090" s="473"/>
      <c r="F4090" s="473"/>
      <c r="G4090" s="473"/>
      <c r="H4090" s="473"/>
      <c r="I4090" s="473"/>
      <c r="J4090" s="473"/>
      <c r="K4090" s="478"/>
      <c r="L4090" s="473"/>
      <c r="M4090" s="473"/>
    </row>
    <row r="4091" spans="5:13">
      <c r="E4091" s="473"/>
      <c r="F4091" s="473"/>
      <c r="G4091" s="473"/>
      <c r="H4091" s="473"/>
      <c r="I4091" s="473"/>
      <c r="J4091" s="473"/>
      <c r="K4091" s="478"/>
      <c r="L4091" s="473"/>
      <c r="M4091" s="473"/>
    </row>
    <row r="4092" spans="5:13">
      <c r="E4092" s="473"/>
      <c r="F4092" s="473"/>
      <c r="G4092" s="473"/>
      <c r="H4092" s="473"/>
      <c r="I4092" s="473"/>
      <c r="J4092" s="473"/>
      <c r="K4092" s="478"/>
      <c r="L4092" s="473"/>
      <c r="M4092" s="473"/>
    </row>
    <row r="4093" spans="5:13">
      <c r="E4093" s="473"/>
      <c r="F4093" s="473"/>
      <c r="G4093" s="473"/>
      <c r="H4093" s="473"/>
      <c r="I4093" s="473"/>
      <c r="J4093" s="473"/>
      <c r="K4093" s="478"/>
      <c r="L4093" s="473"/>
      <c r="M4093" s="473"/>
    </row>
    <row r="4094" spans="5:13">
      <c r="E4094" s="473"/>
      <c r="F4094" s="473"/>
      <c r="G4094" s="473"/>
      <c r="H4094" s="473"/>
      <c r="I4094" s="473"/>
      <c r="J4094" s="473"/>
      <c r="K4094" s="478"/>
      <c r="L4094" s="473"/>
      <c r="M4094" s="473"/>
    </row>
    <row r="4095" spans="5:13">
      <c r="E4095" s="473"/>
      <c r="F4095" s="473"/>
      <c r="G4095" s="473"/>
      <c r="H4095" s="473"/>
      <c r="I4095" s="473"/>
      <c r="J4095" s="473"/>
      <c r="K4095" s="478"/>
      <c r="L4095" s="473"/>
      <c r="M4095" s="473"/>
    </row>
    <row r="4096" spans="5:13">
      <c r="E4096" s="473"/>
      <c r="F4096" s="473"/>
      <c r="G4096" s="473"/>
      <c r="H4096" s="473"/>
      <c r="I4096" s="473"/>
      <c r="J4096" s="473"/>
      <c r="K4096" s="478"/>
      <c r="L4096" s="473"/>
      <c r="M4096" s="473"/>
    </row>
    <row r="4097" spans="5:13">
      <c r="E4097" s="473"/>
      <c r="F4097" s="473"/>
      <c r="G4097" s="473"/>
      <c r="H4097" s="473"/>
      <c r="I4097" s="473"/>
      <c r="J4097" s="473"/>
      <c r="K4097" s="478"/>
      <c r="L4097" s="473"/>
      <c r="M4097" s="473"/>
    </row>
    <row r="4098" spans="5:13">
      <c r="E4098" s="473"/>
      <c r="F4098" s="473"/>
      <c r="G4098" s="473"/>
      <c r="H4098" s="473"/>
      <c r="I4098" s="473"/>
      <c r="J4098" s="473"/>
      <c r="K4098" s="478"/>
      <c r="L4098" s="473"/>
      <c r="M4098" s="473"/>
    </row>
    <row r="4099" spans="5:13">
      <c r="E4099" s="473"/>
      <c r="F4099" s="473"/>
      <c r="G4099" s="473"/>
      <c r="H4099" s="473"/>
      <c r="I4099" s="473"/>
      <c r="J4099" s="473"/>
      <c r="K4099" s="478"/>
      <c r="L4099" s="473"/>
      <c r="M4099" s="473"/>
    </row>
    <row r="4100" spans="5:13">
      <c r="E4100" s="473"/>
      <c r="F4100" s="473"/>
      <c r="G4100" s="473"/>
      <c r="H4100" s="473"/>
      <c r="I4100" s="473"/>
      <c r="J4100" s="473"/>
      <c r="K4100" s="478"/>
      <c r="L4100" s="473"/>
      <c r="M4100" s="473"/>
    </row>
    <row r="4101" spans="5:13">
      <c r="E4101" s="473"/>
      <c r="F4101" s="473"/>
      <c r="G4101" s="473"/>
      <c r="H4101" s="473"/>
      <c r="I4101" s="473"/>
      <c r="J4101" s="473"/>
      <c r="K4101" s="478"/>
      <c r="L4101" s="473"/>
      <c r="M4101" s="473"/>
    </row>
    <row r="4102" spans="5:13">
      <c r="E4102" s="473"/>
      <c r="F4102" s="473"/>
      <c r="G4102" s="473"/>
      <c r="H4102" s="473"/>
      <c r="I4102" s="473"/>
      <c r="J4102" s="473"/>
      <c r="K4102" s="478"/>
      <c r="L4102" s="473"/>
      <c r="M4102" s="473"/>
    </row>
    <row r="4103" spans="5:13">
      <c r="E4103" s="473"/>
      <c r="F4103" s="473"/>
      <c r="G4103" s="473"/>
      <c r="H4103" s="473"/>
      <c r="I4103" s="473"/>
      <c r="J4103" s="473"/>
      <c r="K4103" s="478"/>
      <c r="L4103" s="473"/>
      <c r="M4103" s="473"/>
    </row>
    <row r="4104" spans="5:13">
      <c r="E4104" s="473"/>
      <c r="F4104" s="473"/>
      <c r="G4104" s="473"/>
      <c r="H4104" s="473"/>
      <c r="I4104" s="473"/>
      <c r="J4104" s="473"/>
      <c r="K4104" s="478"/>
      <c r="L4104" s="473"/>
      <c r="M4104" s="473"/>
    </row>
    <row r="4105" spans="5:13">
      <c r="E4105" s="473"/>
      <c r="F4105" s="473"/>
      <c r="G4105" s="473"/>
      <c r="H4105" s="473"/>
      <c r="I4105" s="473"/>
      <c r="J4105" s="473"/>
      <c r="K4105" s="478"/>
      <c r="L4105" s="473"/>
      <c r="M4105" s="473"/>
    </row>
    <row r="4106" spans="5:13">
      <c r="E4106" s="473"/>
      <c r="F4106" s="473"/>
      <c r="G4106" s="473"/>
      <c r="H4106" s="473"/>
      <c r="I4106" s="473"/>
      <c r="J4106" s="473"/>
      <c r="K4106" s="478"/>
      <c r="L4106" s="473"/>
      <c r="M4106" s="473"/>
    </row>
    <row r="4107" spans="5:13">
      <c r="E4107" s="473"/>
      <c r="F4107" s="473"/>
      <c r="G4107" s="473"/>
      <c r="H4107" s="473"/>
      <c r="I4107" s="473"/>
      <c r="J4107" s="473"/>
      <c r="K4107" s="478"/>
      <c r="L4107" s="473"/>
      <c r="M4107" s="473"/>
    </row>
    <row r="4108" spans="5:13">
      <c r="E4108" s="473"/>
      <c r="F4108" s="473"/>
      <c r="G4108" s="473"/>
      <c r="H4108" s="473"/>
      <c r="I4108" s="473"/>
      <c r="J4108" s="473"/>
      <c r="K4108" s="478"/>
      <c r="L4108" s="473"/>
      <c r="M4108" s="473"/>
    </row>
    <row r="4109" spans="5:13">
      <c r="E4109" s="473"/>
      <c r="F4109" s="473"/>
      <c r="G4109" s="473"/>
      <c r="H4109" s="473"/>
      <c r="I4109" s="473"/>
      <c r="J4109" s="473"/>
      <c r="K4109" s="478"/>
      <c r="L4109" s="473"/>
      <c r="M4109" s="473"/>
    </row>
    <row r="4110" spans="5:13">
      <c r="E4110" s="473"/>
      <c r="F4110" s="473"/>
      <c r="G4110" s="473"/>
      <c r="H4110" s="473"/>
      <c r="I4110" s="473"/>
      <c r="J4110" s="473"/>
      <c r="K4110" s="478"/>
      <c r="L4110" s="473"/>
      <c r="M4110" s="473"/>
    </row>
    <row r="4111" spans="5:13">
      <c r="E4111" s="473"/>
      <c r="F4111" s="473"/>
      <c r="G4111" s="473"/>
      <c r="H4111" s="473"/>
      <c r="I4111" s="473"/>
      <c r="J4111" s="473"/>
      <c r="K4111" s="478"/>
      <c r="L4111" s="473"/>
      <c r="M4111" s="473"/>
    </row>
    <row r="4112" spans="5:13">
      <c r="E4112" s="473"/>
      <c r="F4112" s="473"/>
      <c r="G4112" s="473"/>
      <c r="H4112" s="473"/>
      <c r="I4112" s="473"/>
      <c r="J4112" s="473"/>
      <c r="K4112" s="478"/>
      <c r="L4112" s="473"/>
      <c r="M4112" s="473"/>
    </row>
    <row r="4113" spans="5:13">
      <c r="E4113" s="473"/>
      <c r="F4113" s="473"/>
      <c r="G4113" s="473"/>
      <c r="H4113" s="473"/>
      <c r="I4113" s="473"/>
      <c r="J4113" s="473"/>
      <c r="K4113" s="478"/>
      <c r="L4113" s="473"/>
      <c r="M4113" s="473"/>
    </row>
    <row r="4114" spans="5:13">
      <c r="E4114" s="473"/>
      <c r="F4114" s="473"/>
      <c r="G4114" s="473"/>
      <c r="H4114" s="473"/>
      <c r="I4114" s="473"/>
      <c r="J4114" s="473"/>
      <c r="K4114" s="478"/>
      <c r="L4114" s="473"/>
      <c r="M4114" s="473"/>
    </row>
    <row r="4115" spans="5:13">
      <c r="E4115" s="473"/>
      <c r="F4115" s="473"/>
      <c r="G4115" s="473"/>
      <c r="H4115" s="473"/>
      <c r="I4115" s="473"/>
      <c r="J4115" s="473"/>
      <c r="K4115" s="478"/>
      <c r="L4115" s="473"/>
      <c r="M4115" s="473"/>
    </row>
    <row r="4116" spans="5:13">
      <c r="E4116" s="473"/>
      <c r="F4116" s="473"/>
      <c r="G4116" s="473"/>
      <c r="H4116" s="473"/>
      <c r="I4116" s="473"/>
      <c r="J4116" s="473"/>
      <c r="K4116" s="478"/>
      <c r="L4116" s="473"/>
      <c r="M4116" s="473"/>
    </row>
    <row r="4117" spans="5:13">
      <c r="E4117" s="473"/>
      <c r="F4117" s="473"/>
      <c r="G4117" s="473"/>
      <c r="H4117" s="473"/>
      <c r="I4117" s="473"/>
      <c r="J4117" s="473"/>
      <c r="K4117" s="478"/>
      <c r="L4117" s="473"/>
      <c r="M4117" s="473"/>
    </row>
    <row r="4118" spans="5:13">
      <c r="E4118" s="473"/>
      <c r="F4118" s="473"/>
      <c r="G4118" s="473"/>
      <c r="H4118" s="473"/>
      <c r="I4118" s="473"/>
      <c r="J4118" s="473"/>
      <c r="K4118" s="478"/>
      <c r="L4118" s="473"/>
      <c r="M4118" s="473"/>
    </row>
    <row r="4119" spans="5:13">
      <c r="E4119" s="473"/>
      <c r="F4119" s="473"/>
      <c r="G4119" s="473"/>
      <c r="H4119" s="473"/>
      <c r="I4119" s="473"/>
      <c r="J4119" s="473"/>
      <c r="K4119" s="478"/>
      <c r="L4119" s="473"/>
      <c r="M4119" s="473"/>
    </row>
    <row r="4120" spans="5:13">
      <c r="E4120" s="473"/>
      <c r="F4120" s="473"/>
      <c r="G4120" s="473"/>
      <c r="H4120" s="473"/>
      <c r="I4120" s="473"/>
      <c r="J4120" s="473"/>
      <c r="K4120" s="478"/>
      <c r="L4120" s="473"/>
      <c r="M4120" s="473"/>
    </row>
    <row r="4121" spans="5:13">
      <c r="E4121" s="473"/>
      <c r="F4121" s="473"/>
      <c r="G4121" s="473"/>
      <c r="H4121" s="473"/>
      <c r="I4121" s="473"/>
      <c r="J4121" s="473"/>
      <c r="K4121" s="478"/>
      <c r="L4121" s="473"/>
      <c r="M4121" s="473"/>
    </row>
    <row r="4122" spans="5:13">
      <c r="E4122" s="473"/>
      <c r="F4122" s="473"/>
      <c r="G4122" s="473"/>
      <c r="H4122" s="473"/>
      <c r="I4122" s="473"/>
      <c r="J4122" s="473"/>
      <c r="K4122" s="478"/>
      <c r="L4122" s="473"/>
      <c r="M4122" s="473"/>
    </row>
    <row r="4123" spans="5:13">
      <c r="E4123" s="473"/>
      <c r="F4123" s="473"/>
      <c r="G4123" s="473"/>
      <c r="H4123" s="473"/>
      <c r="I4123" s="473"/>
      <c r="J4123" s="473"/>
      <c r="K4123" s="478"/>
      <c r="L4123" s="473"/>
      <c r="M4123" s="473"/>
    </row>
    <row r="4124" spans="5:13">
      <c r="E4124" s="473"/>
      <c r="F4124" s="473"/>
      <c r="G4124" s="473"/>
      <c r="H4124" s="473"/>
      <c r="I4124" s="473"/>
      <c r="J4124" s="473"/>
      <c r="K4124" s="478"/>
      <c r="L4124" s="473"/>
      <c r="M4124" s="473"/>
    </row>
    <row r="4125" spans="5:13">
      <c r="E4125" s="473"/>
      <c r="F4125" s="473"/>
      <c r="G4125" s="473"/>
      <c r="H4125" s="473"/>
      <c r="I4125" s="473"/>
      <c r="J4125" s="473"/>
      <c r="K4125" s="478"/>
      <c r="L4125" s="473"/>
      <c r="M4125" s="473"/>
    </row>
    <row r="4126" spans="5:13">
      <c r="E4126" s="473"/>
      <c r="F4126" s="473"/>
      <c r="G4126" s="473"/>
      <c r="H4126" s="473"/>
      <c r="I4126" s="473"/>
      <c r="J4126" s="473"/>
      <c r="K4126" s="478"/>
      <c r="L4126" s="473"/>
      <c r="M4126" s="473"/>
    </row>
    <row r="4127" spans="5:13">
      <c r="E4127" s="473"/>
      <c r="F4127" s="473"/>
      <c r="G4127" s="473"/>
      <c r="H4127" s="473"/>
      <c r="I4127" s="473"/>
      <c r="J4127" s="473"/>
      <c r="K4127" s="478"/>
      <c r="L4127" s="473"/>
      <c r="M4127" s="473"/>
    </row>
    <row r="4128" spans="5:13">
      <c r="E4128" s="473"/>
      <c r="F4128" s="473"/>
      <c r="G4128" s="473"/>
      <c r="H4128" s="473"/>
      <c r="I4128" s="473"/>
      <c r="J4128" s="473"/>
      <c r="K4128" s="478"/>
      <c r="L4128" s="473"/>
      <c r="M4128" s="473"/>
    </row>
    <row r="4129" spans="5:13">
      <c r="E4129" s="473"/>
      <c r="F4129" s="473"/>
      <c r="G4129" s="473"/>
      <c r="H4129" s="473"/>
      <c r="I4129" s="473"/>
      <c r="J4129" s="473"/>
      <c r="K4129" s="478"/>
      <c r="L4129" s="473"/>
      <c r="M4129" s="473"/>
    </row>
    <row r="4130" spans="5:13">
      <c r="E4130" s="473"/>
      <c r="F4130" s="473"/>
      <c r="G4130" s="473"/>
      <c r="H4130" s="473"/>
      <c r="I4130" s="473"/>
      <c r="J4130" s="473"/>
      <c r="K4130" s="478"/>
      <c r="L4130" s="473"/>
      <c r="M4130" s="473"/>
    </row>
    <row r="4131" spans="5:13">
      <c r="E4131" s="473"/>
      <c r="F4131" s="473"/>
      <c r="G4131" s="473"/>
      <c r="H4131" s="473"/>
      <c r="I4131" s="473"/>
      <c r="J4131" s="473"/>
      <c r="K4131" s="478"/>
      <c r="L4131" s="473"/>
      <c r="M4131" s="473"/>
    </row>
    <row r="4132" spans="5:13">
      <c r="E4132" s="473"/>
      <c r="F4132" s="473"/>
      <c r="G4132" s="473"/>
      <c r="H4132" s="473"/>
      <c r="I4132" s="473"/>
      <c r="J4132" s="473"/>
      <c r="K4132" s="478"/>
      <c r="L4132" s="473"/>
      <c r="M4132" s="473"/>
    </row>
    <row r="4133" spans="5:13">
      <c r="E4133" s="473"/>
      <c r="F4133" s="473"/>
      <c r="G4133" s="473"/>
      <c r="H4133" s="473"/>
      <c r="I4133" s="473"/>
      <c r="J4133" s="473"/>
      <c r="K4133" s="478"/>
      <c r="L4133" s="473"/>
      <c r="M4133" s="473"/>
    </row>
    <row r="4134" spans="5:13">
      <c r="E4134" s="473"/>
      <c r="F4134" s="473"/>
      <c r="G4134" s="473"/>
      <c r="H4134" s="473"/>
      <c r="I4134" s="473"/>
      <c r="J4134" s="473"/>
      <c r="K4134" s="478"/>
      <c r="L4134" s="473"/>
      <c r="M4134" s="473"/>
    </row>
    <row r="4135" spans="5:13">
      <c r="E4135" s="473"/>
      <c r="F4135" s="473"/>
      <c r="G4135" s="473"/>
      <c r="H4135" s="473"/>
      <c r="I4135" s="473"/>
      <c r="J4135" s="473"/>
      <c r="K4135" s="478"/>
      <c r="L4135" s="473"/>
      <c r="M4135" s="473"/>
    </row>
    <row r="4136" spans="5:13">
      <c r="E4136" s="473"/>
      <c r="F4136" s="473"/>
      <c r="G4136" s="473"/>
      <c r="H4136" s="473"/>
      <c r="I4136" s="473"/>
      <c r="J4136" s="473"/>
      <c r="K4136" s="478"/>
      <c r="L4136" s="473"/>
      <c r="M4136" s="473"/>
    </row>
    <row r="4137" spans="5:13">
      <c r="E4137" s="473"/>
      <c r="F4137" s="473"/>
      <c r="G4137" s="473"/>
      <c r="H4137" s="473"/>
      <c r="I4137" s="473"/>
      <c r="J4137" s="473"/>
      <c r="K4137" s="478"/>
      <c r="L4137" s="473"/>
      <c r="M4137" s="473"/>
    </row>
    <row r="4138" spans="5:13">
      <c r="E4138" s="473"/>
      <c r="F4138" s="473"/>
      <c r="G4138" s="473"/>
      <c r="H4138" s="473"/>
      <c r="I4138" s="473"/>
      <c r="J4138" s="473"/>
      <c r="K4138" s="478"/>
      <c r="L4138" s="473"/>
      <c r="M4138" s="473"/>
    </row>
    <row r="4139" spans="5:13">
      <c r="E4139" s="473"/>
      <c r="F4139" s="473"/>
      <c r="G4139" s="473"/>
      <c r="H4139" s="473"/>
      <c r="I4139" s="473"/>
      <c r="J4139" s="473"/>
      <c r="K4139" s="478"/>
      <c r="L4139" s="473"/>
      <c r="M4139" s="473"/>
    </row>
    <row r="4140" spans="5:13">
      <c r="E4140" s="473"/>
      <c r="F4140" s="473"/>
      <c r="G4140" s="473"/>
      <c r="H4140" s="473"/>
      <c r="I4140" s="473"/>
      <c r="J4140" s="473"/>
      <c r="K4140" s="478"/>
      <c r="L4140" s="473"/>
      <c r="M4140" s="473"/>
    </row>
    <row r="4141" spans="5:13">
      <c r="E4141" s="473"/>
      <c r="F4141" s="473"/>
      <c r="G4141" s="473"/>
      <c r="H4141" s="473"/>
      <c r="I4141" s="473"/>
      <c r="J4141" s="473"/>
      <c r="K4141" s="478"/>
      <c r="L4141" s="473"/>
      <c r="M4141" s="473"/>
    </row>
    <row r="4142" spans="5:13">
      <c r="E4142" s="473"/>
      <c r="F4142" s="473"/>
      <c r="G4142" s="473"/>
      <c r="H4142" s="473"/>
      <c r="I4142" s="473"/>
      <c r="J4142" s="473"/>
      <c r="K4142" s="478"/>
      <c r="L4142" s="473"/>
      <c r="M4142" s="473"/>
    </row>
    <row r="4143" spans="5:13">
      <c r="E4143" s="473"/>
      <c r="F4143" s="473"/>
      <c r="G4143" s="473"/>
      <c r="H4143" s="473"/>
      <c r="I4143" s="473"/>
      <c r="J4143" s="473"/>
      <c r="K4143" s="478"/>
      <c r="L4143" s="473"/>
      <c r="M4143" s="473"/>
    </row>
    <row r="4144" spans="5:13">
      <c r="E4144" s="473"/>
      <c r="F4144" s="473"/>
      <c r="G4144" s="473"/>
      <c r="H4144" s="473"/>
      <c r="I4144" s="473"/>
      <c r="J4144" s="473"/>
      <c r="K4144" s="478"/>
      <c r="L4144" s="473"/>
      <c r="M4144" s="473"/>
    </row>
    <row r="4145" spans="5:13">
      <c r="E4145" s="473"/>
      <c r="F4145" s="473"/>
      <c r="G4145" s="473"/>
      <c r="H4145" s="473"/>
      <c r="I4145" s="473"/>
      <c r="J4145" s="473"/>
      <c r="K4145" s="478"/>
      <c r="L4145" s="473"/>
      <c r="M4145" s="473"/>
    </row>
    <row r="4146" spans="5:13">
      <c r="E4146" s="473"/>
      <c r="F4146" s="473"/>
      <c r="G4146" s="473"/>
      <c r="H4146" s="473"/>
      <c r="I4146" s="473"/>
      <c r="J4146" s="473"/>
      <c r="K4146" s="478"/>
      <c r="L4146" s="473"/>
      <c r="M4146" s="473"/>
    </row>
    <row r="4147" spans="5:13">
      <c r="E4147" s="473"/>
      <c r="F4147" s="473"/>
      <c r="G4147" s="473"/>
      <c r="H4147" s="473"/>
      <c r="I4147" s="473"/>
      <c r="J4147" s="473"/>
      <c r="K4147" s="478"/>
      <c r="L4147" s="473"/>
      <c r="M4147" s="473"/>
    </row>
    <row r="4148" spans="5:13">
      <c r="E4148" s="473"/>
      <c r="F4148" s="473"/>
      <c r="G4148" s="473"/>
      <c r="H4148" s="473"/>
      <c r="I4148" s="473"/>
      <c r="J4148" s="473"/>
      <c r="K4148" s="478"/>
      <c r="L4148" s="473"/>
      <c r="M4148" s="473"/>
    </row>
    <row r="4149" spans="5:13">
      <c r="E4149" s="473"/>
      <c r="F4149" s="473"/>
      <c r="G4149" s="473"/>
      <c r="H4149" s="473"/>
      <c r="I4149" s="473"/>
      <c r="J4149" s="473"/>
      <c r="K4149" s="478"/>
      <c r="L4149" s="473"/>
      <c r="M4149" s="473"/>
    </row>
    <row r="4150" spans="5:13">
      <c r="E4150" s="473"/>
      <c r="F4150" s="473"/>
      <c r="G4150" s="473"/>
      <c r="H4150" s="473"/>
      <c r="I4150" s="473"/>
      <c r="J4150" s="473"/>
      <c r="K4150" s="478"/>
      <c r="L4150" s="473"/>
      <c r="M4150" s="473"/>
    </row>
    <row r="4151" spans="5:13">
      <c r="E4151" s="473"/>
      <c r="F4151" s="473"/>
      <c r="G4151" s="473"/>
      <c r="H4151" s="473"/>
      <c r="I4151" s="473"/>
      <c r="J4151" s="473"/>
      <c r="K4151" s="478"/>
      <c r="L4151" s="473"/>
      <c r="M4151" s="473"/>
    </row>
    <row r="4152" spans="5:13">
      <c r="E4152" s="473"/>
      <c r="F4152" s="473"/>
      <c r="G4152" s="473"/>
      <c r="H4152" s="473"/>
      <c r="I4152" s="473"/>
      <c r="J4152" s="473"/>
      <c r="K4152" s="478"/>
      <c r="L4152" s="473"/>
      <c r="M4152" s="473"/>
    </row>
    <row r="4153" spans="5:13">
      <c r="E4153" s="473"/>
      <c r="F4153" s="473"/>
      <c r="G4153" s="473"/>
      <c r="H4153" s="473"/>
      <c r="I4153" s="473"/>
      <c r="J4153" s="473"/>
      <c r="K4153" s="478"/>
      <c r="L4153" s="473"/>
      <c r="M4153" s="473"/>
    </row>
    <row r="4154" spans="5:13">
      <c r="E4154" s="473"/>
      <c r="F4154" s="473"/>
      <c r="G4154" s="473"/>
      <c r="H4154" s="473"/>
      <c r="I4154" s="473"/>
      <c r="J4154" s="473"/>
      <c r="K4154" s="478"/>
      <c r="L4154" s="473"/>
      <c r="M4154" s="473"/>
    </row>
    <row r="4155" spans="5:13">
      <c r="E4155" s="473"/>
      <c r="F4155" s="473"/>
      <c r="G4155" s="473"/>
      <c r="H4155" s="473"/>
      <c r="I4155" s="473"/>
      <c r="J4155" s="473"/>
      <c r="K4155" s="478"/>
      <c r="L4155" s="473"/>
      <c r="M4155" s="473"/>
    </row>
    <row r="4156" spans="5:13">
      <c r="E4156" s="473"/>
      <c r="F4156" s="473"/>
      <c r="G4156" s="473"/>
      <c r="H4156" s="473"/>
      <c r="I4156" s="473"/>
      <c r="J4156" s="473"/>
      <c r="K4156" s="478"/>
      <c r="L4156" s="473"/>
      <c r="M4156" s="473"/>
    </row>
    <row r="4157" spans="5:13">
      <c r="E4157" s="473"/>
      <c r="F4157" s="473"/>
      <c r="G4157" s="473"/>
      <c r="H4157" s="473"/>
      <c r="I4157" s="473"/>
      <c r="J4157" s="473"/>
      <c r="K4157" s="478"/>
      <c r="L4157" s="473"/>
      <c r="M4157" s="473"/>
    </row>
    <row r="4158" spans="5:13">
      <c r="E4158" s="473"/>
      <c r="F4158" s="473"/>
      <c r="G4158" s="473"/>
      <c r="H4158" s="473"/>
      <c r="I4158" s="473"/>
      <c r="J4158" s="473"/>
      <c r="K4158" s="478"/>
      <c r="L4158" s="473"/>
      <c r="M4158" s="473"/>
    </row>
    <row r="4159" spans="5:13">
      <c r="E4159" s="473"/>
      <c r="F4159" s="473"/>
      <c r="G4159" s="473"/>
      <c r="H4159" s="473"/>
      <c r="I4159" s="473"/>
      <c r="J4159" s="473"/>
      <c r="K4159" s="478"/>
      <c r="L4159" s="473"/>
      <c r="M4159" s="473"/>
    </row>
    <row r="4160" spans="5:13">
      <c r="E4160" s="473"/>
      <c r="F4160" s="473"/>
      <c r="G4160" s="473"/>
      <c r="H4160" s="473"/>
      <c r="I4160" s="473"/>
      <c r="J4160" s="473"/>
      <c r="K4160" s="478"/>
      <c r="L4160" s="473"/>
      <c r="M4160" s="473"/>
    </row>
    <row r="4161" spans="5:13">
      <c r="E4161" s="473"/>
      <c r="F4161" s="473"/>
      <c r="G4161" s="473"/>
      <c r="H4161" s="473"/>
      <c r="I4161" s="473"/>
      <c r="J4161" s="473"/>
      <c r="K4161" s="478"/>
      <c r="L4161" s="473"/>
      <c r="M4161" s="473"/>
    </row>
    <row r="4162" spans="5:13">
      <c r="E4162" s="473"/>
      <c r="F4162" s="473"/>
      <c r="G4162" s="473"/>
      <c r="H4162" s="473"/>
      <c r="I4162" s="473"/>
      <c r="J4162" s="473"/>
      <c r="K4162" s="478"/>
      <c r="L4162" s="473"/>
      <c r="M4162" s="473"/>
    </row>
    <row r="4163" spans="5:13">
      <c r="E4163" s="473"/>
      <c r="F4163" s="473"/>
      <c r="G4163" s="473"/>
      <c r="H4163" s="473"/>
      <c r="I4163" s="473"/>
      <c r="J4163" s="473"/>
      <c r="K4163" s="478"/>
      <c r="L4163" s="473"/>
      <c r="M4163" s="473"/>
    </row>
    <row r="4164" spans="5:13">
      <c r="E4164" s="473"/>
      <c r="F4164" s="473"/>
      <c r="G4164" s="473"/>
      <c r="H4164" s="473"/>
      <c r="I4164" s="473"/>
      <c r="J4164" s="473"/>
      <c r="K4164" s="478"/>
      <c r="L4164" s="473"/>
      <c r="M4164" s="473"/>
    </row>
    <row r="4165" spans="5:13">
      <c r="E4165" s="473"/>
      <c r="F4165" s="473"/>
      <c r="G4165" s="473"/>
      <c r="H4165" s="473"/>
      <c r="I4165" s="473"/>
      <c r="J4165" s="473"/>
      <c r="K4165" s="478"/>
      <c r="L4165" s="473"/>
      <c r="M4165" s="473"/>
    </row>
    <row r="4166" spans="5:13">
      <c r="E4166" s="473"/>
      <c r="F4166" s="473"/>
      <c r="G4166" s="473"/>
      <c r="H4166" s="473"/>
      <c r="I4166" s="473"/>
      <c r="J4166" s="473"/>
      <c r="K4166" s="478"/>
      <c r="L4166" s="473"/>
      <c r="M4166" s="473"/>
    </row>
    <row r="4167" spans="5:13">
      <c r="E4167" s="473"/>
      <c r="F4167" s="473"/>
      <c r="G4167" s="473"/>
      <c r="H4167" s="473"/>
      <c r="I4167" s="473"/>
      <c r="J4167" s="473"/>
      <c r="K4167" s="478"/>
      <c r="L4167" s="473"/>
      <c r="M4167" s="473"/>
    </row>
    <row r="4168" spans="5:13">
      <c r="E4168" s="473"/>
      <c r="F4168" s="473"/>
      <c r="G4168" s="473"/>
      <c r="H4168" s="473"/>
      <c r="I4168" s="473"/>
      <c r="J4168" s="473"/>
      <c r="K4168" s="478"/>
      <c r="L4168" s="473"/>
      <c r="M4168" s="473"/>
    </row>
    <row r="4169" spans="5:13">
      <c r="E4169" s="473"/>
      <c r="F4169" s="473"/>
      <c r="G4169" s="473"/>
      <c r="H4169" s="473"/>
      <c r="I4169" s="473"/>
      <c r="J4169" s="473"/>
      <c r="K4169" s="478"/>
      <c r="L4169" s="473"/>
      <c r="M4169" s="473"/>
    </row>
    <row r="4170" spans="5:13">
      <c r="E4170" s="473"/>
      <c r="F4170" s="473"/>
      <c r="G4170" s="473"/>
      <c r="H4170" s="473"/>
      <c r="I4170" s="473"/>
      <c r="J4170" s="473"/>
      <c r="K4170" s="478"/>
      <c r="L4170" s="473"/>
      <c r="M4170" s="473"/>
    </row>
    <row r="4171" spans="5:13">
      <c r="E4171" s="473"/>
      <c r="F4171" s="473"/>
      <c r="G4171" s="473"/>
      <c r="H4171" s="473"/>
      <c r="I4171" s="473"/>
      <c r="J4171" s="473"/>
      <c r="K4171" s="478"/>
      <c r="L4171" s="473"/>
      <c r="M4171" s="473"/>
    </row>
    <row r="4172" spans="5:13">
      <c r="E4172" s="473"/>
      <c r="F4172" s="473"/>
      <c r="G4172" s="473"/>
      <c r="H4172" s="473"/>
      <c r="I4172" s="473"/>
      <c r="J4172" s="473"/>
      <c r="K4172" s="478"/>
      <c r="L4172" s="473"/>
      <c r="M4172" s="473"/>
    </row>
    <row r="4173" spans="5:13">
      <c r="E4173" s="473"/>
      <c r="F4173" s="473"/>
      <c r="G4173" s="473"/>
      <c r="H4173" s="473"/>
      <c r="I4173" s="473"/>
      <c r="J4173" s="473"/>
      <c r="K4173" s="478"/>
      <c r="L4173" s="473"/>
      <c r="M4173" s="473"/>
    </row>
    <row r="4174" spans="5:13">
      <c r="E4174" s="473"/>
      <c r="F4174" s="473"/>
      <c r="G4174" s="473"/>
      <c r="H4174" s="473"/>
      <c r="I4174" s="473"/>
      <c r="J4174" s="473"/>
      <c r="K4174" s="478"/>
      <c r="L4174" s="473"/>
      <c r="M4174" s="473"/>
    </row>
    <row r="4175" spans="5:13">
      <c r="E4175" s="473"/>
      <c r="F4175" s="473"/>
      <c r="G4175" s="473"/>
      <c r="H4175" s="473"/>
      <c r="I4175" s="473"/>
      <c r="J4175" s="473"/>
      <c r="K4175" s="478"/>
      <c r="L4175" s="473"/>
      <c r="M4175" s="473"/>
    </row>
    <row r="4176" spans="5:13">
      <c r="E4176" s="473"/>
      <c r="F4176" s="473"/>
      <c r="G4176" s="473"/>
      <c r="H4176" s="473"/>
      <c r="I4176" s="473"/>
      <c r="J4176" s="473"/>
      <c r="K4176" s="478"/>
      <c r="L4176" s="473"/>
      <c r="M4176" s="473"/>
    </row>
    <row r="4177" spans="5:13">
      <c r="E4177" s="473"/>
      <c r="F4177" s="473"/>
      <c r="G4177" s="473"/>
      <c r="H4177" s="473"/>
      <c r="I4177" s="473"/>
      <c r="J4177" s="473"/>
      <c r="K4177" s="478"/>
      <c r="L4177" s="473"/>
      <c r="M4177" s="473"/>
    </row>
    <row r="4178" spans="5:13">
      <c r="E4178" s="473"/>
      <c r="F4178" s="473"/>
      <c r="G4178" s="473"/>
      <c r="H4178" s="473"/>
      <c r="I4178" s="473"/>
      <c r="J4178" s="473"/>
      <c r="K4178" s="478"/>
      <c r="L4178" s="473"/>
      <c r="M4178" s="473"/>
    </row>
    <row r="4179" spans="5:13">
      <c r="E4179" s="473"/>
      <c r="F4179" s="473"/>
      <c r="G4179" s="473"/>
      <c r="H4179" s="473"/>
      <c r="I4179" s="473"/>
      <c r="J4179" s="473"/>
      <c r="K4179" s="478"/>
      <c r="L4179" s="473"/>
      <c r="M4179" s="473"/>
    </row>
    <row r="4180" spans="5:13">
      <c r="E4180" s="473"/>
      <c r="F4180" s="473"/>
      <c r="G4180" s="473"/>
      <c r="H4180" s="473"/>
      <c r="I4180" s="473"/>
      <c r="J4180" s="473"/>
      <c r="K4180" s="478"/>
      <c r="L4180" s="473"/>
      <c r="M4180" s="473"/>
    </row>
    <row r="4181" spans="5:13">
      <c r="E4181" s="473"/>
      <c r="F4181" s="473"/>
      <c r="G4181" s="473"/>
      <c r="H4181" s="473"/>
      <c r="I4181" s="473"/>
      <c r="J4181" s="473"/>
      <c r="K4181" s="478"/>
      <c r="L4181" s="473"/>
      <c r="M4181" s="473"/>
    </row>
    <row r="4182" spans="5:13">
      <c r="E4182" s="473"/>
      <c r="F4182" s="473"/>
      <c r="G4182" s="473"/>
      <c r="H4182" s="473"/>
      <c r="I4182" s="473"/>
      <c r="J4182" s="473"/>
      <c r="K4182" s="478"/>
      <c r="L4182" s="473"/>
      <c r="M4182" s="473"/>
    </row>
    <row r="4183" spans="5:13">
      <c r="E4183" s="473"/>
      <c r="F4183" s="473"/>
      <c r="G4183" s="473"/>
      <c r="H4183" s="473"/>
      <c r="I4183" s="473"/>
      <c r="J4183" s="473"/>
      <c r="K4183" s="478"/>
      <c r="L4183" s="473"/>
      <c r="M4183" s="473"/>
    </row>
    <row r="4184" spans="5:13">
      <c r="E4184" s="473"/>
      <c r="F4184" s="473"/>
      <c r="G4184" s="473"/>
      <c r="H4184" s="473"/>
      <c r="I4184" s="473"/>
      <c r="J4184" s="473"/>
      <c r="K4184" s="478"/>
      <c r="L4184" s="473"/>
      <c r="M4184" s="473"/>
    </row>
    <row r="4185" spans="5:13">
      <c r="E4185" s="473"/>
      <c r="F4185" s="473"/>
      <c r="G4185" s="473"/>
      <c r="H4185" s="473"/>
      <c r="I4185" s="473"/>
      <c r="J4185" s="473"/>
      <c r="K4185" s="478"/>
      <c r="L4185" s="473"/>
      <c r="M4185" s="473"/>
    </row>
    <row r="4186" spans="5:13">
      <c r="E4186" s="473"/>
      <c r="F4186" s="473"/>
      <c r="G4186" s="473"/>
      <c r="H4186" s="473"/>
      <c r="I4186" s="473"/>
      <c r="J4186" s="473"/>
      <c r="K4186" s="478"/>
      <c r="L4186" s="473"/>
      <c r="M4186" s="473"/>
    </row>
    <row r="4187" spans="5:13">
      <c r="E4187" s="473"/>
      <c r="F4187" s="473"/>
      <c r="G4187" s="473"/>
      <c r="H4187" s="473"/>
      <c r="I4187" s="473"/>
      <c r="J4187" s="473"/>
      <c r="K4187" s="478"/>
      <c r="L4187" s="473"/>
      <c r="M4187" s="473"/>
    </row>
    <row r="4188" spans="5:13">
      <c r="E4188" s="473"/>
      <c r="F4188" s="473"/>
      <c r="G4188" s="473"/>
      <c r="H4188" s="473"/>
      <c r="I4188" s="473"/>
      <c r="J4188" s="473"/>
      <c r="K4188" s="478"/>
      <c r="L4188" s="473"/>
      <c r="M4188" s="473"/>
    </row>
    <row r="4189" spans="5:13">
      <c r="E4189" s="473"/>
      <c r="F4189" s="473"/>
      <c r="G4189" s="473"/>
      <c r="H4189" s="473"/>
      <c r="I4189" s="473"/>
      <c r="J4189" s="473"/>
      <c r="K4189" s="478"/>
      <c r="L4189" s="473"/>
      <c r="M4189" s="473"/>
    </row>
    <row r="4190" spans="5:13">
      <c r="E4190" s="473"/>
      <c r="F4190" s="473"/>
      <c r="G4190" s="473"/>
      <c r="H4190" s="473"/>
      <c r="I4190" s="473"/>
      <c r="J4190" s="473"/>
      <c r="K4190" s="478"/>
      <c r="L4190" s="473"/>
      <c r="M4190" s="473"/>
    </row>
    <row r="4191" spans="5:13">
      <c r="E4191" s="473"/>
      <c r="F4191" s="473"/>
      <c r="G4191" s="473"/>
      <c r="H4191" s="473"/>
      <c r="I4191" s="473"/>
      <c r="J4191" s="473"/>
      <c r="K4191" s="478"/>
      <c r="L4191" s="473"/>
      <c r="M4191" s="473"/>
    </row>
    <row r="4192" spans="5:13">
      <c r="E4192" s="473"/>
      <c r="F4192" s="473"/>
      <c r="G4192" s="473"/>
      <c r="H4192" s="473"/>
      <c r="I4192" s="473"/>
      <c r="J4192" s="473"/>
      <c r="K4192" s="478"/>
      <c r="L4192" s="473"/>
      <c r="M4192" s="473"/>
    </row>
    <row r="4193" spans="5:13">
      <c r="E4193" s="473"/>
      <c r="F4193" s="473"/>
      <c r="G4193" s="473"/>
      <c r="H4193" s="473"/>
      <c r="I4193" s="473"/>
      <c r="J4193" s="473"/>
      <c r="K4193" s="478"/>
      <c r="L4193" s="473"/>
      <c r="M4193" s="473"/>
    </row>
    <row r="4194" spans="5:13">
      <c r="E4194" s="473"/>
      <c r="F4194" s="473"/>
      <c r="G4194" s="473"/>
      <c r="H4194" s="473"/>
      <c r="I4194" s="473"/>
      <c r="J4194" s="473"/>
      <c r="K4194" s="478"/>
      <c r="L4194" s="473"/>
      <c r="M4194" s="473"/>
    </row>
    <row r="4195" spans="5:13">
      <c r="E4195" s="473"/>
      <c r="F4195" s="473"/>
      <c r="G4195" s="473"/>
      <c r="H4195" s="473"/>
      <c r="I4195" s="473"/>
      <c r="J4195" s="473"/>
      <c r="K4195" s="478"/>
      <c r="L4195" s="473"/>
      <c r="M4195" s="473"/>
    </row>
    <row r="4196" spans="5:13">
      <c r="E4196" s="473"/>
      <c r="F4196" s="473"/>
      <c r="G4196" s="473"/>
      <c r="H4196" s="473"/>
      <c r="I4196" s="473"/>
      <c r="J4196" s="473"/>
      <c r="K4196" s="478"/>
      <c r="L4196" s="473"/>
      <c r="M4196" s="473"/>
    </row>
    <row r="4197" spans="5:13">
      <c r="E4197" s="473"/>
      <c r="F4197" s="473"/>
      <c r="G4197" s="473"/>
      <c r="H4197" s="473"/>
      <c r="I4197" s="473"/>
      <c r="J4197" s="473"/>
      <c r="K4197" s="478"/>
      <c r="L4197" s="473"/>
      <c r="M4197" s="473"/>
    </row>
    <row r="4198" spans="5:13">
      <c r="E4198" s="473"/>
      <c r="F4198" s="473"/>
      <c r="G4198" s="473"/>
      <c r="H4198" s="473"/>
      <c r="I4198" s="473"/>
      <c r="J4198" s="473"/>
      <c r="K4198" s="478"/>
      <c r="L4198" s="473"/>
      <c r="M4198" s="473"/>
    </row>
    <row r="4199" spans="5:13">
      <c r="E4199" s="473"/>
      <c r="F4199" s="473"/>
      <c r="G4199" s="473"/>
      <c r="H4199" s="473"/>
      <c r="I4199" s="473"/>
      <c r="J4199" s="473"/>
      <c r="K4199" s="478"/>
      <c r="L4199" s="473"/>
      <c r="M4199" s="473"/>
    </row>
    <row r="4200" spans="5:13">
      <c r="E4200" s="473"/>
      <c r="F4200" s="473"/>
      <c r="G4200" s="473"/>
      <c r="H4200" s="473"/>
      <c r="I4200" s="473"/>
      <c r="J4200" s="473"/>
      <c r="K4200" s="478"/>
      <c r="L4200" s="473"/>
      <c r="M4200" s="473"/>
    </row>
    <row r="4201" spans="5:13">
      <c r="E4201" s="473"/>
      <c r="F4201" s="473"/>
      <c r="G4201" s="473"/>
      <c r="H4201" s="473"/>
      <c r="I4201" s="473"/>
      <c r="J4201" s="473"/>
      <c r="K4201" s="478"/>
      <c r="L4201" s="473"/>
      <c r="M4201" s="473"/>
    </row>
    <row r="4202" spans="5:13">
      <c r="E4202" s="473"/>
      <c r="F4202" s="473"/>
      <c r="G4202" s="473"/>
      <c r="H4202" s="473"/>
      <c r="I4202" s="473"/>
      <c r="J4202" s="473"/>
      <c r="K4202" s="478"/>
      <c r="L4202" s="473"/>
      <c r="M4202" s="473"/>
    </row>
    <row r="4203" spans="5:13">
      <c r="E4203" s="473"/>
      <c r="F4203" s="473"/>
      <c r="G4203" s="473"/>
      <c r="H4203" s="473"/>
      <c r="I4203" s="473"/>
      <c r="J4203" s="473"/>
      <c r="K4203" s="478"/>
      <c r="L4203" s="473"/>
      <c r="M4203" s="473"/>
    </row>
    <row r="4204" spans="5:13">
      <c r="E4204" s="473"/>
      <c r="F4204" s="473"/>
      <c r="G4204" s="473"/>
      <c r="H4204" s="473"/>
      <c r="I4204" s="473"/>
      <c r="J4204" s="473"/>
      <c r="K4204" s="478"/>
      <c r="L4204" s="473"/>
      <c r="M4204" s="473"/>
    </row>
    <row r="4205" spans="5:13">
      <c r="E4205" s="473"/>
      <c r="F4205" s="473"/>
      <c r="G4205" s="473"/>
      <c r="H4205" s="473"/>
      <c r="I4205" s="473"/>
      <c r="J4205" s="473"/>
      <c r="K4205" s="478"/>
      <c r="L4205" s="473"/>
      <c r="M4205" s="473"/>
    </row>
    <row r="4206" spans="5:13">
      <c r="E4206" s="473"/>
      <c r="F4206" s="473"/>
      <c r="G4206" s="473"/>
      <c r="H4206" s="473"/>
      <c r="I4206" s="473"/>
      <c r="J4206" s="473"/>
      <c r="K4206" s="478"/>
      <c r="L4206" s="473"/>
      <c r="M4206" s="473"/>
    </row>
    <row r="4207" spans="5:13">
      <c r="E4207" s="473"/>
      <c r="F4207" s="473"/>
      <c r="G4207" s="473"/>
      <c r="H4207" s="473"/>
      <c r="I4207" s="473"/>
      <c r="J4207" s="473"/>
      <c r="K4207" s="478"/>
      <c r="L4207" s="473"/>
      <c r="M4207" s="473"/>
    </row>
    <row r="4208" spans="5:13">
      <c r="E4208" s="473"/>
      <c r="F4208" s="473"/>
      <c r="G4208" s="473"/>
      <c r="H4208" s="473"/>
      <c r="I4208" s="473"/>
      <c r="J4208" s="473"/>
      <c r="K4208" s="478"/>
      <c r="L4208" s="473"/>
      <c r="M4208" s="473"/>
    </row>
    <row r="4209" spans="5:13">
      <c r="E4209" s="473"/>
      <c r="F4209" s="473"/>
      <c r="G4209" s="473"/>
      <c r="H4209" s="473"/>
      <c r="I4209" s="473"/>
      <c r="J4209" s="473"/>
      <c r="K4209" s="478"/>
      <c r="L4209" s="473"/>
      <c r="M4209" s="473"/>
    </row>
    <row r="4210" spans="5:13">
      <c r="E4210" s="473"/>
      <c r="F4210" s="473"/>
      <c r="G4210" s="473"/>
      <c r="H4210" s="473"/>
      <c r="I4210" s="473"/>
      <c r="J4210" s="473"/>
      <c r="K4210" s="478"/>
      <c r="L4210" s="473"/>
      <c r="M4210" s="473"/>
    </row>
    <row r="4211" spans="5:13">
      <c r="E4211" s="473"/>
      <c r="F4211" s="473"/>
      <c r="G4211" s="473"/>
      <c r="H4211" s="473"/>
      <c r="I4211" s="473"/>
      <c r="J4211" s="473"/>
      <c r="K4211" s="478"/>
      <c r="L4211" s="473"/>
      <c r="M4211" s="473"/>
    </row>
    <row r="4212" spans="5:13">
      <c r="E4212" s="473"/>
      <c r="F4212" s="473"/>
      <c r="G4212" s="473"/>
      <c r="H4212" s="473"/>
      <c r="I4212" s="473"/>
      <c r="J4212" s="473"/>
      <c r="K4212" s="478"/>
      <c r="L4212" s="473"/>
      <c r="M4212" s="473"/>
    </row>
    <row r="4213" spans="5:13">
      <c r="E4213" s="473"/>
      <c r="F4213" s="473"/>
      <c r="G4213" s="473"/>
      <c r="H4213" s="473"/>
      <c r="I4213" s="473"/>
      <c r="J4213" s="473"/>
      <c r="K4213" s="478"/>
      <c r="L4213" s="473"/>
      <c r="M4213" s="473"/>
    </row>
    <row r="4214" spans="5:13">
      <c r="E4214" s="473"/>
      <c r="F4214" s="473"/>
      <c r="G4214" s="473"/>
      <c r="H4214" s="473"/>
      <c r="I4214" s="473"/>
      <c r="J4214" s="473"/>
      <c r="K4214" s="478"/>
      <c r="L4214" s="473"/>
      <c r="M4214" s="473"/>
    </row>
    <row r="4215" spans="5:13">
      <c r="E4215" s="473"/>
      <c r="F4215" s="473"/>
      <c r="G4215" s="473"/>
      <c r="H4215" s="473"/>
      <c r="I4215" s="473"/>
      <c r="J4215" s="473"/>
      <c r="K4215" s="478"/>
      <c r="L4215" s="473"/>
      <c r="M4215" s="473"/>
    </row>
    <row r="4216" spans="5:13">
      <c r="E4216" s="473"/>
      <c r="F4216" s="473"/>
      <c r="G4216" s="473"/>
      <c r="H4216" s="473"/>
      <c r="I4216" s="473"/>
      <c r="J4216" s="473"/>
      <c r="K4216" s="478"/>
      <c r="L4216" s="473"/>
      <c r="M4216" s="473"/>
    </row>
    <row r="4217" spans="5:13">
      <c r="E4217" s="473"/>
      <c r="F4217" s="473"/>
      <c r="G4217" s="473"/>
      <c r="H4217" s="473"/>
      <c r="I4217" s="473"/>
      <c r="J4217" s="473"/>
      <c r="K4217" s="478"/>
      <c r="L4217" s="473"/>
      <c r="M4217" s="473"/>
    </row>
    <row r="4218" spans="5:13">
      <c r="E4218" s="473"/>
      <c r="F4218" s="473"/>
      <c r="G4218" s="473"/>
      <c r="H4218" s="473"/>
      <c r="I4218" s="473"/>
      <c r="J4218" s="473"/>
      <c r="K4218" s="478"/>
      <c r="L4218" s="473"/>
      <c r="M4218" s="473"/>
    </row>
    <row r="4219" spans="5:13">
      <c r="E4219" s="473"/>
      <c r="F4219" s="473"/>
      <c r="G4219" s="473"/>
      <c r="H4219" s="473"/>
      <c r="I4219" s="473"/>
      <c r="J4219" s="473"/>
      <c r="K4219" s="478"/>
      <c r="L4219" s="473"/>
      <c r="M4219" s="473"/>
    </row>
    <row r="4220" spans="5:13">
      <c r="E4220" s="473"/>
      <c r="F4220" s="473"/>
      <c r="G4220" s="473"/>
      <c r="H4220" s="473"/>
      <c r="I4220" s="473"/>
      <c r="J4220" s="473"/>
      <c r="K4220" s="478"/>
      <c r="L4220" s="473"/>
      <c r="M4220" s="473"/>
    </row>
    <row r="4221" spans="5:13">
      <c r="E4221" s="473"/>
      <c r="F4221" s="473"/>
      <c r="G4221" s="473"/>
      <c r="H4221" s="473"/>
      <c r="I4221" s="473"/>
      <c r="J4221" s="473"/>
      <c r="K4221" s="478"/>
      <c r="L4221" s="473"/>
      <c r="M4221" s="473"/>
    </row>
    <row r="4222" spans="5:13">
      <c r="E4222" s="473"/>
      <c r="F4222" s="473"/>
      <c r="G4222" s="473"/>
      <c r="H4222" s="473"/>
      <c r="I4222" s="473"/>
      <c r="J4222" s="473"/>
      <c r="K4222" s="478"/>
      <c r="L4222" s="473"/>
      <c r="M4222" s="473"/>
    </row>
    <row r="4223" spans="5:13">
      <c r="E4223" s="473"/>
      <c r="F4223" s="473"/>
      <c r="G4223" s="473"/>
      <c r="H4223" s="473"/>
      <c r="I4223" s="473"/>
      <c r="J4223" s="473"/>
      <c r="K4223" s="478"/>
      <c r="L4223" s="473"/>
      <c r="M4223" s="473"/>
    </row>
    <row r="4224" spans="5:13">
      <c r="E4224" s="473"/>
      <c r="F4224" s="473"/>
      <c r="G4224" s="473"/>
      <c r="H4224" s="473"/>
      <c r="I4224" s="473"/>
      <c r="J4224" s="473"/>
      <c r="K4224" s="478"/>
      <c r="L4224" s="473"/>
      <c r="M4224" s="473"/>
    </row>
    <row r="4225" spans="5:13">
      <c r="E4225" s="473"/>
      <c r="F4225" s="473"/>
      <c r="G4225" s="473"/>
      <c r="H4225" s="473"/>
      <c r="I4225" s="473"/>
      <c r="J4225" s="473"/>
      <c r="K4225" s="478"/>
      <c r="L4225" s="473"/>
      <c r="M4225" s="473"/>
    </row>
    <row r="4226" spans="5:13">
      <c r="E4226" s="473"/>
      <c r="F4226" s="473"/>
      <c r="G4226" s="473"/>
      <c r="H4226" s="473"/>
      <c r="I4226" s="473"/>
      <c r="J4226" s="473"/>
      <c r="K4226" s="478"/>
      <c r="L4226" s="473"/>
      <c r="M4226" s="473"/>
    </row>
    <row r="4227" spans="5:13">
      <c r="E4227" s="473"/>
      <c r="F4227" s="473"/>
      <c r="G4227" s="473"/>
      <c r="H4227" s="473"/>
      <c r="I4227" s="473"/>
      <c r="J4227" s="473"/>
      <c r="K4227" s="478"/>
      <c r="L4227" s="473"/>
      <c r="M4227" s="473"/>
    </row>
    <row r="4228" spans="5:13">
      <c r="E4228" s="473"/>
      <c r="F4228" s="473"/>
      <c r="G4228" s="473"/>
      <c r="H4228" s="473"/>
      <c r="I4228" s="473"/>
      <c r="J4228" s="473"/>
      <c r="K4228" s="478"/>
      <c r="L4228" s="473"/>
      <c r="M4228" s="473"/>
    </row>
    <row r="4229" spans="5:13">
      <c r="E4229" s="473"/>
      <c r="F4229" s="473"/>
      <c r="G4229" s="473"/>
      <c r="H4229" s="473"/>
      <c r="I4229" s="473"/>
      <c r="J4229" s="473"/>
      <c r="K4229" s="478"/>
      <c r="L4229" s="473"/>
      <c r="M4229" s="473"/>
    </row>
    <row r="4230" spans="5:13">
      <c r="E4230" s="473"/>
      <c r="F4230" s="473"/>
      <c r="G4230" s="473"/>
      <c r="H4230" s="473"/>
      <c r="I4230" s="473"/>
      <c r="J4230" s="473"/>
      <c r="K4230" s="478"/>
      <c r="L4230" s="473"/>
      <c r="M4230" s="473"/>
    </row>
    <row r="4231" spans="5:13">
      <c r="E4231" s="473"/>
      <c r="F4231" s="473"/>
      <c r="G4231" s="473"/>
      <c r="H4231" s="473"/>
      <c r="I4231" s="473"/>
      <c r="J4231" s="473"/>
      <c r="K4231" s="478"/>
      <c r="L4231" s="473"/>
      <c r="M4231" s="473"/>
    </row>
    <row r="4232" spans="5:13">
      <c r="E4232" s="473"/>
      <c r="F4232" s="473"/>
      <c r="G4232" s="473"/>
      <c r="H4232" s="473"/>
      <c r="I4232" s="473"/>
      <c r="J4232" s="473"/>
      <c r="K4232" s="478"/>
      <c r="L4232" s="473"/>
      <c r="M4232" s="473"/>
    </row>
    <row r="4233" spans="5:13">
      <c r="E4233" s="473"/>
      <c r="F4233" s="473"/>
      <c r="G4233" s="473"/>
      <c r="H4233" s="473"/>
      <c r="I4233" s="473"/>
      <c r="J4233" s="473"/>
      <c r="K4233" s="478"/>
      <c r="L4233" s="473"/>
      <c r="M4233" s="473"/>
    </row>
    <row r="4234" spans="5:13">
      <c r="E4234" s="473"/>
      <c r="F4234" s="473"/>
      <c r="G4234" s="473"/>
      <c r="H4234" s="473"/>
      <c r="I4234" s="473"/>
      <c r="J4234" s="473"/>
      <c r="K4234" s="478"/>
      <c r="L4234" s="473"/>
      <c r="M4234" s="473"/>
    </row>
    <row r="4235" spans="5:13">
      <c r="E4235" s="473"/>
      <c r="F4235" s="473"/>
      <c r="G4235" s="473"/>
      <c r="H4235" s="473"/>
      <c r="I4235" s="473"/>
      <c r="J4235" s="473"/>
      <c r="K4235" s="478"/>
      <c r="L4235" s="473"/>
      <c r="M4235" s="473"/>
    </row>
    <row r="4236" spans="5:13">
      <c r="E4236" s="473"/>
      <c r="F4236" s="473"/>
      <c r="G4236" s="473"/>
      <c r="H4236" s="473"/>
      <c r="I4236" s="473"/>
      <c r="J4236" s="473"/>
      <c r="K4236" s="478"/>
      <c r="L4236" s="473"/>
      <c r="M4236" s="473"/>
    </row>
    <row r="4237" spans="5:13">
      <c r="E4237" s="473"/>
      <c r="F4237" s="473"/>
      <c r="G4237" s="473"/>
      <c r="H4237" s="473"/>
      <c r="I4237" s="473"/>
      <c r="J4237" s="473"/>
      <c r="K4237" s="478"/>
      <c r="L4237" s="473"/>
      <c r="M4237" s="473"/>
    </row>
    <row r="4238" spans="5:13">
      <c r="E4238" s="473"/>
      <c r="F4238" s="473"/>
      <c r="G4238" s="473"/>
      <c r="H4238" s="473"/>
      <c r="I4238" s="473"/>
      <c r="J4238" s="473"/>
      <c r="K4238" s="478"/>
      <c r="L4238" s="473"/>
      <c r="M4238" s="473"/>
    </row>
    <row r="4239" spans="5:13">
      <c r="E4239" s="473"/>
      <c r="F4239" s="473"/>
      <c r="G4239" s="473"/>
      <c r="H4239" s="473"/>
      <c r="I4239" s="473"/>
      <c r="J4239" s="473"/>
      <c r="K4239" s="478"/>
      <c r="L4239" s="473"/>
      <c r="M4239" s="473"/>
    </row>
    <row r="4240" spans="5:13">
      <c r="E4240" s="473"/>
      <c r="F4240" s="473"/>
      <c r="G4240" s="473"/>
      <c r="H4240" s="473"/>
      <c r="I4240" s="473"/>
      <c r="J4240" s="473"/>
      <c r="K4240" s="478"/>
      <c r="L4240" s="473"/>
      <c r="M4240" s="473"/>
    </row>
    <row r="4241" spans="5:13">
      <c r="E4241" s="473"/>
      <c r="F4241" s="473"/>
      <c r="G4241" s="473"/>
      <c r="H4241" s="473"/>
      <c r="I4241" s="473"/>
      <c r="J4241" s="473"/>
      <c r="K4241" s="478"/>
      <c r="L4241" s="473"/>
      <c r="M4241" s="473"/>
    </row>
    <row r="4242" spans="5:13">
      <c r="E4242" s="473"/>
      <c r="F4242" s="473"/>
      <c r="G4242" s="473"/>
      <c r="H4242" s="473"/>
      <c r="I4242" s="473"/>
      <c r="J4242" s="473"/>
      <c r="K4242" s="478"/>
      <c r="L4242" s="473"/>
      <c r="M4242" s="473"/>
    </row>
    <row r="4243" spans="5:13">
      <c r="E4243" s="473"/>
      <c r="F4243" s="473"/>
      <c r="G4243" s="473"/>
      <c r="H4243" s="473"/>
      <c r="I4243" s="473"/>
      <c r="J4243" s="473"/>
      <c r="K4243" s="478"/>
      <c r="L4243" s="473"/>
      <c r="M4243" s="473"/>
    </row>
    <row r="4244" spans="5:13">
      <c r="E4244" s="473"/>
      <c r="F4244" s="473"/>
      <c r="G4244" s="473"/>
      <c r="H4244" s="473"/>
      <c r="I4244" s="473"/>
      <c r="J4244" s="473"/>
      <c r="K4244" s="478"/>
      <c r="L4244" s="473"/>
      <c r="M4244" s="473"/>
    </row>
    <row r="4245" spans="5:13">
      <c r="E4245" s="473"/>
      <c r="F4245" s="473"/>
      <c r="G4245" s="473"/>
      <c r="H4245" s="473"/>
      <c r="I4245" s="473"/>
      <c r="J4245" s="473"/>
      <c r="K4245" s="478"/>
      <c r="L4245" s="473"/>
      <c r="M4245" s="473"/>
    </row>
    <row r="4246" spans="5:13">
      <c r="E4246" s="473"/>
      <c r="F4246" s="473"/>
      <c r="G4246" s="473"/>
      <c r="H4246" s="473"/>
      <c r="I4246" s="473"/>
      <c r="J4246" s="473"/>
      <c r="K4246" s="478"/>
      <c r="L4246" s="473"/>
      <c r="M4246" s="473"/>
    </row>
    <row r="4247" spans="5:13">
      <c r="E4247" s="473"/>
      <c r="F4247" s="473"/>
      <c r="G4247" s="473"/>
      <c r="H4247" s="473"/>
      <c r="I4247" s="473"/>
      <c r="J4247" s="473"/>
      <c r="K4247" s="478"/>
      <c r="L4247" s="473"/>
      <c r="M4247" s="473"/>
    </row>
    <row r="4248" spans="5:13">
      <c r="E4248" s="473"/>
      <c r="F4248" s="473"/>
      <c r="G4248" s="473"/>
      <c r="H4248" s="473"/>
      <c r="I4248" s="473"/>
      <c r="J4248" s="473"/>
      <c r="K4248" s="478"/>
      <c r="L4248" s="473"/>
      <c r="M4248" s="473"/>
    </row>
    <row r="4249" spans="5:13">
      <c r="E4249" s="473"/>
      <c r="F4249" s="473"/>
      <c r="G4249" s="473"/>
      <c r="H4249" s="473"/>
      <c r="I4249" s="473"/>
      <c r="J4249" s="473"/>
      <c r="K4249" s="478"/>
      <c r="L4249" s="473"/>
      <c r="M4249" s="473"/>
    </row>
    <row r="4250" spans="5:13">
      <c r="E4250" s="473"/>
      <c r="F4250" s="473"/>
      <c r="G4250" s="473"/>
      <c r="H4250" s="473"/>
      <c r="I4250" s="473"/>
      <c r="J4250" s="473"/>
      <c r="K4250" s="478"/>
      <c r="L4250" s="473"/>
      <c r="M4250" s="473"/>
    </row>
    <row r="4251" spans="5:13">
      <c r="E4251" s="473"/>
      <c r="F4251" s="473"/>
      <c r="G4251" s="473"/>
      <c r="H4251" s="473"/>
      <c r="I4251" s="473"/>
      <c r="J4251" s="473"/>
      <c r="K4251" s="478"/>
      <c r="L4251" s="473"/>
      <c r="M4251" s="473"/>
    </row>
    <row r="4252" spans="5:13">
      <c r="E4252" s="473"/>
      <c r="F4252" s="473"/>
      <c r="G4252" s="473"/>
      <c r="H4252" s="473"/>
      <c r="I4252" s="473"/>
      <c r="J4252" s="473"/>
      <c r="K4252" s="478"/>
      <c r="L4252" s="473"/>
      <c r="M4252" s="473"/>
    </row>
    <row r="4253" spans="5:13">
      <c r="E4253" s="473"/>
      <c r="F4253" s="473"/>
      <c r="G4253" s="473"/>
      <c r="H4253" s="473"/>
      <c r="I4253" s="473"/>
      <c r="J4253" s="473"/>
      <c r="K4253" s="478"/>
      <c r="L4253" s="473"/>
      <c r="M4253" s="473"/>
    </row>
    <row r="4254" spans="5:13">
      <c r="E4254" s="473"/>
      <c r="F4254" s="473"/>
      <c r="G4254" s="473"/>
      <c r="H4254" s="473"/>
      <c r="I4254" s="473"/>
      <c r="J4254" s="473"/>
      <c r="K4254" s="478"/>
      <c r="L4254" s="473"/>
      <c r="M4254" s="473"/>
    </row>
    <row r="4255" spans="5:13">
      <c r="E4255" s="473"/>
      <c r="F4255" s="473"/>
      <c r="G4255" s="473"/>
      <c r="H4255" s="473"/>
      <c r="I4255" s="473"/>
      <c r="J4255" s="473"/>
      <c r="K4255" s="478"/>
      <c r="L4255" s="473"/>
      <c r="M4255" s="473"/>
    </row>
    <row r="4256" spans="5:13">
      <c r="E4256" s="473"/>
      <c r="F4256" s="473"/>
      <c r="G4256" s="473"/>
      <c r="H4256" s="473"/>
      <c r="I4256" s="473"/>
      <c r="J4256" s="473"/>
      <c r="K4256" s="478"/>
      <c r="L4256" s="473"/>
      <c r="M4256" s="473"/>
    </row>
    <row r="4257" spans="5:13">
      <c r="E4257" s="473"/>
      <c r="F4257" s="473"/>
      <c r="G4257" s="473"/>
      <c r="H4257" s="473"/>
      <c r="I4257" s="473"/>
      <c r="J4257" s="473"/>
      <c r="K4257" s="478"/>
      <c r="L4257" s="473"/>
      <c r="M4257" s="473"/>
    </row>
    <row r="4258" spans="5:13">
      <c r="E4258" s="473"/>
      <c r="F4258" s="473"/>
      <c r="G4258" s="473"/>
      <c r="H4258" s="473"/>
      <c r="I4258" s="473"/>
      <c r="J4258" s="473"/>
      <c r="K4258" s="478"/>
      <c r="L4258" s="473"/>
      <c r="M4258" s="473"/>
    </row>
    <row r="4259" spans="5:13">
      <c r="E4259" s="473"/>
      <c r="F4259" s="473"/>
      <c r="G4259" s="473"/>
      <c r="H4259" s="473"/>
      <c r="I4259" s="473"/>
      <c r="J4259" s="473"/>
      <c r="K4259" s="478"/>
      <c r="L4259" s="473"/>
      <c r="M4259" s="473"/>
    </row>
    <row r="4260" spans="5:13">
      <c r="E4260" s="473"/>
      <c r="F4260" s="473"/>
      <c r="G4260" s="473"/>
      <c r="H4260" s="473"/>
      <c r="I4260" s="473"/>
      <c r="J4260" s="473"/>
      <c r="K4260" s="478"/>
      <c r="L4260" s="473"/>
      <c r="M4260" s="473"/>
    </row>
    <row r="4261" spans="5:13">
      <c r="E4261" s="473"/>
      <c r="F4261" s="473"/>
      <c r="G4261" s="473"/>
      <c r="H4261" s="473"/>
      <c r="I4261" s="473"/>
      <c r="J4261" s="473"/>
      <c r="K4261" s="478"/>
      <c r="L4261" s="473"/>
      <c r="M4261" s="473"/>
    </row>
    <row r="4262" spans="5:13">
      <c r="E4262" s="473"/>
      <c r="F4262" s="473"/>
      <c r="G4262" s="473"/>
      <c r="H4262" s="473"/>
      <c r="I4262" s="473"/>
      <c r="J4262" s="473"/>
      <c r="K4262" s="478"/>
      <c r="L4262" s="473"/>
      <c r="M4262" s="473"/>
    </row>
    <row r="4263" spans="5:13">
      <c r="E4263" s="473"/>
      <c r="F4263" s="473"/>
      <c r="G4263" s="473"/>
      <c r="H4263" s="473"/>
      <c r="I4263" s="473"/>
      <c r="J4263" s="473"/>
      <c r="K4263" s="478"/>
      <c r="L4263" s="473"/>
      <c r="M4263" s="473"/>
    </row>
    <row r="4264" spans="5:13">
      <c r="E4264" s="473"/>
      <c r="F4264" s="473"/>
      <c r="G4264" s="473"/>
      <c r="H4264" s="473"/>
      <c r="I4264" s="473"/>
      <c r="J4264" s="473"/>
      <c r="K4264" s="478"/>
      <c r="L4264" s="473"/>
      <c r="M4264" s="473"/>
    </row>
    <row r="4265" spans="5:13">
      <c r="E4265" s="473"/>
      <c r="F4265" s="473"/>
      <c r="G4265" s="473"/>
      <c r="H4265" s="473"/>
      <c r="I4265" s="473"/>
      <c r="J4265" s="473"/>
      <c r="K4265" s="478"/>
      <c r="L4265" s="473"/>
      <c r="M4265" s="473"/>
    </row>
    <row r="4266" spans="5:13">
      <c r="E4266" s="473"/>
      <c r="F4266" s="473"/>
      <c r="G4266" s="473"/>
      <c r="H4266" s="473"/>
      <c r="I4266" s="473"/>
      <c r="J4266" s="473"/>
      <c r="K4266" s="478"/>
      <c r="L4266" s="473"/>
      <c r="M4266" s="473"/>
    </row>
    <row r="4267" spans="5:13">
      <c r="E4267" s="473"/>
      <c r="F4267" s="473"/>
      <c r="G4267" s="473"/>
      <c r="H4267" s="473"/>
      <c r="I4267" s="473"/>
      <c r="J4267" s="473"/>
      <c r="K4267" s="478"/>
      <c r="L4267" s="473"/>
      <c r="M4267" s="473"/>
    </row>
    <row r="4268" spans="5:13">
      <c r="E4268" s="473"/>
      <c r="F4268" s="473"/>
      <c r="G4268" s="473"/>
      <c r="H4268" s="473"/>
      <c r="I4268" s="473"/>
      <c r="J4268" s="473"/>
      <c r="K4268" s="478"/>
      <c r="L4268" s="473"/>
      <c r="M4268" s="473"/>
    </row>
    <row r="4269" spans="5:13">
      <c r="E4269" s="473"/>
      <c r="F4269" s="473"/>
      <c r="G4269" s="473"/>
      <c r="H4269" s="473"/>
      <c r="I4269" s="473"/>
      <c r="J4269" s="473"/>
      <c r="K4269" s="478"/>
      <c r="L4269" s="473"/>
      <c r="M4269" s="473"/>
    </row>
    <row r="4270" spans="5:13">
      <c r="E4270" s="473"/>
      <c r="F4270" s="473"/>
      <c r="G4270" s="473"/>
      <c r="H4270" s="473"/>
      <c r="I4270" s="473"/>
      <c r="J4270" s="473"/>
      <c r="K4270" s="478"/>
      <c r="L4270" s="473"/>
      <c r="M4270" s="473"/>
    </row>
    <row r="4271" spans="5:13">
      <c r="E4271" s="473"/>
      <c r="F4271" s="473"/>
      <c r="G4271" s="473"/>
      <c r="H4271" s="473"/>
      <c r="I4271" s="473"/>
      <c r="J4271" s="473"/>
      <c r="K4271" s="478"/>
      <c r="L4271" s="473"/>
      <c r="M4271" s="473"/>
    </row>
    <row r="4272" spans="5:13">
      <c r="E4272" s="473"/>
      <c r="F4272" s="473"/>
      <c r="G4272" s="473"/>
      <c r="H4272" s="473"/>
      <c r="I4272" s="473"/>
      <c r="J4272" s="473"/>
      <c r="K4272" s="478"/>
      <c r="L4272" s="473"/>
      <c r="M4272" s="473"/>
    </row>
    <row r="4273" spans="5:13">
      <c r="E4273" s="473"/>
      <c r="F4273" s="473"/>
      <c r="G4273" s="473"/>
      <c r="H4273" s="473"/>
      <c r="I4273" s="473"/>
      <c r="J4273" s="473"/>
      <c r="K4273" s="478"/>
      <c r="L4273" s="473"/>
      <c r="M4273" s="473"/>
    </row>
    <row r="4274" spans="5:13">
      <c r="E4274" s="473"/>
      <c r="F4274" s="473"/>
      <c r="G4274" s="473"/>
      <c r="H4274" s="473"/>
      <c r="I4274" s="473"/>
      <c r="J4274" s="473"/>
      <c r="K4274" s="478"/>
      <c r="L4274" s="473"/>
      <c r="M4274" s="473"/>
    </row>
    <row r="4275" spans="5:13">
      <c r="E4275" s="473"/>
      <c r="F4275" s="473"/>
      <c r="G4275" s="473"/>
      <c r="H4275" s="473"/>
      <c r="I4275" s="473"/>
      <c r="J4275" s="473"/>
      <c r="K4275" s="478"/>
      <c r="L4275" s="473"/>
      <c r="M4275" s="473"/>
    </row>
    <row r="4276" spans="5:13">
      <c r="E4276" s="473"/>
      <c r="F4276" s="473"/>
      <c r="G4276" s="473"/>
      <c r="H4276" s="473"/>
      <c r="I4276" s="473"/>
      <c r="J4276" s="473"/>
      <c r="K4276" s="478"/>
      <c r="L4276" s="473"/>
      <c r="M4276" s="473"/>
    </row>
    <row r="4277" spans="5:13">
      <c r="E4277" s="473"/>
      <c r="F4277" s="473"/>
      <c r="G4277" s="473"/>
      <c r="H4277" s="473"/>
      <c r="I4277" s="473"/>
      <c r="J4277" s="473"/>
      <c r="K4277" s="478"/>
      <c r="L4277" s="473"/>
      <c r="M4277" s="473"/>
    </row>
    <row r="4278" spans="5:13">
      <c r="E4278" s="473"/>
      <c r="F4278" s="473"/>
      <c r="G4278" s="473"/>
      <c r="H4278" s="473"/>
      <c r="I4278" s="473"/>
      <c r="J4278" s="473"/>
      <c r="K4278" s="478"/>
      <c r="L4278" s="473"/>
      <c r="M4278" s="473"/>
    </row>
    <row r="4279" spans="5:13">
      <c r="E4279" s="473"/>
      <c r="F4279" s="473"/>
      <c r="G4279" s="473"/>
      <c r="H4279" s="473"/>
      <c r="I4279" s="473"/>
      <c r="J4279" s="473"/>
      <c r="K4279" s="478"/>
      <c r="L4279" s="473"/>
      <c r="M4279" s="473"/>
    </row>
    <row r="4280" spans="5:13">
      <c r="E4280" s="473"/>
      <c r="F4280" s="473"/>
      <c r="G4280" s="473"/>
      <c r="H4280" s="473"/>
      <c r="I4280" s="473"/>
      <c r="J4280" s="473"/>
      <c r="K4280" s="478"/>
      <c r="L4280" s="473"/>
      <c r="M4280" s="473"/>
    </row>
    <row r="4281" spans="5:13">
      <c r="E4281" s="473"/>
      <c r="F4281" s="473"/>
      <c r="G4281" s="473"/>
      <c r="H4281" s="473"/>
      <c r="I4281" s="473"/>
      <c r="J4281" s="473"/>
      <c r="K4281" s="478"/>
      <c r="L4281" s="473"/>
      <c r="M4281" s="473"/>
    </row>
    <row r="4282" spans="5:13">
      <c r="E4282" s="473"/>
      <c r="F4282" s="473"/>
      <c r="G4282" s="473"/>
      <c r="H4282" s="473"/>
      <c r="I4282" s="473"/>
      <c r="J4282" s="473"/>
      <c r="K4282" s="478"/>
      <c r="L4282" s="473"/>
      <c r="M4282" s="473"/>
    </row>
    <row r="4283" spans="5:13">
      <c r="E4283" s="473"/>
      <c r="F4283" s="473"/>
      <c r="G4283" s="473"/>
      <c r="H4283" s="473"/>
      <c r="I4283" s="473"/>
      <c r="J4283" s="473"/>
      <c r="K4283" s="478"/>
      <c r="L4283" s="473"/>
      <c r="M4283" s="473"/>
    </row>
    <row r="4284" spans="5:13">
      <c r="E4284" s="473"/>
      <c r="F4284" s="473"/>
      <c r="G4284" s="473"/>
      <c r="H4284" s="473"/>
      <c r="I4284" s="473"/>
      <c r="J4284" s="473"/>
      <c r="K4284" s="478"/>
      <c r="L4284" s="473"/>
      <c r="M4284" s="473"/>
    </row>
    <row r="4285" spans="5:13">
      <c r="E4285" s="473"/>
      <c r="F4285" s="473"/>
      <c r="G4285" s="473"/>
      <c r="H4285" s="473"/>
      <c r="I4285" s="473"/>
      <c r="J4285" s="473"/>
      <c r="K4285" s="478"/>
      <c r="L4285" s="473"/>
      <c r="M4285" s="473"/>
    </row>
    <row r="4286" spans="5:13">
      <c r="E4286" s="473"/>
      <c r="F4286" s="473"/>
      <c r="G4286" s="473"/>
      <c r="H4286" s="473"/>
      <c r="I4286" s="473"/>
      <c r="J4286" s="473"/>
      <c r="K4286" s="478"/>
      <c r="L4286" s="473"/>
      <c r="M4286" s="473"/>
    </row>
    <row r="4287" spans="5:13">
      <c r="E4287" s="473"/>
      <c r="F4287" s="473"/>
      <c r="G4287" s="473"/>
      <c r="H4287" s="473"/>
      <c r="I4287" s="473"/>
      <c r="J4287" s="473"/>
      <c r="K4287" s="478"/>
      <c r="L4287" s="473"/>
      <c r="M4287" s="473"/>
    </row>
    <row r="4288" spans="5:13">
      <c r="E4288" s="473"/>
      <c r="F4288" s="473"/>
      <c r="G4288" s="473"/>
      <c r="H4288" s="473"/>
      <c r="I4288" s="473"/>
      <c r="J4288" s="473"/>
      <c r="K4288" s="478"/>
      <c r="L4288" s="473"/>
      <c r="M4288" s="473"/>
    </row>
    <row r="4289" spans="5:13">
      <c r="E4289" s="473"/>
      <c r="F4289" s="473"/>
      <c r="G4289" s="473"/>
      <c r="H4289" s="473"/>
      <c r="I4289" s="473"/>
      <c r="J4289" s="473"/>
      <c r="K4289" s="478"/>
      <c r="L4289" s="473"/>
      <c r="M4289" s="473"/>
    </row>
    <row r="4290" spans="5:13">
      <c r="E4290" s="473"/>
      <c r="F4290" s="473"/>
      <c r="G4290" s="473"/>
      <c r="H4290" s="473"/>
      <c r="I4290" s="473"/>
      <c r="J4290" s="473"/>
      <c r="K4290" s="478"/>
      <c r="L4290" s="473"/>
      <c r="M4290" s="473"/>
    </row>
    <row r="4291" spans="5:13">
      <c r="E4291" s="473"/>
      <c r="F4291" s="473"/>
      <c r="G4291" s="473"/>
      <c r="H4291" s="473"/>
      <c r="I4291" s="473"/>
      <c r="J4291" s="473"/>
      <c r="K4291" s="478"/>
      <c r="L4291" s="473"/>
      <c r="M4291" s="473"/>
    </row>
    <row r="4292" spans="5:13">
      <c r="E4292" s="473"/>
      <c r="F4292" s="473"/>
      <c r="G4292" s="473"/>
      <c r="H4292" s="473"/>
      <c r="I4292" s="473"/>
      <c r="J4292" s="473"/>
      <c r="K4292" s="478"/>
      <c r="L4292" s="473"/>
      <c r="M4292" s="473"/>
    </row>
    <row r="4293" spans="5:13">
      <c r="E4293" s="473"/>
      <c r="F4293" s="473"/>
      <c r="G4293" s="473"/>
      <c r="H4293" s="473"/>
      <c r="I4293" s="473"/>
      <c r="J4293" s="473"/>
      <c r="K4293" s="478"/>
      <c r="L4293" s="473"/>
      <c r="M4293" s="473"/>
    </row>
    <row r="4294" spans="5:13">
      <c r="E4294" s="473"/>
      <c r="F4294" s="473"/>
      <c r="G4294" s="473"/>
      <c r="H4294" s="473"/>
      <c r="I4294" s="473"/>
      <c r="J4294" s="473"/>
      <c r="K4294" s="478"/>
      <c r="L4294" s="473"/>
      <c r="M4294" s="473"/>
    </row>
    <row r="4295" spans="5:13">
      <c r="E4295" s="473"/>
      <c r="F4295" s="473"/>
      <c r="G4295" s="473"/>
      <c r="H4295" s="473"/>
      <c r="I4295" s="473"/>
      <c r="J4295" s="473"/>
      <c r="K4295" s="478"/>
      <c r="L4295" s="473"/>
      <c r="M4295" s="473"/>
    </row>
    <row r="4296" spans="5:13">
      <c r="E4296" s="473"/>
      <c r="F4296" s="473"/>
      <c r="G4296" s="473"/>
      <c r="H4296" s="473"/>
      <c r="I4296" s="473"/>
      <c r="J4296" s="473"/>
      <c r="K4296" s="478"/>
      <c r="L4296" s="473"/>
      <c r="M4296" s="473"/>
    </row>
    <row r="4297" spans="5:13">
      <c r="E4297" s="473"/>
      <c r="F4297" s="473"/>
      <c r="G4297" s="473"/>
      <c r="H4297" s="473"/>
      <c r="I4297" s="473"/>
      <c r="J4297" s="473"/>
      <c r="K4297" s="478"/>
      <c r="L4297" s="473"/>
      <c r="M4297" s="473"/>
    </row>
    <row r="4298" spans="5:13">
      <c r="E4298" s="473"/>
      <c r="F4298" s="473"/>
      <c r="G4298" s="473"/>
      <c r="H4298" s="473"/>
      <c r="I4298" s="473"/>
      <c r="J4298" s="473"/>
      <c r="K4298" s="478"/>
      <c r="L4298" s="473"/>
      <c r="M4298" s="473"/>
    </row>
    <row r="4299" spans="5:13">
      <c r="E4299" s="473"/>
      <c r="F4299" s="473"/>
      <c r="G4299" s="473"/>
      <c r="H4299" s="473"/>
      <c r="I4299" s="473"/>
      <c r="J4299" s="473"/>
      <c r="K4299" s="478"/>
      <c r="L4299" s="473"/>
      <c r="M4299" s="473"/>
    </row>
    <row r="4300" spans="5:13">
      <c r="E4300" s="473"/>
      <c r="F4300" s="473"/>
      <c r="G4300" s="473"/>
      <c r="H4300" s="473"/>
      <c r="I4300" s="473"/>
      <c r="J4300" s="473"/>
      <c r="K4300" s="478"/>
      <c r="L4300" s="473"/>
      <c r="M4300" s="473"/>
    </row>
    <row r="4301" spans="5:13">
      <c r="E4301" s="473"/>
      <c r="F4301" s="473"/>
      <c r="G4301" s="473"/>
      <c r="H4301" s="473"/>
      <c r="I4301" s="473"/>
      <c r="J4301" s="473"/>
      <c r="K4301" s="478"/>
      <c r="L4301" s="473"/>
      <c r="M4301" s="473"/>
    </row>
    <row r="4302" spans="5:13">
      <c r="E4302" s="473"/>
      <c r="F4302" s="473"/>
      <c r="G4302" s="473"/>
      <c r="H4302" s="473"/>
      <c r="I4302" s="473"/>
      <c r="J4302" s="473"/>
      <c r="K4302" s="478"/>
      <c r="L4302" s="473"/>
      <c r="M4302" s="473"/>
    </row>
    <row r="4303" spans="5:13">
      <c r="E4303" s="473"/>
      <c r="F4303" s="473"/>
      <c r="G4303" s="473"/>
      <c r="H4303" s="473"/>
      <c r="I4303" s="473"/>
      <c r="J4303" s="473"/>
      <c r="K4303" s="478"/>
      <c r="L4303" s="473"/>
      <c r="M4303" s="473"/>
    </row>
    <row r="4304" spans="5:13">
      <c r="E4304" s="473"/>
      <c r="F4304" s="473"/>
      <c r="G4304" s="473"/>
      <c r="H4304" s="473"/>
      <c r="I4304" s="473"/>
      <c r="J4304" s="473"/>
      <c r="K4304" s="478"/>
      <c r="L4304" s="473"/>
      <c r="M4304" s="473"/>
    </row>
    <row r="4305" spans="5:13">
      <c r="E4305" s="473"/>
      <c r="F4305" s="473"/>
      <c r="G4305" s="473"/>
      <c r="H4305" s="473"/>
      <c r="I4305" s="473"/>
      <c r="J4305" s="473"/>
      <c r="K4305" s="478"/>
      <c r="L4305" s="473"/>
      <c r="M4305" s="473"/>
    </row>
    <row r="4306" spans="5:13">
      <c r="E4306" s="473"/>
      <c r="F4306" s="473"/>
      <c r="G4306" s="473"/>
      <c r="H4306" s="473"/>
      <c r="I4306" s="473"/>
      <c r="J4306" s="473"/>
      <c r="K4306" s="478"/>
      <c r="L4306" s="473"/>
      <c r="M4306" s="473"/>
    </row>
    <row r="4307" spans="5:13">
      <c r="E4307" s="473"/>
      <c r="F4307" s="473"/>
      <c r="G4307" s="473"/>
      <c r="H4307" s="473"/>
      <c r="I4307" s="473"/>
      <c r="J4307" s="473"/>
      <c r="K4307" s="478"/>
      <c r="L4307" s="473"/>
      <c r="M4307" s="473"/>
    </row>
    <row r="4308" spans="5:13">
      <c r="E4308" s="473"/>
      <c r="F4308" s="473"/>
      <c r="G4308" s="473"/>
      <c r="H4308" s="473"/>
      <c r="I4308" s="473"/>
      <c r="J4308" s="473"/>
      <c r="K4308" s="478"/>
      <c r="L4308" s="473"/>
      <c r="M4308" s="473"/>
    </row>
    <row r="4309" spans="5:13">
      <c r="E4309" s="473"/>
      <c r="F4309" s="473"/>
      <c r="G4309" s="473"/>
      <c r="H4309" s="473"/>
      <c r="I4309" s="473"/>
      <c r="J4309" s="473"/>
      <c r="K4309" s="478"/>
      <c r="L4309" s="473"/>
      <c r="M4309" s="473"/>
    </row>
    <row r="4310" spans="5:13">
      <c r="E4310" s="473"/>
      <c r="F4310" s="473"/>
      <c r="G4310" s="473"/>
      <c r="H4310" s="473"/>
      <c r="I4310" s="473"/>
      <c r="J4310" s="473"/>
      <c r="K4310" s="478"/>
      <c r="L4310" s="473"/>
      <c r="M4310" s="473"/>
    </row>
    <row r="4311" spans="5:13">
      <c r="E4311" s="473"/>
      <c r="F4311" s="473"/>
      <c r="G4311" s="473"/>
      <c r="H4311" s="473"/>
      <c r="I4311" s="473"/>
      <c r="J4311" s="473"/>
      <c r="K4311" s="478"/>
      <c r="L4311" s="473"/>
      <c r="M4311" s="473"/>
    </row>
    <row r="4312" spans="5:13">
      <c r="E4312" s="473"/>
      <c r="F4312" s="473"/>
      <c r="G4312" s="473"/>
      <c r="H4312" s="473"/>
      <c r="I4312" s="473"/>
      <c r="J4312" s="473"/>
      <c r="K4312" s="478"/>
      <c r="L4312" s="473"/>
      <c r="M4312" s="473"/>
    </row>
    <row r="4313" spans="5:13">
      <c r="E4313" s="473"/>
      <c r="F4313" s="473"/>
      <c r="G4313" s="473"/>
      <c r="H4313" s="473"/>
      <c r="I4313" s="473"/>
      <c r="J4313" s="473"/>
      <c r="K4313" s="478"/>
      <c r="L4313" s="473"/>
      <c r="M4313" s="473"/>
    </row>
    <row r="4314" spans="5:13">
      <c r="E4314" s="473"/>
      <c r="F4314" s="473"/>
      <c r="G4314" s="473"/>
      <c r="H4314" s="473"/>
      <c r="I4314" s="473"/>
      <c r="J4314" s="473"/>
      <c r="K4314" s="478"/>
      <c r="L4314" s="473"/>
      <c r="M4314" s="473"/>
    </row>
    <row r="4315" spans="5:13">
      <c r="E4315" s="473"/>
      <c r="F4315" s="473"/>
      <c r="G4315" s="473"/>
      <c r="H4315" s="473"/>
      <c r="I4315" s="473"/>
      <c r="J4315" s="473"/>
      <c r="K4315" s="478"/>
      <c r="L4315" s="473"/>
      <c r="M4315" s="473"/>
    </row>
    <row r="4316" spans="5:13">
      <c r="E4316" s="473"/>
      <c r="F4316" s="473"/>
      <c r="G4316" s="473"/>
      <c r="H4316" s="473"/>
      <c r="I4316" s="473"/>
      <c r="J4316" s="473"/>
      <c r="K4316" s="478"/>
      <c r="L4316" s="473"/>
      <c r="M4316" s="473"/>
    </row>
    <row r="4317" spans="5:13">
      <c r="E4317" s="473"/>
      <c r="F4317" s="473"/>
      <c r="G4317" s="473"/>
      <c r="H4317" s="473"/>
      <c r="I4317" s="473"/>
      <c r="J4317" s="473"/>
      <c r="K4317" s="478"/>
      <c r="L4317" s="473"/>
      <c r="M4317" s="473"/>
    </row>
    <row r="4318" spans="5:13">
      <c r="E4318" s="473"/>
      <c r="F4318" s="473"/>
      <c r="G4318" s="473"/>
      <c r="H4318" s="473"/>
      <c r="I4318" s="473"/>
      <c r="J4318" s="473"/>
      <c r="K4318" s="478"/>
      <c r="L4318" s="473"/>
      <c r="M4318" s="473"/>
    </row>
    <row r="4319" spans="5:13">
      <c r="E4319" s="473"/>
      <c r="F4319" s="473"/>
      <c r="G4319" s="473"/>
      <c r="H4319" s="473"/>
      <c r="I4319" s="473"/>
      <c r="J4319" s="473"/>
      <c r="K4319" s="478"/>
      <c r="L4319" s="473"/>
      <c r="M4319" s="473"/>
    </row>
    <row r="4320" spans="5:13">
      <c r="E4320" s="473"/>
      <c r="F4320" s="473"/>
      <c r="G4320" s="473"/>
      <c r="H4320" s="473"/>
      <c r="I4320" s="473"/>
      <c r="J4320" s="473"/>
      <c r="K4320" s="478"/>
      <c r="L4320" s="473"/>
      <c r="M4320" s="473"/>
    </row>
    <row r="4321" spans="5:13">
      <c r="E4321" s="473"/>
      <c r="F4321" s="473"/>
      <c r="G4321" s="473"/>
      <c r="H4321" s="473"/>
      <c r="I4321" s="473"/>
      <c r="J4321" s="473"/>
      <c r="K4321" s="478"/>
      <c r="L4321" s="473"/>
      <c r="M4321" s="473"/>
    </row>
    <row r="4322" spans="5:13">
      <c r="E4322" s="473"/>
      <c r="F4322" s="473"/>
      <c r="G4322" s="473"/>
      <c r="H4322" s="473"/>
      <c r="I4322" s="473"/>
      <c r="J4322" s="473"/>
      <c r="K4322" s="478"/>
      <c r="L4322" s="473"/>
      <c r="M4322" s="473"/>
    </row>
    <row r="4323" spans="5:13">
      <c r="E4323" s="473"/>
      <c r="F4323" s="473"/>
      <c r="G4323" s="473"/>
      <c r="H4323" s="473"/>
      <c r="I4323" s="473"/>
      <c r="J4323" s="473"/>
      <c r="K4323" s="478"/>
      <c r="L4323" s="473"/>
      <c r="M4323" s="473"/>
    </row>
    <row r="4324" spans="5:13">
      <c r="E4324" s="473"/>
      <c r="F4324" s="473"/>
      <c r="G4324" s="473"/>
      <c r="H4324" s="473"/>
      <c r="I4324" s="473"/>
      <c r="J4324" s="473"/>
      <c r="K4324" s="478"/>
      <c r="L4324" s="473"/>
      <c r="M4324" s="473"/>
    </row>
    <row r="4325" spans="5:13">
      <c r="E4325" s="473"/>
      <c r="F4325" s="473"/>
      <c r="G4325" s="473"/>
      <c r="H4325" s="473"/>
      <c r="I4325" s="473"/>
      <c r="J4325" s="473"/>
      <c r="K4325" s="478"/>
      <c r="L4325" s="473"/>
      <c r="M4325" s="473"/>
    </row>
    <row r="4326" spans="5:13">
      <c r="E4326" s="473"/>
      <c r="F4326" s="473"/>
      <c r="G4326" s="473"/>
      <c r="H4326" s="473"/>
      <c r="I4326" s="473"/>
      <c r="J4326" s="473"/>
      <c r="K4326" s="478"/>
      <c r="L4326" s="473"/>
      <c r="M4326" s="473"/>
    </row>
    <row r="4327" spans="5:13">
      <c r="E4327" s="473"/>
      <c r="F4327" s="473"/>
      <c r="G4327" s="473"/>
      <c r="H4327" s="473"/>
      <c r="I4327" s="473"/>
      <c r="J4327" s="473"/>
      <c r="K4327" s="478"/>
      <c r="L4327" s="473"/>
      <c r="M4327" s="473"/>
    </row>
    <row r="4328" spans="5:13">
      <c r="E4328" s="473"/>
      <c r="F4328" s="473"/>
      <c r="G4328" s="473"/>
      <c r="H4328" s="473"/>
      <c r="I4328" s="473"/>
      <c r="J4328" s="473"/>
      <c r="K4328" s="478"/>
      <c r="L4328" s="473"/>
      <c r="M4328" s="473"/>
    </row>
    <row r="4329" spans="5:13">
      <c r="E4329" s="473"/>
      <c r="F4329" s="473"/>
      <c r="G4329" s="473"/>
      <c r="H4329" s="473"/>
      <c r="I4329" s="473"/>
      <c r="J4329" s="473"/>
      <c r="K4329" s="478"/>
      <c r="L4329" s="473"/>
      <c r="M4329" s="473"/>
    </row>
    <row r="4330" spans="5:13">
      <c r="E4330" s="473"/>
      <c r="F4330" s="473"/>
      <c r="G4330" s="473"/>
      <c r="H4330" s="473"/>
      <c r="I4330" s="473"/>
      <c r="J4330" s="473"/>
      <c r="K4330" s="478"/>
      <c r="L4330" s="473"/>
      <c r="M4330" s="473"/>
    </row>
    <row r="4331" spans="5:13">
      <c r="E4331" s="473"/>
      <c r="F4331" s="473"/>
      <c r="G4331" s="473"/>
      <c r="H4331" s="473"/>
      <c r="I4331" s="473"/>
      <c r="J4331" s="473"/>
      <c r="K4331" s="478"/>
      <c r="L4331" s="473"/>
      <c r="M4331" s="473"/>
    </row>
    <row r="4332" spans="5:13">
      <c r="E4332" s="473"/>
      <c r="F4332" s="473"/>
      <c r="G4332" s="473"/>
      <c r="H4332" s="473"/>
      <c r="I4332" s="473"/>
      <c r="J4332" s="473"/>
      <c r="K4332" s="478"/>
      <c r="L4332" s="473"/>
      <c r="M4332" s="473"/>
    </row>
    <row r="4333" spans="5:13">
      <c r="E4333" s="473"/>
      <c r="F4333" s="473"/>
      <c r="G4333" s="473"/>
      <c r="H4333" s="473"/>
      <c r="I4333" s="473"/>
      <c r="J4333" s="473"/>
      <c r="K4333" s="478"/>
      <c r="L4333" s="473"/>
      <c r="M4333" s="473"/>
    </row>
    <row r="4334" spans="5:13">
      <c r="E4334" s="473"/>
      <c r="F4334" s="473"/>
      <c r="G4334" s="473"/>
      <c r="H4334" s="473"/>
      <c r="I4334" s="473"/>
      <c r="J4334" s="473"/>
      <c r="K4334" s="478"/>
      <c r="L4334" s="473"/>
      <c r="M4334" s="473"/>
    </row>
    <row r="4335" spans="5:13">
      <c r="E4335" s="473"/>
      <c r="F4335" s="473"/>
      <c r="G4335" s="473"/>
      <c r="H4335" s="473"/>
      <c r="I4335" s="473"/>
      <c r="J4335" s="473"/>
      <c r="K4335" s="478"/>
      <c r="L4335" s="473"/>
      <c r="M4335" s="473"/>
    </row>
    <row r="4336" spans="5:13">
      <c r="E4336" s="473"/>
      <c r="F4336" s="473"/>
      <c r="G4336" s="473"/>
      <c r="H4336" s="473"/>
      <c r="I4336" s="473"/>
      <c r="J4336" s="473"/>
      <c r="K4336" s="478"/>
      <c r="L4336" s="473"/>
      <c r="M4336" s="473"/>
    </row>
    <row r="4337" spans="5:13">
      <c r="E4337" s="473"/>
      <c r="F4337" s="473"/>
      <c r="G4337" s="473"/>
      <c r="H4337" s="473"/>
      <c r="I4337" s="473"/>
      <c r="J4337" s="473"/>
      <c r="K4337" s="478"/>
      <c r="L4337" s="473"/>
      <c r="M4337" s="473"/>
    </row>
    <row r="4338" spans="5:13">
      <c r="E4338" s="473"/>
      <c r="F4338" s="473"/>
      <c r="G4338" s="473"/>
      <c r="H4338" s="473"/>
      <c r="I4338" s="473"/>
      <c r="J4338" s="473"/>
      <c r="K4338" s="478"/>
      <c r="L4338" s="473"/>
      <c r="M4338" s="473"/>
    </row>
    <row r="4339" spans="5:13">
      <c r="E4339" s="473"/>
      <c r="F4339" s="473"/>
      <c r="G4339" s="473"/>
      <c r="H4339" s="473"/>
      <c r="I4339" s="473"/>
      <c r="J4339" s="473"/>
      <c r="K4339" s="478"/>
      <c r="L4339" s="473"/>
      <c r="M4339" s="473"/>
    </row>
    <row r="4340" spans="5:13">
      <c r="E4340" s="473"/>
      <c r="F4340" s="473"/>
      <c r="G4340" s="473"/>
      <c r="H4340" s="473"/>
      <c r="I4340" s="473"/>
      <c r="J4340" s="473"/>
      <c r="K4340" s="478"/>
      <c r="L4340" s="473"/>
      <c r="M4340" s="473"/>
    </row>
    <row r="4341" spans="5:13">
      <c r="E4341" s="473"/>
      <c r="F4341" s="473"/>
      <c r="G4341" s="473"/>
      <c r="H4341" s="473"/>
      <c r="I4341" s="473"/>
      <c r="J4341" s="473"/>
      <c r="K4341" s="478"/>
      <c r="L4341" s="473"/>
      <c r="M4341" s="473"/>
    </row>
    <row r="4342" spans="5:13">
      <c r="E4342" s="473"/>
      <c r="F4342" s="473"/>
      <c r="G4342" s="473"/>
      <c r="H4342" s="473"/>
      <c r="I4342" s="473"/>
      <c r="J4342" s="473"/>
      <c r="K4342" s="478"/>
      <c r="L4342" s="473"/>
      <c r="M4342" s="473"/>
    </row>
    <row r="4343" spans="5:13">
      <c r="E4343" s="473"/>
      <c r="F4343" s="473"/>
      <c r="G4343" s="473"/>
      <c r="H4343" s="473"/>
      <c r="I4343" s="473"/>
      <c r="J4343" s="473"/>
      <c r="K4343" s="478"/>
      <c r="L4343" s="473"/>
      <c r="M4343" s="473"/>
    </row>
    <row r="4344" spans="5:13">
      <c r="E4344" s="473"/>
      <c r="F4344" s="473"/>
      <c r="G4344" s="473"/>
      <c r="H4344" s="473"/>
      <c r="I4344" s="473"/>
      <c r="J4344" s="473"/>
      <c r="K4344" s="478"/>
      <c r="L4344" s="473"/>
      <c r="M4344" s="473"/>
    </row>
    <row r="4345" spans="5:13">
      <c r="E4345" s="473"/>
      <c r="F4345" s="473"/>
      <c r="G4345" s="473"/>
      <c r="H4345" s="473"/>
      <c r="I4345" s="473"/>
      <c r="J4345" s="473"/>
      <c r="K4345" s="478"/>
      <c r="L4345" s="473"/>
      <c r="M4345" s="473"/>
    </row>
    <row r="4346" spans="5:13">
      <c r="E4346" s="473"/>
      <c r="F4346" s="473"/>
      <c r="G4346" s="473"/>
      <c r="H4346" s="473"/>
      <c r="I4346" s="473"/>
      <c r="J4346" s="473"/>
      <c r="K4346" s="478"/>
      <c r="L4346" s="473"/>
      <c r="M4346" s="473"/>
    </row>
    <row r="4347" spans="5:13">
      <c r="E4347" s="473"/>
      <c r="F4347" s="473"/>
      <c r="G4347" s="473"/>
      <c r="H4347" s="473"/>
      <c r="I4347" s="473"/>
      <c r="J4347" s="473"/>
      <c r="K4347" s="478"/>
      <c r="L4347" s="473"/>
      <c r="M4347" s="473"/>
    </row>
    <row r="4348" spans="5:13">
      <c r="E4348" s="473"/>
      <c r="F4348" s="473"/>
      <c r="G4348" s="473"/>
      <c r="H4348" s="473"/>
      <c r="I4348" s="473"/>
      <c r="J4348" s="473"/>
      <c r="K4348" s="478"/>
      <c r="L4348" s="473"/>
      <c r="M4348" s="473"/>
    </row>
    <row r="4349" spans="5:13">
      <c r="E4349" s="473"/>
      <c r="F4349" s="473"/>
      <c r="G4349" s="473"/>
      <c r="H4349" s="473"/>
      <c r="I4349" s="473"/>
      <c r="J4349" s="473"/>
      <c r="K4349" s="478"/>
      <c r="L4349" s="473"/>
      <c r="M4349" s="473"/>
    </row>
    <row r="4350" spans="5:13">
      <c r="E4350" s="473"/>
      <c r="F4350" s="473"/>
      <c r="G4350" s="473"/>
      <c r="H4350" s="473"/>
      <c r="I4350" s="473"/>
      <c r="J4350" s="473"/>
      <c r="K4350" s="478"/>
      <c r="L4350" s="473"/>
      <c r="M4350" s="473"/>
    </row>
    <row r="4351" spans="5:13">
      <c r="E4351" s="473"/>
      <c r="F4351" s="473"/>
      <c r="G4351" s="473"/>
      <c r="H4351" s="473"/>
      <c r="I4351" s="473"/>
      <c r="J4351" s="473"/>
      <c r="K4351" s="478"/>
      <c r="L4351" s="473"/>
      <c r="M4351" s="473"/>
    </row>
    <row r="4352" spans="5:13">
      <c r="E4352" s="473"/>
      <c r="F4352" s="473"/>
      <c r="G4352" s="473"/>
      <c r="H4352" s="473"/>
      <c r="I4352" s="473"/>
      <c r="J4352" s="473"/>
      <c r="K4352" s="478"/>
      <c r="L4352" s="473"/>
      <c r="M4352" s="473"/>
    </row>
    <row r="4353" spans="5:13">
      <c r="E4353" s="473"/>
      <c r="F4353" s="473"/>
      <c r="G4353" s="473"/>
      <c r="H4353" s="473"/>
      <c r="I4353" s="473"/>
      <c r="J4353" s="473"/>
      <c r="K4353" s="478"/>
      <c r="L4353" s="473"/>
      <c r="M4353" s="473"/>
    </row>
    <row r="4354" spans="5:13">
      <c r="E4354" s="473"/>
      <c r="F4354" s="473"/>
      <c r="G4354" s="473"/>
      <c r="H4354" s="473"/>
      <c r="I4354" s="473"/>
      <c r="J4354" s="473"/>
      <c r="K4354" s="478"/>
      <c r="L4354" s="473"/>
      <c r="M4354" s="473"/>
    </row>
    <row r="4355" spans="5:13">
      <c r="E4355" s="473"/>
      <c r="F4355" s="473"/>
      <c r="G4355" s="473"/>
      <c r="H4355" s="473"/>
      <c r="I4355" s="473"/>
      <c r="J4355" s="473"/>
      <c r="K4355" s="478"/>
      <c r="L4355" s="473"/>
      <c r="M4355" s="473"/>
    </row>
    <row r="4356" spans="5:13">
      <c r="E4356" s="473"/>
      <c r="F4356" s="473"/>
      <c r="G4356" s="473"/>
      <c r="H4356" s="473"/>
      <c r="I4356" s="473"/>
      <c r="J4356" s="473"/>
      <c r="K4356" s="478"/>
      <c r="L4356" s="473"/>
      <c r="M4356" s="473"/>
    </row>
    <row r="4357" spans="5:13">
      <c r="E4357" s="473"/>
      <c r="F4357" s="473"/>
      <c r="G4357" s="473"/>
      <c r="H4357" s="473"/>
      <c r="I4357" s="473"/>
      <c r="J4357" s="473"/>
      <c r="K4357" s="478"/>
      <c r="L4357" s="473"/>
      <c r="M4357" s="473"/>
    </row>
    <row r="4358" spans="5:13">
      <c r="E4358" s="473"/>
      <c r="F4358" s="473"/>
      <c r="G4358" s="473"/>
      <c r="H4358" s="473"/>
      <c r="I4358" s="473"/>
      <c r="J4358" s="473"/>
      <c r="K4358" s="478"/>
      <c r="L4358" s="473"/>
      <c r="M4358" s="473"/>
    </row>
    <row r="4359" spans="5:13">
      <c r="E4359" s="473"/>
      <c r="F4359" s="473"/>
      <c r="G4359" s="473"/>
      <c r="H4359" s="473"/>
      <c r="I4359" s="473"/>
      <c r="J4359" s="473"/>
      <c r="K4359" s="478"/>
      <c r="L4359" s="473"/>
      <c r="M4359" s="473"/>
    </row>
    <row r="4360" spans="5:13">
      <c r="E4360" s="473"/>
      <c r="F4360" s="473"/>
      <c r="G4360" s="473"/>
      <c r="H4360" s="473"/>
      <c r="I4360" s="473"/>
      <c r="J4360" s="473"/>
      <c r="K4360" s="478"/>
      <c r="L4360" s="473"/>
      <c r="M4360" s="473"/>
    </row>
    <row r="4361" spans="5:13">
      <c r="E4361" s="473"/>
      <c r="F4361" s="473"/>
      <c r="G4361" s="473"/>
      <c r="H4361" s="473"/>
      <c r="I4361" s="473"/>
      <c r="J4361" s="473"/>
      <c r="K4361" s="478"/>
      <c r="L4361" s="473"/>
      <c r="M4361" s="473"/>
    </row>
    <row r="4362" spans="5:13">
      <c r="E4362" s="473"/>
      <c r="F4362" s="473"/>
      <c r="G4362" s="473"/>
      <c r="H4362" s="473"/>
      <c r="I4362" s="473"/>
      <c r="J4362" s="473"/>
      <c r="K4362" s="478"/>
      <c r="L4362" s="473"/>
      <c r="M4362" s="473"/>
    </row>
    <row r="4363" spans="5:13">
      <c r="E4363" s="473"/>
      <c r="F4363" s="473"/>
      <c r="G4363" s="473"/>
      <c r="H4363" s="473"/>
      <c r="I4363" s="473"/>
      <c r="J4363" s="473"/>
      <c r="K4363" s="478"/>
      <c r="L4363" s="473"/>
      <c r="M4363" s="473"/>
    </row>
    <row r="4364" spans="5:13">
      <c r="E4364" s="473"/>
      <c r="F4364" s="473"/>
      <c r="G4364" s="473"/>
      <c r="H4364" s="473"/>
      <c r="I4364" s="473"/>
      <c r="J4364" s="473"/>
      <c r="K4364" s="478"/>
      <c r="L4364" s="473"/>
      <c r="M4364" s="473"/>
    </row>
    <row r="4365" spans="5:13">
      <c r="E4365" s="473"/>
      <c r="F4365" s="473"/>
      <c r="G4365" s="473"/>
      <c r="H4365" s="473"/>
      <c r="I4365" s="473"/>
      <c r="J4365" s="473"/>
      <c r="K4365" s="478"/>
      <c r="L4365" s="473"/>
      <c r="M4365" s="473"/>
    </row>
    <row r="4366" spans="5:13">
      <c r="E4366" s="473"/>
      <c r="F4366" s="473"/>
      <c r="G4366" s="473"/>
      <c r="H4366" s="473"/>
      <c r="I4366" s="473"/>
      <c r="J4366" s="473"/>
      <c r="K4366" s="478"/>
      <c r="L4366" s="473"/>
      <c r="M4366" s="473"/>
    </row>
    <row r="4367" spans="5:13">
      <c r="E4367" s="473"/>
      <c r="F4367" s="473"/>
      <c r="G4367" s="473"/>
      <c r="H4367" s="473"/>
      <c r="I4367" s="473"/>
      <c r="J4367" s="473"/>
      <c r="K4367" s="478"/>
      <c r="L4367" s="473"/>
      <c r="M4367" s="473"/>
    </row>
    <row r="4368" spans="5:13">
      <c r="E4368" s="473"/>
      <c r="F4368" s="473"/>
      <c r="G4368" s="473"/>
      <c r="H4368" s="473"/>
      <c r="I4368" s="473"/>
      <c r="J4368" s="473"/>
      <c r="K4368" s="478"/>
      <c r="L4368" s="473"/>
      <c r="M4368" s="473"/>
    </row>
    <row r="4369" spans="5:13">
      <c r="E4369" s="473"/>
      <c r="F4369" s="473"/>
      <c r="G4369" s="473"/>
      <c r="H4369" s="473"/>
      <c r="I4369" s="473"/>
      <c r="J4369" s="473"/>
      <c r="K4369" s="478"/>
      <c r="L4369" s="473"/>
      <c r="M4369" s="473"/>
    </row>
    <row r="4370" spans="5:13">
      <c r="E4370" s="473"/>
      <c r="F4370" s="473"/>
      <c r="G4370" s="473"/>
      <c r="H4370" s="473"/>
      <c r="I4370" s="473"/>
      <c r="J4370" s="473"/>
      <c r="K4370" s="478"/>
      <c r="L4370" s="473"/>
      <c r="M4370" s="473"/>
    </row>
    <row r="4371" spans="5:13">
      <c r="E4371" s="473"/>
      <c r="F4371" s="473"/>
      <c r="G4371" s="473"/>
      <c r="H4371" s="473"/>
      <c r="I4371" s="473"/>
      <c r="J4371" s="473"/>
      <c r="K4371" s="478"/>
      <c r="L4371" s="473"/>
      <c r="M4371" s="473"/>
    </row>
    <row r="4372" spans="5:13">
      <c r="E4372" s="473"/>
      <c r="F4372" s="473"/>
      <c r="G4372" s="473"/>
      <c r="H4372" s="473"/>
      <c r="I4372" s="473"/>
      <c r="J4372" s="473"/>
      <c r="K4372" s="478"/>
      <c r="L4372" s="473"/>
      <c r="M4372" s="473"/>
    </row>
    <row r="4373" spans="5:13">
      <c r="E4373" s="473"/>
      <c r="F4373" s="473"/>
      <c r="G4373" s="473"/>
      <c r="H4373" s="473"/>
      <c r="I4373" s="473"/>
      <c r="J4373" s="473"/>
      <c r="K4373" s="478"/>
      <c r="L4373" s="473"/>
      <c r="M4373" s="473"/>
    </row>
    <row r="4374" spans="5:13">
      <c r="E4374" s="473"/>
      <c r="F4374" s="473"/>
      <c r="G4374" s="473"/>
      <c r="H4374" s="473"/>
      <c r="I4374" s="473"/>
      <c r="J4374" s="473"/>
      <c r="K4374" s="478"/>
      <c r="L4374" s="473"/>
      <c r="M4374" s="473"/>
    </row>
    <row r="4375" spans="5:13">
      <c r="E4375" s="473"/>
      <c r="F4375" s="473"/>
      <c r="G4375" s="473"/>
      <c r="H4375" s="473"/>
      <c r="I4375" s="473"/>
      <c r="J4375" s="473"/>
      <c r="K4375" s="478"/>
      <c r="L4375" s="473"/>
      <c r="M4375" s="473"/>
    </row>
    <row r="4376" spans="5:13">
      <c r="E4376" s="473"/>
      <c r="F4376" s="473"/>
      <c r="G4376" s="473"/>
      <c r="H4376" s="473"/>
      <c r="I4376" s="473"/>
      <c r="J4376" s="473"/>
      <c r="K4376" s="478"/>
      <c r="L4376" s="473"/>
      <c r="M4376" s="473"/>
    </row>
    <row r="4377" spans="5:13">
      <c r="E4377" s="473"/>
      <c r="F4377" s="473"/>
      <c r="G4377" s="473"/>
      <c r="H4377" s="473"/>
      <c r="I4377" s="473"/>
      <c r="J4377" s="473"/>
      <c r="K4377" s="478"/>
      <c r="L4377" s="473"/>
      <c r="M4377" s="473"/>
    </row>
    <row r="4378" spans="5:13">
      <c r="E4378" s="473"/>
      <c r="F4378" s="473"/>
      <c r="G4378" s="473"/>
      <c r="H4378" s="473"/>
      <c r="I4378" s="473"/>
      <c r="J4378" s="473"/>
      <c r="K4378" s="478"/>
      <c r="L4378" s="473"/>
      <c r="M4378" s="473"/>
    </row>
    <row r="4379" spans="5:13">
      <c r="E4379" s="473"/>
      <c r="F4379" s="473"/>
      <c r="G4379" s="473"/>
      <c r="H4379" s="473"/>
      <c r="I4379" s="473"/>
      <c r="J4379" s="473"/>
      <c r="K4379" s="478"/>
      <c r="L4379" s="473"/>
      <c r="M4379" s="473"/>
    </row>
    <row r="4380" spans="5:13">
      <c r="E4380" s="473"/>
      <c r="F4380" s="473"/>
      <c r="G4380" s="473"/>
      <c r="H4380" s="473"/>
      <c r="I4380" s="473"/>
      <c r="J4380" s="473"/>
      <c r="K4380" s="478"/>
      <c r="L4380" s="473"/>
      <c r="M4380" s="473"/>
    </row>
    <row r="4381" spans="5:13">
      <c r="E4381" s="473"/>
      <c r="F4381" s="473"/>
      <c r="G4381" s="473"/>
      <c r="H4381" s="473"/>
      <c r="I4381" s="473"/>
      <c r="J4381" s="473"/>
      <c r="K4381" s="478"/>
      <c r="L4381" s="473"/>
      <c r="M4381" s="473"/>
    </row>
    <row r="4382" spans="5:13">
      <c r="E4382" s="473"/>
      <c r="F4382" s="473"/>
      <c r="G4382" s="473"/>
      <c r="H4382" s="473"/>
      <c r="I4382" s="473"/>
      <c r="J4382" s="473"/>
      <c r="K4382" s="478"/>
      <c r="L4382" s="473"/>
      <c r="M4382" s="473"/>
    </row>
    <row r="4383" spans="5:13">
      <c r="E4383" s="473"/>
      <c r="F4383" s="473"/>
      <c r="G4383" s="473"/>
      <c r="H4383" s="473"/>
      <c r="I4383" s="473"/>
      <c r="J4383" s="473"/>
      <c r="K4383" s="478"/>
      <c r="L4383" s="473"/>
      <c r="M4383" s="473"/>
    </row>
    <row r="4384" spans="5:13">
      <c r="E4384" s="473"/>
      <c r="F4384" s="473"/>
      <c r="G4384" s="473"/>
      <c r="H4384" s="473"/>
      <c r="I4384" s="473"/>
      <c r="J4384" s="473"/>
      <c r="K4384" s="478"/>
      <c r="L4384" s="473"/>
      <c r="M4384" s="473"/>
    </row>
    <row r="4385" spans="5:13">
      <c r="E4385" s="473"/>
      <c r="F4385" s="473"/>
      <c r="G4385" s="473"/>
      <c r="H4385" s="473"/>
      <c r="I4385" s="473"/>
      <c r="J4385" s="473"/>
      <c r="K4385" s="478"/>
      <c r="L4385" s="473"/>
      <c r="M4385" s="473"/>
    </row>
    <row r="4386" spans="5:13">
      <c r="E4386" s="473"/>
      <c r="F4386" s="473"/>
      <c r="G4386" s="473"/>
      <c r="H4386" s="473"/>
      <c r="I4386" s="473"/>
      <c r="J4386" s="473"/>
      <c r="K4386" s="478"/>
      <c r="L4386" s="473"/>
      <c r="M4386" s="473"/>
    </row>
    <row r="4387" spans="5:13">
      <c r="E4387" s="473"/>
      <c r="F4387" s="473"/>
      <c r="G4387" s="473"/>
      <c r="H4387" s="473"/>
      <c r="I4387" s="473"/>
      <c r="J4387" s="473"/>
      <c r="K4387" s="478"/>
      <c r="L4387" s="473"/>
      <c r="M4387" s="473"/>
    </row>
    <row r="4388" spans="5:13">
      <c r="E4388" s="473"/>
      <c r="F4388" s="473"/>
      <c r="G4388" s="473"/>
      <c r="H4388" s="473"/>
      <c r="I4388" s="473"/>
      <c r="J4388" s="473"/>
      <c r="K4388" s="478"/>
      <c r="L4388" s="473"/>
      <c r="M4388" s="473"/>
    </row>
    <row r="4389" spans="5:13">
      <c r="E4389" s="473"/>
      <c r="F4389" s="473"/>
      <c r="G4389" s="473"/>
      <c r="H4389" s="473"/>
      <c r="I4389" s="473"/>
      <c r="J4389" s="473"/>
      <c r="K4389" s="478"/>
      <c r="L4389" s="473"/>
      <c r="M4389" s="473"/>
    </row>
    <row r="4390" spans="5:13">
      <c r="E4390" s="473"/>
      <c r="F4390" s="473"/>
      <c r="G4390" s="473"/>
      <c r="H4390" s="473"/>
      <c r="I4390" s="473"/>
      <c r="J4390" s="473"/>
      <c r="K4390" s="478"/>
      <c r="L4390" s="473"/>
      <c r="M4390" s="473"/>
    </row>
    <row r="4391" spans="5:13">
      <c r="E4391" s="473"/>
      <c r="F4391" s="473"/>
      <c r="G4391" s="473"/>
      <c r="H4391" s="473"/>
      <c r="I4391" s="473"/>
      <c r="J4391" s="473"/>
      <c r="K4391" s="478"/>
      <c r="L4391" s="473"/>
      <c r="M4391" s="473"/>
    </row>
    <row r="4392" spans="5:13">
      <c r="E4392" s="473"/>
      <c r="F4392" s="473"/>
      <c r="G4392" s="473"/>
      <c r="H4392" s="473"/>
      <c r="I4392" s="473"/>
      <c r="J4392" s="473"/>
      <c r="K4392" s="478"/>
      <c r="L4392" s="473"/>
      <c r="M4392" s="473"/>
    </row>
    <row r="4393" spans="5:13">
      <c r="E4393" s="473"/>
      <c r="F4393" s="473"/>
      <c r="G4393" s="473"/>
      <c r="H4393" s="473"/>
      <c r="I4393" s="473"/>
      <c r="J4393" s="473"/>
      <c r="K4393" s="478"/>
      <c r="L4393" s="473"/>
      <c r="M4393" s="473"/>
    </row>
    <row r="4394" spans="5:13">
      <c r="E4394" s="473"/>
      <c r="F4394" s="473"/>
      <c r="G4394" s="473"/>
      <c r="H4394" s="473"/>
      <c r="I4394" s="473"/>
      <c r="J4394" s="473"/>
      <c r="K4394" s="478"/>
      <c r="L4394" s="473"/>
      <c r="M4394" s="473"/>
    </row>
    <row r="4395" spans="5:13">
      <c r="E4395" s="473"/>
      <c r="F4395" s="473"/>
      <c r="G4395" s="473"/>
      <c r="H4395" s="473"/>
      <c r="I4395" s="473"/>
      <c r="J4395" s="473"/>
      <c r="K4395" s="478"/>
      <c r="L4395" s="473"/>
      <c r="M4395" s="473"/>
    </row>
    <row r="4396" spans="5:13">
      <c r="E4396" s="473"/>
      <c r="F4396" s="473"/>
      <c r="G4396" s="473"/>
      <c r="H4396" s="473"/>
      <c r="I4396" s="473"/>
      <c r="J4396" s="473"/>
      <c r="K4396" s="478"/>
      <c r="L4396" s="473"/>
      <c r="M4396" s="473"/>
    </row>
    <row r="4397" spans="5:13">
      <c r="E4397" s="473"/>
      <c r="F4397" s="473"/>
      <c r="G4397" s="473"/>
      <c r="H4397" s="473"/>
      <c r="I4397" s="473"/>
      <c r="J4397" s="473"/>
      <c r="K4397" s="478"/>
      <c r="L4397" s="473"/>
      <c r="M4397" s="473"/>
    </row>
    <row r="4398" spans="5:13">
      <c r="E4398" s="473"/>
      <c r="F4398" s="473"/>
      <c r="G4398" s="473"/>
      <c r="H4398" s="473"/>
      <c r="I4398" s="473"/>
      <c r="J4398" s="473"/>
      <c r="K4398" s="478"/>
      <c r="L4398" s="473"/>
      <c r="M4398" s="473"/>
    </row>
    <row r="4399" spans="5:13">
      <c r="E4399" s="473"/>
      <c r="F4399" s="473"/>
      <c r="G4399" s="473"/>
      <c r="H4399" s="473"/>
      <c r="I4399" s="473"/>
      <c r="J4399" s="473"/>
      <c r="K4399" s="478"/>
      <c r="L4399" s="473"/>
      <c r="M4399" s="473"/>
    </row>
    <row r="4400" spans="5:13">
      <c r="E4400" s="473"/>
      <c r="F4400" s="473"/>
      <c r="G4400" s="473"/>
      <c r="H4400" s="473"/>
      <c r="I4400" s="473"/>
      <c r="J4400" s="473"/>
      <c r="K4400" s="478"/>
      <c r="L4400" s="473"/>
      <c r="M4400" s="473"/>
    </row>
    <row r="4401" spans="5:13">
      <c r="E4401" s="473"/>
      <c r="F4401" s="473"/>
      <c r="G4401" s="473"/>
      <c r="H4401" s="473"/>
      <c r="I4401" s="473"/>
      <c r="J4401" s="473"/>
      <c r="K4401" s="478"/>
      <c r="L4401" s="473"/>
      <c r="M4401" s="473"/>
    </row>
    <row r="4402" spans="5:13">
      <c r="E4402" s="473"/>
      <c r="F4402" s="473"/>
      <c r="G4402" s="473"/>
      <c r="H4402" s="473"/>
      <c r="I4402" s="473"/>
      <c r="J4402" s="473"/>
      <c r="K4402" s="478"/>
      <c r="L4402" s="473"/>
      <c r="M4402" s="473"/>
    </row>
    <row r="4403" spans="5:13">
      <c r="E4403" s="473"/>
      <c r="F4403" s="473"/>
      <c r="G4403" s="473"/>
      <c r="H4403" s="473"/>
      <c r="I4403" s="473"/>
      <c r="J4403" s="473"/>
      <c r="K4403" s="478"/>
      <c r="L4403" s="473"/>
      <c r="M4403" s="473"/>
    </row>
    <row r="4404" spans="5:13">
      <c r="E4404" s="473"/>
      <c r="F4404" s="473"/>
      <c r="G4404" s="473"/>
      <c r="H4404" s="473"/>
      <c r="I4404" s="473"/>
      <c r="J4404" s="473"/>
      <c r="K4404" s="478"/>
      <c r="L4404" s="473"/>
      <c r="M4404" s="473"/>
    </row>
    <row r="4405" spans="5:13">
      <c r="E4405" s="473"/>
      <c r="F4405" s="473"/>
      <c r="G4405" s="473"/>
      <c r="H4405" s="473"/>
      <c r="I4405" s="473"/>
      <c r="J4405" s="473"/>
      <c r="K4405" s="478"/>
      <c r="L4405" s="473"/>
      <c r="M4405" s="473"/>
    </row>
    <row r="4406" spans="5:13">
      <c r="E4406" s="473"/>
      <c r="F4406" s="473"/>
      <c r="G4406" s="473"/>
      <c r="H4406" s="473"/>
      <c r="I4406" s="473"/>
      <c r="J4406" s="473"/>
      <c r="K4406" s="478"/>
      <c r="L4406" s="473"/>
      <c r="M4406" s="473"/>
    </row>
    <row r="4407" spans="5:13">
      <c r="E4407" s="473"/>
      <c r="F4407" s="473"/>
      <c r="G4407" s="473"/>
      <c r="H4407" s="473"/>
      <c r="I4407" s="473"/>
      <c r="J4407" s="473"/>
      <c r="K4407" s="478"/>
      <c r="L4407" s="473"/>
      <c r="M4407" s="473"/>
    </row>
    <row r="4408" spans="5:13">
      <c r="E4408" s="473"/>
      <c r="F4408" s="473"/>
      <c r="G4408" s="473"/>
      <c r="H4408" s="473"/>
      <c r="I4408" s="473"/>
      <c r="J4408" s="473"/>
      <c r="K4408" s="478"/>
      <c r="L4408" s="473"/>
      <c r="M4408" s="473"/>
    </row>
    <row r="4409" spans="5:13">
      <c r="E4409" s="473"/>
      <c r="F4409" s="473"/>
      <c r="G4409" s="473"/>
      <c r="H4409" s="473"/>
      <c r="I4409" s="473"/>
      <c r="J4409" s="473"/>
      <c r="K4409" s="478"/>
      <c r="L4409" s="473"/>
      <c r="M4409" s="473"/>
    </row>
    <row r="4410" spans="5:13">
      <c r="E4410" s="473"/>
      <c r="F4410" s="473"/>
      <c r="G4410" s="473"/>
      <c r="H4410" s="473"/>
      <c r="I4410" s="473"/>
      <c r="J4410" s="473"/>
      <c r="K4410" s="478"/>
      <c r="L4410" s="473"/>
      <c r="M4410" s="473"/>
    </row>
    <row r="4411" spans="5:13">
      <c r="E4411" s="473"/>
      <c r="F4411" s="473"/>
      <c r="G4411" s="473"/>
      <c r="H4411" s="473"/>
      <c r="I4411" s="473"/>
      <c r="J4411" s="473"/>
      <c r="K4411" s="478"/>
      <c r="L4411" s="473"/>
      <c r="M4411" s="473"/>
    </row>
    <row r="4412" spans="5:13">
      <c r="E4412" s="473"/>
      <c r="F4412" s="473"/>
      <c r="G4412" s="473"/>
      <c r="H4412" s="473"/>
      <c r="I4412" s="473"/>
      <c r="J4412" s="473"/>
      <c r="K4412" s="478"/>
      <c r="L4412" s="473"/>
      <c r="M4412" s="473"/>
    </row>
    <row r="4413" spans="5:13">
      <c r="E4413" s="473"/>
      <c r="F4413" s="473"/>
      <c r="G4413" s="473"/>
      <c r="H4413" s="473"/>
      <c r="I4413" s="473"/>
      <c r="J4413" s="473"/>
      <c r="K4413" s="478"/>
      <c r="L4413" s="473"/>
      <c r="M4413" s="473"/>
    </row>
    <row r="4414" spans="5:13">
      <c r="E4414" s="473"/>
      <c r="F4414" s="473"/>
      <c r="G4414" s="473"/>
      <c r="H4414" s="473"/>
      <c r="I4414" s="473"/>
      <c r="J4414" s="473"/>
      <c r="K4414" s="478"/>
      <c r="L4414" s="473"/>
      <c r="M4414" s="473"/>
    </row>
    <row r="4415" spans="5:13">
      <c r="E4415" s="473"/>
      <c r="F4415" s="473"/>
      <c r="G4415" s="473"/>
      <c r="H4415" s="473"/>
      <c r="I4415" s="473"/>
      <c r="J4415" s="473"/>
      <c r="K4415" s="478"/>
      <c r="L4415" s="473"/>
      <c r="M4415" s="473"/>
    </row>
    <row r="4416" spans="5:13">
      <c r="E4416" s="473"/>
      <c r="F4416" s="473"/>
      <c r="G4416" s="473"/>
      <c r="H4416" s="473"/>
      <c r="I4416" s="473"/>
      <c r="J4416" s="473"/>
      <c r="K4416" s="478"/>
      <c r="L4416" s="473"/>
      <c r="M4416" s="473"/>
    </row>
    <row r="4417" spans="5:13">
      <c r="E4417" s="473"/>
      <c r="F4417" s="473"/>
      <c r="G4417" s="473"/>
      <c r="H4417" s="473"/>
      <c r="I4417" s="473"/>
      <c r="J4417" s="473"/>
      <c r="K4417" s="478"/>
      <c r="L4417" s="473"/>
      <c r="M4417" s="473"/>
    </row>
    <row r="4418" spans="5:13">
      <c r="E4418" s="473"/>
      <c r="F4418" s="473"/>
      <c r="G4418" s="473"/>
      <c r="H4418" s="473"/>
      <c r="I4418" s="473"/>
      <c r="J4418" s="473"/>
      <c r="K4418" s="478"/>
      <c r="L4418" s="473"/>
      <c r="M4418" s="473"/>
    </row>
    <row r="4419" spans="5:13">
      <c r="E4419" s="473"/>
      <c r="F4419" s="473"/>
      <c r="G4419" s="473"/>
      <c r="H4419" s="473"/>
      <c r="I4419" s="473"/>
      <c r="J4419" s="473"/>
      <c r="K4419" s="478"/>
      <c r="L4419" s="473"/>
      <c r="M4419" s="473"/>
    </row>
    <row r="4420" spans="5:13">
      <c r="E4420" s="473"/>
      <c r="F4420" s="473"/>
      <c r="G4420" s="473"/>
      <c r="H4420" s="473"/>
      <c r="I4420" s="473"/>
      <c r="J4420" s="473"/>
      <c r="K4420" s="478"/>
      <c r="L4420" s="473"/>
      <c r="M4420" s="473"/>
    </row>
    <row r="4421" spans="5:13">
      <c r="E4421" s="473"/>
      <c r="F4421" s="473"/>
      <c r="G4421" s="473"/>
      <c r="H4421" s="473"/>
      <c r="I4421" s="473"/>
      <c r="J4421" s="473"/>
      <c r="K4421" s="478"/>
      <c r="L4421" s="473"/>
      <c r="M4421" s="473"/>
    </row>
    <row r="4422" spans="5:13">
      <c r="E4422" s="473"/>
      <c r="F4422" s="473"/>
      <c r="G4422" s="473"/>
      <c r="H4422" s="473"/>
      <c r="I4422" s="473"/>
      <c r="J4422" s="473"/>
      <c r="K4422" s="478"/>
      <c r="L4422" s="473"/>
      <c r="M4422" s="473"/>
    </row>
    <row r="4423" spans="5:13">
      <c r="E4423" s="473"/>
      <c r="F4423" s="473"/>
      <c r="G4423" s="473"/>
      <c r="H4423" s="473"/>
      <c r="I4423" s="473"/>
      <c r="J4423" s="473"/>
      <c r="K4423" s="478"/>
      <c r="L4423" s="473"/>
      <c r="M4423" s="473"/>
    </row>
    <row r="4424" spans="5:13">
      <c r="E4424" s="473"/>
      <c r="F4424" s="473"/>
      <c r="G4424" s="473"/>
      <c r="H4424" s="473"/>
      <c r="I4424" s="473"/>
      <c r="J4424" s="473"/>
      <c r="K4424" s="478"/>
      <c r="L4424" s="473"/>
      <c r="M4424" s="473"/>
    </row>
    <row r="4425" spans="5:13">
      <c r="E4425" s="473"/>
      <c r="F4425" s="473"/>
      <c r="G4425" s="473"/>
      <c r="H4425" s="473"/>
      <c r="I4425" s="473"/>
      <c r="J4425" s="473"/>
      <c r="K4425" s="478"/>
      <c r="L4425" s="473"/>
      <c r="M4425" s="473"/>
    </row>
    <row r="4426" spans="5:13">
      <c r="E4426" s="473"/>
      <c r="F4426" s="473"/>
      <c r="G4426" s="473"/>
      <c r="H4426" s="473"/>
      <c r="I4426" s="473"/>
      <c r="J4426" s="473"/>
      <c r="K4426" s="478"/>
      <c r="L4426" s="473"/>
      <c r="M4426" s="473"/>
    </row>
    <row r="4427" spans="5:13">
      <c r="E4427" s="473"/>
      <c r="F4427" s="473"/>
      <c r="G4427" s="473"/>
      <c r="H4427" s="473"/>
      <c r="I4427" s="473"/>
      <c r="J4427" s="473"/>
      <c r="K4427" s="478"/>
      <c r="L4427" s="473"/>
      <c r="M4427" s="473"/>
    </row>
    <row r="4428" spans="5:13">
      <c r="E4428" s="473"/>
      <c r="F4428" s="473"/>
      <c r="G4428" s="473"/>
      <c r="H4428" s="473"/>
      <c r="I4428" s="473"/>
      <c r="J4428" s="473"/>
      <c r="K4428" s="478"/>
      <c r="L4428" s="473"/>
      <c r="M4428" s="473"/>
    </row>
    <row r="4429" spans="5:13">
      <c r="E4429" s="473"/>
      <c r="F4429" s="473"/>
      <c r="G4429" s="473"/>
      <c r="H4429" s="473"/>
      <c r="I4429" s="473"/>
      <c r="J4429" s="473"/>
      <c r="K4429" s="478"/>
      <c r="L4429" s="473"/>
      <c r="M4429" s="473"/>
    </row>
    <row r="4430" spans="5:13">
      <c r="E4430" s="473"/>
      <c r="F4430" s="473"/>
      <c r="G4430" s="473"/>
      <c r="H4430" s="473"/>
      <c r="I4430" s="473"/>
      <c r="J4430" s="473"/>
      <c r="K4430" s="478"/>
      <c r="L4430" s="473"/>
      <c r="M4430" s="473"/>
    </row>
    <row r="4431" spans="5:13">
      <c r="E4431" s="473"/>
      <c r="F4431" s="473"/>
      <c r="G4431" s="473"/>
      <c r="H4431" s="473"/>
      <c r="I4431" s="473"/>
      <c r="J4431" s="473"/>
      <c r="K4431" s="478"/>
      <c r="L4431" s="473"/>
      <c r="M4431" s="473"/>
    </row>
    <row r="4432" spans="5:13">
      <c r="E4432" s="473"/>
      <c r="F4432" s="473"/>
      <c r="G4432" s="473"/>
      <c r="H4432" s="473"/>
      <c r="I4432" s="473"/>
      <c r="J4432" s="473"/>
      <c r="K4432" s="478"/>
      <c r="L4432" s="473"/>
      <c r="M4432" s="473"/>
    </row>
    <row r="4433" spans="5:13">
      <c r="E4433" s="473"/>
      <c r="F4433" s="473"/>
      <c r="G4433" s="473"/>
      <c r="H4433" s="473"/>
      <c r="I4433" s="473"/>
      <c r="J4433" s="473"/>
      <c r="K4433" s="478"/>
      <c r="L4433" s="473"/>
      <c r="M4433" s="473"/>
    </row>
    <row r="4434" spans="5:13">
      <c r="E4434" s="473"/>
      <c r="F4434" s="473"/>
      <c r="G4434" s="473"/>
      <c r="H4434" s="473"/>
      <c r="I4434" s="473"/>
      <c r="J4434" s="473"/>
      <c r="K4434" s="478"/>
      <c r="L4434" s="473"/>
      <c r="M4434" s="473"/>
    </row>
    <row r="4435" spans="5:13">
      <c r="E4435" s="473"/>
      <c r="F4435" s="473"/>
      <c r="G4435" s="473"/>
      <c r="H4435" s="473"/>
      <c r="I4435" s="473"/>
      <c r="J4435" s="473"/>
      <c r="K4435" s="478"/>
      <c r="L4435" s="473"/>
      <c r="M4435" s="473"/>
    </row>
    <row r="4436" spans="5:13">
      <c r="E4436" s="473"/>
      <c r="F4436" s="473"/>
      <c r="G4436" s="473"/>
      <c r="H4436" s="473"/>
      <c r="I4436" s="473"/>
      <c r="J4436" s="473"/>
      <c r="K4436" s="478"/>
      <c r="L4436" s="473"/>
      <c r="M4436" s="473"/>
    </row>
    <row r="4437" spans="5:13">
      <c r="E4437" s="473"/>
      <c r="F4437" s="473"/>
      <c r="G4437" s="473"/>
      <c r="H4437" s="473"/>
      <c r="I4437" s="473"/>
      <c r="J4437" s="473"/>
      <c r="K4437" s="478"/>
      <c r="L4437" s="473"/>
      <c r="M4437" s="473"/>
    </row>
    <row r="4438" spans="5:13">
      <c r="E4438" s="473"/>
      <c r="F4438" s="473"/>
      <c r="G4438" s="473"/>
      <c r="H4438" s="473"/>
      <c r="I4438" s="473"/>
      <c r="J4438" s="473"/>
      <c r="K4438" s="478"/>
      <c r="L4438" s="473"/>
      <c r="M4438" s="473"/>
    </row>
    <row r="4439" spans="5:13">
      <c r="E4439" s="473"/>
      <c r="F4439" s="473"/>
      <c r="G4439" s="473"/>
      <c r="H4439" s="473"/>
      <c r="I4439" s="473"/>
      <c r="J4439" s="473"/>
      <c r="K4439" s="478"/>
      <c r="L4439" s="473"/>
      <c r="M4439" s="473"/>
    </row>
    <row r="4440" spans="5:13">
      <c r="E4440" s="473"/>
      <c r="F4440" s="473"/>
      <c r="G4440" s="473"/>
      <c r="H4440" s="473"/>
      <c r="I4440" s="473"/>
      <c r="J4440" s="473"/>
      <c r="K4440" s="478"/>
      <c r="L4440" s="473"/>
      <c r="M4440" s="473"/>
    </row>
    <row r="4441" spans="5:13">
      <c r="E4441" s="473"/>
      <c r="F4441" s="473"/>
      <c r="G4441" s="473"/>
      <c r="H4441" s="473"/>
      <c r="I4441" s="473"/>
      <c r="J4441" s="473"/>
      <c r="K4441" s="478"/>
      <c r="L4441" s="473"/>
      <c r="M4441" s="473"/>
    </row>
    <row r="4442" spans="5:13">
      <c r="E4442" s="473"/>
      <c r="F4442" s="473"/>
      <c r="G4442" s="473"/>
      <c r="H4442" s="473"/>
      <c r="I4442" s="473"/>
      <c r="J4442" s="473"/>
      <c r="K4442" s="478"/>
      <c r="L4442" s="473"/>
      <c r="M4442" s="473"/>
    </row>
    <row r="4443" spans="5:13">
      <c r="E4443" s="473"/>
      <c r="F4443" s="473"/>
      <c r="G4443" s="473"/>
      <c r="H4443" s="473"/>
      <c r="I4443" s="473"/>
      <c r="J4443" s="473"/>
      <c r="K4443" s="478"/>
      <c r="L4443" s="473"/>
      <c r="M4443" s="473"/>
    </row>
    <row r="4444" spans="5:13">
      <c r="E4444" s="473"/>
      <c r="F4444" s="473"/>
      <c r="G4444" s="473"/>
      <c r="H4444" s="473"/>
      <c r="I4444" s="473"/>
      <c r="J4444" s="473"/>
      <c r="K4444" s="478"/>
      <c r="L4444" s="473"/>
      <c r="M4444" s="473"/>
    </row>
    <row r="4445" spans="5:13">
      <c r="E4445" s="473"/>
      <c r="F4445" s="473"/>
      <c r="G4445" s="473"/>
      <c r="H4445" s="473"/>
      <c r="I4445" s="473"/>
      <c r="J4445" s="473"/>
      <c r="K4445" s="478"/>
      <c r="L4445" s="473"/>
      <c r="M4445" s="473"/>
    </row>
    <row r="4446" spans="5:13">
      <c r="E4446" s="473"/>
      <c r="F4446" s="473"/>
      <c r="G4446" s="473"/>
      <c r="H4446" s="473"/>
      <c r="I4446" s="473"/>
      <c r="J4446" s="473"/>
      <c r="K4446" s="478"/>
      <c r="L4446" s="473"/>
      <c r="M4446" s="473"/>
    </row>
    <row r="4447" spans="5:13">
      <c r="E4447" s="473"/>
      <c r="F4447" s="473"/>
      <c r="G4447" s="473"/>
      <c r="H4447" s="473"/>
      <c r="I4447" s="473"/>
      <c r="J4447" s="473"/>
      <c r="K4447" s="478"/>
      <c r="L4447" s="473"/>
      <c r="M4447" s="473"/>
    </row>
    <row r="4448" spans="5:13">
      <c r="E4448" s="473"/>
      <c r="F4448" s="473"/>
      <c r="G4448" s="473"/>
      <c r="H4448" s="473"/>
      <c r="I4448" s="473"/>
      <c r="J4448" s="473"/>
      <c r="K4448" s="478"/>
      <c r="L4448" s="473"/>
      <c r="M4448" s="473"/>
    </row>
    <row r="4449" spans="5:13">
      <c r="E4449" s="473"/>
      <c r="F4449" s="473"/>
      <c r="G4449" s="473"/>
      <c r="H4449" s="473"/>
      <c r="I4449" s="473"/>
      <c r="J4449" s="473"/>
      <c r="K4449" s="478"/>
      <c r="L4449" s="473"/>
      <c r="M4449" s="473"/>
    </row>
    <row r="4450" spans="5:13">
      <c r="E4450" s="473"/>
      <c r="F4450" s="473"/>
      <c r="G4450" s="473"/>
      <c r="H4450" s="473"/>
      <c r="I4450" s="473"/>
      <c r="J4450" s="473"/>
      <c r="K4450" s="478"/>
      <c r="L4450" s="473"/>
      <c r="M4450" s="473"/>
    </row>
    <row r="4451" spans="5:13">
      <c r="E4451" s="473"/>
      <c r="F4451" s="473"/>
      <c r="G4451" s="473"/>
      <c r="H4451" s="473"/>
      <c r="I4451" s="473"/>
      <c r="J4451" s="473"/>
      <c r="K4451" s="478"/>
      <c r="L4451" s="473"/>
      <c r="M4451" s="473"/>
    </row>
    <row r="4452" spans="5:13">
      <c r="E4452" s="473"/>
      <c r="F4452" s="473"/>
      <c r="G4452" s="473"/>
      <c r="H4452" s="473"/>
      <c r="I4452" s="473"/>
      <c r="J4452" s="473"/>
      <c r="K4452" s="478"/>
      <c r="L4452" s="473"/>
      <c r="M4452" s="473"/>
    </row>
    <row r="4453" spans="5:13">
      <c r="E4453" s="473"/>
      <c r="F4453" s="473"/>
      <c r="G4453" s="473"/>
      <c r="H4453" s="473"/>
      <c r="I4453" s="473"/>
      <c r="J4453" s="473"/>
      <c r="K4453" s="478"/>
      <c r="L4453" s="473"/>
      <c r="M4453" s="473"/>
    </row>
    <row r="4454" spans="5:13">
      <c r="E4454" s="473"/>
      <c r="F4454" s="473"/>
      <c r="G4454" s="473"/>
      <c r="H4454" s="473"/>
      <c r="I4454" s="473"/>
      <c r="J4454" s="473"/>
      <c r="K4454" s="478"/>
      <c r="L4454" s="473"/>
      <c r="M4454" s="473"/>
    </row>
    <row r="4455" spans="5:13">
      <c r="E4455" s="473"/>
      <c r="F4455" s="473"/>
      <c r="G4455" s="473"/>
      <c r="H4455" s="473"/>
      <c r="I4455" s="473"/>
      <c r="J4455" s="473"/>
      <c r="K4455" s="478"/>
      <c r="L4455" s="473"/>
      <c r="M4455" s="473"/>
    </row>
    <row r="4456" spans="5:13">
      <c r="E4456" s="473"/>
      <c r="F4456" s="473"/>
      <c r="G4456" s="473"/>
      <c r="H4456" s="473"/>
      <c r="I4456" s="473"/>
      <c r="J4456" s="473"/>
      <c r="K4456" s="478"/>
      <c r="L4456" s="473"/>
      <c r="M4456" s="473"/>
    </row>
    <row r="4457" spans="5:13">
      <c r="E4457" s="473"/>
      <c r="F4457" s="473"/>
      <c r="G4457" s="473"/>
      <c r="H4457" s="473"/>
      <c r="I4457" s="473"/>
      <c r="J4457" s="473"/>
      <c r="K4457" s="478"/>
      <c r="L4457" s="473"/>
      <c r="M4457" s="473"/>
    </row>
    <row r="4458" spans="5:13">
      <c r="E4458" s="473"/>
      <c r="F4458" s="473"/>
      <c r="G4458" s="473"/>
      <c r="H4458" s="473"/>
      <c r="I4458" s="473"/>
      <c r="J4458" s="473"/>
      <c r="K4458" s="478"/>
      <c r="L4458" s="473"/>
      <c r="M4458" s="473"/>
    </row>
    <row r="4459" spans="5:13">
      <c r="E4459" s="473"/>
      <c r="F4459" s="473"/>
      <c r="G4459" s="473"/>
      <c r="H4459" s="473"/>
      <c r="I4459" s="473"/>
      <c r="J4459" s="473"/>
      <c r="K4459" s="478"/>
      <c r="L4459" s="473"/>
      <c r="M4459" s="473"/>
    </row>
    <row r="4460" spans="5:13">
      <c r="E4460" s="473"/>
      <c r="F4460" s="473"/>
      <c r="G4460" s="473"/>
      <c r="H4460" s="473"/>
      <c r="I4460" s="473"/>
      <c r="J4460" s="473"/>
      <c r="K4460" s="478"/>
      <c r="L4460" s="473"/>
      <c r="M4460" s="473"/>
    </row>
    <row r="4461" spans="5:13">
      <c r="E4461" s="473"/>
      <c r="F4461" s="473"/>
      <c r="G4461" s="473"/>
      <c r="H4461" s="473"/>
      <c r="I4461" s="473"/>
      <c r="J4461" s="473"/>
      <c r="K4461" s="478"/>
      <c r="L4461" s="473"/>
      <c r="M4461" s="473"/>
    </row>
    <row r="4462" spans="5:13">
      <c r="E4462" s="473"/>
      <c r="F4462" s="473"/>
      <c r="G4462" s="473"/>
      <c r="H4462" s="473"/>
      <c r="I4462" s="473"/>
      <c r="J4462" s="473"/>
      <c r="K4462" s="478"/>
      <c r="L4462" s="473"/>
      <c r="M4462" s="473"/>
    </row>
    <row r="4463" spans="5:13">
      <c r="E4463" s="473"/>
      <c r="F4463" s="473"/>
      <c r="G4463" s="473"/>
      <c r="H4463" s="473"/>
      <c r="I4463" s="473"/>
      <c r="J4463" s="473"/>
      <c r="K4463" s="478"/>
      <c r="L4463" s="473"/>
      <c r="M4463" s="473"/>
    </row>
    <row r="4464" spans="5:13">
      <c r="E4464" s="473"/>
      <c r="F4464" s="473"/>
      <c r="G4464" s="473"/>
      <c r="H4464" s="473"/>
      <c r="I4464" s="473"/>
      <c r="J4464" s="473"/>
      <c r="K4464" s="478"/>
      <c r="L4464" s="473"/>
      <c r="M4464" s="473"/>
    </row>
    <row r="4465" spans="5:13">
      <c r="E4465" s="473"/>
      <c r="F4465" s="473"/>
      <c r="G4465" s="473"/>
      <c r="H4465" s="473"/>
      <c r="I4465" s="473"/>
      <c r="J4465" s="473"/>
      <c r="K4465" s="478"/>
      <c r="L4465" s="473"/>
      <c r="M4465" s="473"/>
    </row>
    <row r="4466" spans="5:13">
      <c r="E4466" s="473"/>
      <c r="F4466" s="473"/>
      <c r="G4466" s="473"/>
      <c r="H4466" s="473"/>
      <c r="I4466" s="473"/>
      <c r="J4466" s="473"/>
      <c r="K4466" s="478"/>
      <c r="L4466" s="473"/>
      <c r="M4466" s="473"/>
    </row>
    <row r="4467" spans="5:13">
      <c r="E4467" s="473"/>
      <c r="F4467" s="473"/>
      <c r="G4467" s="473"/>
      <c r="H4467" s="473"/>
      <c r="I4467" s="473"/>
      <c r="J4467" s="473"/>
      <c r="K4467" s="478"/>
      <c r="L4467" s="473"/>
      <c r="M4467" s="473"/>
    </row>
    <row r="4468" spans="5:13">
      <c r="E4468" s="473"/>
      <c r="F4468" s="473"/>
      <c r="G4468" s="473"/>
      <c r="H4468" s="473"/>
      <c r="I4468" s="473"/>
      <c r="J4468" s="473"/>
      <c r="K4468" s="478"/>
      <c r="L4468" s="473"/>
      <c r="M4468" s="473"/>
    </row>
    <row r="4469" spans="5:13">
      <c r="E4469" s="473"/>
      <c r="F4469" s="473"/>
      <c r="G4469" s="473"/>
      <c r="H4469" s="473"/>
      <c r="I4469" s="473"/>
      <c r="J4469" s="473"/>
      <c r="K4469" s="478"/>
      <c r="L4469" s="473"/>
      <c r="M4469" s="473"/>
    </row>
    <row r="4470" spans="5:13">
      <c r="E4470" s="473"/>
      <c r="F4470" s="473"/>
      <c r="G4470" s="473"/>
      <c r="H4470" s="473"/>
      <c r="I4470" s="473"/>
      <c r="J4470" s="473"/>
      <c r="K4470" s="478"/>
      <c r="L4470" s="473"/>
      <c r="M4470" s="473"/>
    </row>
    <row r="4471" spans="5:13">
      <c r="E4471" s="473"/>
      <c r="F4471" s="473"/>
      <c r="G4471" s="473"/>
      <c r="H4471" s="473"/>
      <c r="I4471" s="473"/>
      <c r="J4471" s="473"/>
      <c r="K4471" s="478"/>
      <c r="L4471" s="473"/>
      <c r="M4471" s="473"/>
    </row>
    <row r="4472" spans="5:13">
      <c r="E4472" s="473"/>
      <c r="F4472" s="473"/>
      <c r="G4472" s="473"/>
      <c r="H4472" s="473"/>
      <c r="I4472" s="473"/>
      <c r="J4472" s="473"/>
      <c r="K4472" s="478"/>
      <c r="L4472" s="473"/>
      <c r="M4472" s="473"/>
    </row>
    <row r="4473" spans="5:13">
      <c r="E4473" s="473"/>
      <c r="F4473" s="473"/>
      <c r="G4473" s="473"/>
      <c r="H4473" s="473"/>
      <c r="I4473" s="473"/>
      <c r="J4473" s="473"/>
      <c r="K4473" s="478"/>
      <c r="L4473" s="473"/>
      <c r="M4473" s="473"/>
    </row>
    <row r="4474" spans="5:13">
      <c r="E4474" s="473"/>
      <c r="F4474" s="473"/>
      <c r="G4474" s="473"/>
      <c r="H4474" s="473"/>
      <c r="I4474" s="473"/>
      <c r="J4474" s="473"/>
      <c r="K4474" s="478"/>
      <c r="L4474" s="473"/>
      <c r="M4474" s="473"/>
    </row>
    <row r="4475" spans="5:13">
      <c r="E4475" s="473"/>
      <c r="F4475" s="473"/>
      <c r="G4475" s="473"/>
      <c r="H4475" s="473"/>
      <c r="I4475" s="473"/>
      <c r="J4475" s="473"/>
      <c r="K4475" s="478"/>
      <c r="L4475" s="473"/>
      <c r="M4475" s="473"/>
    </row>
    <row r="4476" spans="5:13">
      <c r="E4476" s="473"/>
      <c r="F4476" s="473"/>
      <c r="G4476" s="473"/>
      <c r="H4476" s="473"/>
      <c r="I4476" s="473"/>
      <c r="J4476" s="473"/>
      <c r="K4476" s="478"/>
      <c r="L4476" s="473"/>
      <c r="M4476" s="473"/>
    </row>
    <row r="4477" spans="5:13">
      <c r="E4477" s="473"/>
      <c r="F4477" s="473"/>
      <c r="G4477" s="473"/>
      <c r="H4477" s="473"/>
      <c r="I4477" s="473"/>
      <c r="J4477" s="473"/>
      <c r="K4477" s="478"/>
      <c r="L4477" s="473"/>
      <c r="M4477" s="473"/>
    </row>
    <row r="4478" spans="5:13">
      <c r="E4478" s="473"/>
      <c r="F4478" s="473"/>
      <c r="G4478" s="473"/>
      <c r="H4478" s="473"/>
      <c r="I4478" s="473"/>
      <c r="J4478" s="473"/>
      <c r="K4478" s="478"/>
      <c r="L4478" s="473"/>
      <c r="M4478" s="473"/>
    </row>
    <row r="4479" spans="5:13">
      <c r="E4479" s="473"/>
      <c r="F4479" s="473"/>
      <c r="G4479" s="473"/>
      <c r="H4479" s="473"/>
      <c r="I4479" s="473"/>
      <c r="J4479" s="473"/>
      <c r="K4479" s="478"/>
      <c r="L4479" s="473"/>
      <c r="M4479" s="473"/>
    </row>
    <row r="4480" spans="5:13">
      <c r="E4480" s="473"/>
      <c r="F4480" s="473"/>
      <c r="G4480" s="473"/>
      <c r="H4480" s="473"/>
      <c r="I4480" s="473"/>
      <c r="J4480" s="473"/>
      <c r="K4480" s="478"/>
      <c r="L4480" s="473"/>
      <c r="M4480" s="473"/>
    </row>
    <row r="4481" spans="5:13">
      <c r="E4481" s="473"/>
      <c r="F4481" s="473"/>
      <c r="G4481" s="473"/>
      <c r="H4481" s="473"/>
      <c r="I4481" s="473"/>
      <c r="J4481" s="473"/>
      <c r="K4481" s="478"/>
      <c r="L4481" s="473"/>
      <c r="M4481" s="473"/>
    </row>
    <row r="4482" spans="5:13">
      <c r="E4482" s="473"/>
      <c r="F4482" s="473"/>
      <c r="G4482" s="473"/>
      <c r="H4482" s="473"/>
      <c r="I4482" s="473"/>
      <c r="J4482" s="473"/>
      <c r="K4482" s="478"/>
      <c r="L4482" s="473"/>
      <c r="M4482" s="473"/>
    </row>
    <row r="4483" spans="5:13">
      <c r="E4483" s="473"/>
      <c r="F4483" s="473"/>
      <c r="G4483" s="473"/>
      <c r="H4483" s="473"/>
      <c r="I4483" s="473"/>
      <c r="J4483" s="473"/>
      <c r="K4483" s="478"/>
      <c r="L4483" s="473"/>
      <c r="M4483" s="473"/>
    </row>
    <row r="4484" spans="5:13">
      <c r="E4484" s="473"/>
      <c r="F4484" s="473"/>
      <c r="G4484" s="473"/>
      <c r="H4484" s="473"/>
      <c r="I4484" s="473"/>
      <c r="J4484" s="473"/>
      <c r="K4484" s="478"/>
      <c r="L4484" s="473"/>
      <c r="M4484" s="473"/>
    </row>
    <row r="4485" spans="5:13">
      <c r="E4485" s="473"/>
      <c r="F4485" s="473"/>
      <c r="G4485" s="473"/>
      <c r="H4485" s="473"/>
      <c r="I4485" s="473"/>
      <c r="J4485" s="473"/>
      <c r="K4485" s="478"/>
      <c r="L4485" s="473"/>
      <c r="M4485" s="473"/>
    </row>
    <row r="4486" spans="5:13">
      <c r="E4486" s="473"/>
      <c r="F4486" s="473"/>
      <c r="G4486" s="473"/>
      <c r="H4486" s="473"/>
      <c r="I4486" s="473"/>
      <c r="J4486" s="473"/>
      <c r="K4486" s="478"/>
      <c r="L4486" s="473"/>
      <c r="M4486" s="473"/>
    </row>
    <row r="4487" spans="5:13">
      <c r="E4487" s="473"/>
      <c r="F4487" s="473"/>
      <c r="G4487" s="473"/>
      <c r="H4487" s="473"/>
      <c r="I4487" s="473"/>
      <c r="J4487" s="473"/>
      <c r="K4487" s="478"/>
      <c r="L4487" s="473"/>
      <c r="M4487" s="473"/>
    </row>
    <row r="4488" spans="5:13">
      <c r="E4488" s="473"/>
      <c r="F4488" s="473"/>
      <c r="G4488" s="473"/>
      <c r="H4488" s="473"/>
      <c r="I4488" s="473"/>
      <c r="J4488" s="473"/>
      <c r="K4488" s="478"/>
      <c r="L4488" s="473"/>
      <c r="M4488" s="473"/>
    </row>
    <row r="4489" spans="5:13">
      <c r="E4489" s="473"/>
      <c r="F4489" s="473"/>
      <c r="G4489" s="473"/>
      <c r="H4489" s="473"/>
      <c r="I4489" s="473"/>
      <c r="J4489" s="473"/>
      <c r="K4489" s="478"/>
      <c r="L4489" s="473"/>
      <c r="M4489" s="473"/>
    </row>
    <row r="4490" spans="5:13">
      <c r="E4490" s="473"/>
      <c r="F4490" s="473"/>
      <c r="G4490" s="473"/>
      <c r="H4490" s="473"/>
      <c r="I4490" s="473"/>
      <c r="J4490" s="473"/>
      <c r="K4490" s="478"/>
      <c r="L4490" s="473"/>
      <c r="M4490" s="473"/>
    </row>
    <row r="4491" spans="5:13">
      <c r="E4491" s="473"/>
      <c r="F4491" s="473"/>
      <c r="G4491" s="473"/>
      <c r="H4491" s="473"/>
      <c r="I4491" s="473"/>
      <c r="J4491" s="473"/>
      <c r="K4491" s="478"/>
      <c r="L4491" s="473"/>
      <c r="M4491" s="473"/>
    </row>
    <row r="4492" spans="5:13">
      <c r="E4492" s="473"/>
      <c r="F4492" s="473"/>
      <c r="G4492" s="473"/>
      <c r="H4492" s="473"/>
      <c r="I4492" s="473"/>
      <c r="J4492" s="473"/>
      <c r="K4492" s="478"/>
      <c r="L4492" s="473"/>
      <c r="M4492" s="473"/>
    </row>
    <row r="4493" spans="5:13">
      <c r="E4493" s="473"/>
      <c r="F4493" s="473"/>
      <c r="G4493" s="473"/>
      <c r="H4493" s="473"/>
      <c r="I4493" s="473"/>
      <c r="J4493" s="473"/>
      <c r="K4493" s="478"/>
      <c r="L4493" s="473"/>
      <c r="M4493" s="473"/>
    </row>
    <row r="4494" spans="5:13">
      <c r="E4494" s="473"/>
      <c r="F4494" s="473"/>
      <c r="G4494" s="473"/>
      <c r="H4494" s="473"/>
      <c r="I4494" s="473"/>
      <c r="J4494" s="473"/>
      <c r="K4494" s="478"/>
      <c r="L4494" s="473"/>
      <c r="M4494" s="473"/>
    </row>
    <row r="4495" spans="5:13">
      <c r="E4495" s="473"/>
      <c r="F4495" s="473"/>
      <c r="G4495" s="473"/>
      <c r="H4495" s="473"/>
      <c r="I4495" s="473"/>
      <c r="J4495" s="473"/>
      <c r="K4495" s="478"/>
      <c r="L4495" s="473"/>
      <c r="M4495" s="473"/>
    </row>
    <row r="4496" spans="5:13">
      <c r="E4496" s="473"/>
      <c r="F4496" s="473"/>
      <c r="G4496" s="473"/>
      <c r="H4496" s="473"/>
      <c r="I4496" s="473"/>
      <c r="J4496" s="473"/>
      <c r="K4496" s="478"/>
      <c r="L4496" s="473"/>
      <c r="M4496" s="473"/>
    </row>
    <row r="4497" spans="5:13">
      <c r="E4497" s="473"/>
      <c r="F4497" s="473"/>
      <c r="G4497" s="473"/>
      <c r="H4497" s="473"/>
      <c r="I4497" s="473"/>
      <c r="J4497" s="473"/>
      <c r="K4497" s="478"/>
      <c r="L4497" s="473"/>
      <c r="M4497" s="473"/>
    </row>
    <row r="4498" spans="5:13">
      <c r="E4498" s="473"/>
      <c r="F4498" s="473"/>
      <c r="G4498" s="473"/>
      <c r="H4498" s="473"/>
      <c r="I4498" s="473"/>
      <c r="J4498" s="473"/>
      <c r="K4498" s="478"/>
      <c r="L4498" s="473"/>
      <c r="M4498" s="473"/>
    </row>
    <row r="4499" spans="5:13">
      <c r="E4499" s="473"/>
      <c r="F4499" s="473"/>
      <c r="G4499" s="473"/>
      <c r="H4499" s="473"/>
      <c r="I4499" s="473"/>
      <c r="J4499" s="473"/>
      <c r="K4499" s="478"/>
      <c r="L4499" s="473"/>
      <c r="M4499" s="473"/>
    </row>
    <row r="4500" spans="5:13">
      <c r="E4500" s="473"/>
      <c r="F4500" s="473"/>
      <c r="G4500" s="473"/>
      <c r="H4500" s="473"/>
      <c r="I4500" s="473"/>
      <c r="J4500" s="473"/>
      <c r="K4500" s="478"/>
      <c r="L4500" s="473"/>
      <c r="M4500" s="473"/>
    </row>
    <row r="4501" spans="5:13">
      <c r="E4501" s="473"/>
      <c r="F4501" s="473"/>
      <c r="G4501" s="473"/>
      <c r="H4501" s="473"/>
      <c r="I4501" s="473"/>
      <c r="J4501" s="473"/>
      <c r="K4501" s="478"/>
      <c r="L4501" s="473"/>
      <c r="M4501" s="473"/>
    </row>
    <row r="4502" spans="5:13">
      <c r="E4502" s="473"/>
      <c r="F4502" s="473"/>
      <c r="G4502" s="473"/>
      <c r="H4502" s="473"/>
      <c r="I4502" s="473"/>
      <c r="J4502" s="473"/>
      <c r="K4502" s="478"/>
      <c r="L4502" s="473"/>
      <c r="M4502" s="473"/>
    </row>
    <row r="4503" spans="5:13">
      <c r="E4503" s="473"/>
      <c r="F4503" s="473"/>
      <c r="G4503" s="473"/>
      <c r="H4503" s="473"/>
      <c r="I4503" s="473"/>
      <c r="J4503" s="473"/>
      <c r="K4503" s="478"/>
      <c r="L4503" s="473"/>
      <c r="M4503" s="473"/>
    </row>
    <row r="4504" spans="5:13">
      <c r="E4504" s="473"/>
      <c r="F4504" s="473"/>
      <c r="G4504" s="473"/>
      <c r="H4504" s="473"/>
      <c r="I4504" s="473"/>
      <c r="J4504" s="473"/>
      <c r="K4504" s="478"/>
      <c r="L4504" s="473"/>
      <c r="M4504" s="473"/>
    </row>
    <row r="4505" spans="5:13">
      <c r="E4505" s="473"/>
      <c r="F4505" s="473"/>
      <c r="G4505" s="473"/>
      <c r="H4505" s="473"/>
      <c r="I4505" s="473"/>
      <c r="J4505" s="473"/>
      <c r="K4505" s="478"/>
      <c r="L4505" s="473"/>
      <c r="M4505" s="473"/>
    </row>
    <row r="4506" spans="5:13">
      <c r="E4506" s="473"/>
      <c r="F4506" s="473"/>
      <c r="G4506" s="473"/>
      <c r="H4506" s="473"/>
      <c r="I4506" s="473"/>
      <c r="J4506" s="473"/>
      <c r="K4506" s="478"/>
      <c r="L4506" s="473"/>
      <c r="M4506" s="473"/>
    </row>
    <row r="4507" spans="5:13">
      <c r="E4507" s="473"/>
      <c r="F4507" s="473"/>
      <c r="G4507" s="473"/>
      <c r="H4507" s="473"/>
      <c r="I4507" s="473"/>
      <c r="J4507" s="473"/>
      <c r="K4507" s="478"/>
      <c r="L4507" s="473"/>
      <c r="M4507" s="473"/>
    </row>
    <row r="4508" spans="5:13">
      <c r="E4508" s="473"/>
      <c r="F4508" s="473"/>
      <c r="G4508" s="473"/>
      <c r="H4508" s="473"/>
      <c r="I4508" s="473"/>
      <c r="J4508" s="473"/>
      <c r="K4508" s="478"/>
      <c r="L4508" s="473"/>
      <c r="M4508" s="473"/>
    </row>
    <row r="4509" spans="5:13">
      <c r="E4509" s="473"/>
      <c r="F4509" s="473"/>
      <c r="G4509" s="473"/>
      <c r="H4509" s="473"/>
      <c r="I4509" s="473"/>
      <c r="J4509" s="473"/>
      <c r="K4509" s="478"/>
      <c r="L4509" s="473"/>
      <c r="M4509" s="473"/>
    </row>
    <row r="4510" spans="5:13">
      <c r="E4510" s="473"/>
      <c r="F4510" s="473"/>
      <c r="G4510" s="473"/>
      <c r="H4510" s="473"/>
      <c r="I4510" s="473"/>
      <c r="J4510" s="473"/>
      <c r="K4510" s="478"/>
      <c r="L4510" s="473"/>
      <c r="M4510" s="473"/>
    </row>
    <row r="4511" spans="5:13">
      <c r="E4511" s="473"/>
      <c r="F4511" s="473"/>
      <c r="G4511" s="473"/>
      <c r="H4511" s="473"/>
      <c r="I4511" s="473"/>
      <c r="J4511" s="473"/>
      <c r="K4511" s="478"/>
      <c r="L4511" s="473"/>
      <c r="M4511" s="473"/>
    </row>
    <row r="4512" spans="5:13">
      <c r="E4512" s="473"/>
      <c r="F4512" s="473"/>
      <c r="G4512" s="473"/>
      <c r="H4512" s="473"/>
      <c r="I4512" s="473"/>
      <c r="J4512" s="473"/>
      <c r="K4512" s="478"/>
      <c r="L4512" s="473"/>
      <c r="M4512" s="473"/>
    </row>
    <row r="4513" spans="5:13">
      <c r="E4513" s="473"/>
      <c r="F4513" s="473"/>
      <c r="G4513" s="473"/>
      <c r="H4513" s="473"/>
      <c r="I4513" s="473"/>
      <c r="J4513" s="473"/>
      <c r="K4513" s="478"/>
      <c r="L4513" s="473"/>
      <c r="M4513" s="473"/>
    </row>
    <row r="4514" spans="5:13">
      <c r="E4514" s="473"/>
      <c r="F4514" s="473"/>
      <c r="G4514" s="473"/>
      <c r="H4514" s="473"/>
      <c r="I4514" s="473"/>
      <c r="J4514" s="473"/>
      <c r="K4514" s="478"/>
      <c r="L4514" s="473"/>
      <c r="M4514" s="473"/>
    </row>
    <row r="4515" spans="5:13">
      <c r="E4515" s="473"/>
      <c r="F4515" s="473"/>
      <c r="G4515" s="473"/>
      <c r="H4515" s="473"/>
      <c r="I4515" s="473"/>
      <c r="J4515" s="473"/>
      <c r="K4515" s="478"/>
      <c r="L4515" s="473"/>
      <c r="M4515" s="473"/>
    </row>
    <row r="4516" spans="5:13">
      <c r="E4516" s="473"/>
      <c r="F4516" s="473"/>
      <c r="G4516" s="473"/>
      <c r="H4516" s="473"/>
      <c r="I4516" s="473"/>
      <c r="J4516" s="473"/>
      <c r="K4516" s="478"/>
      <c r="L4516" s="473"/>
      <c r="M4516" s="473"/>
    </row>
    <row r="4517" spans="5:13">
      <c r="E4517" s="473"/>
      <c r="F4517" s="473"/>
      <c r="G4517" s="473"/>
      <c r="H4517" s="473"/>
      <c r="I4517" s="473"/>
      <c r="J4517" s="473"/>
      <c r="K4517" s="478"/>
      <c r="L4517" s="473"/>
      <c r="M4517" s="473"/>
    </row>
    <row r="4518" spans="5:13">
      <c r="E4518" s="473"/>
      <c r="F4518" s="473"/>
      <c r="G4518" s="473"/>
      <c r="H4518" s="473"/>
      <c r="I4518" s="473"/>
      <c r="J4518" s="473"/>
      <c r="K4518" s="478"/>
      <c r="L4518" s="473"/>
      <c r="M4518" s="473"/>
    </row>
    <row r="4519" spans="5:13">
      <c r="E4519" s="473"/>
      <c r="F4519" s="473"/>
      <c r="G4519" s="473"/>
      <c r="H4519" s="473"/>
      <c r="I4519" s="473"/>
      <c r="J4519" s="473"/>
      <c r="K4519" s="478"/>
      <c r="L4519" s="473"/>
      <c r="M4519" s="473"/>
    </row>
    <row r="4520" spans="5:13">
      <c r="E4520" s="473"/>
      <c r="F4520" s="473"/>
      <c r="G4520" s="473"/>
      <c r="H4520" s="473"/>
      <c r="I4520" s="473"/>
      <c r="J4520" s="473"/>
      <c r="K4520" s="478"/>
      <c r="L4520" s="473"/>
      <c r="M4520" s="473"/>
    </row>
    <row r="4521" spans="5:13">
      <c r="E4521" s="473"/>
      <c r="F4521" s="473"/>
      <c r="G4521" s="473"/>
      <c r="H4521" s="473"/>
      <c r="I4521" s="473"/>
      <c r="J4521" s="473"/>
      <c r="K4521" s="478"/>
      <c r="L4521" s="473"/>
      <c r="M4521" s="473"/>
    </row>
    <row r="4522" spans="5:13">
      <c r="E4522" s="473"/>
      <c r="F4522" s="473"/>
      <c r="G4522" s="473"/>
      <c r="H4522" s="473"/>
      <c r="I4522" s="473"/>
      <c r="J4522" s="473"/>
      <c r="K4522" s="478"/>
      <c r="L4522" s="473"/>
      <c r="M4522" s="473"/>
    </row>
    <row r="4523" spans="5:13">
      <c r="E4523" s="473"/>
      <c r="F4523" s="473"/>
      <c r="G4523" s="473"/>
      <c r="H4523" s="473"/>
      <c r="I4523" s="473"/>
      <c r="J4523" s="473"/>
      <c r="K4523" s="478"/>
      <c r="L4523" s="473"/>
      <c r="M4523" s="473"/>
    </row>
    <row r="4524" spans="5:13">
      <c r="E4524" s="473"/>
      <c r="F4524" s="473"/>
      <c r="G4524" s="473"/>
      <c r="H4524" s="473"/>
      <c r="I4524" s="473"/>
      <c r="J4524" s="473"/>
      <c r="K4524" s="478"/>
      <c r="L4524" s="473"/>
      <c r="M4524" s="473"/>
    </row>
    <row r="4525" spans="5:13">
      <c r="E4525" s="473"/>
      <c r="F4525" s="473"/>
      <c r="G4525" s="473"/>
      <c r="H4525" s="473"/>
      <c r="I4525" s="473"/>
      <c r="J4525" s="473"/>
      <c r="K4525" s="478"/>
      <c r="L4525" s="473"/>
      <c r="M4525" s="473"/>
    </row>
    <row r="4526" spans="5:13">
      <c r="E4526" s="473"/>
      <c r="F4526" s="473"/>
      <c r="G4526" s="473"/>
      <c r="H4526" s="473"/>
      <c r="I4526" s="473"/>
      <c r="J4526" s="473"/>
      <c r="K4526" s="478"/>
      <c r="L4526" s="473"/>
      <c r="M4526" s="473"/>
    </row>
    <row r="4527" spans="5:13">
      <c r="E4527" s="473"/>
      <c r="F4527" s="473"/>
      <c r="G4527" s="473"/>
      <c r="H4527" s="473"/>
      <c r="I4527" s="473"/>
      <c r="J4527" s="473"/>
      <c r="K4527" s="478"/>
      <c r="L4527" s="473"/>
      <c r="M4527" s="473"/>
    </row>
    <row r="4528" spans="5:13">
      <c r="E4528" s="473"/>
      <c r="F4528" s="473"/>
      <c r="G4528" s="473"/>
      <c r="H4528" s="473"/>
      <c r="I4528" s="473"/>
      <c r="J4528" s="473"/>
      <c r="K4528" s="478"/>
      <c r="L4528" s="473"/>
      <c r="M4528" s="473"/>
    </row>
    <row r="4529" spans="5:13">
      <c r="E4529" s="473"/>
      <c r="F4529" s="473"/>
      <c r="G4529" s="473"/>
      <c r="H4529" s="473"/>
      <c r="I4529" s="473"/>
      <c r="J4529" s="473"/>
      <c r="K4529" s="478"/>
      <c r="L4529" s="473"/>
      <c r="M4529" s="473"/>
    </row>
    <row r="4530" spans="5:13">
      <c r="E4530" s="473"/>
      <c r="F4530" s="473"/>
      <c r="G4530" s="473"/>
      <c r="H4530" s="473"/>
      <c r="I4530" s="473"/>
      <c r="J4530" s="473"/>
      <c r="K4530" s="478"/>
      <c r="L4530" s="473"/>
      <c r="M4530" s="473"/>
    </row>
    <row r="4531" spans="5:13">
      <c r="E4531" s="473"/>
      <c r="F4531" s="473"/>
      <c r="G4531" s="473"/>
      <c r="H4531" s="473"/>
      <c r="I4531" s="473"/>
      <c r="J4531" s="473"/>
      <c r="K4531" s="478"/>
      <c r="L4531" s="473"/>
      <c r="M4531" s="473"/>
    </row>
    <row r="4532" spans="5:13">
      <c r="E4532" s="473"/>
      <c r="F4532" s="473"/>
      <c r="G4532" s="473"/>
      <c r="H4532" s="473"/>
      <c r="I4532" s="473"/>
      <c r="J4532" s="473"/>
      <c r="K4532" s="478"/>
      <c r="L4532" s="473"/>
      <c r="M4532" s="473"/>
    </row>
    <row r="4533" spans="5:13">
      <c r="E4533" s="473"/>
      <c r="F4533" s="473"/>
      <c r="G4533" s="473"/>
      <c r="H4533" s="473"/>
      <c r="I4533" s="473"/>
      <c r="J4533" s="473"/>
      <c r="K4533" s="478"/>
      <c r="L4533" s="473"/>
      <c r="M4533" s="473"/>
    </row>
    <row r="4534" spans="5:13">
      <c r="E4534" s="473"/>
      <c r="F4534" s="473"/>
      <c r="G4534" s="473"/>
      <c r="H4534" s="473"/>
      <c r="I4534" s="473"/>
      <c r="J4534" s="473"/>
      <c r="K4534" s="478"/>
      <c r="L4534" s="473"/>
      <c r="M4534" s="473"/>
    </row>
    <row r="4535" spans="5:13">
      <c r="E4535" s="473"/>
      <c r="F4535" s="473"/>
      <c r="G4535" s="473"/>
      <c r="H4535" s="473"/>
      <c r="I4535" s="473"/>
      <c r="J4535" s="473"/>
      <c r="K4535" s="478"/>
      <c r="L4535" s="473"/>
      <c r="M4535" s="473"/>
    </row>
    <row r="4536" spans="5:13">
      <c r="E4536" s="473"/>
      <c r="F4536" s="473"/>
      <c r="G4536" s="473"/>
      <c r="H4536" s="473"/>
      <c r="I4536" s="473"/>
      <c r="J4536" s="473"/>
      <c r="K4536" s="478"/>
      <c r="L4536" s="473"/>
      <c r="M4536" s="473"/>
    </row>
    <row r="4537" spans="5:13">
      <c r="E4537" s="473"/>
      <c r="F4537" s="473"/>
      <c r="G4537" s="473"/>
      <c r="H4537" s="473"/>
      <c r="I4537" s="473"/>
      <c r="J4537" s="473"/>
      <c r="K4537" s="478"/>
      <c r="L4537" s="473"/>
      <c r="M4537" s="473"/>
    </row>
    <row r="4538" spans="5:13">
      <c r="E4538" s="473"/>
      <c r="F4538" s="473"/>
      <c r="G4538" s="473"/>
      <c r="H4538" s="473"/>
      <c r="I4538" s="473"/>
      <c r="J4538" s="473"/>
      <c r="K4538" s="478"/>
      <c r="L4538" s="473"/>
      <c r="M4538" s="473"/>
    </row>
    <row r="4539" spans="5:13">
      <c r="E4539" s="473"/>
      <c r="F4539" s="473"/>
      <c r="G4539" s="473"/>
      <c r="H4539" s="473"/>
      <c r="I4539" s="473"/>
      <c r="J4539" s="473"/>
      <c r="K4539" s="478"/>
      <c r="L4539" s="473"/>
      <c r="M4539" s="473"/>
    </row>
    <row r="4540" spans="5:13">
      <c r="E4540" s="473"/>
      <c r="F4540" s="473"/>
      <c r="G4540" s="473"/>
      <c r="H4540" s="473"/>
      <c r="I4540" s="473"/>
      <c r="J4540" s="473"/>
      <c r="K4540" s="478"/>
      <c r="L4540" s="473"/>
      <c r="M4540" s="473"/>
    </row>
    <row r="4541" spans="5:13">
      <c r="E4541" s="473"/>
      <c r="F4541" s="473"/>
      <c r="G4541" s="473"/>
      <c r="H4541" s="473"/>
      <c r="I4541" s="473"/>
      <c r="J4541" s="473"/>
      <c r="K4541" s="478"/>
      <c r="L4541" s="473"/>
      <c r="M4541" s="473"/>
    </row>
    <row r="4542" spans="5:13">
      <c r="E4542" s="473"/>
      <c r="F4542" s="473"/>
      <c r="G4542" s="473"/>
      <c r="H4542" s="473"/>
      <c r="I4542" s="473"/>
      <c r="J4542" s="473"/>
      <c r="K4542" s="478"/>
      <c r="L4542" s="473"/>
      <c r="M4542" s="473"/>
    </row>
    <row r="4543" spans="5:13">
      <c r="E4543" s="473"/>
      <c r="F4543" s="473"/>
      <c r="G4543" s="473"/>
      <c r="H4543" s="473"/>
      <c r="I4543" s="473"/>
      <c r="J4543" s="473"/>
      <c r="K4543" s="478"/>
      <c r="L4543" s="473"/>
      <c r="M4543" s="473"/>
    </row>
    <row r="4544" spans="5:13">
      <c r="E4544" s="473"/>
      <c r="F4544" s="473"/>
      <c r="G4544" s="473"/>
      <c r="H4544" s="473"/>
      <c r="I4544" s="473"/>
      <c r="J4544" s="473"/>
      <c r="K4544" s="478"/>
      <c r="L4544" s="473"/>
      <c r="M4544" s="473"/>
    </row>
    <row r="4545" spans="5:13">
      <c r="E4545" s="473"/>
      <c r="F4545" s="473"/>
      <c r="G4545" s="473"/>
      <c r="H4545" s="473"/>
      <c r="I4545" s="473"/>
      <c r="J4545" s="473"/>
      <c r="K4545" s="478"/>
      <c r="L4545" s="473"/>
      <c r="M4545" s="473"/>
    </row>
    <row r="4546" spans="5:13">
      <c r="E4546" s="473"/>
      <c r="F4546" s="473"/>
      <c r="G4546" s="473"/>
      <c r="H4546" s="473"/>
      <c r="I4546" s="473"/>
      <c r="J4546" s="473"/>
      <c r="K4546" s="478"/>
      <c r="L4546" s="473"/>
      <c r="M4546" s="473"/>
    </row>
    <row r="4547" spans="5:13">
      <c r="E4547" s="473"/>
      <c r="F4547" s="473"/>
      <c r="G4547" s="473"/>
      <c r="H4547" s="473"/>
      <c r="I4547" s="473"/>
      <c r="J4547" s="473"/>
      <c r="K4547" s="478"/>
      <c r="L4547" s="473"/>
      <c r="M4547" s="473"/>
    </row>
    <row r="4548" spans="5:13">
      <c r="E4548" s="473"/>
      <c r="F4548" s="473"/>
      <c r="G4548" s="473"/>
      <c r="H4548" s="473"/>
      <c r="I4548" s="473"/>
      <c r="J4548" s="473"/>
      <c r="K4548" s="478"/>
      <c r="L4548" s="473"/>
      <c r="M4548" s="473"/>
    </row>
    <row r="4549" spans="5:13">
      <c r="E4549" s="473"/>
      <c r="F4549" s="473"/>
      <c r="G4549" s="473"/>
      <c r="H4549" s="473"/>
      <c r="I4549" s="473"/>
      <c r="J4549" s="473"/>
      <c r="K4549" s="478"/>
      <c r="L4549" s="473"/>
      <c r="M4549" s="473"/>
    </row>
    <row r="4550" spans="5:13">
      <c r="E4550" s="473"/>
      <c r="F4550" s="473"/>
      <c r="G4550" s="473"/>
      <c r="H4550" s="473"/>
      <c r="I4550" s="473"/>
      <c r="J4550" s="473"/>
      <c r="K4550" s="478"/>
      <c r="L4550" s="473"/>
      <c r="M4550" s="473"/>
    </row>
    <row r="4551" spans="5:13">
      <c r="E4551" s="473"/>
      <c r="F4551" s="473"/>
      <c r="G4551" s="473"/>
      <c r="H4551" s="473"/>
      <c r="I4551" s="473"/>
      <c r="J4551" s="473"/>
      <c r="K4551" s="478"/>
      <c r="L4551" s="473"/>
      <c r="M4551" s="473"/>
    </row>
    <row r="4552" spans="5:13">
      <c r="E4552" s="473"/>
      <c r="F4552" s="473"/>
      <c r="G4552" s="473"/>
      <c r="H4552" s="473"/>
      <c r="I4552" s="473"/>
      <c r="J4552" s="473"/>
      <c r="K4552" s="478"/>
      <c r="L4552" s="473"/>
      <c r="M4552" s="473"/>
    </row>
    <row r="4553" spans="5:13">
      <c r="E4553" s="473"/>
      <c r="F4553" s="473"/>
      <c r="G4553" s="473"/>
      <c r="H4553" s="473"/>
      <c r="I4553" s="473"/>
      <c r="J4553" s="473"/>
      <c r="K4553" s="478"/>
      <c r="L4553" s="473"/>
      <c r="M4553" s="473"/>
    </row>
    <row r="4554" spans="5:13">
      <c r="E4554" s="473"/>
      <c r="F4554" s="473"/>
      <c r="G4554" s="473"/>
      <c r="H4554" s="473"/>
      <c r="I4554" s="473"/>
      <c r="J4554" s="473"/>
      <c r="K4554" s="478"/>
      <c r="L4554" s="473"/>
      <c r="M4554" s="473"/>
    </row>
    <row r="4555" spans="5:13">
      <c r="E4555" s="473"/>
      <c r="F4555" s="473"/>
      <c r="G4555" s="473"/>
      <c r="H4555" s="473"/>
      <c r="I4555" s="473"/>
      <c r="J4555" s="473"/>
      <c r="K4555" s="478"/>
      <c r="L4555" s="473"/>
      <c r="M4555" s="473"/>
    </row>
    <row r="4556" spans="5:13">
      <c r="E4556" s="473"/>
      <c r="F4556" s="473"/>
      <c r="G4556" s="473"/>
      <c r="H4556" s="473"/>
      <c r="I4556" s="473"/>
      <c r="J4556" s="473"/>
      <c r="K4556" s="478"/>
      <c r="L4556" s="473"/>
      <c r="M4556" s="473"/>
    </row>
    <row r="4557" spans="5:13">
      <c r="E4557" s="473"/>
      <c r="F4557" s="473"/>
      <c r="G4557" s="473"/>
      <c r="H4557" s="473"/>
      <c r="I4557" s="473"/>
      <c r="J4557" s="473"/>
      <c r="K4557" s="478"/>
      <c r="L4557" s="473"/>
      <c r="M4557" s="473"/>
    </row>
    <row r="4558" spans="5:13">
      <c r="E4558" s="473"/>
      <c r="F4558" s="473"/>
      <c r="G4558" s="473"/>
      <c r="H4558" s="473"/>
      <c r="I4558" s="473"/>
      <c r="J4558" s="473"/>
      <c r="K4558" s="478"/>
      <c r="L4558" s="473"/>
      <c r="M4558" s="473"/>
    </row>
    <row r="4559" spans="5:13">
      <c r="E4559" s="473"/>
      <c r="F4559" s="473"/>
      <c r="G4559" s="473"/>
      <c r="H4559" s="473"/>
      <c r="I4559" s="473"/>
      <c r="J4559" s="473"/>
      <c r="K4559" s="478"/>
      <c r="L4559" s="473"/>
      <c r="M4559" s="473"/>
    </row>
    <row r="4560" spans="5:13">
      <c r="E4560" s="473"/>
      <c r="F4560" s="473"/>
      <c r="G4560" s="473"/>
      <c r="H4560" s="473"/>
      <c r="I4560" s="473"/>
      <c r="J4560" s="473"/>
      <c r="K4560" s="478"/>
      <c r="L4560" s="473"/>
      <c r="M4560" s="473"/>
    </row>
    <row r="4561" spans="5:13">
      <c r="E4561" s="473"/>
      <c r="F4561" s="473"/>
      <c r="G4561" s="473"/>
      <c r="H4561" s="473"/>
      <c r="I4561" s="473"/>
      <c r="J4561" s="473"/>
      <c r="K4561" s="478"/>
      <c r="L4561" s="473"/>
      <c r="M4561" s="473"/>
    </row>
    <row r="4562" spans="5:13">
      <c r="E4562" s="473"/>
      <c r="F4562" s="473"/>
      <c r="G4562" s="473"/>
      <c r="H4562" s="473"/>
      <c r="I4562" s="473"/>
      <c r="J4562" s="473"/>
      <c r="K4562" s="478"/>
      <c r="L4562" s="473"/>
      <c r="M4562" s="473"/>
    </row>
    <row r="4563" spans="5:13">
      <c r="E4563" s="473"/>
      <c r="F4563" s="473"/>
      <c r="G4563" s="473"/>
      <c r="H4563" s="473"/>
      <c r="I4563" s="473"/>
      <c r="J4563" s="473"/>
      <c r="K4563" s="478"/>
      <c r="L4563" s="473"/>
      <c r="M4563" s="473"/>
    </row>
    <row r="4564" spans="5:13">
      <c r="E4564" s="473"/>
      <c r="F4564" s="473"/>
      <c r="G4564" s="473"/>
      <c r="H4564" s="473"/>
      <c r="I4564" s="473"/>
      <c r="J4564" s="473"/>
      <c r="K4564" s="478"/>
      <c r="L4564" s="473"/>
      <c r="M4564" s="473"/>
    </row>
    <row r="4565" spans="5:13">
      <c r="E4565" s="473"/>
      <c r="F4565" s="473"/>
      <c r="G4565" s="473"/>
      <c r="H4565" s="473"/>
      <c r="I4565" s="473"/>
      <c r="J4565" s="473"/>
      <c r="K4565" s="478"/>
      <c r="L4565" s="473"/>
      <c r="M4565" s="473"/>
    </row>
    <row r="4566" spans="5:13">
      <c r="E4566" s="473"/>
      <c r="F4566" s="473"/>
      <c r="G4566" s="473"/>
      <c r="H4566" s="473"/>
      <c r="I4566" s="473"/>
      <c r="J4566" s="473"/>
      <c r="K4566" s="478"/>
      <c r="L4566" s="473"/>
      <c r="M4566" s="473"/>
    </row>
    <row r="4567" spans="5:13">
      <c r="E4567" s="473"/>
      <c r="F4567" s="473"/>
      <c r="G4567" s="473"/>
      <c r="H4567" s="473"/>
      <c r="I4567" s="473"/>
      <c r="J4567" s="473"/>
      <c r="K4567" s="478"/>
      <c r="L4567" s="473"/>
      <c r="M4567" s="473"/>
    </row>
    <row r="4568" spans="5:13">
      <c r="E4568" s="473"/>
      <c r="F4568" s="473"/>
      <c r="G4568" s="473"/>
      <c r="H4568" s="473"/>
      <c r="I4568" s="473"/>
      <c r="J4568" s="473"/>
      <c r="K4568" s="478"/>
      <c r="L4568" s="473"/>
      <c r="M4568" s="473"/>
    </row>
    <row r="4569" spans="5:13">
      <c r="E4569" s="473"/>
      <c r="F4569" s="473"/>
      <c r="G4569" s="473"/>
      <c r="H4569" s="473"/>
      <c r="I4569" s="473"/>
      <c r="J4569" s="473"/>
      <c r="K4569" s="478"/>
      <c r="L4569" s="473"/>
      <c r="M4569" s="473"/>
    </row>
    <row r="4570" spans="5:13">
      <c r="E4570" s="473"/>
      <c r="F4570" s="473"/>
      <c r="G4570" s="473"/>
      <c r="H4570" s="473"/>
      <c r="I4570" s="473"/>
      <c r="J4570" s="473"/>
      <c r="K4570" s="478"/>
      <c r="L4570" s="473"/>
      <c r="M4570" s="473"/>
    </row>
    <row r="4571" spans="5:13">
      <c r="E4571" s="473"/>
      <c r="F4571" s="473"/>
      <c r="G4571" s="473"/>
      <c r="H4571" s="473"/>
      <c r="I4571" s="473"/>
      <c r="J4571" s="473"/>
      <c r="K4571" s="478"/>
      <c r="L4571" s="473"/>
      <c r="M4571" s="473"/>
    </row>
    <row r="4572" spans="5:13">
      <c r="E4572" s="473"/>
      <c r="F4572" s="473"/>
      <c r="G4572" s="473"/>
      <c r="H4572" s="473"/>
      <c r="I4572" s="473"/>
      <c r="J4572" s="473"/>
      <c r="K4572" s="478"/>
      <c r="L4572" s="473"/>
      <c r="M4572" s="473"/>
    </row>
    <row r="4573" spans="5:13">
      <c r="E4573" s="473"/>
      <c r="F4573" s="473"/>
      <c r="G4573" s="473"/>
      <c r="H4573" s="473"/>
      <c r="I4573" s="473"/>
      <c r="J4573" s="473"/>
      <c r="K4573" s="478"/>
      <c r="L4573" s="473"/>
      <c r="M4573" s="473"/>
    </row>
    <row r="4574" spans="5:13">
      <c r="E4574" s="473"/>
      <c r="F4574" s="473"/>
      <c r="G4574" s="473"/>
      <c r="H4574" s="473"/>
      <c r="I4574" s="473"/>
      <c r="J4574" s="473"/>
      <c r="K4574" s="478"/>
      <c r="L4574" s="473"/>
      <c r="M4574" s="473"/>
    </row>
    <row r="4575" spans="5:13">
      <c r="E4575" s="473"/>
      <c r="F4575" s="473"/>
      <c r="G4575" s="473"/>
      <c r="H4575" s="473"/>
      <c r="I4575" s="473"/>
      <c r="J4575" s="473"/>
      <c r="K4575" s="478"/>
      <c r="L4575" s="473"/>
      <c r="M4575" s="473"/>
    </row>
    <row r="4576" spans="5:13">
      <c r="E4576" s="473"/>
      <c r="F4576" s="473"/>
      <c r="G4576" s="473"/>
      <c r="H4576" s="473"/>
      <c r="I4576" s="473"/>
      <c r="J4576" s="473"/>
      <c r="K4576" s="478"/>
      <c r="L4576" s="473"/>
      <c r="M4576" s="473"/>
    </row>
    <row r="4577" spans="5:13">
      <c r="E4577" s="473"/>
      <c r="F4577" s="473"/>
      <c r="G4577" s="473"/>
      <c r="H4577" s="473"/>
      <c r="I4577" s="473"/>
      <c r="J4577" s="473"/>
      <c r="K4577" s="478"/>
      <c r="L4577" s="473"/>
      <c r="M4577" s="473"/>
    </row>
    <row r="4578" spans="5:13">
      <c r="E4578" s="473"/>
      <c r="F4578" s="473"/>
      <c r="G4578" s="473"/>
      <c r="H4578" s="473"/>
      <c r="I4578" s="473"/>
      <c r="J4578" s="473"/>
      <c r="K4578" s="478"/>
      <c r="L4578" s="473"/>
      <c r="M4578" s="473"/>
    </row>
    <row r="4579" spans="5:13">
      <c r="E4579" s="473"/>
      <c r="F4579" s="473"/>
      <c r="G4579" s="473"/>
      <c r="H4579" s="473"/>
      <c r="I4579" s="473"/>
      <c r="J4579" s="473"/>
      <c r="K4579" s="478"/>
      <c r="L4579" s="473"/>
      <c r="M4579" s="473"/>
    </row>
    <row r="4580" spans="5:13">
      <c r="E4580" s="473"/>
      <c r="F4580" s="473"/>
      <c r="G4580" s="473"/>
      <c r="H4580" s="473"/>
      <c r="I4580" s="473"/>
      <c r="J4580" s="473"/>
      <c r="K4580" s="478"/>
      <c r="L4580" s="473"/>
      <c r="M4580" s="473"/>
    </row>
    <row r="4581" spans="5:13">
      <c r="E4581" s="473"/>
      <c r="F4581" s="473"/>
      <c r="G4581" s="473"/>
      <c r="H4581" s="473"/>
      <c r="I4581" s="473"/>
      <c r="J4581" s="473"/>
      <c r="K4581" s="478"/>
      <c r="L4581" s="473"/>
      <c r="M4581" s="473"/>
    </row>
    <row r="4582" spans="5:13">
      <c r="E4582" s="473"/>
      <c r="F4582" s="473"/>
      <c r="G4582" s="473"/>
      <c r="H4582" s="473"/>
      <c r="I4582" s="473"/>
      <c r="J4582" s="473"/>
      <c r="K4582" s="478"/>
      <c r="L4582" s="473"/>
      <c r="M4582" s="473"/>
    </row>
    <row r="4583" spans="5:13">
      <c r="E4583" s="473"/>
      <c r="F4583" s="473"/>
      <c r="G4583" s="473"/>
      <c r="H4583" s="473"/>
      <c r="I4583" s="473"/>
      <c r="J4583" s="473"/>
      <c r="K4583" s="478"/>
      <c r="L4583" s="473"/>
      <c r="M4583" s="473"/>
    </row>
    <row r="4584" spans="5:13">
      <c r="E4584" s="473"/>
      <c r="F4584" s="473"/>
      <c r="G4584" s="473"/>
      <c r="H4584" s="473"/>
      <c r="I4584" s="473"/>
      <c r="J4584" s="473"/>
      <c r="K4584" s="478"/>
      <c r="L4584" s="473"/>
      <c r="M4584" s="473"/>
    </row>
    <row r="4585" spans="5:13">
      <c r="E4585" s="473"/>
      <c r="F4585" s="473"/>
      <c r="G4585" s="473"/>
      <c r="H4585" s="473"/>
      <c r="I4585" s="473"/>
      <c r="J4585" s="473"/>
      <c r="K4585" s="478"/>
      <c r="L4585" s="473"/>
      <c r="M4585" s="473"/>
    </row>
    <row r="4586" spans="5:13">
      <c r="E4586" s="473"/>
      <c r="F4586" s="473"/>
      <c r="G4586" s="473"/>
      <c r="H4586" s="473"/>
      <c r="I4586" s="473"/>
      <c r="J4586" s="473"/>
      <c r="K4586" s="478"/>
      <c r="L4586" s="473"/>
      <c r="M4586" s="473"/>
    </row>
    <row r="4587" spans="5:13">
      <c r="E4587" s="473"/>
      <c r="F4587" s="473"/>
      <c r="G4587" s="473"/>
      <c r="H4587" s="473"/>
      <c r="I4587" s="473"/>
      <c r="J4587" s="473"/>
      <c r="K4587" s="478"/>
      <c r="L4587" s="473"/>
      <c r="M4587" s="473"/>
    </row>
    <row r="4588" spans="5:13">
      <c r="E4588" s="473"/>
      <c r="F4588" s="473"/>
      <c r="G4588" s="473"/>
      <c r="H4588" s="473"/>
      <c r="I4588" s="473"/>
      <c r="J4588" s="473"/>
      <c r="K4588" s="478"/>
      <c r="L4588" s="473"/>
      <c r="M4588" s="473"/>
    </row>
    <row r="4589" spans="5:13">
      <c r="E4589" s="473"/>
      <c r="F4589" s="473"/>
      <c r="G4589" s="473"/>
      <c r="H4589" s="473"/>
      <c r="I4589" s="473"/>
      <c r="J4589" s="473"/>
      <c r="K4589" s="478"/>
      <c r="L4589" s="473"/>
      <c r="M4589" s="473"/>
    </row>
    <row r="4590" spans="5:13">
      <c r="E4590" s="473"/>
      <c r="F4590" s="473"/>
      <c r="G4590" s="473"/>
      <c r="H4590" s="473"/>
      <c r="I4590" s="473"/>
      <c r="J4590" s="473"/>
      <c r="K4590" s="478"/>
      <c r="L4590" s="473"/>
      <c r="M4590" s="473"/>
    </row>
    <row r="4591" spans="5:13">
      <c r="E4591" s="473"/>
      <c r="F4591" s="473"/>
      <c r="G4591" s="473"/>
      <c r="H4591" s="473"/>
      <c r="I4591" s="473"/>
      <c r="J4591" s="473"/>
      <c r="K4591" s="478"/>
      <c r="L4591" s="473"/>
      <c r="M4591" s="473"/>
    </row>
    <row r="4592" spans="5:13">
      <c r="E4592" s="473"/>
      <c r="F4592" s="473"/>
      <c r="G4592" s="473"/>
      <c r="H4592" s="473"/>
      <c r="I4592" s="473"/>
      <c r="J4592" s="473"/>
      <c r="K4592" s="478"/>
      <c r="L4592" s="473"/>
      <c r="M4592" s="473"/>
    </row>
    <row r="4593" spans="5:13">
      <c r="E4593" s="473"/>
      <c r="F4593" s="473"/>
      <c r="G4593" s="473"/>
      <c r="H4593" s="473"/>
      <c r="I4593" s="473"/>
      <c r="J4593" s="473"/>
      <c r="K4593" s="478"/>
      <c r="L4593" s="473"/>
      <c r="M4593" s="473"/>
    </row>
    <row r="4594" spans="5:13">
      <c r="E4594" s="473"/>
      <c r="F4594" s="473"/>
      <c r="G4594" s="473"/>
      <c r="H4594" s="473"/>
      <c r="I4594" s="473"/>
      <c r="J4594" s="473"/>
      <c r="K4594" s="478"/>
      <c r="L4594" s="473"/>
      <c r="M4594" s="473"/>
    </row>
    <row r="4595" spans="5:13">
      <c r="E4595" s="473"/>
      <c r="F4595" s="473"/>
      <c r="G4595" s="473"/>
      <c r="H4595" s="473"/>
      <c r="I4595" s="473"/>
      <c r="J4595" s="473"/>
      <c r="K4595" s="478"/>
      <c r="L4595" s="473"/>
      <c r="M4595" s="473"/>
    </row>
    <row r="4596" spans="5:13">
      <c r="E4596" s="473"/>
      <c r="F4596" s="473"/>
      <c r="G4596" s="473"/>
      <c r="H4596" s="473"/>
      <c r="I4596" s="473"/>
      <c r="J4596" s="473"/>
      <c r="K4596" s="478"/>
      <c r="L4596" s="473"/>
      <c r="M4596" s="473"/>
    </row>
    <row r="4597" spans="5:13">
      <c r="E4597" s="473"/>
      <c r="F4597" s="473"/>
      <c r="G4597" s="473"/>
      <c r="H4597" s="473"/>
      <c r="I4597" s="473"/>
      <c r="J4597" s="473"/>
      <c r="K4597" s="478"/>
      <c r="L4597" s="473"/>
      <c r="M4597" s="473"/>
    </row>
    <row r="4598" spans="5:13">
      <c r="E4598" s="473"/>
      <c r="F4598" s="473"/>
      <c r="G4598" s="473"/>
      <c r="H4598" s="473"/>
      <c r="I4598" s="473"/>
      <c r="J4598" s="473"/>
      <c r="K4598" s="478"/>
      <c r="L4598" s="473"/>
      <c r="M4598" s="473"/>
    </row>
    <row r="4599" spans="5:13">
      <c r="E4599" s="473"/>
      <c r="F4599" s="473"/>
      <c r="G4599" s="473"/>
      <c r="H4599" s="473"/>
      <c r="I4599" s="473"/>
      <c r="J4599" s="473"/>
      <c r="K4599" s="478"/>
      <c r="L4599" s="473"/>
      <c r="M4599" s="473"/>
    </row>
    <row r="4600" spans="5:13">
      <c r="E4600" s="473"/>
      <c r="F4600" s="473"/>
      <c r="G4600" s="473"/>
      <c r="H4600" s="473"/>
      <c r="I4600" s="473"/>
      <c r="J4600" s="473"/>
      <c r="K4600" s="478"/>
      <c r="L4600" s="473"/>
      <c r="M4600" s="473"/>
    </row>
    <row r="4601" spans="5:13">
      <c r="E4601" s="473"/>
      <c r="F4601" s="473"/>
      <c r="G4601" s="473"/>
      <c r="H4601" s="473"/>
      <c r="I4601" s="473"/>
      <c r="J4601" s="473"/>
      <c r="K4601" s="478"/>
      <c r="L4601" s="473"/>
      <c r="M4601" s="473"/>
    </row>
    <row r="4602" spans="5:13">
      <c r="E4602" s="473"/>
      <c r="F4602" s="473"/>
      <c r="G4602" s="473"/>
      <c r="H4602" s="473"/>
      <c r="I4602" s="473"/>
      <c r="J4602" s="473"/>
      <c r="K4602" s="478"/>
      <c r="L4602" s="473"/>
      <c r="M4602" s="473"/>
    </row>
    <row r="4603" spans="5:13">
      <c r="E4603" s="473"/>
      <c r="F4603" s="473"/>
      <c r="G4603" s="473"/>
      <c r="H4603" s="473"/>
      <c r="I4603" s="473"/>
      <c r="J4603" s="473"/>
      <c r="K4603" s="478"/>
      <c r="L4603" s="473"/>
      <c r="M4603" s="473"/>
    </row>
    <row r="4604" spans="5:13">
      <c r="E4604" s="473"/>
      <c r="F4604" s="473"/>
      <c r="G4604" s="473"/>
      <c r="H4604" s="473"/>
      <c r="I4604" s="473"/>
      <c r="J4604" s="473"/>
      <c r="K4604" s="478"/>
      <c r="L4604" s="473"/>
      <c r="M4604" s="473"/>
    </row>
    <row r="4605" spans="5:13">
      <c r="E4605" s="473"/>
      <c r="F4605" s="473"/>
      <c r="G4605" s="473"/>
      <c r="H4605" s="473"/>
      <c r="I4605" s="473"/>
      <c r="J4605" s="473"/>
      <c r="K4605" s="478"/>
      <c r="L4605" s="473"/>
      <c r="M4605" s="473"/>
    </row>
    <row r="4606" spans="5:13">
      <c r="E4606" s="473"/>
      <c r="F4606" s="473"/>
      <c r="G4606" s="473"/>
      <c r="H4606" s="473"/>
      <c r="I4606" s="473"/>
      <c r="J4606" s="473"/>
      <c r="K4606" s="478"/>
      <c r="L4606" s="473"/>
      <c r="M4606" s="473"/>
    </row>
    <row r="4607" spans="5:13">
      <c r="E4607" s="473"/>
      <c r="F4607" s="473"/>
      <c r="G4607" s="473"/>
      <c r="H4607" s="473"/>
      <c r="I4607" s="473"/>
      <c r="J4607" s="473"/>
      <c r="K4607" s="478"/>
      <c r="L4607" s="473"/>
      <c r="M4607" s="473"/>
    </row>
    <row r="4608" spans="5:13">
      <c r="E4608" s="473"/>
      <c r="F4608" s="473"/>
      <c r="G4608" s="473"/>
      <c r="H4608" s="473"/>
      <c r="I4608" s="473"/>
      <c r="J4608" s="473"/>
      <c r="K4608" s="478"/>
      <c r="L4608" s="473"/>
      <c r="M4608" s="473"/>
    </row>
    <row r="4609" spans="5:13">
      <c r="E4609" s="473"/>
      <c r="F4609" s="473"/>
      <c r="G4609" s="473"/>
      <c r="H4609" s="473"/>
      <c r="I4609" s="473"/>
      <c r="J4609" s="473"/>
      <c r="K4609" s="478"/>
      <c r="L4609" s="473"/>
      <c r="M4609" s="473"/>
    </row>
    <row r="4610" spans="5:13">
      <c r="E4610" s="473"/>
      <c r="F4610" s="473"/>
      <c r="G4610" s="473"/>
      <c r="H4610" s="473"/>
      <c r="I4610" s="473"/>
      <c r="J4610" s="473"/>
      <c r="K4610" s="478"/>
      <c r="L4610" s="473"/>
      <c r="M4610" s="473"/>
    </row>
    <row r="4611" spans="5:13">
      <c r="E4611" s="473"/>
      <c r="F4611" s="473"/>
      <c r="G4611" s="473"/>
      <c r="H4611" s="473"/>
      <c r="I4611" s="473"/>
      <c r="J4611" s="473"/>
      <c r="K4611" s="478"/>
      <c r="L4611" s="473"/>
      <c r="M4611" s="473"/>
    </row>
    <row r="4612" spans="5:13">
      <c r="E4612" s="473"/>
      <c r="F4612" s="473"/>
      <c r="G4612" s="473"/>
      <c r="H4612" s="473"/>
      <c r="I4612" s="473"/>
      <c r="J4612" s="473"/>
      <c r="K4612" s="478"/>
      <c r="L4612" s="473"/>
      <c r="M4612" s="473"/>
    </row>
    <row r="4613" spans="5:13">
      <c r="E4613" s="473"/>
      <c r="F4613" s="473"/>
      <c r="G4613" s="473"/>
      <c r="H4613" s="473"/>
      <c r="I4613" s="473"/>
      <c r="J4613" s="473"/>
      <c r="K4613" s="478"/>
      <c r="L4613" s="473"/>
      <c r="M4613" s="473"/>
    </row>
    <row r="4614" spans="5:13">
      <c r="E4614" s="473"/>
      <c r="F4614" s="473"/>
      <c r="G4614" s="473"/>
      <c r="H4614" s="473"/>
      <c r="I4614" s="473"/>
      <c r="J4614" s="473"/>
      <c r="K4614" s="478"/>
      <c r="L4614" s="473"/>
      <c r="M4614" s="473"/>
    </row>
    <row r="4615" spans="5:13">
      <c r="E4615" s="473"/>
      <c r="F4615" s="473"/>
      <c r="G4615" s="473"/>
      <c r="H4615" s="473"/>
      <c r="I4615" s="473"/>
      <c r="J4615" s="473"/>
      <c r="K4615" s="478"/>
      <c r="L4615" s="473"/>
      <c r="M4615" s="473"/>
    </row>
    <row r="4616" spans="5:13">
      <c r="E4616" s="473"/>
      <c r="F4616" s="473"/>
      <c r="G4616" s="473"/>
      <c r="H4616" s="473"/>
      <c r="I4616" s="473"/>
      <c r="J4616" s="473"/>
      <c r="K4616" s="478"/>
      <c r="L4616" s="473"/>
      <c r="M4616" s="473"/>
    </row>
    <row r="4617" spans="5:13">
      <c r="E4617" s="473"/>
      <c r="F4617" s="473"/>
      <c r="G4617" s="473"/>
      <c r="H4617" s="473"/>
      <c r="I4617" s="473"/>
      <c r="J4617" s="473"/>
      <c r="K4617" s="478"/>
      <c r="L4617" s="473"/>
      <c r="M4617" s="473"/>
    </row>
    <row r="4618" spans="5:13">
      <c r="E4618" s="473"/>
      <c r="F4618" s="473"/>
      <c r="G4618" s="473"/>
      <c r="H4618" s="473"/>
      <c r="I4618" s="473"/>
      <c r="J4618" s="473"/>
      <c r="K4618" s="478"/>
      <c r="L4618" s="473"/>
      <c r="M4618" s="473"/>
    </row>
    <row r="4619" spans="5:13">
      <c r="E4619" s="473"/>
      <c r="F4619" s="473"/>
      <c r="G4619" s="473"/>
      <c r="H4619" s="473"/>
      <c r="I4619" s="473"/>
      <c r="J4619" s="473"/>
      <c r="K4619" s="478"/>
      <c r="L4619" s="473"/>
      <c r="M4619" s="473"/>
    </row>
    <row r="4620" spans="5:13">
      <c r="E4620" s="473"/>
      <c r="F4620" s="473"/>
      <c r="G4620" s="473"/>
      <c r="H4620" s="473"/>
      <c r="I4620" s="473"/>
      <c r="J4620" s="473"/>
      <c r="K4620" s="478"/>
      <c r="L4620" s="473"/>
      <c r="M4620" s="473"/>
    </row>
    <row r="4621" spans="5:13">
      <c r="E4621" s="473"/>
      <c r="F4621" s="473"/>
      <c r="G4621" s="473"/>
      <c r="H4621" s="473"/>
      <c r="I4621" s="473"/>
      <c r="J4621" s="473"/>
      <c r="K4621" s="478"/>
      <c r="L4621" s="473"/>
      <c r="M4621" s="473"/>
    </row>
    <row r="4622" spans="5:13">
      <c r="E4622" s="473"/>
      <c r="F4622" s="473"/>
      <c r="G4622" s="473"/>
      <c r="H4622" s="473"/>
      <c r="I4622" s="473"/>
      <c r="J4622" s="473"/>
      <c r="K4622" s="478"/>
      <c r="L4622" s="473"/>
      <c r="M4622" s="473"/>
    </row>
    <row r="4623" spans="5:13">
      <c r="E4623" s="473"/>
      <c r="F4623" s="473"/>
      <c r="G4623" s="473"/>
      <c r="H4623" s="473"/>
      <c r="I4623" s="473"/>
      <c r="J4623" s="473"/>
      <c r="K4623" s="478"/>
      <c r="L4623" s="473"/>
      <c r="M4623" s="473"/>
    </row>
    <row r="4624" spans="5:13">
      <c r="E4624" s="473"/>
      <c r="F4624" s="473"/>
      <c r="G4624" s="473"/>
      <c r="H4624" s="473"/>
      <c r="I4624" s="473"/>
      <c r="J4624" s="473"/>
      <c r="K4624" s="478"/>
      <c r="L4624" s="473"/>
      <c r="M4624" s="473"/>
    </row>
    <row r="4625" spans="5:13">
      <c r="E4625" s="473"/>
      <c r="F4625" s="473"/>
      <c r="G4625" s="473"/>
      <c r="H4625" s="473"/>
      <c r="I4625" s="473"/>
      <c r="J4625" s="473"/>
      <c r="K4625" s="478"/>
      <c r="L4625" s="473"/>
      <c r="M4625" s="473"/>
    </row>
    <row r="4626" spans="5:13">
      <c r="E4626" s="473"/>
      <c r="F4626" s="473"/>
      <c r="G4626" s="473"/>
      <c r="H4626" s="473"/>
      <c r="I4626" s="473"/>
      <c r="J4626" s="473"/>
      <c r="K4626" s="478"/>
      <c r="L4626" s="473"/>
      <c r="M4626" s="473"/>
    </row>
    <row r="4627" spans="5:13">
      <c r="E4627" s="473"/>
      <c r="F4627" s="473"/>
      <c r="G4627" s="473"/>
      <c r="H4627" s="473"/>
      <c r="I4627" s="473"/>
      <c r="J4627" s="473"/>
      <c r="K4627" s="478"/>
      <c r="L4627" s="473"/>
      <c r="M4627" s="473"/>
    </row>
    <row r="4628" spans="5:13">
      <c r="E4628" s="473"/>
      <c r="F4628" s="473"/>
      <c r="G4628" s="473"/>
      <c r="H4628" s="473"/>
      <c r="I4628" s="473"/>
      <c r="J4628" s="473"/>
      <c r="K4628" s="478"/>
      <c r="L4628" s="473"/>
      <c r="M4628" s="473"/>
    </row>
    <row r="4629" spans="5:13">
      <c r="E4629" s="473"/>
      <c r="F4629" s="473"/>
      <c r="G4629" s="473"/>
      <c r="H4629" s="473"/>
      <c r="I4629" s="473"/>
      <c r="J4629" s="473"/>
      <c r="K4629" s="478"/>
      <c r="L4629" s="473"/>
      <c r="M4629" s="473"/>
    </row>
    <row r="4630" spans="5:13">
      <c r="E4630" s="473"/>
      <c r="F4630" s="473"/>
      <c r="G4630" s="473"/>
      <c r="H4630" s="473"/>
      <c r="I4630" s="473"/>
      <c r="J4630" s="473"/>
      <c r="K4630" s="478"/>
      <c r="L4630" s="473"/>
      <c r="M4630" s="473"/>
    </row>
    <row r="4631" spans="5:13">
      <c r="E4631" s="473"/>
      <c r="F4631" s="473"/>
      <c r="G4631" s="473"/>
      <c r="H4631" s="473"/>
      <c r="I4631" s="473"/>
      <c r="J4631" s="473"/>
      <c r="K4631" s="478"/>
      <c r="L4631" s="473"/>
      <c r="M4631" s="473"/>
    </row>
    <row r="4632" spans="5:13">
      <c r="E4632" s="473"/>
      <c r="F4632" s="473"/>
      <c r="G4632" s="473"/>
      <c r="H4632" s="473"/>
      <c r="I4632" s="473"/>
      <c r="J4632" s="473"/>
      <c r="K4632" s="478"/>
      <c r="L4632" s="473"/>
      <c r="M4632" s="473"/>
    </row>
    <row r="4633" spans="5:13">
      <c r="E4633" s="473"/>
      <c r="F4633" s="473"/>
      <c r="G4633" s="473"/>
      <c r="H4633" s="473"/>
      <c r="I4633" s="473"/>
      <c r="J4633" s="473"/>
      <c r="K4633" s="478"/>
      <c r="L4633" s="473"/>
      <c r="M4633" s="473"/>
    </row>
    <row r="4634" spans="5:13">
      <c r="E4634" s="473"/>
      <c r="F4634" s="473"/>
      <c r="G4634" s="473"/>
      <c r="H4634" s="473"/>
      <c r="I4634" s="473"/>
      <c r="J4634" s="473"/>
      <c r="K4634" s="478"/>
      <c r="L4634" s="473"/>
      <c r="M4634" s="473"/>
    </row>
    <row r="4635" spans="5:13">
      <c r="E4635" s="473"/>
      <c r="F4635" s="473"/>
      <c r="G4635" s="473"/>
      <c r="H4635" s="473"/>
      <c r="I4635" s="473"/>
      <c r="J4635" s="473"/>
      <c r="K4635" s="478"/>
      <c r="L4635" s="473"/>
      <c r="M4635" s="473"/>
    </row>
    <row r="4636" spans="5:13">
      <c r="E4636" s="473"/>
      <c r="F4636" s="473"/>
      <c r="G4636" s="473"/>
      <c r="H4636" s="473"/>
      <c r="I4636" s="473"/>
      <c r="J4636" s="473"/>
      <c r="K4636" s="478"/>
      <c r="L4636" s="473"/>
      <c r="M4636" s="473"/>
    </row>
    <row r="4637" spans="5:13">
      <c r="E4637" s="473"/>
      <c r="F4637" s="473"/>
      <c r="G4637" s="473"/>
      <c r="H4637" s="473"/>
      <c r="I4637" s="473"/>
      <c r="J4637" s="473"/>
      <c r="K4637" s="478"/>
      <c r="L4637" s="473"/>
      <c r="M4637" s="473"/>
    </row>
    <row r="4638" spans="5:13">
      <c r="E4638" s="473"/>
      <c r="F4638" s="473"/>
      <c r="G4638" s="473"/>
      <c r="H4638" s="473"/>
      <c r="I4638" s="473"/>
      <c r="J4638" s="473"/>
      <c r="K4638" s="478"/>
      <c r="L4638" s="473"/>
      <c r="M4638" s="473"/>
    </row>
    <row r="4639" spans="5:13">
      <c r="E4639" s="473"/>
      <c r="F4639" s="473"/>
      <c r="G4639" s="473"/>
      <c r="H4639" s="473"/>
      <c r="I4639" s="473"/>
      <c r="J4639" s="473"/>
      <c r="K4639" s="478"/>
      <c r="L4639" s="473"/>
      <c r="M4639" s="473"/>
    </row>
    <row r="4640" spans="5:13">
      <c r="E4640" s="473"/>
      <c r="F4640" s="473"/>
      <c r="G4640" s="473"/>
      <c r="H4640" s="473"/>
      <c r="I4640" s="473"/>
      <c r="J4640" s="473"/>
      <c r="K4640" s="478"/>
      <c r="L4640" s="473"/>
      <c r="M4640" s="473"/>
    </row>
    <row r="4641" spans="5:13">
      <c r="E4641" s="473"/>
      <c r="F4641" s="473"/>
      <c r="G4641" s="473"/>
      <c r="H4641" s="473"/>
      <c r="I4641" s="473"/>
      <c r="J4641" s="473"/>
      <c r="K4641" s="478"/>
      <c r="L4641" s="473"/>
      <c r="M4641" s="473"/>
    </row>
    <row r="4642" spans="5:13">
      <c r="E4642" s="473"/>
      <c r="F4642" s="473"/>
      <c r="G4642" s="473"/>
      <c r="H4642" s="473"/>
      <c r="I4642" s="473"/>
      <c r="J4642" s="473"/>
      <c r="K4642" s="478"/>
      <c r="L4642" s="473"/>
      <c r="M4642" s="473"/>
    </row>
    <row r="4643" spans="5:13">
      <c r="E4643" s="473"/>
      <c r="F4643" s="473"/>
      <c r="G4643" s="473"/>
      <c r="H4643" s="473"/>
      <c r="I4643" s="473"/>
      <c r="J4643" s="473"/>
      <c r="K4643" s="478"/>
      <c r="L4643" s="473"/>
      <c r="M4643" s="473"/>
    </row>
    <row r="4644" spans="5:13">
      <c r="E4644" s="473"/>
      <c r="F4644" s="473"/>
      <c r="G4644" s="473"/>
      <c r="H4644" s="473"/>
      <c r="I4644" s="473"/>
      <c r="J4644" s="473"/>
      <c r="K4644" s="478"/>
      <c r="L4644" s="473"/>
      <c r="M4644" s="473"/>
    </row>
    <row r="4645" spans="5:13">
      <c r="E4645" s="473"/>
      <c r="F4645" s="473"/>
      <c r="G4645" s="473"/>
      <c r="H4645" s="473"/>
      <c r="I4645" s="473"/>
      <c r="J4645" s="473"/>
      <c r="K4645" s="478"/>
      <c r="L4645" s="473"/>
      <c r="M4645" s="473"/>
    </row>
    <row r="4646" spans="5:13">
      <c r="E4646" s="473"/>
      <c r="F4646" s="473"/>
      <c r="G4646" s="473"/>
      <c r="H4646" s="473"/>
      <c r="I4646" s="473"/>
      <c r="J4646" s="473"/>
      <c r="K4646" s="478"/>
      <c r="L4646" s="473"/>
      <c r="M4646" s="473"/>
    </row>
    <row r="4647" spans="5:13">
      <c r="E4647" s="473"/>
      <c r="F4647" s="473"/>
      <c r="G4647" s="473"/>
      <c r="H4647" s="473"/>
      <c r="I4647" s="473"/>
      <c r="J4647" s="473"/>
      <c r="K4647" s="478"/>
      <c r="L4647" s="473"/>
      <c r="M4647" s="473"/>
    </row>
    <row r="4648" spans="5:13">
      <c r="E4648" s="473"/>
      <c r="F4648" s="473"/>
      <c r="G4648" s="473"/>
      <c r="H4648" s="473"/>
      <c r="I4648" s="473"/>
      <c r="J4648" s="473"/>
      <c r="K4648" s="478"/>
      <c r="L4648" s="473"/>
      <c r="M4648" s="473"/>
    </row>
    <row r="4649" spans="5:13">
      <c r="E4649" s="473"/>
      <c r="F4649" s="473"/>
      <c r="G4649" s="473"/>
      <c r="H4649" s="473"/>
      <c r="I4649" s="473"/>
      <c r="J4649" s="473"/>
      <c r="K4649" s="478"/>
      <c r="L4649" s="473"/>
      <c r="M4649" s="473"/>
    </row>
    <row r="4650" spans="5:13">
      <c r="E4650" s="473"/>
      <c r="F4650" s="473"/>
      <c r="G4650" s="473"/>
      <c r="H4650" s="473"/>
      <c r="I4650" s="473"/>
      <c r="J4650" s="473"/>
      <c r="K4650" s="478"/>
      <c r="L4650" s="473"/>
      <c r="M4650" s="473"/>
    </row>
    <row r="4651" spans="5:13">
      <c r="E4651" s="473"/>
      <c r="F4651" s="473"/>
      <c r="G4651" s="473"/>
      <c r="H4651" s="473"/>
      <c r="I4651" s="473"/>
      <c r="J4651" s="473"/>
      <c r="K4651" s="478"/>
      <c r="L4651" s="473"/>
      <c r="M4651" s="473"/>
    </row>
    <row r="4652" spans="5:13">
      <c r="E4652" s="473"/>
      <c r="F4652" s="473"/>
      <c r="G4652" s="473"/>
      <c r="H4652" s="473"/>
      <c r="I4652" s="473"/>
      <c r="J4652" s="473"/>
      <c r="K4652" s="478"/>
      <c r="L4652" s="473"/>
      <c r="M4652" s="473"/>
    </row>
    <row r="4653" spans="5:13">
      <c r="E4653" s="473"/>
      <c r="F4653" s="473"/>
      <c r="G4653" s="473"/>
      <c r="H4653" s="473"/>
      <c r="I4653" s="473"/>
      <c r="J4653" s="473"/>
      <c r="K4653" s="478"/>
      <c r="L4653" s="473"/>
      <c r="M4653" s="473"/>
    </row>
    <row r="4654" spans="5:13">
      <c r="E4654" s="473"/>
      <c r="F4654" s="473"/>
      <c r="G4654" s="473"/>
      <c r="H4654" s="473"/>
      <c r="I4654" s="473"/>
      <c r="J4654" s="473"/>
      <c r="K4654" s="478"/>
      <c r="L4654" s="473"/>
      <c r="M4654" s="473"/>
    </row>
    <row r="4655" spans="5:13">
      <c r="E4655" s="473"/>
      <c r="F4655" s="473"/>
      <c r="G4655" s="473"/>
      <c r="H4655" s="473"/>
      <c r="I4655" s="473"/>
      <c r="J4655" s="473"/>
      <c r="K4655" s="478"/>
      <c r="L4655" s="473"/>
      <c r="M4655" s="473"/>
    </row>
    <row r="4656" spans="5:13">
      <c r="E4656" s="473"/>
      <c r="F4656" s="473"/>
      <c r="G4656" s="473"/>
      <c r="H4656" s="473"/>
      <c r="I4656" s="473"/>
      <c r="J4656" s="473"/>
      <c r="K4656" s="478"/>
      <c r="L4656" s="473"/>
      <c r="M4656" s="473"/>
    </row>
    <row r="4657" spans="5:13">
      <c r="E4657" s="473"/>
      <c r="F4657" s="473"/>
      <c r="G4657" s="473"/>
      <c r="H4657" s="473"/>
      <c r="I4657" s="473"/>
      <c r="J4657" s="473"/>
      <c r="K4657" s="478"/>
      <c r="L4657" s="473"/>
      <c r="M4657" s="473"/>
    </row>
    <row r="4658" spans="5:13">
      <c r="E4658" s="473"/>
      <c r="F4658" s="473"/>
      <c r="G4658" s="473"/>
      <c r="H4658" s="473"/>
      <c r="I4658" s="473"/>
      <c r="J4658" s="473"/>
      <c r="K4658" s="478"/>
      <c r="L4658" s="473"/>
      <c r="M4658" s="473"/>
    </row>
    <row r="4659" spans="5:13">
      <c r="E4659" s="473"/>
      <c r="F4659" s="473"/>
      <c r="G4659" s="473"/>
      <c r="H4659" s="473"/>
      <c r="I4659" s="473"/>
      <c r="J4659" s="473"/>
      <c r="K4659" s="478"/>
      <c r="L4659" s="473"/>
      <c r="M4659" s="473"/>
    </row>
    <row r="4660" spans="5:13">
      <c r="E4660" s="473"/>
      <c r="F4660" s="473"/>
      <c r="G4660" s="473"/>
      <c r="H4660" s="473"/>
      <c r="I4660" s="473"/>
      <c r="J4660" s="473"/>
      <c r="K4660" s="478"/>
      <c r="L4660" s="473"/>
      <c r="M4660" s="473"/>
    </row>
    <row r="4661" spans="5:13">
      <c r="E4661" s="473"/>
      <c r="F4661" s="473"/>
      <c r="G4661" s="473"/>
      <c r="H4661" s="473"/>
      <c r="I4661" s="473"/>
      <c r="J4661" s="473"/>
      <c r="K4661" s="478"/>
      <c r="L4661" s="473"/>
      <c r="M4661" s="473"/>
    </row>
    <row r="4662" spans="5:13">
      <c r="E4662" s="473"/>
      <c r="F4662" s="473"/>
      <c r="G4662" s="473"/>
      <c r="H4662" s="473"/>
      <c r="I4662" s="473"/>
      <c r="J4662" s="473"/>
      <c r="K4662" s="478"/>
      <c r="L4662" s="473"/>
      <c r="M4662" s="473"/>
    </row>
    <row r="4663" spans="5:13">
      <c r="E4663" s="473"/>
      <c r="F4663" s="473"/>
      <c r="G4663" s="473"/>
      <c r="H4663" s="473"/>
      <c r="I4663" s="473"/>
      <c r="J4663" s="473"/>
      <c r="K4663" s="478"/>
      <c r="L4663" s="473"/>
      <c r="M4663" s="473"/>
    </row>
    <row r="4664" spans="5:13">
      <c r="E4664" s="473"/>
      <c r="F4664" s="473"/>
      <c r="G4664" s="473"/>
      <c r="H4664" s="473"/>
      <c r="I4664" s="473"/>
      <c r="J4664" s="473"/>
      <c r="K4664" s="478"/>
      <c r="L4664" s="473"/>
      <c r="M4664" s="473"/>
    </row>
    <row r="4665" spans="5:13">
      <c r="E4665" s="473"/>
      <c r="F4665" s="473"/>
      <c r="G4665" s="473"/>
      <c r="H4665" s="473"/>
      <c r="I4665" s="473"/>
      <c r="J4665" s="473"/>
      <c r="K4665" s="478"/>
      <c r="L4665" s="473"/>
      <c r="M4665" s="473"/>
    </row>
    <row r="4666" spans="5:13">
      <c r="E4666" s="473"/>
      <c r="F4666" s="473"/>
      <c r="G4666" s="473"/>
      <c r="H4666" s="473"/>
      <c r="I4666" s="473"/>
      <c r="J4666" s="473"/>
      <c r="K4666" s="478"/>
      <c r="L4666" s="473"/>
      <c r="M4666" s="473"/>
    </row>
    <row r="4667" spans="5:13">
      <c r="E4667" s="473"/>
      <c r="F4667" s="473"/>
      <c r="G4667" s="473"/>
      <c r="H4667" s="473"/>
      <c r="I4667" s="473"/>
      <c r="J4667" s="473"/>
      <c r="K4667" s="478"/>
      <c r="L4667" s="473"/>
      <c r="M4667" s="473"/>
    </row>
    <row r="4668" spans="5:13">
      <c r="E4668" s="473"/>
      <c r="F4668" s="473"/>
      <c r="G4668" s="473"/>
      <c r="H4668" s="473"/>
      <c r="I4668" s="473"/>
      <c r="J4668" s="473"/>
      <c r="K4668" s="478"/>
      <c r="L4668" s="473"/>
      <c r="M4668" s="473"/>
    </row>
    <row r="4669" spans="5:13">
      <c r="E4669" s="473"/>
      <c r="F4669" s="473"/>
      <c r="G4669" s="473"/>
      <c r="H4669" s="473"/>
      <c r="I4669" s="473"/>
      <c r="J4669" s="473"/>
      <c r="K4669" s="478"/>
      <c r="L4669" s="473"/>
      <c r="M4669" s="473"/>
    </row>
    <row r="4670" spans="5:13">
      <c r="E4670" s="473"/>
      <c r="F4670" s="473"/>
      <c r="G4670" s="473"/>
      <c r="H4670" s="473"/>
      <c r="I4670" s="473"/>
      <c r="J4670" s="473"/>
      <c r="K4670" s="478"/>
      <c r="L4670" s="473"/>
      <c r="M4670" s="473"/>
    </row>
    <row r="4671" spans="5:13">
      <c r="E4671" s="473"/>
      <c r="F4671" s="473"/>
      <c r="G4671" s="473"/>
      <c r="H4671" s="473"/>
      <c r="I4671" s="473"/>
      <c r="J4671" s="473"/>
      <c r="K4671" s="478"/>
      <c r="L4671" s="473"/>
      <c r="M4671" s="473"/>
    </row>
    <row r="4672" spans="5:13">
      <c r="E4672" s="473"/>
      <c r="F4672" s="473"/>
      <c r="G4672" s="473"/>
      <c r="H4672" s="473"/>
      <c r="I4672" s="473"/>
      <c r="J4672" s="473"/>
      <c r="K4672" s="478"/>
      <c r="L4672" s="473"/>
      <c r="M4672" s="473"/>
    </row>
    <row r="4673" spans="5:13">
      <c r="E4673" s="473"/>
      <c r="F4673" s="473"/>
      <c r="G4673" s="473"/>
      <c r="H4673" s="473"/>
      <c r="I4673" s="473"/>
      <c r="J4673" s="473"/>
      <c r="K4673" s="478"/>
      <c r="L4673" s="473"/>
      <c r="M4673" s="473"/>
    </row>
    <row r="4674" spans="5:13">
      <c r="E4674" s="473"/>
      <c r="F4674" s="473"/>
      <c r="G4674" s="473"/>
      <c r="H4674" s="473"/>
      <c r="I4674" s="473"/>
      <c r="J4674" s="473"/>
      <c r="K4674" s="478"/>
      <c r="L4674" s="473"/>
      <c r="M4674" s="473"/>
    </row>
    <row r="4675" spans="5:13">
      <c r="E4675" s="473"/>
      <c r="F4675" s="473"/>
      <c r="G4675" s="473"/>
      <c r="H4675" s="473"/>
      <c r="I4675" s="473"/>
      <c r="J4675" s="473"/>
      <c r="K4675" s="478"/>
      <c r="L4675" s="473"/>
      <c r="M4675" s="473"/>
    </row>
    <row r="4676" spans="5:13">
      <c r="E4676" s="473"/>
      <c r="F4676" s="473"/>
      <c r="G4676" s="473"/>
      <c r="H4676" s="473"/>
      <c r="I4676" s="473"/>
      <c r="J4676" s="473"/>
      <c r="K4676" s="478"/>
      <c r="L4676" s="473"/>
      <c r="M4676" s="473"/>
    </row>
    <row r="4677" spans="5:13">
      <c r="E4677" s="473"/>
      <c r="F4677" s="473"/>
      <c r="G4677" s="473"/>
      <c r="H4677" s="473"/>
      <c r="I4677" s="473"/>
      <c r="J4677" s="473"/>
      <c r="K4677" s="478"/>
      <c r="L4677" s="473"/>
      <c r="M4677" s="473"/>
    </row>
    <row r="4678" spans="5:13">
      <c r="E4678" s="473"/>
      <c r="F4678" s="473"/>
      <c r="G4678" s="473"/>
      <c r="H4678" s="473"/>
      <c r="I4678" s="473"/>
      <c r="J4678" s="473"/>
      <c r="K4678" s="478"/>
      <c r="L4678" s="473"/>
      <c r="M4678" s="473"/>
    </row>
    <row r="4679" spans="5:13">
      <c r="E4679" s="473"/>
      <c r="F4679" s="473"/>
      <c r="G4679" s="473"/>
      <c r="H4679" s="473"/>
      <c r="I4679" s="473"/>
      <c r="J4679" s="473"/>
      <c r="K4679" s="478"/>
      <c r="L4679" s="473"/>
      <c r="M4679" s="473"/>
    </row>
    <row r="4680" spans="5:13">
      <c r="E4680" s="473"/>
      <c r="F4680" s="473"/>
      <c r="G4680" s="473"/>
      <c r="H4680" s="473"/>
      <c r="I4680" s="473"/>
      <c r="J4680" s="473"/>
      <c r="K4680" s="478"/>
      <c r="L4680" s="473"/>
      <c r="M4680" s="473"/>
    </row>
    <row r="4681" spans="5:13">
      <c r="E4681" s="473"/>
      <c r="F4681" s="473"/>
      <c r="G4681" s="473"/>
      <c r="H4681" s="473"/>
      <c r="I4681" s="473"/>
      <c r="J4681" s="473"/>
      <c r="K4681" s="478"/>
      <c r="L4681" s="473"/>
      <c r="M4681" s="473"/>
    </row>
    <row r="4682" spans="5:13">
      <c r="E4682" s="473"/>
      <c r="F4682" s="473"/>
      <c r="G4682" s="473"/>
      <c r="H4682" s="473"/>
      <c r="I4682" s="473"/>
      <c r="J4682" s="473"/>
      <c r="K4682" s="478"/>
      <c r="L4682" s="473"/>
      <c r="M4682" s="473"/>
    </row>
    <row r="4683" spans="5:13">
      <c r="E4683" s="473"/>
      <c r="F4683" s="473"/>
      <c r="G4683" s="473"/>
      <c r="H4683" s="473"/>
      <c r="I4683" s="473"/>
      <c r="J4683" s="473"/>
      <c r="K4683" s="478"/>
      <c r="L4683" s="473"/>
      <c r="M4683" s="473"/>
    </row>
    <row r="4684" spans="5:13">
      <c r="E4684" s="473"/>
      <c r="F4684" s="473"/>
      <c r="G4684" s="473"/>
      <c r="H4684" s="473"/>
      <c r="I4684" s="473"/>
      <c r="J4684" s="473"/>
      <c r="K4684" s="478"/>
      <c r="L4684" s="473"/>
      <c r="M4684" s="473"/>
    </row>
    <row r="4685" spans="5:13">
      <c r="E4685" s="473"/>
      <c r="F4685" s="473"/>
      <c r="G4685" s="473"/>
      <c r="H4685" s="473"/>
      <c r="I4685" s="473"/>
      <c r="J4685" s="473"/>
      <c r="K4685" s="478"/>
      <c r="L4685" s="473"/>
      <c r="M4685" s="473"/>
    </row>
    <row r="4686" spans="5:13">
      <c r="E4686" s="473"/>
      <c r="F4686" s="473"/>
      <c r="G4686" s="473"/>
      <c r="H4686" s="473"/>
      <c r="I4686" s="473"/>
      <c r="J4686" s="473"/>
      <c r="K4686" s="478"/>
      <c r="L4686" s="473"/>
      <c r="M4686" s="473"/>
    </row>
    <row r="4687" spans="5:13">
      <c r="E4687" s="473"/>
      <c r="F4687" s="473"/>
      <c r="G4687" s="473"/>
      <c r="H4687" s="473"/>
      <c r="I4687" s="473"/>
      <c r="J4687" s="473"/>
      <c r="K4687" s="478"/>
      <c r="L4687" s="473"/>
      <c r="M4687" s="473"/>
    </row>
    <row r="4688" spans="5:13">
      <c r="E4688" s="473"/>
      <c r="F4688" s="473"/>
      <c r="G4688" s="473"/>
      <c r="H4688" s="473"/>
      <c r="I4688" s="473"/>
      <c r="J4688" s="473"/>
      <c r="K4688" s="478"/>
      <c r="L4688" s="473"/>
      <c r="M4688" s="473"/>
    </row>
    <row r="4689" spans="5:13">
      <c r="E4689" s="473"/>
      <c r="F4689" s="473"/>
      <c r="G4689" s="473"/>
      <c r="H4689" s="473"/>
      <c r="I4689" s="473"/>
      <c r="J4689" s="473"/>
      <c r="K4689" s="478"/>
      <c r="L4689" s="473"/>
      <c r="M4689" s="473"/>
    </row>
    <row r="4690" spans="5:13">
      <c r="E4690" s="473"/>
      <c r="F4690" s="473"/>
      <c r="G4690" s="473"/>
      <c r="H4690" s="473"/>
      <c r="I4690" s="473"/>
      <c r="J4690" s="473"/>
      <c r="K4690" s="478"/>
      <c r="L4690" s="473"/>
      <c r="M4690" s="473"/>
    </row>
    <row r="4691" spans="5:13">
      <c r="E4691" s="473"/>
      <c r="F4691" s="473"/>
      <c r="G4691" s="473"/>
      <c r="H4691" s="473"/>
      <c r="I4691" s="473"/>
      <c r="J4691" s="473"/>
      <c r="K4691" s="478"/>
      <c r="L4691" s="473"/>
      <c r="M4691" s="473"/>
    </row>
    <row r="4692" spans="5:13">
      <c r="E4692" s="473"/>
      <c r="F4692" s="473"/>
      <c r="G4692" s="473"/>
      <c r="H4692" s="473"/>
      <c r="I4692" s="473"/>
      <c r="J4692" s="473"/>
      <c r="K4692" s="478"/>
      <c r="L4692" s="473"/>
      <c r="M4692" s="473"/>
    </row>
    <row r="4693" spans="5:13">
      <c r="E4693" s="473"/>
      <c r="F4693" s="473"/>
      <c r="G4693" s="473"/>
      <c r="H4693" s="473"/>
      <c r="I4693" s="473"/>
      <c r="J4693" s="473"/>
      <c r="K4693" s="478"/>
      <c r="L4693" s="473"/>
      <c r="M4693" s="473"/>
    </row>
    <row r="4694" spans="5:13">
      <c r="E4694" s="473"/>
      <c r="F4694" s="473"/>
      <c r="G4694" s="473"/>
      <c r="H4694" s="473"/>
      <c r="I4694" s="473"/>
      <c r="J4694" s="473"/>
      <c r="K4694" s="478"/>
      <c r="L4694" s="473"/>
      <c r="M4694" s="473"/>
    </row>
    <row r="4695" spans="5:13">
      <c r="E4695" s="473"/>
      <c r="F4695" s="473"/>
      <c r="G4695" s="473"/>
      <c r="H4695" s="473"/>
      <c r="I4695" s="473"/>
      <c r="J4695" s="473"/>
      <c r="K4695" s="478"/>
      <c r="L4695" s="473"/>
      <c r="M4695" s="473"/>
    </row>
    <row r="4696" spans="5:13">
      <c r="E4696" s="473"/>
      <c r="F4696" s="473"/>
      <c r="G4696" s="473"/>
      <c r="H4696" s="473"/>
      <c r="I4696" s="473"/>
      <c r="J4696" s="473"/>
      <c r="K4696" s="478"/>
      <c r="L4696" s="473"/>
      <c r="M4696" s="473"/>
    </row>
    <row r="4697" spans="5:13">
      <c r="E4697" s="473"/>
      <c r="F4697" s="473"/>
      <c r="G4697" s="473"/>
      <c r="H4697" s="473"/>
      <c r="I4697" s="473"/>
      <c r="J4697" s="473"/>
      <c r="K4697" s="478"/>
      <c r="L4697" s="473"/>
      <c r="M4697" s="473"/>
    </row>
    <row r="4698" spans="5:13">
      <c r="E4698" s="473"/>
      <c r="F4698" s="473"/>
      <c r="G4698" s="473"/>
      <c r="H4698" s="473"/>
      <c r="I4698" s="473"/>
      <c r="J4698" s="473"/>
      <c r="K4698" s="478"/>
      <c r="L4698" s="473"/>
      <c r="M4698" s="473"/>
    </row>
    <row r="4699" spans="5:13">
      <c r="E4699" s="473"/>
      <c r="F4699" s="473"/>
      <c r="G4699" s="473"/>
      <c r="H4699" s="473"/>
      <c r="I4699" s="473"/>
      <c r="J4699" s="473"/>
      <c r="K4699" s="478"/>
      <c r="L4699" s="473"/>
      <c r="M4699" s="473"/>
    </row>
    <row r="4700" spans="5:13">
      <c r="E4700" s="473"/>
      <c r="F4700" s="473"/>
      <c r="G4700" s="473"/>
      <c r="H4700" s="473"/>
      <c r="I4700" s="473"/>
      <c r="J4700" s="473"/>
      <c r="K4700" s="478"/>
      <c r="L4700" s="473"/>
      <c r="M4700" s="473"/>
    </row>
    <row r="4701" spans="5:13">
      <c r="E4701" s="473"/>
      <c r="F4701" s="473"/>
      <c r="G4701" s="473"/>
      <c r="H4701" s="473"/>
      <c r="I4701" s="473"/>
      <c r="J4701" s="473"/>
      <c r="K4701" s="478"/>
      <c r="L4701" s="473"/>
      <c r="M4701" s="473"/>
    </row>
    <row r="4702" spans="5:13">
      <c r="E4702" s="473"/>
      <c r="F4702" s="473"/>
      <c r="G4702" s="473"/>
      <c r="H4702" s="473"/>
      <c r="I4702" s="473"/>
      <c r="J4702" s="473"/>
      <c r="K4702" s="478"/>
      <c r="L4702" s="473"/>
      <c r="M4702" s="473"/>
    </row>
    <row r="4703" spans="5:13">
      <c r="E4703" s="473"/>
      <c r="F4703" s="473"/>
      <c r="G4703" s="473"/>
      <c r="H4703" s="473"/>
      <c r="I4703" s="473"/>
      <c r="J4703" s="473"/>
      <c r="K4703" s="478"/>
      <c r="L4703" s="473"/>
      <c r="M4703" s="473"/>
    </row>
    <row r="4704" spans="5:13">
      <c r="E4704" s="473"/>
      <c r="F4704" s="473"/>
      <c r="G4704" s="473"/>
      <c r="H4704" s="473"/>
      <c r="I4704" s="473"/>
      <c r="J4704" s="473"/>
      <c r="K4704" s="478"/>
      <c r="L4704" s="473"/>
      <c r="M4704" s="473"/>
    </row>
    <row r="4705" spans="5:13">
      <c r="E4705" s="473"/>
      <c r="F4705" s="473"/>
      <c r="G4705" s="473"/>
      <c r="H4705" s="473"/>
      <c r="I4705" s="473"/>
      <c r="J4705" s="473"/>
      <c r="K4705" s="478"/>
      <c r="L4705" s="473"/>
      <c r="M4705" s="473"/>
    </row>
    <row r="4706" spans="5:13">
      <c r="E4706" s="473"/>
      <c r="F4706" s="473"/>
      <c r="G4706" s="473"/>
      <c r="H4706" s="473"/>
      <c r="I4706" s="473"/>
      <c r="J4706" s="473"/>
      <c r="K4706" s="478"/>
      <c r="L4706" s="473"/>
      <c r="M4706" s="473"/>
    </row>
    <row r="4707" spans="5:13">
      <c r="E4707" s="473"/>
      <c r="F4707" s="473"/>
      <c r="G4707" s="473"/>
      <c r="H4707" s="473"/>
      <c r="I4707" s="473"/>
      <c r="J4707" s="473"/>
      <c r="K4707" s="478"/>
      <c r="L4707" s="473"/>
      <c r="M4707" s="473"/>
    </row>
    <row r="4708" spans="5:13">
      <c r="E4708" s="473"/>
      <c r="F4708" s="473"/>
      <c r="G4708" s="473"/>
      <c r="H4708" s="473"/>
      <c r="I4708" s="473"/>
      <c r="J4708" s="473"/>
      <c r="K4708" s="478"/>
      <c r="L4708" s="473"/>
      <c r="M4708" s="473"/>
    </row>
    <row r="4709" spans="5:13">
      <c r="E4709" s="473"/>
      <c r="F4709" s="473"/>
      <c r="G4709" s="473"/>
      <c r="H4709" s="473"/>
      <c r="I4709" s="473"/>
      <c r="J4709" s="473"/>
      <c r="K4709" s="478"/>
      <c r="L4709" s="473"/>
      <c r="M4709" s="473"/>
    </row>
    <row r="4710" spans="5:13">
      <c r="E4710" s="473"/>
      <c r="F4710" s="473"/>
      <c r="G4710" s="473"/>
      <c r="H4710" s="473"/>
      <c r="I4710" s="473"/>
      <c r="J4710" s="473"/>
      <c r="K4710" s="478"/>
      <c r="L4710" s="473"/>
      <c r="M4710" s="473"/>
    </row>
    <row r="4711" spans="5:13">
      <c r="E4711" s="473"/>
      <c r="F4711" s="473"/>
      <c r="G4711" s="473"/>
      <c r="H4711" s="473"/>
      <c r="I4711" s="473"/>
      <c r="J4711" s="473"/>
      <c r="K4711" s="478"/>
      <c r="L4711" s="473"/>
      <c r="M4711" s="473"/>
    </row>
    <row r="4712" spans="5:13">
      <c r="E4712" s="473"/>
      <c r="F4712" s="473"/>
      <c r="G4712" s="473"/>
      <c r="H4712" s="473"/>
      <c r="I4712" s="473"/>
      <c r="J4712" s="473"/>
      <c r="K4712" s="478"/>
      <c r="L4712" s="473"/>
      <c r="M4712" s="473"/>
    </row>
    <row r="4713" spans="5:13">
      <c r="E4713" s="473"/>
      <c r="F4713" s="473"/>
      <c r="G4713" s="473"/>
      <c r="H4713" s="473"/>
      <c r="I4713" s="473"/>
      <c r="J4713" s="473"/>
      <c r="K4713" s="478"/>
      <c r="L4713" s="473"/>
      <c r="M4713" s="473"/>
    </row>
    <row r="4714" spans="5:13">
      <c r="E4714" s="473"/>
      <c r="F4714" s="473"/>
      <c r="G4714" s="473"/>
      <c r="H4714" s="473"/>
      <c r="I4714" s="473"/>
      <c r="J4714" s="473"/>
      <c r="K4714" s="478"/>
      <c r="L4714" s="473"/>
      <c r="M4714" s="473"/>
    </row>
    <row r="4715" spans="5:13">
      <c r="E4715" s="473"/>
      <c r="F4715" s="473"/>
      <c r="G4715" s="473"/>
      <c r="H4715" s="473"/>
      <c r="I4715" s="473"/>
      <c r="J4715" s="473"/>
      <c r="K4715" s="478"/>
      <c r="L4715" s="473"/>
      <c r="M4715" s="473"/>
    </row>
    <row r="4716" spans="5:13">
      <c r="E4716" s="473"/>
      <c r="F4716" s="473"/>
      <c r="G4716" s="473"/>
      <c r="H4716" s="473"/>
      <c r="I4716" s="473"/>
      <c r="J4716" s="473"/>
      <c r="K4716" s="478"/>
      <c r="L4716" s="473"/>
      <c r="M4716" s="473"/>
    </row>
    <row r="4717" spans="5:13">
      <c r="E4717" s="473"/>
      <c r="F4717" s="473"/>
      <c r="G4717" s="473"/>
      <c r="H4717" s="473"/>
      <c r="I4717" s="473"/>
      <c r="J4717" s="473"/>
      <c r="K4717" s="478"/>
      <c r="L4717" s="473"/>
      <c r="M4717" s="473"/>
    </row>
    <row r="4718" spans="5:13">
      <c r="E4718" s="473"/>
      <c r="F4718" s="473"/>
      <c r="G4718" s="473"/>
      <c r="H4718" s="473"/>
      <c r="I4718" s="473"/>
      <c r="J4718" s="473"/>
      <c r="K4718" s="478"/>
      <c r="L4718" s="473"/>
      <c r="M4718" s="473"/>
    </row>
    <row r="4719" spans="5:13">
      <c r="E4719" s="473"/>
      <c r="F4719" s="473"/>
      <c r="G4719" s="473"/>
      <c r="H4719" s="473"/>
      <c r="I4719" s="473"/>
      <c r="J4719" s="473"/>
      <c r="K4719" s="478"/>
      <c r="L4719" s="473"/>
      <c r="M4719" s="473"/>
    </row>
    <row r="4720" spans="5:13">
      <c r="E4720" s="473"/>
      <c r="F4720" s="473"/>
      <c r="G4720" s="473"/>
      <c r="H4720" s="473"/>
      <c r="I4720" s="473"/>
      <c r="J4720" s="473"/>
      <c r="K4720" s="478"/>
      <c r="L4720" s="473"/>
      <c r="M4720" s="473"/>
    </row>
    <row r="4721" spans="5:13">
      <c r="E4721" s="473"/>
      <c r="F4721" s="473"/>
      <c r="G4721" s="473"/>
      <c r="H4721" s="473"/>
      <c r="I4721" s="473"/>
      <c r="J4721" s="473"/>
      <c r="K4721" s="478"/>
      <c r="L4721" s="473"/>
      <c r="M4721" s="473"/>
    </row>
    <row r="4722" spans="5:13">
      <c r="E4722" s="473"/>
      <c r="F4722" s="473"/>
      <c r="G4722" s="473"/>
      <c r="H4722" s="473"/>
      <c r="I4722" s="473"/>
      <c r="J4722" s="473"/>
      <c r="K4722" s="478"/>
      <c r="L4722" s="473"/>
      <c r="M4722" s="473"/>
    </row>
    <row r="4723" spans="5:13">
      <c r="E4723" s="473"/>
      <c r="F4723" s="473"/>
      <c r="G4723" s="473"/>
      <c r="H4723" s="473"/>
      <c r="I4723" s="473"/>
      <c r="J4723" s="473"/>
      <c r="K4723" s="478"/>
      <c r="L4723" s="473"/>
      <c r="M4723" s="473"/>
    </row>
    <row r="4724" spans="5:13">
      <c r="E4724" s="473"/>
      <c r="F4724" s="473"/>
      <c r="G4724" s="473"/>
      <c r="H4724" s="473"/>
      <c r="I4724" s="473"/>
      <c r="J4724" s="473"/>
      <c r="K4724" s="478"/>
      <c r="L4724" s="473"/>
      <c r="M4724" s="473"/>
    </row>
    <row r="4725" spans="5:13">
      <c r="E4725" s="473"/>
      <c r="F4725" s="473"/>
      <c r="G4725" s="473"/>
      <c r="H4725" s="473"/>
      <c r="I4725" s="473"/>
      <c r="J4725" s="473"/>
      <c r="K4725" s="478"/>
      <c r="L4725" s="473"/>
      <c r="M4725" s="473"/>
    </row>
    <row r="4726" spans="5:13">
      <c r="E4726" s="473"/>
      <c r="F4726" s="473"/>
      <c r="G4726" s="473"/>
      <c r="H4726" s="473"/>
      <c r="I4726" s="473"/>
      <c r="J4726" s="473"/>
      <c r="K4726" s="478"/>
      <c r="L4726" s="473"/>
      <c r="M4726" s="473"/>
    </row>
    <row r="4727" spans="5:13">
      <c r="E4727" s="473"/>
      <c r="F4727" s="473"/>
      <c r="G4727" s="473"/>
      <c r="H4727" s="473"/>
      <c r="I4727" s="473"/>
      <c r="J4727" s="473"/>
      <c r="K4727" s="478"/>
      <c r="L4727" s="473"/>
      <c r="M4727" s="473"/>
    </row>
    <row r="4728" spans="5:13">
      <c r="E4728" s="473"/>
      <c r="F4728" s="473"/>
      <c r="G4728" s="473"/>
      <c r="H4728" s="473"/>
      <c r="I4728" s="473"/>
      <c r="J4728" s="473"/>
      <c r="K4728" s="478"/>
      <c r="L4728" s="473"/>
      <c r="M4728" s="473"/>
    </row>
    <row r="4729" spans="5:13">
      <c r="E4729" s="473"/>
      <c r="F4729" s="473"/>
      <c r="G4729" s="473"/>
      <c r="H4729" s="473"/>
      <c r="I4729" s="473"/>
      <c r="J4729" s="473"/>
      <c r="K4729" s="478"/>
      <c r="L4729" s="473"/>
      <c r="M4729" s="473"/>
    </row>
    <row r="4730" spans="5:13">
      <c r="E4730" s="473"/>
      <c r="F4730" s="473"/>
      <c r="G4730" s="473"/>
      <c r="H4730" s="473"/>
      <c r="I4730" s="473"/>
      <c r="J4730" s="473"/>
      <c r="K4730" s="478"/>
      <c r="L4730" s="473"/>
      <c r="M4730" s="473"/>
    </row>
    <row r="4731" spans="5:13">
      <c r="E4731" s="473"/>
      <c r="F4731" s="473"/>
      <c r="G4731" s="473"/>
      <c r="H4731" s="473"/>
      <c r="I4731" s="473"/>
      <c r="J4731" s="473"/>
      <c r="K4731" s="478"/>
      <c r="L4731" s="473"/>
      <c r="M4731" s="473"/>
    </row>
    <row r="4732" spans="5:13">
      <c r="E4732" s="473"/>
      <c r="F4732" s="473"/>
      <c r="G4732" s="473"/>
      <c r="H4732" s="473"/>
      <c r="I4732" s="473"/>
      <c r="J4732" s="473"/>
      <c r="K4732" s="478"/>
      <c r="L4732" s="473"/>
      <c r="M4732" s="473"/>
    </row>
    <row r="4733" spans="5:13">
      <c r="E4733" s="473"/>
      <c r="F4733" s="473"/>
      <c r="G4733" s="473"/>
      <c r="H4733" s="473"/>
      <c r="I4733" s="473"/>
      <c r="J4733" s="473"/>
      <c r="K4733" s="478"/>
      <c r="L4733" s="473"/>
      <c r="M4733" s="473"/>
    </row>
    <row r="4734" spans="5:13">
      <c r="E4734" s="473"/>
      <c r="F4734" s="473"/>
      <c r="G4734" s="473"/>
      <c r="H4734" s="473"/>
      <c r="I4734" s="473"/>
      <c r="J4734" s="473"/>
      <c r="K4734" s="478"/>
      <c r="L4734" s="473"/>
      <c r="M4734" s="473"/>
    </row>
    <row r="4735" spans="5:13">
      <c r="E4735" s="473"/>
      <c r="F4735" s="473"/>
      <c r="G4735" s="473"/>
      <c r="H4735" s="473"/>
      <c r="I4735" s="473"/>
      <c r="J4735" s="473"/>
      <c r="K4735" s="478"/>
      <c r="L4735" s="473"/>
      <c r="M4735" s="473"/>
    </row>
    <row r="4736" spans="5:13">
      <c r="E4736" s="473"/>
      <c r="F4736" s="473"/>
      <c r="G4736" s="473"/>
      <c r="H4736" s="473"/>
      <c r="I4736" s="473"/>
      <c r="J4736" s="473"/>
      <c r="K4736" s="478"/>
      <c r="L4736" s="473"/>
      <c r="M4736" s="473"/>
    </row>
    <row r="4737" spans="5:13">
      <c r="E4737" s="473"/>
      <c r="F4737" s="473"/>
      <c r="G4737" s="473"/>
      <c r="H4737" s="473"/>
      <c r="I4737" s="473"/>
      <c r="J4737" s="473"/>
      <c r="K4737" s="478"/>
      <c r="L4737" s="473"/>
      <c r="M4737" s="473"/>
    </row>
    <row r="4738" spans="5:13">
      <c r="E4738" s="473"/>
      <c r="F4738" s="473"/>
      <c r="G4738" s="473"/>
      <c r="H4738" s="473"/>
      <c r="I4738" s="473"/>
      <c r="J4738" s="473"/>
      <c r="K4738" s="478"/>
      <c r="L4738" s="473"/>
      <c r="M4738" s="473"/>
    </row>
    <row r="4739" spans="5:13">
      <c r="E4739" s="473"/>
      <c r="F4739" s="473"/>
      <c r="G4739" s="473"/>
      <c r="H4739" s="473"/>
      <c r="I4739" s="473"/>
      <c r="J4739" s="473"/>
      <c r="K4739" s="478"/>
      <c r="L4739" s="473"/>
      <c r="M4739" s="473"/>
    </row>
    <row r="4740" spans="5:13">
      <c r="E4740" s="473"/>
      <c r="F4740" s="473"/>
      <c r="G4740" s="473"/>
      <c r="H4740" s="473"/>
      <c r="I4740" s="473"/>
      <c r="J4740" s="473"/>
      <c r="K4740" s="478"/>
      <c r="L4740" s="473"/>
      <c r="M4740" s="473"/>
    </row>
    <row r="4741" spans="5:13">
      <c r="E4741" s="473"/>
      <c r="F4741" s="473"/>
      <c r="G4741" s="473"/>
      <c r="H4741" s="473"/>
      <c r="I4741" s="473"/>
      <c r="J4741" s="473"/>
      <c r="K4741" s="478"/>
      <c r="L4741" s="473"/>
      <c r="M4741" s="473"/>
    </row>
    <row r="4742" spans="5:13">
      <c r="E4742" s="473"/>
      <c r="F4742" s="473"/>
      <c r="G4742" s="473"/>
      <c r="H4742" s="473"/>
      <c r="I4742" s="473"/>
      <c r="J4742" s="473"/>
      <c r="K4742" s="478"/>
      <c r="L4742" s="473"/>
      <c r="M4742" s="473"/>
    </row>
    <row r="4743" spans="5:13">
      <c r="E4743" s="473"/>
      <c r="F4743" s="473"/>
      <c r="G4743" s="473"/>
      <c r="H4743" s="473"/>
      <c r="I4743" s="473"/>
      <c r="J4743" s="473"/>
      <c r="K4743" s="478"/>
      <c r="L4743" s="473"/>
      <c r="M4743" s="473"/>
    </row>
    <row r="4744" spans="5:13">
      <c r="E4744" s="473"/>
      <c r="F4744" s="473"/>
      <c r="G4744" s="473"/>
      <c r="H4744" s="473"/>
      <c r="I4744" s="473"/>
      <c r="J4744" s="473"/>
      <c r="K4744" s="478"/>
      <c r="L4744" s="473"/>
      <c r="M4744" s="473"/>
    </row>
    <row r="4745" spans="5:13">
      <c r="E4745" s="473"/>
      <c r="F4745" s="473"/>
      <c r="G4745" s="473"/>
      <c r="H4745" s="473"/>
      <c r="I4745" s="473"/>
      <c r="J4745" s="473"/>
      <c r="K4745" s="478"/>
      <c r="L4745" s="473"/>
      <c r="M4745" s="473"/>
    </row>
    <row r="4746" spans="5:13">
      <c r="E4746" s="473"/>
      <c r="F4746" s="473"/>
      <c r="G4746" s="473"/>
      <c r="H4746" s="473"/>
      <c r="I4746" s="473"/>
      <c r="J4746" s="473"/>
      <c r="K4746" s="478"/>
      <c r="L4746" s="473"/>
      <c r="M4746" s="473"/>
    </row>
    <row r="4747" spans="5:13">
      <c r="E4747" s="473"/>
      <c r="F4747" s="473"/>
      <c r="G4747" s="473"/>
      <c r="H4747" s="473"/>
      <c r="I4747" s="473"/>
      <c r="J4747" s="473"/>
      <c r="K4747" s="478"/>
      <c r="L4747" s="473"/>
      <c r="M4747" s="473"/>
    </row>
    <row r="4748" spans="5:13">
      <c r="E4748" s="473"/>
      <c r="F4748" s="473"/>
      <c r="G4748" s="473"/>
      <c r="H4748" s="473"/>
      <c r="I4748" s="473"/>
      <c r="J4748" s="473"/>
      <c r="K4748" s="478"/>
      <c r="L4748" s="473"/>
      <c r="M4748" s="473"/>
    </row>
    <row r="4749" spans="5:13">
      <c r="E4749" s="473"/>
      <c r="F4749" s="473"/>
      <c r="G4749" s="473"/>
      <c r="H4749" s="473"/>
      <c r="I4749" s="473"/>
      <c r="J4749" s="473"/>
      <c r="K4749" s="478"/>
      <c r="L4749" s="473"/>
      <c r="M4749" s="473"/>
    </row>
    <row r="4750" spans="5:13">
      <c r="E4750" s="473"/>
      <c r="F4750" s="473"/>
      <c r="G4750" s="473"/>
      <c r="H4750" s="473"/>
      <c r="I4750" s="473"/>
      <c r="J4750" s="473"/>
      <c r="K4750" s="478"/>
      <c r="L4750" s="473"/>
      <c r="M4750" s="473"/>
    </row>
    <row r="4751" spans="5:13">
      <c r="E4751" s="473"/>
      <c r="F4751" s="473"/>
      <c r="G4751" s="473"/>
      <c r="H4751" s="473"/>
      <c r="I4751" s="473"/>
      <c r="J4751" s="473"/>
      <c r="K4751" s="478"/>
      <c r="L4751" s="473"/>
      <c r="M4751" s="473"/>
    </row>
    <row r="4752" spans="5:13">
      <c r="E4752" s="473"/>
      <c r="F4752" s="473"/>
      <c r="G4752" s="473"/>
      <c r="H4752" s="473"/>
      <c r="I4752" s="473"/>
      <c r="J4752" s="473"/>
      <c r="K4752" s="478"/>
      <c r="L4752" s="473"/>
      <c r="M4752" s="473"/>
    </row>
    <row r="4753" spans="5:13">
      <c r="E4753" s="473"/>
      <c r="F4753" s="473"/>
      <c r="G4753" s="473"/>
      <c r="H4753" s="473"/>
      <c r="I4753" s="473"/>
      <c r="J4753" s="473"/>
      <c r="K4753" s="478"/>
      <c r="L4753" s="473"/>
      <c r="M4753" s="473"/>
    </row>
    <row r="4754" spans="5:13">
      <c r="E4754" s="473"/>
      <c r="F4754" s="473"/>
      <c r="G4754" s="473"/>
      <c r="H4754" s="473"/>
      <c r="I4754" s="473"/>
      <c r="J4754" s="473"/>
      <c r="K4754" s="478"/>
      <c r="L4754" s="473"/>
      <c r="M4754" s="473"/>
    </row>
    <row r="4755" spans="5:13">
      <c r="E4755" s="473"/>
      <c r="F4755" s="473"/>
      <c r="G4755" s="473"/>
      <c r="H4755" s="473"/>
      <c r="I4755" s="473"/>
      <c r="J4755" s="473"/>
      <c r="K4755" s="478"/>
      <c r="L4755" s="473"/>
      <c r="M4755" s="473"/>
    </row>
    <row r="4756" spans="5:13">
      <c r="E4756" s="473"/>
      <c r="F4756" s="473"/>
      <c r="G4756" s="473"/>
      <c r="H4756" s="473"/>
      <c r="I4756" s="473"/>
      <c r="J4756" s="473"/>
      <c r="K4756" s="478"/>
      <c r="L4756" s="473"/>
      <c r="M4756" s="473"/>
    </row>
    <row r="4757" spans="5:13">
      <c r="E4757" s="473"/>
      <c r="F4757" s="473"/>
      <c r="G4757" s="473"/>
      <c r="H4757" s="473"/>
      <c r="I4757" s="473"/>
      <c r="J4757" s="473"/>
      <c r="K4757" s="478"/>
      <c r="L4757" s="473"/>
      <c r="M4757" s="473"/>
    </row>
    <row r="4758" spans="5:13">
      <c r="E4758" s="473"/>
      <c r="F4758" s="473"/>
      <c r="G4758" s="473"/>
      <c r="H4758" s="473"/>
      <c r="I4758" s="473"/>
      <c r="J4758" s="473"/>
      <c r="K4758" s="478"/>
      <c r="L4758" s="473"/>
      <c r="M4758" s="473"/>
    </row>
    <row r="4759" spans="5:13">
      <c r="E4759" s="473"/>
      <c r="F4759" s="473"/>
      <c r="G4759" s="473"/>
      <c r="H4759" s="473"/>
      <c r="I4759" s="473"/>
      <c r="J4759" s="473"/>
      <c r="K4759" s="478"/>
      <c r="L4759" s="473"/>
      <c r="M4759" s="473"/>
    </row>
    <row r="4760" spans="5:13">
      <c r="E4760" s="473"/>
      <c r="F4760" s="473"/>
      <c r="G4760" s="473"/>
      <c r="H4760" s="473"/>
      <c r="I4760" s="473"/>
      <c r="J4760" s="473"/>
      <c r="K4760" s="478"/>
      <c r="L4760" s="473"/>
      <c r="M4760" s="473"/>
    </row>
    <row r="4761" spans="5:13">
      <c r="E4761" s="473"/>
      <c r="F4761" s="473"/>
      <c r="G4761" s="473"/>
      <c r="H4761" s="473"/>
      <c r="I4761" s="473"/>
      <c r="J4761" s="473"/>
      <c r="K4761" s="478"/>
      <c r="L4761" s="473"/>
      <c r="M4761" s="473"/>
    </row>
    <row r="4762" spans="5:13">
      <c r="E4762" s="473"/>
      <c r="F4762" s="473"/>
      <c r="G4762" s="473"/>
      <c r="H4762" s="473"/>
      <c r="I4762" s="473"/>
      <c r="J4762" s="473"/>
      <c r="K4762" s="478"/>
      <c r="L4762" s="473"/>
      <c r="M4762" s="473"/>
    </row>
    <row r="4763" spans="5:13">
      <c r="E4763" s="473"/>
      <c r="F4763" s="473"/>
      <c r="G4763" s="473"/>
      <c r="H4763" s="473"/>
      <c r="I4763" s="473"/>
      <c r="J4763" s="473"/>
      <c r="K4763" s="478"/>
      <c r="L4763" s="473"/>
      <c r="M4763" s="473"/>
    </row>
    <row r="4764" spans="5:13">
      <c r="E4764" s="473"/>
      <c r="F4764" s="473"/>
      <c r="G4764" s="473"/>
      <c r="H4764" s="473"/>
      <c r="I4764" s="473"/>
      <c r="J4764" s="473"/>
      <c r="K4764" s="478"/>
      <c r="L4764" s="473"/>
      <c r="M4764" s="473"/>
    </row>
    <row r="4765" spans="5:13">
      <c r="E4765" s="473"/>
      <c r="F4765" s="473"/>
      <c r="G4765" s="473"/>
      <c r="H4765" s="473"/>
      <c r="I4765" s="473"/>
      <c r="J4765" s="473"/>
      <c r="K4765" s="478"/>
      <c r="L4765" s="473"/>
      <c r="M4765" s="473"/>
    </row>
    <row r="4766" spans="5:13">
      <c r="E4766" s="473"/>
      <c r="F4766" s="473"/>
      <c r="G4766" s="473"/>
      <c r="H4766" s="473"/>
      <c r="I4766" s="473"/>
      <c r="J4766" s="473"/>
      <c r="K4766" s="478"/>
      <c r="L4766" s="473"/>
      <c r="M4766" s="473"/>
    </row>
    <row r="4767" spans="5:13">
      <c r="E4767" s="473"/>
      <c r="F4767" s="473"/>
      <c r="G4767" s="473"/>
      <c r="H4767" s="473"/>
      <c r="I4767" s="473"/>
      <c r="J4767" s="473"/>
      <c r="K4767" s="478"/>
      <c r="L4767" s="473"/>
      <c r="M4767" s="473"/>
    </row>
    <row r="4768" spans="5:13">
      <c r="E4768" s="473"/>
      <c r="F4768" s="473"/>
      <c r="G4768" s="473"/>
      <c r="H4768" s="473"/>
      <c r="I4768" s="473"/>
      <c r="J4768" s="473"/>
      <c r="K4768" s="478"/>
      <c r="L4768" s="473"/>
      <c r="M4768" s="473"/>
    </row>
    <row r="4769" spans="5:13">
      <c r="E4769" s="473"/>
      <c r="F4769" s="473"/>
      <c r="G4769" s="473"/>
      <c r="H4769" s="473"/>
      <c r="I4769" s="473"/>
      <c r="J4769" s="473"/>
      <c r="K4769" s="478"/>
      <c r="L4769" s="473"/>
      <c r="M4769" s="473"/>
    </row>
    <row r="4770" spans="5:13">
      <c r="E4770" s="473"/>
      <c r="F4770" s="473"/>
      <c r="G4770" s="473"/>
      <c r="H4770" s="473"/>
      <c r="I4770" s="473"/>
      <c r="J4770" s="473"/>
      <c r="K4770" s="478"/>
      <c r="L4770" s="473"/>
      <c r="M4770" s="473"/>
    </row>
    <row r="4771" spans="5:13">
      <c r="E4771" s="473"/>
      <c r="F4771" s="473"/>
      <c r="G4771" s="473"/>
      <c r="H4771" s="473"/>
      <c r="I4771" s="473"/>
      <c r="J4771" s="473"/>
      <c r="K4771" s="478"/>
      <c r="L4771" s="473"/>
      <c r="M4771" s="473"/>
    </row>
    <row r="4772" spans="5:13">
      <c r="E4772" s="473"/>
      <c r="F4772" s="473"/>
      <c r="G4772" s="473"/>
      <c r="H4772" s="473"/>
      <c r="I4772" s="473"/>
      <c r="J4772" s="473"/>
      <c r="K4772" s="478"/>
      <c r="L4772" s="473"/>
      <c r="M4772" s="473"/>
    </row>
    <row r="4773" spans="5:13">
      <c r="E4773" s="473"/>
      <c r="F4773" s="473"/>
      <c r="G4773" s="473"/>
      <c r="H4773" s="473"/>
      <c r="I4773" s="473"/>
      <c r="J4773" s="473"/>
      <c r="K4773" s="478"/>
      <c r="L4773" s="473"/>
      <c r="M4773" s="473"/>
    </row>
    <row r="4774" spans="5:13">
      <c r="E4774" s="473"/>
      <c r="F4774" s="473"/>
      <c r="G4774" s="473"/>
      <c r="H4774" s="473"/>
      <c r="I4774" s="473"/>
      <c r="J4774" s="473"/>
      <c r="K4774" s="478"/>
      <c r="L4774" s="473"/>
      <c r="M4774" s="473"/>
    </row>
    <row r="4775" spans="5:13">
      <c r="E4775" s="473"/>
      <c r="F4775" s="473"/>
      <c r="G4775" s="473"/>
      <c r="H4775" s="473"/>
      <c r="I4775" s="473"/>
      <c r="J4775" s="473"/>
      <c r="K4775" s="478"/>
      <c r="L4775" s="473"/>
      <c r="M4775" s="473"/>
    </row>
    <row r="4776" spans="5:13">
      <c r="E4776" s="473"/>
      <c r="F4776" s="473"/>
      <c r="G4776" s="473"/>
      <c r="H4776" s="473"/>
      <c r="I4776" s="473"/>
      <c r="J4776" s="473"/>
      <c r="K4776" s="478"/>
      <c r="L4776" s="473"/>
      <c r="M4776" s="473"/>
    </row>
    <row r="4777" spans="5:13">
      <c r="E4777" s="473"/>
      <c r="F4777" s="473"/>
      <c r="G4777" s="473"/>
      <c r="H4777" s="473"/>
      <c r="I4777" s="473"/>
      <c r="J4777" s="473"/>
      <c r="K4777" s="478"/>
      <c r="L4777" s="473"/>
      <c r="M4777" s="473"/>
    </row>
    <row r="4778" spans="5:13">
      <c r="E4778" s="473"/>
      <c r="F4778" s="473"/>
      <c r="G4778" s="473"/>
      <c r="H4778" s="473"/>
      <c r="I4778" s="473"/>
      <c r="J4778" s="473"/>
      <c r="K4778" s="478"/>
      <c r="L4778" s="473"/>
      <c r="M4778" s="473"/>
    </row>
    <row r="4779" spans="5:13">
      <c r="E4779" s="473"/>
      <c r="F4779" s="473"/>
      <c r="G4779" s="473"/>
      <c r="H4779" s="473"/>
      <c r="I4779" s="473"/>
      <c r="J4779" s="473"/>
      <c r="K4779" s="478"/>
      <c r="L4779" s="473"/>
      <c r="M4779" s="473"/>
    </row>
    <row r="4780" spans="5:13">
      <c r="E4780" s="473"/>
      <c r="F4780" s="473"/>
      <c r="G4780" s="473"/>
      <c r="H4780" s="473"/>
      <c r="I4780" s="473"/>
      <c r="J4780" s="473"/>
      <c r="K4780" s="478"/>
      <c r="L4780" s="473"/>
      <c r="M4780" s="473"/>
    </row>
    <row r="4781" spans="5:13">
      <c r="E4781" s="473"/>
      <c r="F4781" s="473"/>
      <c r="G4781" s="473"/>
      <c r="H4781" s="473"/>
      <c r="I4781" s="473"/>
      <c r="J4781" s="473"/>
      <c r="K4781" s="478"/>
      <c r="L4781" s="473"/>
      <c r="M4781" s="473"/>
    </row>
    <row r="4782" spans="5:13">
      <c r="E4782" s="473"/>
      <c r="F4782" s="473"/>
      <c r="G4782" s="473"/>
      <c r="H4782" s="473"/>
      <c r="I4782" s="473"/>
      <c r="J4782" s="473"/>
      <c r="K4782" s="478"/>
      <c r="L4782" s="473"/>
      <c r="M4782" s="473"/>
    </row>
    <row r="4783" spans="5:13">
      <c r="E4783" s="473"/>
      <c r="F4783" s="473"/>
      <c r="G4783" s="473"/>
      <c r="H4783" s="473"/>
      <c r="I4783" s="473"/>
      <c r="J4783" s="473"/>
      <c r="K4783" s="478"/>
      <c r="L4783" s="473"/>
      <c r="M4783" s="473"/>
    </row>
    <row r="4784" spans="5:13">
      <c r="E4784" s="473"/>
      <c r="F4784" s="473"/>
      <c r="G4784" s="473"/>
      <c r="H4784" s="473"/>
      <c r="I4784" s="473"/>
      <c r="J4784" s="473"/>
      <c r="K4784" s="478"/>
      <c r="L4784" s="473"/>
      <c r="M4784" s="473"/>
    </row>
    <row r="4785" spans="5:13">
      <c r="E4785" s="473"/>
      <c r="F4785" s="473"/>
      <c r="G4785" s="473"/>
      <c r="H4785" s="473"/>
      <c r="I4785" s="473"/>
      <c r="J4785" s="473"/>
      <c r="K4785" s="478"/>
      <c r="L4785" s="473"/>
      <c r="M4785" s="473"/>
    </row>
    <row r="4786" spans="5:13">
      <c r="E4786" s="473"/>
      <c r="F4786" s="473"/>
      <c r="G4786" s="473"/>
      <c r="H4786" s="473"/>
      <c r="I4786" s="473"/>
      <c r="J4786" s="473"/>
      <c r="K4786" s="478"/>
      <c r="L4786" s="473"/>
      <c r="M4786" s="473"/>
    </row>
    <row r="4787" spans="5:13">
      <c r="E4787" s="473"/>
      <c r="F4787" s="473"/>
      <c r="G4787" s="473"/>
      <c r="H4787" s="473"/>
      <c r="I4787" s="473"/>
      <c r="J4787" s="473"/>
      <c r="K4787" s="478"/>
      <c r="L4787" s="473"/>
      <c r="M4787" s="473"/>
    </row>
    <row r="4788" spans="5:13">
      <c r="E4788" s="473"/>
      <c r="F4788" s="473"/>
      <c r="G4788" s="473"/>
      <c r="H4788" s="473"/>
      <c r="I4788" s="473"/>
      <c r="J4788" s="473"/>
      <c r="K4788" s="478"/>
      <c r="L4788" s="473"/>
      <c r="M4788" s="473"/>
    </row>
    <row r="4789" spans="5:13">
      <c r="E4789" s="473"/>
      <c r="F4789" s="473"/>
      <c r="G4789" s="473"/>
      <c r="H4789" s="473"/>
      <c r="I4789" s="473"/>
      <c r="J4789" s="473"/>
      <c r="K4789" s="478"/>
      <c r="L4789" s="473"/>
      <c r="M4789" s="473"/>
    </row>
    <row r="4790" spans="5:13">
      <c r="E4790" s="473"/>
      <c r="F4790" s="473"/>
      <c r="G4790" s="473"/>
      <c r="H4790" s="473"/>
      <c r="I4790" s="473"/>
      <c r="J4790" s="473"/>
      <c r="K4790" s="478"/>
      <c r="L4790" s="473"/>
      <c r="M4790" s="473"/>
    </row>
    <row r="4791" spans="5:13">
      <c r="E4791" s="473"/>
      <c r="F4791" s="473"/>
      <c r="G4791" s="473"/>
      <c r="H4791" s="473"/>
      <c r="I4791" s="473"/>
      <c r="J4791" s="473"/>
      <c r="K4791" s="478"/>
      <c r="L4791" s="473"/>
      <c r="M4791" s="473"/>
    </row>
    <row r="4792" spans="5:13">
      <c r="E4792" s="473"/>
      <c r="F4792" s="473"/>
      <c r="G4792" s="473"/>
      <c r="H4792" s="473"/>
      <c r="I4792" s="473"/>
      <c r="J4792" s="473"/>
      <c r="K4792" s="478"/>
      <c r="L4792" s="473"/>
      <c r="M4792" s="473"/>
    </row>
    <row r="4793" spans="5:13">
      <c r="E4793" s="473"/>
      <c r="F4793" s="473"/>
      <c r="G4793" s="473"/>
      <c r="H4793" s="473"/>
      <c r="I4793" s="473"/>
      <c r="J4793" s="473"/>
      <c r="K4793" s="478"/>
      <c r="L4793" s="473"/>
      <c r="M4793" s="473"/>
    </row>
    <row r="4794" spans="5:13">
      <c r="E4794" s="473"/>
      <c r="F4794" s="473"/>
      <c r="G4794" s="473"/>
      <c r="H4794" s="473"/>
      <c r="I4794" s="473"/>
      <c r="J4794" s="473"/>
      <c r="K4794" s="478"/>
      <c r="L4794" s="473"/>
      <c r="M4794" s="473"/>
    </row>
    <row r="4795" spans="5:13">
      <c r="E4795" s="473"/>
      <c r="F4795" s="473"/>
      <c r="G4795" s="473"/>
      <c r="H4795" s="473"/>
      <c r="I4795" s="473"/>
      <c r="J4795" s="473"/>
      <c r="K4795" s="478"/>
      <c r="L4795" s="473"/>
      <c r="M4795" s="473"/>
    </row>
    <row r="4796" spans="5:13">
      <c r="E4796" s="473"/>
      <c r="F4796" s="473"/>
      <c r="G4796" s="473"/>
      <c r="H4796" s="473"/>
      <c r="I4796" s="473"/>
      <c r="J4796" s="473"/>
      <c r="K4796" s="478"/>
      <c r="L4796" s="473"/>
      <c r="M4796" s="473"/>
    </row>
    <row r="4797" spans="5:13">
      <c r="E4797" s="473"/>
      <c r="F4797" s="473"/>
      <c r="G4797" s="473"/>
      <c r="H4797" s="473"/>
      <c r="I4797" s="473"/>
      <c r="J4797" s="473"/>
      <c r="K4797" s="478"/>
      <c r="L4797" s="473"/>
      <c r="M4797" s="473"/>
    </row>
    <row r="4798" spans="5:13">
      <c r="E4798" s="473"/>
      <c r="F4798" s="473"/>
      <c r="G4798" s="473"/>
      <c r="H4798" s="473"/>
      <c r="I4798" s="473"/>
      <c r="J4798" s="473"/>
      <c r="K4798" s="478"/>
      <c r="L4798" s="473"/>
      <c r="M4798" s="473"/>
    </row>
    <row r="4799" spans="5:13">
      <c r="E4799" s="473"/>
      <c r="F4799" s="473"/>
      <c r="G4799" s="473"/>
      <c r="H4799" s="473"/>
      <c r="I4799" s="473"/>
      <c r="J4799" s="473"/>
      <c r="K4799" s="478"/>
      <c r="L4799" s="473"/>
      <c r="M4799" s="473"/>
    </row>
    <row r="4800" spans="5:13">
      <c r="E4800" s="473"/>
      <c r="F4800" s="473"/>
      <c r="G4800" s="473"/>
      <c r="H4800" s="473"/>
      <c r="I4800" s="473"/>
      <c r="J4800" s="473"/>
      <c r="K4800" s="478"/>
      <c r="L4800" s="473"/>
      <c r="M4800" s="473"/>
    </row>
    <row r="4801" spans="5:13">
      <c r="E4801" s="473"/>
      <c r="F4801" s="473"/>
      <c r="G4801" s="473"/>
      <c r="H4801" s="473"/>
      <c r="I4801" s="473"/>
      <c r="J4801" s="473"/>
      <c r="K4801" s="478"/>
      <c r="L4801" s="473"/>
      <c r="M4801" s="473"/>
    </row>
    <row r="4802" spans="5:13">
      <c r="E4802" s="473"/>
      <c r="F4802" s="473"/>
      <c r="G4802" s="473"/>
      <c r="H4802" s="473"/>
      <c r="I4802" s="473"/>
      <c r="J4802" s="473"/>
      <c r="K4802" s="478"/>
      <c r="L4802" s="473"/>
      <c r="M4802" s="473"/>
    </row>
    <row r="4803" spans="5:13">
      <c r="E4803" s="473"/>
      <c r="F4803" s="473"/>
      <c r="G4803" s="473"/>
      <c r="H4803" s="473"/>
      <c r="I4803" s="473"/>
      <c r="J4803" s="473"/>
      <c r="K4803" s="478"/>
      <c r="L4803" s="473"/>
      <c r="M4803" s="473"/>
    </row>
    <row r="4804" spans="5:13">
      <c r="E4804" s="473"/>
      <c r="F4804" s="473"/>
      <c r="G4804" s="473"/>
      <c r="H4804" s="473"/>
      <c r="I4804" s="473"/>
      <c r="J4804" s="473"/>
      <c r="K4804" s="478"/>
      <c r="L4804" s="473"/>
      <c r="M4804" s="473"/>
    </row>
    <row r="4805" spans="5:13">
      <c r="E4805" s="473"/>
      <c r="F4805" s="473"/>
      <c r="G4805" s="473"/>
      <c r="H4805" s="473"/>
      <c r="I4805" s="473"/>
      <c r="J4805" s="473"/>
      <c r="K4805" s="478"/>
      <c r="L4805" s="473"/>
      <c r="M4805" s="473"/>
    </row>
    <row r="4806" spans="5:13">
      <c r="E4806" s="473"/>
      <c r="F4806" s="473"/>
      <c r="G4806" s="473"/>
      <c r="H4806" s="473"/>
      <c r="I4806" s="473"/>
      <c r="J4806" s="473"/>
      <c r="K4806" s="478"/>
      <c r="L4806" s="473"/>
      <c r="M4806" s="473"/>
    </row>
    <row r="4807" spans="5:13">
      <c r="E4807" s="473"/>
      <c r="F4807" s="473"/>
      <c r="G4807" s="473"/>
      <c r="H4807" s="473"/>
      <c r="I4807" s="473"/>
      <c r="J4807" s="473"/>
      <c r="K4807" s="478"/>
      <c r="L4807" s="473"/>
      <c r="M4807" s="473"/>
    </row>
    <row r="4808" spans="5:13">
      <c r="E4808" s="473"/>
      <c r="F4808" s="473"/>
      <c r="G4808" s="473"/>
      <c r="H4808" s="473"/>
      <c r="I4808" s="473"/>
      <c r="J4808" s="473"/>
      <c r="K4808" s="478"/>
      <c r="L4808" s="473"/>
      <c r="M4808" s="473"/>
    </row>
    <row r="4809" spans="5:13">
      <c r="E4809" s="473"/>
      <c r="F4809" s="473"/>
      <c r="G4809" s="473"/>
      <c r="H4809" s="473"/>
      <c r="I4809" s="473"/>
      <c r="J4809" s="473"/>
      <c r="K4809" s="478"/>
      <c r="L4809" s="473"/>
      <c r="M4809" s="473"/>
    </row>
    <row r="4810" spans="5:13">
      <c r="E4810" s="473"/>
      <c r="F4810" s="473"/>
      <c r="G4810" s="473"/>
      <c r="H4810" s="473"/>
      <c r="I4810" s="473"/>
      <c r="J4810" s="473"/>
      <c r="K4810" s="478"/>
      <c r="L4810" s="473"/>
      <c r="M4810" s="473"/>
    </row>
    <row r="4811" spans="5:13">
      <c r="E4811" s="473"/>
      <c r="F4811" s="473"/>
      <c r="G4811" s="473"/>
      <c r="H4811" s="473"/>
      <c r="I4811" s="473"/>
      <c r="J4811" s="473"/>
      <c r="K4811" s="478"/>
      <c r="L4811" s="473"/>
      <c r="M4811" s="473"/>
    </row>
    <row r="4812" spans="5:13">
      <c r="E4812" s="473"/>
      <c r="F4812" s="473"/>
      <c r="G4812" s="473"/>
      <c r="H4812" s="473"/>
      <c r="I4812" s="473"/>
      <c r="J4812" s="473"/>
      <c r="K4812" s="478"/>
      <c r="L4812" s="473"/>
      <c r="M4812" s="473"/>
    </row>
    <row r="4813" spans="5:13">
      <c r="E4813" s="473"/>
      <c r="F4813" s="473"/>
      <c r="G4813" s="473"/>
      <c r="H4813" s="473"/>
      <c r="I4813" s="473"/>
      <c r="J4813" s="473"/>
      <c r="K4813" s="478"/>
      <c r="L4813" s="473"/>
      <c r="M4813" s="473"/>
    </row>
    <row r="4814" spans="5:13">
      <c r="E4814" s="473"/>
      <c r="F4814" s="473"/>
      <c r="G4814" s="473"/>
      <c r="H4814" s="473"/>
      <c r="I4814" s="473"/>
      <c r="J4814" s="473"/>
      <c r="K4814" s="478"/>
      <c r="L4814" s="473"/>
      <c r="M4814" s="473"/>
    </row>
    <row r="4815" spans="5:13">
      <c r="E4815" s="473"/>
      <c r="F4815" s="473"/>
      <c r="G4815" s="473"/>
      <c r="H4815" s="473"/>
      <c r="I4815" s="473"/>
      <c r="J4815" s="473"/>
      <c r="K4815" s="478"/>
      <c r="L4815" s="473"/>
      <c r="M4815" s="473"/>
    </row>
    <row r="4816" spans="5:13">
      <c r="E4816" s="473"/>
      <c r="F4816" s="473"/>
      <c r="G4816" s="473"/>
      <c r="H4816" s="473"/>
      <c r="I4816" s="473"/>
      <c r="J4816" s="473"/>
      <c r="K4816" s="478"/>
      <c r="L4816" s="473"/>
      <c r="M4816" s="473"/>
    </row>
    <row r="4817" spans="5:13">
      <c r="E4817" s="473"/>
      <c r="F4817" s="473"/>
      <c r="G4817" s="473"/>
      <c r="H4817" s="473"/>
      <c r="I4817" s="473"/>
      <c r="J4817" s="473"/>
      <c r="K4817" s="478"/>
      <c r="L4817" s="473"/>
      <c r="M4817" s="473"/>
    </row>
    <row r="4818" spans="5:13">
      <c r="E4818" s="473"/>
      <c r="F4818" s="473"/>
      <c r="G4818" s="473"/>
      <c r="H4818" s="473"/>
      <c r="I4818" s="473"/>
      <c r="J4818" s="473"/>
      <c r="K4818" s="478"/>
      <c r="L4818" s="473"/>
      <c r="M4818" s="473"/>
    </row>
    <row r="4819" spans="5:13">
      <c r="E4819" s="473"/>
      <c r="F4819" s="473"/>
      <c r="G4819" s="473"/>
      <c r="H4819" s="473"/>
      <c r="I4819" s="473"/>
      <c r="J4819" s="473"/>
      <c r="K4819" s="478"/>
      <c r="L4819" s="473"/>
      <c r="M4819" s="473"/>
    </row>
    <row r="4820" spans="5:13">
      <c r="E4820" s="473"/>
      <c r="F4820" s="473"/>
      <c r="G4820" s="473"/>
      <c r="H4820" s="473"/>
      <c r="I4820" s="473"/>
      <c r="J4820" s="473"/>
      <c r="K4820" s="478"/>
      <c r="L4820" s="473"/>
      <c r="M4820" s="473"/>
    </row>
    <row r="4821" spans="5:13">
      <c r="E4821" s="473"/>
      <c r="F4821" s="473"/>
      <c r="G4821" s="473"/>
      <c r="H4821" s="473"/>
      <c r="I4821" s="473"/>
      <c r="J4821" s="473"/>
      <c r="K4821" s="478"/>
      <c r="L4821" s="473"/>
      <c r="M4821" s="473"/>
    </row>
    <row r="4822" spans="5:13">
      <c r="E4822" s="473"/>
      <c r="F4822" s="473"/>
      <c r="G4822" s="473"/>
      <c r="H4822" s="473"/>
      <c r="I4822" s="473"/>
      <c r="J4822" s="473"/>
      <c r="K4822" s="478"/>
      <c r="L4822" s="473"/>
      <c r="M4822" s="473"/>
    </row>
    <row r="4823" spans="5:13">
      <c r="E4823" s="473"/>
      <c r="F4823" s="473"/>
      <c r="G4823" s="473"/>
      <c r="H4823" s="473"/>
      <c r="I4823" s="473"/>
      <c r="J4823" s="473"/>
      <c r="K4823" s="478"/>
      <c r="L4823" s="473"/>
      <c r="M4823" s="473"/>
    </row>
    <row r="4824" spans="5:13">
      <c r="E4824" s="473"/>
      <c r="F4824" s="473"/>
      <c r="G4824" s="473"/>
      <c r="H4824" s="473"/>
      <c r="I4824" s="473"/>
      <c r="J4824" s="473"/>
      <c r="K4824" s="478"/>
      <c r="L4824" s="473"/>
      <c r="M4824" s="473"/>
    </row>
    <row r="4825" spans="5:13">
      <c r="E4825" s="473"/>
      <c r="F4825" s="473"/>
      <c r="G4825" s="473"/>
      <c r="H4825" s="473"/>
      <c r="I4825" s="473"/>
      <c r="J4825" s="473"/>
      <c r="K4825" s="478"/>
      <c r="L4825" s="473"/>
      <c r="M4825" s="473"/>
    </row>
    <row r="4826" spans="5:13">
      <c r="E4826" s="473"/>
      <c r="F4826" s="473"/>
      <c r="G4826" s="473"/>
      <c r="H4826" s="473"/>
      <c r="I4826" s="473"/>
      <c r="J4826" s="473"/>
      <c r="K4826" s="478"/>
      <c r="L4826" s="473"/>
      <c r="M4826" s="473"/>
    </row>
    <row r="4827" spans="5:13">
      <c r="E4827" s="473"/>
      <c r="F4827" s="473"/>
      <c r="G4827" s="473"/>
      <c r="H4827" s="473"/>
      <c r="I4827" s="473"/>
      <c r="J4827" s="473"/>
      <c r="K4827" s="478"/>
      <c r="L4827" s="473"/>
      <c r="M4827" s="473"/>
    </row>
    <row r="4828" spans="5:13">
      <c r="E4828" s="473"/>
      <c r="F4828" s="473"/>
      <c r="G4828" s="473"/>
      <c r="H4828" s="473"/>
      <c r="I4828" s="473"/>
      <c r="J4828" s="473"/>
      <c r="K4828" s="478"/>
      <c r="L4828" s="473"/>
      <c r="M4828" s="473"/>
    </row>
    <row r="4829" spans="5:13">
      <c r="E4829" s="473"/>
      <c r="F4829" s="473"/>
      <c r="G4829" s="473"/>
      <c r="H4829" s="473"/>
      <c r="I4829" s="473"/>
      <c r="J4829" s="473"/>
      <c r="K4829" s="478"/>
      <c r="L4829" s="473"/>
      <c r="M4829" s="473"/>
    </row>
    <row r="4830" spans="5:13">
      <c r="E4830" s="473"/>
      <c r="F4830" s="473"/>
      <c r="G4830" s="473"/>
      <c r="H4830" s="473"/>
      <c r="I4830" s="473"/>
      <c r="J4830" s="473"/>
      <c r="K4830" s="478"/>
      <c r="L4830" s="473"/>
      <c r="M4830" s="473"/>
    </row>
    <row r="4831" spans="5:13">
      <c r="E4831" s="473"/>
      <c r="F4831" s="473"/>
      <c r="G4831" s="473"/>
      <c r="H4831" s="473"/>
      <c r="I4831" s="473"/>
      <c r="J4831" s="473"/>
      <c r="K4831" s="478"/>
      <c r="L4831" s="473"/>
      <c r="M4831" s="473"/>
    </row>
    <row r="4832" spans="5:13">
      <c r="E4832" s="473"/>
      <c r="F4832" s="473"/>
      <c r="G4832" s="473"/>
      <c r="H4832" s="473"/>
      <c r="I4832" s="473"/>
      <c r="J4832" s="473"/>
      <c r="K4832" s="478"/>
      <c r="L4832" s="473"/>
      <c r="M4832" s="473"/>
    </row>
    <row r="4833" spans="5:13">
      <c r="E4833" s="473"/>
      <c r="F4833" s="473"/>
      <c r="G4833" s="473"/>
      <c r="H4833" s="473"/>
      <c r="I4833" s="473"/>
      <c r="J4833" s="473"/>
      <c r="K4833" s="478"/>
      <c r="L4833" s="473"/>
      <c r="M4833" s="473"/>
    </row>
    <row r="4834" spans="5:13">
      <c r="E4834" s="473"/>
      <c r="F4834" s="473"/>
      <c r="G4834" s="473"/>
      <c r="H4834" s="473"/>
      <c r="I4834" s="473"/>
      <c r="J4834" s="473"/>
      <c r="K4834" s="478"/>
      <c r="L4834" s="473"/>
      <c r="M4834" s="473"/>
    </row>
    <row r="4835" spans="5:13">
      <c r="E4835" s="473"/>
      <c r="F4835" s="473"/>
      <c r="G4835" s="473"/>
      <c r="H4835" s="473"/>
      <c r="I4835" s="473"/>
      <c r="J4835" s="473"/>
      <c r="K4835" s="478"/>
      <c r="L4835" s="473"/>
      <c r="M4835" s="473"/>
    </row>
    <row r="4836" spans="5:13">
      <c r="E4836" s="473"/>
      <c r="F4836" s="473"/>
      <c r="G4836" s="473"/>
      <c r="H4836" s="473"/>
      <c r="I4836" s="473"/>
      <c r="J4836" s="473"/>
      <c r="K4836" s="478"/>
      <c r="L4836" s="473"/>
      <c r="M4836" s="473"/>
    </row>
    <row r="4837" spans="5:13">
      <c r="E4837" s="473"/>
      <c r="F4837" s="473"/>
      <c r="G4837" s="473"/>
      <c r="H4837" s="473"/>
      <c r="I4837" s="473"/>
      <c r="J4837" s="473"/>
      <c r="K4837" s="478"/>
      <c r="L4837" s="473"/>
      <c r="M4837" s="473"/>
    </row>
    <row r="4838" spans="5:13">
      <c r="E4838" s="473"/>
      <c r="F4838" s="473"/>
      <c r="G4838" s="473"/>
      <c r="H4838" s="473"/>
      <c r="I4838" s="473"/>
      <c r="J4838" s="473"/>
      <c r="K4838" s="478"/>
      <c r="L4838" s="473"/>
      <c r="M4838" s="473"/>
    </row>
    <row r="4839" spans="5:13">
      <c r="E4839" s="473"/>
      <c r="F4839" s="473"/>
      <c r="G4839" s="473"/>
      <c r="H4839" s="473"/>
      <c r="I4839" s="473"/>
      <c r="J4839" s="473"/>
      <c r="K4839" s="478"/>
      <c r="L4839" s="473"/>
      <c r="M4839" s="473"/>
    </row>
    <row r="4840" spans="5:13">
      <c r="E4840" s="473"/>
      <c r="F4840" s="473"/>
      <c r="G4840" s="473"/>
      <c r="H4840" s="473"/>
      <c r="I4840" s="473"/>
      <c r="J4840" s="473"/>
      <c r="K4840" s="478"/>
      <c r="L4840" s="473"/>
      <c r="M4840" s="473"/>
    </row>
    <row r="4841" spans="5:13">
      <c r="E4841" s="473"/>
      <c r="F4841" s="473"/>
      <c r="G4841" s="473"/>
      <c r="H4841" s="473"/>
      <c r="I4841" s="473"/>
      <c r="J4841" s="473"/>
      <c r="K4841" s="478"/>
      <c r="L4841" s="473"/>
      <c r="M4841" s="473"/>
    </row>
    <row r="4842" spans="5:13">
      <c r="E4842" s="473"/>
      <c r="F4842" s="473"/>
      <c r="G4842" s="473"/>
      <c r="H4842" s="473"/>
      <c r="I4842" s="473"/>
      <c r="J4842" s="473"/>
      <c r="K4842" s="478"/>
      <c r="L4842" s="473"/>
      <c r="M4842" s="473"/>
    </row>
    <row r="4843" spans="5:13">
      <c r="E4843" s="473"/>
      <c r="F4843" s="473"/>
      <c r="G4843" s="473"/>
      <c r="H4843" s="473"/>
      <c r="I4843" s="473"/>
      <c r="J4843" s="473"/>
      <c r="K4843" s="478"/>
      <c r="L4843" s="473"/>
      <c r="M4843" s="473"/>
    </row>
    <row r="4844" spans="5:13">
      <c r="E4844" s="473"/>
      <c r="F4844" s="473"/>
      <c r="G4844" s="473"/>
      <c r="H4844" s="473"/>
      <c r="I4844" s="473"/>
      <c r="J4844" s="473"/>
      <c r="K4844" s="478"/>
      <c r="L4844" s="473"/>
      <c r="M4844" s="473"/>
    </row>
    <row r="4845" spans="5:13">
      <c r="E4845" s="473"/>
      <c r="F4845" s="473"/>
      <c r="G4845" s="473"/>
      <c r="H4845" s="473"/>
      <c r="I4845" s="473"/>
      <c r="J4845" s="473"/>
      <c r="K4845" s="478"/>
      <c r="L4845" s="473"/>
      <c r="M4845" s="473"/>
    </row>
    <row r="4846" spans="5:13">
      <c r="E4846" s="473"/>
      <c r="F4846" s="473"/>
      <c r="G4846" s="473"/>
      <c r="H4846" s="473"/>
      <c r="I4846" s="473"/>
      <c r="J4846" s="473"/>
      <c r="K4846" s="478"/>
      <c r="L4846" s="473"/>
      <c r="M4846" s="473"/>
    </row>
    <row r="4847" spans="5:13">
      <c r="E4847" s="473"/>
      <c r="F4847" s="473"/>
      <c r="G4847" s="473"/>
      <c r="H4847" s="473"/>
      <c r="I4847" s="473"/>
      <c r="J4847" s="473"/>
      <c r="K4847" s="478"/>
      <c r="L4847" s="473"/>
      <c r="M4847" s="473"/>
    </row>
    <row r="4848" spans="5:13">
      <c r="E4848" s="473"/>
      <c r="F4848" s="473"/>
      <c r="G4848" s="473"/>
      <c r="H4848" s="473"/>
      <c r="I4848" s="473"/>
      <c r="J4848" s="473"/>
      <c r="K4848" s="478"/>
      <c r="L4848" s="473"/>
      <c r="M4848" s="473"/>
    </row>
    <row r="4849" spans="5:13">
      <c r="E4849" s="473"/>
      <c r="F4849" s="473"/>
      <c r="G4849" s="473"/>
      <c r="H4849" s="473"/>
      <c r="I4849" s="473"/>
      <c r="J4849" s="473"/>
      <c r="K4849" s="478"/>
      <c r="L4849" s="473"/>
      <c r="M4849" s="473"/>
    </row>
    <row r="4850" spans="5:13">
      <c r="E4850" s="473"/>
      <c r="F4850" s="473"/>
      <c r="G4850" s="473"/>
      <c r="H4850" s="473"/>
      <c r="I4850" s="473"/>
      <c r="J4850" s="473"/>
      <c r="K4850" s="478"/>
      <c r="L4850" s="473"/>
      <c r="M4850" s="473"/>
    </row>
    <row r="4851" spans="5:13">
      <c r="E4851" s="473"/>
      <c r="F4851" s="473"/>
      <c r="G4851" s="473"/>
      <c r="H4851" s="473"/>
      <c r="I4851" s="473"/>
      <c r="J4851" s="473"/>
      <c r="K4851" s="478"/>
      <c r="L4851" s="473"/>
      <c r="M4851" s="473"/>
    </row>
    <row r="4852" spans="5:13">
      <c r="E4852" s="473"/>
      <c r="F4852" s="473"/>
      <c r="G4852" s="473"/>
      <c r="H4852" s="473"/>
      <c r="I4852" s="473"/>
      <c r="J4852" s="473"/>
      <c r="K4852" s="478"/>
      <c r="L4852" s="473"/>
      <c r="M4852" s="473"/>
    </row>
    <row r="4853" spans="5:13">
      <c r="E4853" s="473"/>
      <c r="F4853" s="473"/>
      <c r="G4853" s="473"/>
      <c r="H4853" s="473"/>
      <c r="I4853" s="473"/>
      <c r="J4853" s="473"/>
      <c r="K4853" s="478"/>
      <c r="L4853" s="473"/>
      <c r="M4853" s="473"/>
    </row>
    <row r="4854" spans="5:13">
      <c r="E4854" s="473"/>
      <c r="F4854" s="473"/>
      <c r="G4854" s="473"/>
      <c r="H4854" s="473"/>
      <c r="I4854" s="473"/>
      <c r="J4854" s="473"/>
      <c r="K4854" s="478"/>
      <c r="L4854" s="473"/>
      <c r="M4854" s="473"/>
    </row>
    <row r="4855" spans="5:13">
      <c r="E4855" s="473"/>
      <c r="F4855" s="473"/>
      <c r="G4855" s="473"/>
      <c r="H4855" s="473"/>
      <c r="I4855" s="473"/>
      <c r="J4855" s="473"/>
      <c r="K4855" s="478"/>
      <c r="L4855" s="473"/>
      <c r="M4855" s="473"/>
    </row>
    <row r="4856" spans="5:13">
      <c r="E4856" s="473"/>
      <c r="F4856" s="473"/>
      <c r="G4856" s="473"/>
      <c r="H4856" s="473"/>
      <c r="I4856" s="473"/>
      <c r="J4856" s="473"/>
      <c r="K4856" s="478"/>
      <c r="L4856" s="473"/>
      <c r="M4856" s="473"/>
    </row>
    <row r="4857" spans="5:13">
      <c r="E4857" s="473"/>
      <c r="F4857" s="473"/>
      <c r="G4857" s="473"/>
      <c r="H4857" s="473"/>
      <c r="I4857" s="473"/>
      <c r="J4857" s="473"/>
      <c r="K4857" s="478"/>
      <c r="L4857" s="473"/>
      <c r="M4857" s="473"/>
    </row>
    <row r="4858" spans="5:13">
      <c r="E4858" s="473"/>
      <c r="F4858" s="473"/>
      <c r="G4858" s="473"/>
      <c r="H4858" s="473"/>
      <c r="I4858" s="473"/>
      <c r="J4858" s="473"/>
      <c r="K4858" s="478"/>
      <c r="L4858" s="473"/>
      <c r="M4858" s="473"/>
    </row>
    <row r="4859" spans="5:13">
      <c r="E4859" s="473"/>
      <c r="F4859" s="473"/>
      <c r="G4859" s="473"/>
      <c r="H4859" s="473"/>
      <c r="I4859" s="473"/>
      <c r="J4859" s="473"/>
      <c r="K4859" s="478"/>
      <c r="L4859" s="473"/>
      <c r="M4859" s="473"/>
    </row>
    <row r="4860" spans="5:13">
      <c r="E4860" s="473"/>
      <c r="F4860" s="473"/>
      <c r="G4860" s="473"/>
      <c r="H4860" s="473"/>
      <c r="I4860" s="473"/>
      <c r="J4860" s="473"/>
      <c r="K4860" s="478"/>
      <c r="L4860" s="473"/>
      <c r="M4860" s="473"/>
    </row>
    <row r="4861" spans="5:13">
      <c r="E4861" s="473"/>
      <c r="F4861" s="473"/>
      <c r="G4861" s="473"/>
      <c r="H4861" s="473"/>
      <c r="I4861" s="473"/>
      <c r="J4861" s="473"/>
      <c r="K4861" s="478"/>
      <c r="L4861" s="473"/>
      <c r="M4861" s="473"/>
    </row>
    <row r="4862" spans="5:13">
      <c r="E4862" s="473"/>
      <c r="F4862" s="473"/>
      <c r="G4862" s="473"/>
      <c r="H4862" s="473"/>
      <c r="I4862" s="473"/>
      <c r="J4862" s="473"/>
      <c r="K4862" s="478"/>
      <c r="L4862" s="473"/>
      <c r="M4862" s="473"/>
    </row>
    <row r="4863" spans="5:13">
      <c r="E4863" s="473"/>
      <c r="F4863" s="473"/>
      <c r="G4863" s="473"/>
      <c r="H4863" s="473"/>
      <c r="I4863" s="473"/>
      <c r="J4863" s="473"/>
      <c r="K4863" s="478"/>
      <c r="L4863" s="473"/>
      <c r="M4863" s="473"/>
    </row>
    <row r="4864" spans="5:13">
      <c r="E4864" s="473"/>
      <c r="F4864" s="473"/>
      <c r="G4864" s="473"/>
      <c r="H4864" s="473"/>
      <c r="I4864" s="473"/>
      <c r="J4864" s="473"/>
      <c r="K4864" s="478"/>
      <c r="L4864" s="473"/>
      <c r="M4864" s="473"/>
    </row>
    <row r="4865" spans="5:13">
      <c r="E4865" s="473"/>
      <c r="F4865" s="473"/>
      <c r="G4865" s="473"/>
      <c r="H4865" s="473"/>
      <c r="I4865" s="473"/>
      <c r="J4865" s="473"/>
      <c r="K4865" s="478"/>
      <c r="L4865" s="473"/>
      <c r="M4865" s="473"/>
    </row>
    <row r="4866" spans="5:13">
      <c r="E4866" s="473"/>
      <c r="F4866" s="473"/>
      <c r="G4866" s="473"/>
      <c r="H4866" s="473"/>
      <c r="I4866" s="473"/>
      <c r="J4866" s="473"/>
      <c r="K4866" s="478"/>
      <c r="L4866" s="473"/>
      <c r="M4866" s="473"/>
    </row>
    <row r="4867" spans="5:13">
      <c r="E4867" s="473"/>
      <c r="F4867" s="473"/>
      <c r="G4867" s="473"/>
      <c r="H4867" s="473"/>
      <c r="I4867" s="473"/>
      <c r="J4867" s="473"/>
      <c r="K4867" s="478"/>
      <c r="L4867" s="473"/>
      <c r="M4867" s="473"/>
    </row>
    <row r="4868" spans="5:13">
      <c r="E4868" s="473"/>
      <c r="F4868" s="473"/>
      <c r="G4868" s="473"/>
      <c r="H4868" s="473"/>
      <c r="I4868" s="473"/>
      <c r="J4868" s="473"/>
      <c r="K4868" s="478"/>
      <c r="L4868" s="473"/>
      <c r="M4868" s="473"/>
    </row>
    <row r="4869" spans="5:13">
      <c r="E4869" s="473"/>
      <c r="F4869" s="473"/>
      <c r="G4869" s="473"/>
      <c r="H4869" s="473"/>
      <c r="I4869" s="473"/>
      <c r="J4869" s="473"/>
      <c r="K4869" s="478"/>
      <c r="L4869" s="473"/>
      <c r="M4869" s="473"/>
    </row>
    <row r="4870" spans="5:13">
      <c r="E4870" s="473"/>
      <c r="F4870" s="473"/>
      <c r="G4870" s="473"/>
      <c r="H4870" s="473"/>
      <c r="I4870" s="473"/>
      <c r="J4870" s="473"/>
      <c r="K4870" s="478"/>
      <c r="L4870" s="473"/>
      <c r="M4870" s="473"/>
    </row>
    <row r="4871" spans="5:13">
      <c r="E4871" s="473"/>
      <c r="F4871" s="473"/>
      <c r="G4871" s="473"/>
      <c r="H4871" s="473"/>
      <c r="I4871" s="473"/>
      <c r="J4871" s="473"/>
      <c r="K4871" s="478"/>
      <c r="L4871" s="473"/>
      <c r="M4871" s="473"/>
    </row>
    <row r="4872" spans="5:13">
      <c r="E4872" s="473"/>
      <c r="F4872" s="473"/>
      <c r="G4872" s="473"/>
      <c r="H4872" s="473"/>
      <c r="I4872" s="473"/>
      <c r="J4872" s="473"/>
      <c r="K4872" s="478"/>
      <c r="L4872" s="473"/>
      <c r="M4872" s="473"/>
    </row>
    <row r="4873" spans="5:13">
      <c r="E4873" s="473"/>
      <c r="F4873" s="473"/>
      <c r="G4873" s="473"/>
      <c r="H4873" s="473"/>
      <c r="I4873" s="473"/>
      <c r="J4873" s="473"/>
      <c r="K4873" s="478"/>
      <c r="L4873" s="473"/>
      <c r="M4873" s="473"/>
    </row>
    <row r="4874" spans="5:13">
      <c r="E4874" s="473"/>
      <c r="F4874" s="473"/>
      <c r="G4874" s="473"/>
      <c r="H4874" s="473"/>
      <c r="I4874" s="473"/>
      <c r="J4874" s="473"/>
      <c r="K4874" s="478"/>
      <c r="L4874" s="473"/>
      <c r="M4874" s="473"/>
    </row>
    <row r="4875" spans="5:13">
      <c r="E4875" s="473"/>
      <c r="F4875" s="473"/>
      <c r="G4875" s="473"/>
      <c r="H4875" s="473"/>
      <c r="I4875" s="473"/>
      <c r="J4875" s="473"/>
      <c r="K4875" s="478"/>
      <c r="L4875" s="473"/>
      <c r="M4875" s="473"/>
    </row>
    <row r="4876" spans="5:13">
      <c r="E4876" s="473"/>
      <c r="F4876" s="473"/>
      <c r="G4876" s="473"/>
      <c r="H4876" s="473"/>
      <c r="I4876" s="473"/>
      <c r="J4876" s="473"/>
      <c r="K4876" s="478"/>
      <c r="L4876" s="473"/>
      <c r="M4876" s="473"/>
    </row>
    <row r="4877" spans="5:13">
      <c r="E4877" s="473"/>
      <c r="F4877" s="473"/>
      <c r="G4877" s="473"/>
      <c r="H4877" s="473"/>
      <c r="I4877" s="473"/>
      <c r="J4877" s="473"/>
      <c r="K4877" s="478"/>
      <c r="L4877" s="473"/>
      <c r="M4877" s="473"/>
    </row>
    <row r="4878" spans="5:13">
      <c r="E4878" s="473"/>
      <c r="F4878" s="473"/>
      <c r="G4878" s="473"/>
      <c r="H4878" s="473"/>
      <c r="I4878" s="473"/>
      <c r="J4878" s="473"/>
      <c r="K4878" s="478"/>
      <c r="L4878" s="473"/>
      <c r="M4878" s="473"/>
    </row>
    <row r="4879" spans="5:13">
      <c r="E4879" s="473"/>
      <c r="F4879" s="473"/>
      <c r="G4879" s="473"/>
      <c r="H4879" s="473"/>
      <c r="I4879" s="473"/>
      <c r="J4879" s="473"/>
      <c r="K4879" s="478"/>
      <c r="L4879" s="473"/>
      <c r="M4879" s="473"/>
    </row>
    <row r="4880" spans="5:13">
      <c r="E4880" s="473"/>
      <c r="F4880" s="473"/>
      <c r="G4880" s="473"/>
      <c r="H4880" s="473"/>
      <c r="I4880" s="473"/>
      <c r="J4880" s="473"/>
      <c r="K4880" s="478"/>
      <c r="L4880" s="473"/>
      <c r="M4880" s="473"/>
    </row>
    <row r="4881" spans="5:13">
      <c r="E4881" s="473"/>
      <c r="F4881" s="473"/>
      <c r="G4881" s="473"/>
      <c r="H4881" s="473"/>
      <c r="I4881" s="473"/>
      <c r="J4881" s="473"/>
      <c r="K4881" s="478"/>
      <c r="L4881" s="473"/>
      <c r="M4881" s="473"/>
    </row>
    <row r="4882" spans="5:13">
      <c r="E4882" s="473"/>
      <c r="F4882" s="473"/>
      <c r="G4882" s="473"/>
      <c r="H4882" s="473"/>
      <c r="I4882" s="473"/>
      <c r="J4882" s="473"/>
      <c r="K4882" s="478"/>
      <c r="L4882" s="473"/>
      <c r="M4882" s="473"/>
    </row>
    <row r="4883" spans="5:13">
      <c r="E4883" s="473"/>
      <c r="F4883" s="473"/>
      <c r="G4883" s="473"/>
      <c r="H4883" s="473"/>
      <c r="I4883" s="473"/>
      <c r="J4883" s="473"/>
      <c r="K4883" s="478"/>
      <c r="L4883" s="473"/>
      <c r="M4883" s="473"/>
    </row>
    <row r="4884" spans="5:13">
      <c r="E4884" s="473"/>
      <c r="F4884" s="473"/>
      <c r="G4884" s="473"/>
      <c r="H4884" s="473"/>
      <c r="I4884" s="473"/>
      <c r="J4884" s="473"/>
      <c r="K4884" s="478"/>
      <c r="L4884" s="473"/>
      <c r="M4884" s="473"/>
    </row>
    <row r="4885" spans="5:13">
      <c r="E4885" s="473"/>
      <c r="F4885" s="473"/>
      <c r="G4885" s="473"/>
      <c r="H4885" s="473"/>
      <c r="I4885" s="473"/>
      <c r="J4885" s="473"/>
      <c r="K4885" s="478"/>
      <c r="L4885" s="473"/>
      <c r="M4885" s="473"/>
    </row>
    <row r="4886" spans="5:13">
      <c r="E4886" s="473"/>
      <c r="F4886" s="473"/>
      <c r="G4886" s="473"/>
      <c r="H4886" s="473"/>
      <c r="I4886" s="473"/>
      <c r="J4886" s="473"/>
      <c r="K4886" s="478"/>
      <c r="L4886" s="473"/>
      <c r="M4886" s="473"/>
    </row>
    <row r="4887" spans="5:13">
      <c r="E4887" s="473"/>
      <c r="F4887" s="473"/>
      <c r="G4887" s="473"/>
      <c r="H4887" s="473"/>
      <c r="I4887" s="473"/>
      <c r="J4887" s="473"/>
      <c r="K4887" s="478"/>
      <c r="L4887" s="473"/>
      <c r="M4887" s="473"/>
    </row>
    <row r="4888" spans="5:13">
      <c r="E4888" s="473"/>
      <c r="F4888" s="473"/>
      <c r="G4888" s="473"/>
      <c r="H4888" s="473"/>
      <c r="I4888" s="473"/>
      <c r="J4888" s="473"/>
      <c r="K4888" s="478"/>
      <c r="L4888" s="473"/>
      <c r="M4888" s="473"/>
    </row>
    <row r="4889" spans="5:13">
      <c r="E4889" s="473"/>
      <c r="F4889" s="473"/>
      <c r="G4889" s="473"/>
      <c r="H4889" s="473"/>
      <c r="I4889" s="473"/>
      <c r="J4889" s="473"/>
      <c r="K4889" s="478"/>
      <c r="L4889" s="473"/>
      <c r="M4889" s="473"/>
    </row>
    <row r="4890" spans="5:13">
      <c r="E4890" s="473"/>
      <c r="F4890" s="473"/>
      <c r="G4890" s="473"/>
      <c r="H4890" s="473"/>
      <c r="I4890" s="473"/>
      <c r="J4890" s="473"/>
      <c r="K4890" s="478"/>
      <c r="L4890" s="473"/>
      <c r="M4890" s="473"/>
    </row>
    <row r="4891" spans="5:13">
      <c r="E4891" s="473"/>
      <c r="F4891" s="473"/>
      <c r="G4891" s="473"/>
      <c r="H4891" s="473"/>
      <c r="I4891" s="473"/>
      <c r="J4891" s="473"/>
      <c r="K4891" s="478"/>
      <c r="L4891" s="473"/>
      <c r="M4891" s="473"/>
    </row>
    <row r="4892" spans="5:13">
      <c r="E4892" s="473"/>
      <c r="F4892" s="473"/>
      <c r="G4892" s="473"/>
      <c r="H4892" s="473"/>
      <c r="I4892" s="473"/>
      <c r="J4892" s="473"/>
      <c r="K4892" s="478"/>
      <c r="L4892" s="473"/>
      <c r="M4892" s="473"/>
    </row>
    <row r="4893" spans="5:13">
      <c r="E4893" s="473"/>
      <c r="F4893" s="473"/>
      <c r="G4893" s="473"/>
      <c r="H4893" s="473"/>
      <c r="I4893" s="473"/>
      <c r="J4893" s="473"/>
      <c r="K4893" s="478"/>
      <c r="L4893" s="473"/>
      <c r="M4893" s="473"/>
    </row>
    <row r="4894" spans="5:13">
      <c r="E4894" s="473"/>
      <c r="F4894" s="473"/>
      <c r="G4894" s="473"/>
      <c r="H4894" s="473"/>
      <c r="I4894" s="473"/>
      <c r="J4894" s="473"/>
      <c r="K4894" s="478"/>
      <c r="L4894" s="473"/>
      <c r="M4894" s="473"/>
    </row>
    <row r="4895" spans="5:13">
      <c r="E4895" s="473"/>
      <c r="F4895" s="473"/>
      <c r="G4895" s="473"/>
      <c r="H4895" s="473"/>
      <c r="I4895" s="473"/>
      <c r="J4895" s="473"/>
      <c r="K4895" s="478"/>
      <c r="L4895" s="473"/>
      <c r="M4895" s="473"/>
    </row>
    <row r="4896" spans="5:13">
      <c r="E4896" s="473"/>
      <c r="F4896" s="473"/>
      <c r="G4896" s="473"/>
      <c r="H4896" s="473"/>
      <c r="I4896" s="473"/>
      <c r="J4896" s="473"/>
      <c r="K4896" s="478"/>
      <c r="L4896" s="473"/>
      <c r="M4896" s="473"/>
    </row>
    <row r="4897" spans="5:13">
      <c r="E4897" s="473"/>
      <c r="F4897" s="473"/>
      <c r="G4897" s="473"/>
      <c r="H4897" s="473"/>
      <c r="I4897" s="473"/>
      <c r="J4897" s="473"/>
      <c r="K4897" s="478"/>
      <c r="L4897" s="473"/>
      <c r="M4897" s="473"/>
    </row>
    <row r="4898" spans="5:13">
      <c r="E4898" s="473"/>
      <c r="F4898" s="473"/>
      <c r="G4898" s="473"/>
      <c r="H4898" s="473"/>
      <c r="I4898" s="473"/>
      <c r="J4898" s="473"/>
      <c r="K4898" s="478"/>
      <c r="L4898" s="473"/>
      <c r="M4898" s="473"/>
    </row>
    <row r="4899" spans="5:13">
      <c r="E4899" s="473"/>
      <c r="F4899" s="473"/>
      <c r="G4899" s="473"/>
      <c r="H4899" s="473"/>
      <c r="I4899" s="473"/>
      <c r="J4899" s="473"/>
      <c r="K4899" s="478"/>
      <c r="L4899" s="473"/>
      <c r="M4899" s="473"/>
    </row>
    <row r="4900" spans="5:13">
      <c r="E4900" s="473"/>
      <c r="F4900" s="473"/>
      <c r="G4900" s="473"/>
      <c r="H4900" s="473"/>
      <c r="I4900" s="473"/>
      <c r="J4900" s="473"/>
      <c r="K4900" s="478"/>
      <c r="L4900" s="473"/>
      <c r="M4900" s="473"/>
    </row>
    <row r="4901" spans="5:13">
      <c r="E4901" s="473"/>
      <c r="F4901" s="473"/>
      <c r="G4901" s="473"/>
      <c r="H4901" s="473"/>
      <c r="I4901" s="473"/>
      <c r="J4901" s="473"/>
      <c r="K4901" s="478"/>
      <c r="L4901" s="473"/>
      <c r="M4901" s="473"/>
    </row>
    <row r="4902" spans="5:13">
      <c r="E4902" s="473"/>
      <c r="F4902" s="473"/>
      <c r="G4902" s="473"/>
      <c r="H4902" s="473"/>
      <c r="I4902" s="473"/>
      <c r="J4902" s="473"/>
      <c r="K4902" s="478"/>
      <c r="L4902" s="473"/>
      <c r="M4902" s="473"/>
    </row>
    <row r="4903" spans="5:13">
      <c r="E4903" s="473"/>
      <c r="F4903" s="473"/>
      <c r="G4903" s="473"/>
      <c r="H4903" s="473"/>
      <c r="I4903" s="473"/>
      <c r="J4903" s="473"/>
      <c r="K4903" s="478"/>
      <c r="L4903" s="473"/>
      <c r="M4903" s="473"/>
    </row>
    <row r="4904" spans="5:13">
      <c r="E4904" s="473"/>
      <c r="F4904" s="473"/>
      <c r="G4904" s="473"/>
      <c r="H4904" s="473"/>
      <c r="I4904" s="473"/>
      <c r="J4904" s="473"/>
      <c r="K4904" s="478"/>
      <c r="L4904" s="473"/>
      <c r="M4904" s="473"/>
    </row>
    <row r="4905" spans="5:13">
      <c r="E4905" s="473"/>
      <c r="F4905" s="473"/>
      <c r="G4905" s="473"/>
      <c r="H4905" s="473"/>
      <c r="I4905" s="473"/>
      <c r="J4905" s="473"/>
      <c r="K4905" s="478"/>
      <c r="L4905" s="473"/>
      <c r="M4905" s="473"/>
    </row>
    <row r="4906" spans="5:13">
      <c r="E4906" s="473"/>
      <c r="F4906" s="473"/>
      <c r="G4906" s="473"/>
      <c r="H4906" s="473"/>
      <c r="I4906" s="473"/>
      <c r="J4906" s="473"/>
      <c r="K4906" s="478"/>
      <c r="L4906" s="473"/>
      <c r="M4906" s="473"/>
    </row>
    <row r="4907" spans="5:13">
      <c r="E4907" s="473"/>
      <c r="F4907" s="473"/>
      <c r="G4907" s="473"/>
      <c r="H4907" s="473"/>
      <c r="I4907" s="473"/>
      <c r="J4907" s="473"/>
      <c r="K4907" s="478"/>
      <c r="L4907" s="473"/>
      <c r="M4907" s="473"/>
    </row>
    <row r="4908" spans="5:13">
      <c r="E4908" s="473"/>
      <c r="F4908" s="473"/>
      <c r="G4908" s="473"/>
      <c r="H4908" s="473"/>
      <c r="I4908" s="473"/>
      <c r="J4908" s="473"/>
      <c r="K4908" s="478"/>
      <c r="L4908" s="473"/>
      <c r="M4908" s="473"/>
    </row>
    <row r="4909" spans="5:13">
      <c r="E4909" s="473"/>
      <c r="F4909" s="473"/>
      <c r="G4909" s="473"/>
      <c r="H4909" s="473"/>
      <c r="I4909" s="473"/>
      <c r="J4909" s="473"/>
      <c r="K4909" s="478"/>
      <c r="L4909" s="473"/>
      <c r="M4909" s="473"/>
    </row>
    <row r="4910" spans="5:13">
      <c r="E4910" s="473"/>
      <c r="F4910" s="473"/>
      <c r="G4910" s="473"/>
      <c r="H4910" s="473"/>
      <c r="I4910" s="473"/>
      <c r="J4910" s="473"/>
      <c r="K4910" s="478"/>
      <c r="L4910" s="473"/>
      <c r="M4910" s="473"/>
    </row>
    <row r="4911" spans="5:13">
      <c r="E4911" s="473"/>
      <c r="F4911" s="473"/>
      <c r="G4911" s="473"/>
      <c r="H4911" s="473"/>
      <c r="I4911" s="473"/>
      <c r="J4911" s="473"/>
      <c r="K4911" s="478"/>
      <c r="L4911" s="473"/>
      <c r="M4911" s="473"/>
    </row>
    <row r="4912" spans="5:13">
      <c r="E4912" s="473"/>
      <c r="F4912" s="473"/>
      <c r="G4912" s="473"/>
      <c r="H4912" s="473"/>
      <c r="I4912" s="473"/>
      <c r="J4912" s="473"/>
      <c r="K4912" s="478"/>
      <c r="L4912" s="473"/>
      <c r="M4912" s="473"/>
    </row>
    <row r="4913" spans="5:13">
      <c r="E4913" s="473"/>
      <c r="F4913" s="473"/>
      <c r="G4913" s="473"/>
      <c r="H4913" s="473"/>
      <c r="I4913" s="473"/>
      <c r="J4913" s="473"/>
      <c r="K4913" s="478"/>
      <c r="L4913" s="473"/>
      <c r="M4913" s="473"/>
    </row>
    <row r="4914" spans="5:13">
      <c r="E4914" s="473"/>
      <c r="F4914" s="473"/>
      <c r="G4914" s="473"/>
      <c r="H4914" s="473"/>
      <c r="I4914" s="473"/>
      <c r="J4914" s="473"/>
      <c r="K4914" s="478"/>
      <c r="L4914" s="473"/>
      <c r="M4914" s="473"/>
    </row>
    <row r="4915" spans="5:13">
      <c r="E4915" s="473"/>
      <c r="F4915" s="473"/>
      <c r="G4915" s="473"/>
      <c r="H4915" s="473"/>
      <c r="I4915" s="473"/>
      <c r="J4915" s="473"/>
      <c r="K4915" s="478"/>
      <c r="L4915" s="473"/>
      <c r="M4915" s="473"/>
    </row>
    <row r="4916" spans="5:13">
      <c r="E4916" s="473"/>
      <c r="F4916" s="473"/>
      <c r="G4916" s="473"/>
      <c r="H4916" s="473"/>
      <c r="I4916" s="473"/>
      <c r="J4916" s="473"/>
      <c r="K4916" s="478"/>
      <c r="L4916" s="473"/>
      <c r="M4916" s="473"/>
    </row>
    <row r="4917" spans="5:13">
      <c r="E4917" s="473"/>
      <c r="F4917" s="473"/>
      <c r="G4917" s="473"/>
      <c r="H4917" s="473"/>
      <c r="I4917" s="473"/>
      <c r="J4917" s="473"/>
      <c r="K4917" s="478"/>
      <c r="L4917" s="473"/>
      <c r="M4917" s="473"/>
    </row>
    <row r="4918" spans="5:13">
      <c r="E4918" s="473"/>
      <c r="F4918" s="473"/>
      <c r="G4918" s="473"/>
      <c r="H4918" s="473"/>
      <c r="I4918" s="473"/>
      <c r="J4918" s="473"/>
      <c r="K4918" s="478"/>
      <c r="L4918" s="473"/>
      <c r="M4918" s="473"/>
    </row>
    <row r="4919" spans="5:13">
      <c r="E4919" s="473"/>
      <c r="F4919" s="473"/>
      <c r="G4919" s="473"/>
      <c r="H4919" s="473"/>
      <c r="I4919" s="473"/>
      <c r="J4919" s="473"/>
      <c r="K4919" s="478"/>
      <c r="L4919" s="473"/>
      <c r="M4919" s="473"/>
    </row>
    <row r="4920" spans="5:13">
      <c r="E4920" s="473"/>
      <c r="F4920" s="473"/>
      <c r="G4920" s="473"/>
      <c r="H4920" s="473"/>
      <c r="I4920" s="473"/>
      <c r="J4920" s="473"/>
      <c r="K4920" s="478"/>
      <c r="L4920" s="473"/>
      <c r="M4920" s="473"/>
    </row>
    <row r="4921" spans="5:13">
      <c r="E4921" s="473"/>
      <c r="F4921" s="473"/>
      <c r="G4921" s="473"/>
      <c r="H4921" s="473"/>
      <c r="I4921" s="473"/>
      <c r="J4921" s="473"/>
      <c r="K4921" s="478"/>
      <c r="L4921" s="473"/>
      <c r="M4921" s="473"/>
    </row>
    <row r="4922" spans="5:13">
      <c r="E4922" s="473"/>
      <c r="F4922" s="473"/>
      <c r="G4922" s="473"/>
      <c r="H4922" s="473"/>
      <c r="I4922" s="473"/>
      <c r="J4922" s="473"/>
      <c r="K4922" s="478"/>
      <c r="L4922" s="473"/>
      <c r="M4922" s="473"/>
    </row>
    <row r="4923" spans="5:13">
      <c r="E4923" s="473"/>
      <c r="F4923" s="473"/>
      <c r="G4923" s="473"/>
      <c r="H4923" s="473"/>
      <c r="I4923" s="473"/>
      <c r="J4923" s="473"/>
      <c r="K4923" s="478"/>
      <c r="L4923" s="473"/>
      <c r="M4923" s="473"/>
    </row>
    <row r="4924" spans="5:13">
      <c r="E4924" s="473"/>
      <c r="F4924" s="473"/>
      <c r="G4924" s="473"/>
      <c r="H4924" s="473"/>
      <c r="I4924" s="473"/>
      <c r="J4924" s="473"/>
      <c r="K4924" s="478"/>
      <c r="L4924" s="473"/>
      <c r="M4924" s="473"/>
    </row>
    <row r="4925" spans="5:13">
      <c r="E4925" s="473"/>
      <c r="F4925" s="473"/>
      <c r="G4925" s="473"/>
      <c r="H4925" s="473"/>
      <c r="I4925" s="473"/>
      <c r="J4925" s="473"/>
      <c r="K4925" s="478"/>
      <c r="L4925" s="473"/>
      <c r="M4925" s="473"/>
    </row>
    <row r="4926" spans="5:13">
      <c r="E4926" s="473"/>
      <c r="F4926" s="473"/>
      <c r="G4926" s="473"/>
      <c r="H4926" s="473"/>
      <c r="I4926" s="473"/>
      <c r="J4926" s="473"/>
      <c r="K4926" s="478"/>
      <c r="L4926" s="473"/>
      <c r="M4926" s="473"/>
    </row>
    <row r="4927" spans="5:13">
      <c r="E4927" s="473"/>
      <c r="F4927" s="473"/>
      <c r="G4927" s="473"/>
      <c r="H4927" s="473"/>
      <c r="I4927" s="473"/>
      <c r="J4927" s="473"/>
      <c r="K4927" s="478"/>
      <c r="L4927" s="473"/>
      <c r="M4927" s="473"/>
    </row>
    <row r="4928" spans="5:13">
      <c r="E4928" s="473"/>
      <c r="F4928" s="473"/>
      <c r="G4928" s="473"/>
      <c r="H4928" s="473"/>
      <c r="I4928" s="473"/>
      <c r="J4928" s="473"/>
      <c r="K4928" s="478"/>
      <c r="L4928" s="473"/>
      <c r="M4928" s="473"/>
    </row>
    <row r="4929" spans="5:13">
      <c r="E4929" s="473"/>
      <c r="F4929" s="473"/>
      <c r="G4929" s="473"/>
      <c r="H4929" s="473"/>
      <c r="I4929" s="473"/>
      <c r="J4929" s="473"/>
      <c r="K4929" s="478"/>
      <c r="L4929" s="473"/>
      <c r="M4929" s="473"/>
    </row>
    <row r="4930" spans="5:13">
      <c r="E4930" s="473"/>
      <c r="F4930" s="473"/>
      <c r="G4930" s="473"/>
      <c r="H4930" s="473"/>
      <c r="I4930" s="473"/>
      <c r="J4930" s="473"/>
      <c r="K4930" s="478"/>
      <c r="L4930" s="473"/>
      <c r="M4930" s="473"/>
    </row>
    <row r="4931" spans="5:13">
      <c r="E4931" s="473"/>
      <c r="F4931" s="473"/>
      <c r="G4931" s="473"/>
      <c r="H4931" s="473"/>
      <c r="I4931" s="473"/>
      <c r="J4931" s="473"/>
      <c r="K4931" s="478"/>
      <c r="L4931" s="473"/>
      <c r="M4931" s="473"/>
    </row>
    <row r="4932" spans="5:13">
      <c r="E4932" s="473"/>
      <c r="F4932" s="473"/>
      <c r="G4932" s="473"/>
      <c r="H4932" s="473"/>
      <c r="I4932" s="473"/>
      <c r="J4932" s="473"/>
      <c r="K4932" s="478"/>
      <c r="L4932" s="473"/>
      <c r="M4932" s="473"/>
    </row>
    <row r="4933" spans="5:13">
      <c r="E4933" s="473"/>
      <c r="F4933" s="473"/>
      <c r="G4933" s="473"/>
      <c r="H4933" s="473"/>
      <c r="I4933" s="473"/>
      <c r="J4933" s="473"/>
      <c r="K4933" s="478"/>
      <c r="L4933" s="473"/>
      <c r="M4933" s="473"/>
    </row>
    <row r="4934" spans="5:13">
      <c r="E4934" s="473"/>
      <c r="F4934" s="473"/>
      <c r="G4934" s="473"/>
      <c r="H4934" s="473"/>
      <c r="I4934" s="473"/>
      <c r="J4934" s="473"/>
      <c r="K4934" s="478"/>
      <c r="L4934" s="473"/>
      <c r="M4934" s="473"/>
    </row>
    <row r="4935" spans="5:13">
      <c r="E4935" s="473"/>
      <c r="F4935" s="473"/>
      <c r="G4935" s="473"/>
      <c r="H4935" s="473"/>
      <c r="I4935" s="473"/>
      <c r="J4935" s="473"/>
      <c r="K4935" s="478"/>
      <c r="L4935" s="473"/>
      <c r="M4935" s="473"/>
    </row>
    <row r="4936" spans="5:13">
      <c r="E4936" s="473"/>
      <c r="F4936" s="473"/>
      <c r="G4936" s="473"/>
      <c r="H4936" s="473"/>
      <c r="I4936" s="473"/>
      <c r="J4936" s="473"/>
      <c r="K4936" s="478"/>
      <c r="L4936" s="473"/>
      <c r="M4936" s="473"/>
    </row>
    <row r="4937" spans="5:13">
      <c r="E4937" s="473"/>
      <c r="F4937" s="473"/>
      <c r="G4937" s="473"/>
      <c r="H4937" s="473"/>
      <c r="I4937" s="473"/>
      <c r="J4937" s="473"/>
      <c r="K4937" s="478"/>
      <c r="L4937" s="473"/>
      <c r="M4937" s="473"/>
    </row>
    <row r="4938" spans="5:13">
      <c r="E4938" s="473"/>
      <c r="F4938" s="473"/>
      <c r="G4938" s="473"/>
      <c r="H4938" s="473"/>
      <c r="I4938" s="473"/>
      <c r="J4938" s="473"/>
      <c r="K4938" s="478"/>
      <c r="L4938" s="473"/>
      <c r="M4938" s="473"/>
    </row>
    <row r="4939" spans="5:13">
      <c r="E4939" s="473"/>
      <c r="F4939" s="473"/>
      <c r="G4939" s="473"/>
      <c r="H4939" s="473"/>
      <c r="I4939" s="473"/>
      <c r="J4939" s="473"/>
      <c r="K4939" s="478"/>
      <c r="L4939" s="473"/>
      <c r="M4939" s="473"/>
    </row>
    <row r="4940" spans="5:13">
      <c r="E4940" s="473"/>
      <c r="F4940" s="473"/>
      <c r="G4940" s="473"/>
      <c r="H4940" s="473"/>
      <c r="I4940" s="473"/>
      <c r="J4940" s="473"/>
      <c r="K4940" s="478"/>
      <c r="L4940" s="473"/>
      <c r="M4940" s="473"/>
    </row>
    <row r="4941" spans="5:13">
      <c r="E4941" s="473"/>
      <c r="F4941" s="473"/>
      <c r="G4941" s="473"/>
      <c r="H4941" s="473"/>
      <c r="I4941" s="473"/>
      <c r="J4941" s="473"/>
      <c r="K4941" s="478"/>
      <c r="L4941" s="473"/>
      <c r="M4941" s="473"/>
    </row>
    <row r="4942" spans="5:13">
      <c r="E4942" s="473"/>
      <c r="F4942" s="473"/>
      <c r="G4942" s="473"/>
      <c r="H4942" s="473"/>
      <c r="I4942" s="473"/>
      <c r="J4942" s="473"/>
      <c r="K4942" s="478"/>
      <c r="L4942" s="473"/>
      <c r="M4942" s="473"/>
    </row>
    <row r="4943" spans="5:13">
      <c r="E4943" s="473"/>
      <c r="F4943" s="473"/>
      <c r="G4943" s="473"/>
      <c r="H4943" s="473"/>
      <c r="I4943" s="473"/>
      <c r="J4943" s="473"/>
      <c r="K4943" s="478"/>
      <c r="L4943" s="473"/>
      <c r="M4943" s="473"/>
    </row>
    <row r="4944" spans="5:13">
      <c r="E4944" s="473"/>
      <c r="F4944" s="473"/>
      <c r="G4944" s="473"/>
      <c r="H4944" s="473"/>
      <c r="I4944" s="473"/>
      <c r="J4944" s="473"/>
      <c r="K4944" s="478"/>
      <c r="L4944" s="473"/>
      <c r="M4944" s="473"/>
    </row>
    <row r="4945" spans="5:13">
      <c r="E4945" s="473"/>
      <c r="F4945" s="473"/>
      <c r="G4945" s="473"/>
      <c r="H4945" s="473"/>
      <c r="I4945" s="473"/>
      <c r="J4945" s="473"/>
      <c r="K4945" s="478"/>
      <c r="L4945" s="473"/>
      <c r="M4945" s="473"/>
    </row>
    <row r="4946" spans="5:13">
      <c r="E4946" s="473"/>
      <c r="F4946" s="473"/>
      <c r="G4946" s="473"/>
      <c r="H4946" s="473"/>
      <c r="I4946" s="473"/>
      <c r="J4946" s="473"/>
      <c r="K4946" s="478"/>
      <c r="L4946" s="473"/>
      <c r="M4946" s="473"/>
    </row>
    <row r="4947" spans="5:13">
      <c r="E4947" s="473"/>
      <c r="F4947" s="473"/>
      <c r="G4947" s="473"/>
      <c r="H4947" s="473"/>
      <c r="I4947" s="473"/>
      <c r="J4947" s="473"/>
      <c r="K4947" s="478"/>
      <c r="L4947" s="473"/>
      <c r="M4947" s="473"/>
    </row>
    <row r="4948" spans="5:13">
      <c r="E4948" s="473"/>
      <c r="F4948" s="473"/>
      <c r="G4948" s="473"/>
      <c r="H4948" s="473"/>
      <c r="I4948" s="473"/>
      <c r="J4948" s="473"/>
      <c r="K4948" s="478"/>
      <c r="L4948" s="473"/>
      <c r="M4948" s="473"/>
    </row>
    <row r="4949" spans="5:13">
      <c r="E4949" s="473"/>
      <c r="F4949" s="473"/>
      <c r="G4949" s="473"/>
      <c r="H4949" s="473"/>
      <c r="I4949" s="473"/>
      <c r="J4949" s="473"/>
      <c r="K4949" s="478"/>
      <c r="L4949" s="473"/>
      <c r="M4949" s="473"/>
    </row>
    <row r="4950" spans="5:13">
      <c r="E4950" s="473"/>
      <c r="F4950" s="473"/>
      <c r="G4950" s="473"/>
      <c r="H4950" s="473"/>
      <c r="I4950" s="473"/>
      <c r="J4950" s="473"/>
      <c r="K4950" s="478"/>
      <c r="L4950" s="473"/>
      <c r="M4950" s="473"/>
    </row>
    <row r="4951" spans="5:13">
      <c r="E4951" s="473"/>
      <c r="F4951" s="473"/>
      <c r="G4951" s="473"/>
      <c r="H4951" s="473"/>
      <c r="I4951" s="473"/>
      <c r="J4951" s="473"/>
      <c r="K4951" s="478"/>
      <c r="L4951" s="473"/>
      <c r="M4951" s="473"/>
    </row>
    <row r="4952" spans="5:13">
      <c r="E4952" s="473"/>
      <c r="F4952" s="473"/>
      <c r="G4952" s="473"/>
      <c r="H4952" s="473"/>
      <c r="I4952" s="473"/>
      <c r="J4952" s="473"/>
      <c r="K4952" s="478"/>
      <c r="L4952" s="473"/>
      <c r="M4952" s="473"/>
    </row>
    <row r="4953" spans="5:13">
      <c r="E4953" s="473"/>
      <c r="F4953" s="473"/>
      <c r="G4953" s="473"/>
      <c r="H4953" s="473"/>
      <c r="I4953" s="473"/>
      <c r="J4953" s="473"/>
      <c r="K4953" s="478"/>
      <c r="L4953" s="473"/>
      <c r="M4953" s="473"/>
    </row>
    <row r="4954" spans="5:13">
      <c r="E4954" s="473"/>
      <c r="F4954" s="473"/>
      <c r="G4954" s="473"/>
      <c r="H4954" s="473"/>
      <c r="I4954" s="473"/>
      <c r="J4954" s="473"/>
      <c r="K4954" s="478"/>
      <c r="L4954" s="473"/>
      <c r="M4954" s="473"/>
    </row>
    <row r="4955" spans="5:13">
      <c r="E4955" s="473"/>
      <c r="F4955" s="473"/>
      <c r="G4955" s="473"/>
      <c r="H4955" s="473"/>
      <c r="I4955" s="473"/>
      <c r="J4955" s="473"/>
      <c r="K4955" s="478"/>
      <c r="L4955" s="473"/>
      <c r="M4955" s="473"/>
    </row>
    <row r="4956" spans="5:13">
      <c r="E4956" s="473"/>
      <c r="F4956" s="473"/>
      <c r="G4956" s="473"/>
      <c r="H4956" s="473"/>
      <c r="I4956" s="473"/>
      <c r="J4956" s="473"/>
      <c r="K4956" s="478"/>
      <c r="L4956" s="473"/>
      <c r="M4956" s="473"/>
    </row>
    <row r="4957" spans="5:13">
      <c r="E4957" s="473"/>
      <c r="F4957" s="473"/>
      <c r="G4957" s="473"/>
      <c r="H4957" s="473"/>
      <c r="I4957" s="473"/>
      <c r="J4957" s="473"/>
      <c r="K4957" s="478"/>
      <c r="L4957" s="473"/>
      <c r="M4957" s="473"/>
    </row>
    <row r="4958" spans="5:13">
      <c r="E4958" s="473"/>
      <c r="F4958" s="473"/>
      <c r="G4958" s="473"/>
      <c r="H4958" s="473"/>
      <c r="I4958" s="473"/>
      <c r="J4958" s="473"/>
      <c r="K4958" s="478"/>
      <c r="L4958" s="473"/>
      <c r="M4958" s="473"/>
    </row>
    <row r="4959" spans="5:13">
      <c r="E4959" s="473"/>
      <c r="F4959" s="473"/>
      <c r="G4959" s="473"/>
      <c r="H4959" s="473"/>
      <c r="I4959" s="473"/>
      <c r="J4959" s="473"/>
      <c r="K4959" s="478"/>
      <c r="L4959" s="473"/>
      <c r="M4959" s="473"/>
    </row>
    <row r="4960" spans="5:13">
      <c r="E4960" s="473"/>
      <c r="F4960" s="473"/>
      <c r="G4960" s="473"/>
      <c r="H4960" s="473"/>
      <c r="I4960" s="473"/>
      <c r="J4960" s="473"/>
      <c r="K4960" s="478"/>
      <c r="L4960" s="473"/>
      <c r="M4960" s="473"/>
    </row>
    <row r="4961" spans="5:13">
      <c r="E4961" s="473"/>
      <c r="F4961" s="473"/>
      <c r="G4961" s="473"/>
      <c r="H4961" s="473"/>
      <c r="I4961" s="473"/>
      <c r="J4961" s="473"/>
      <c r="K4961" s="478"/>
      <c r="L4961" s="473"/>
      <c r="M4961" s="473"/>
    </row>
    <row r="4962" spans="5:13">
      <c r="E4962" s="473"/>
      <c r="F4962" s="473"/>
      <c r="G4962" s="473"/>
      <c r="H4962" s="473"/>
      <c r="I4962" s="473"/>
      <c r="J4962" s="473"/>
      <c r="K4962" s="478"/>
      <c r="L4962" s="473"/>
      <c r="M4962" s="473"/>
    </row>
    <row r="4963" spans="5:13">
      <c r="E4963" s="473"/>
      <c r="F4963" s="473"/>
      <c r="G4963" s="473"/>
      <c r="H4963" s="473"/>
      <c r="I4963" s="473"/>
      <c r="J4963" s="473"/>
      <c r="K4963" s="478"/>
      <c r="L4963" s="473"/>
      <c r="M4963" s="473"/>
    </row>
    <row r="4964" spans="5:13">
      <c r="E4964" s="473"/>
      <c r="F4964" s="473"/>
      <c r="G4964" s="473"/>
      <c r="H4964" s="473"/>
      <c r="I4964" s="473"/>
      <c r="J4964" s="473"/>
      <c r="K4964" s="478"/>
      <c r="L4964" s="473"/>
      <c r="M4964" s="473"/>
    </row>
    <row r="4965" spans="5:13">
      <c r="E4965" s="473"/>
      <c r="F4965" s="473"/>
      <c r="G4965" s="473"/>
      <c r="H4965" s="473"/>
      <c r="I4965" s="473"/>
      <c r="J4965" s="473"/>
      <c r="K4965" s="478"/>
      <c r="L4965" s="473"/>
      <c r="M4965" s="473"/>
    </row>
    <row r="4966" spans="5:13">
      <c r="E4966" s="473"/>
      <c r="F4966" s="473"/>
      <c r="G4966" s="473"/>
      <c r="H4966" s="473"/>
      <c r="I4966" s="473"/>
      <c r="J4966" s="473"/>
      <c r="K4966" s="478"/>
      <c r="L4966" s="473"/>
      <c r="M4966" s="473"/>
    </row>
    <row r="4967" spans="5:13">
      <c r="E4967" s="473"/>
      <c r="F4967" s="473"/>
      <c r="G4967" s="473"/>
      <c r="H4967" s="473"/>
      <c r="I4967" s="473"/>
      <c r="J4967" s="473"/>
      <c r="K4967" s="478"/>
      <c r="L4967" s="473"/>
      <c r="M4967" s="473"/>
    </row>
    <row r="4968" spans="5:13">
      <c r="E4968" s="473"/>
      <c r="F4968" s="473"/>
      <c r="G4968" s="473"/>
      <c r="H4968" s="473"/>
      <c r="I4968" s="473"/>
      <c r="J4968" s="473"/>
      <c r="K4968" s="478"/>
      <c r="L4968" s="473"/>
      <c r="M4968" s="473"/>
    </row>
    <row r="4969" spans="5:13">
      <c r="E4969" s="473"/>
      <c r="F4969" s="473"/>
      <c r="G4969" s="473"/>
      <c r="H4969" s="473"/>
      <c r="I4969" s="473"/>
      <c r="J4969" s="473"/>
      <c r="K4969" s="478"/>
      <c r="L4969" s="473"/>
      <c r="M4969" s="473"/>
    </row>
    <row r="4970" spans="5:13">
      <c r="E4970" s="473"/>
      <c r="F4970" s="473"/>
      <c r="G4970" s="473"/>
      <c r="H4970" s="473"/>
      <c r="I4970" s="473"/>
      <c r="J4970" s="473"/>
      <c r="K4970" s="478"/>
      <c r="L4970" s="473"/>
      <c r="M4970" s="473"/>
    </row>
    <row r="4971" spans="5:13">
      <c r="E4971" s="473"/>
      <c r="F4971" s="473"/>
      <c r="G4971" s="473"/>
      <c r="H4971" s="473"/>
      <c r="I4971" s="473"/>
      <c r="J4971" s="473"/>
      <c r="K4971" s="478"/>
      <c r="L4971" s="473"/>
      <c r="M4971" s="473"/>
    </row>
    <row r="4972" spans="5:13">
      <c r="E4972" s="473"/>
      <c r="F4972" s="473"/>
      <c r="G4972" s="473"/>
      <c r="H4972" s="473"/>
      <c r="I4972" s="473"/>
      <c r="J4972" s="473"/>
      <c r="K4972" s="478"/>
      <c r="L4972" s="473"/>
      <c r="M4972" s="473"/>
    </row>
    <row r="4973" spans="5:13">
      <c r="E4973" s="473"/>
      <c r="F4973" s="473"/>
      <c r="G4973" s="473"/>
      <c r="H4973" s="473"/>
      <c r="I4973" s="473"/>
      <c r="J4973" s="473"/>
      <c r="K4973" s="478"/>
      <c r="L4973" s="473"/>
      <c r="M4973" s="473"/>
    </row>
    <row r="4974" spans="5:13">
      <c r="E4974" s="473"/>
      <c r="F4974" s="473"/>
      <c r="G4974" s="473"/>
      <c r="H4974" s="473"/>
      <c r="I4974" s="473"/>
      <c r="J4974" s="473"/>
      <c r="K4974" s="478"/>
      <c r="L4974" s="473"/>
      <c r="M4974" s="473"/>
    </row>
    <row r="4975" spans="5:13">
      <c r="E4975" s="473"/>
      <c r="F4975" s="473"/>
      <c r="G4975" s="473"/>
      <c r="H4975" s="473"/>
      <c r="I4975" s="473"/>
      <c r="J4975" s="473"/>
      <c r="K4975" s="478"/>
      <c r="L4975" s="473"/>
      <c r="M4975" s="473"/>
    </row>
    <row r="4976" spans="5:13">
      <c r="E4976" s="473"/>
      <c r="F4976" s="473"/>
      <c r="G4976" s="473"/>
      <c r="H4976" s="473"/>
      <c r="I4976" s="473"/>
      <c r="J4976" s="473"/>
      <c r="K4976" s="478"/>
      <c r="L4976" s="473"/>
      <c r="M4976" s="473"/>
    </row>
    <row r="4977" spans="5:13">
      <c r="E4977" s="473"/>
      <c r="F4977" s="473"/>
      <c r="G4977" s="473"/>
      <c r="H4977" s="473"/>
      <c r="I4977" s="473"/>
      <c r="J4977" s="473"/>
      <c r="K4977" s="478"/>
      <c r="L4977" s="473"/>
      <c r="M4977" s="473"/>
    </row>
    <row r="4978" spans="5:13">
      <c r="E4978" s="473"/>
      <c r="F4978" s="473"/>
      <c r="G4978" s="473"/>
      <c r="H4978" s="473"/>
      <c r="I4978" s="473"/>
      <c r="J4978" s="473"/>
      <c r="K4978" s="478"/>
      <c r="L4978" s="473"/>
      <c r="M4978" s="473"/>
    </row>
    <row r="4979" spans="5:13">
      <c r="E4979" s="473"/>
      <c r="F4979" s="473"/>
      <c r="G4979" s="473"/>
      <c r="H4979" s="473"/>
      <c r="I4979" s="473"/>
      <c r="J4979" s="473"/>
      <c r="K4979" s="478"/>
      <c r="L4979" s="473"/>
      <c r="M4979" s="473"/>
    </row>
    <row r="4980" spans="5:13">
      <c r="E4980" s="473"/>
      <c r="F4980" s="473"/>
      <c r="G4980" s="473"/>
      <c r="H4980" s="473"/>
      <c r="I4980" s="473"/>
      <c r="J4980" s="473"/>
      <c r="K4980" s="478"/>
      <c r="L4980" s="473"/>
      <c r="M4980" s="473"/>
    </row>
    <row r="4981" spans="5:13">
      <c r="E4981" s="473"/>
      <c r="F4981" s="473"/>
      <c r="G4981" s="473"/>
      <c r="H4981" s="473"/>
      <c r="I4981" s="473"/>
      <c r="J4981" s="473"/>
      <c r="K4981" s="478"/>
      <c r="L4981" s="473"/>
      <c r="M4981" s="473"/>
    </row>
    <row r="4982" spans="5:13">
      <c r="E4982" s="473"/>
      <c r="F4982" s="473"/>
      <c r="G4982" s="473"/>
      <c r="H4982" s="473"/>
      <c r="I4982" s="473"/>
      <c r="J4982" s="473"/>
      <c r="K4982" s="478"/>
      <c r="L4982" s="473"/>
      <c r="M4982" s="473"/>
    </row>
    <row r="4983" spans="5:13">
      <c r="E4983" s="473"/>
      <c r="F4983" s="473"/>
      <c r="G4983" s="473"/>
      <c r="H4983" s="473"/>
      <c r="I4983" s="473"/>
      <c r="J4983" s="473"/>
      <c r="K4983" s="478"/>
      <c r="L4983" s="473"/>
      <c r="M4983" s="473"/>
    </row>
    <row r="4984" spans="5:13">
      <c r="E4984" s="473"/>
      <c r="F4984" s="473"/>
      <c r="G4984" s="473"/>
      <c r="H4984" s="473"/>
      <c r="I4984" s="473"/>
      <c r="J4984" s="473"/>
      <c r="K4984" s="478"/>
      <c r="L4984" s="473"/>
      <c r="M4984" s="473"/>
    </row>
    <row r="4985" spans="5:13">
      <c r="E4985" s="473"/>
      <c r="F4985" s="473"/>
      <c r="G4985" s="473"/>
      <c r="H4985" s="473"/>
      <c r="I4985" s="473"/>
      <c r="J4985" s="473"/>
      <c r="K4985" s="478"/>
      <c r="L4985" s="473"/>
      <c r="M4985" s="473"/>
    </row>
    <row r="4986" spans="5:13">
      <c r="E4986" s="473"/>
      <c r="F4986" s="473"/>
      <c r="G4986" s="473"/>
      <c r="H4986" s="473"/>
      <c r="I4986" s="473"/>
      <c r="J4986" s="473"/>
      <c r="K4986" s="478"/>
      <c r="L4986" s="473"/>
      <c r="M4986" s="473"/>
    </row>
    <row r="4987" spans="5:13">
      <c r="E4987" s="473"/>
      <c r="F4987" s="473"/>
      <c r="G4987" s="473"/>
      <c r="H4987" s="473"/>
      <c r="I4987" s="473"/>
      <c r="J4987" s="473"/>
      <c r="K4987" s="478"/>
      <c r="L4987" s="473"/>
      <c r="M4987" s="473"/>
    </row>
    <row r="4988" spans="5:13">
      <c r="E4988" s="473"/>
      <c r="F4988" s="473"/>
      <c r="G4988" s="473"/>
      <c r="H4988" s="473"/>
      <c r="I4988" s="473"/>
      <c r="J4988" s="473"/>
      <c r="K4988" s="478"/>
      <c r="L4988" s="473"/>
      <c r="M4988" s="473"/>
    </row>
    <row r="4989" spans="5:13">
      <c r="E4989" s="473"/>
      <c r="F4989" s="473"/>
      <c r="G4989" s="473"/>
      <c r="H4989" s="473"/>
      <c r="I4989" s="473"/>
      <c r="J4989" s="473"/>
      <c r="K4989" s="478"/>
      <c r="L4989" s="473"/>
      <c r="M4989" s="473"/>
    </row>
    <row r="4990" spans="5:13">
      <c r="E4990" s="473"/>
      <c r="F4990" s="473"/>
      <c r="G4990" s="473"/>
      <c r="H4990" s="473"/>
      <c r="I4990" s="473"/>
      <c r="J4990" s="473"/>
      <c r="K4990" s="478"/>
      <c r="L4990" s="473"/>
      <c r="M4990" s="473"/>
    </row>
    <row r="4991" spans="5:13">
      <c r="E4991" s="473"/>
      <c r="F4991" s="473"/>
      <c r="G4991" s="473"/>
      <c r="H4991" s="473"/>
      <c r="I4991" s="473"/>
      <c r="J4991" s="473"/>
      <c r="K4991" s="478"/>
      <c r="L4991" s="473"/>
      <c r="M4991" s="473"/>
    </row>
    <row r="4992" spans="5:13">
      <c r="E4992" s="473"/>
      <c r="F4992" s="473"/>
      <c r="G4992" s="473"/>
      <c r="H4992" s="473"/>
      <c r="I4992" s="473"/>
      <c r="J4992" s="473"/>
      <c r="K4992" s="478"/>
      <c r="L4992" s="473"/>
      <c r="M4992" s="473"/>
    </row>
    <row r="4993" spans="5:13">
      <c r="E4993" s="473"/>
      <c r="F4993" s="473"/>
      <c r="G4993" s="473"/>
      <c r="H4993" s="473"/>
      <c r="I4993" s="473"/>
      <c r="J4993" s="473"/>
      <c r="K4993" s="478"/>
      <c r="L4993" s="473"/>
      <c r="M4993" s="473"/>
    </row>
    <row r="4994" spans="5:13">
      <c r="E4994" s="473"/>
      <c r="F4994" s="473"/>
      <c r="G4994" s="473"/>
      <c r="H4994" s="473"/>
      <c r="I4994" s="473"/>
      <c r="J4994" s="473"/>
      <c r="K4994" s="478"/>
      <c r="L4994" s="473"/>
      <c r="M4994" s="473"/>
    </row>
    <row r="4995" spans="5:13">
      <c r="E4995" s="473"/>
      <c r="F4995" s="473"/>
      <c r="G4995" s="473"/>
      <c r="H4995" s="473"/>
      <c r="I4995" s="473"/>
      <c r="J4995" s="473"/>
      <c r="K4995" s="478"/>
      <c r="L4995" s="473"/>
      <c r="M4995" s="473"/>
    </row>
    <row r="4996" spans="5:13">
      <c r="E4996" s="473"/>
      <c r="F4996" s="473"/>
      <c r="G4996" s="473"/>
      <c r="H4996" s="473"/>
      <c r="I4996" s="473"/>
      <c r="J4996" s="473"/>
      <c r="K4996" s="478"/>
      <c r="L4996" s="473"/>
      <c r="M4996" s="473"/>
    </row>
    <row r="4997" spans="5:13">
      <c r="E4997" s="473"/>
      <c r="F4997" s="473"/>
      <c r="G4997" s="473"/>
      <c r="H4997" s="473"/>
      <c r="I4997" s="473"/>
      <c r="J4997" s="473"/>
      <c r="K4997" s="478"/>
      <c r="L4997" s="473"/>
      <c r="M4997" s="473"/>
    </row>
    <row r="4998" spans="5:13">
      <c r="E4998" s="473"/>
      <c r="F4998" s="473"/>
      <c r="G4998" s="473"/>
      <c r="H4998" s="473"/>
      <c r="I4998" s="473"/>
      <c r="J4998" s="473"/>
      <c r="K4998" s="478"/>
      <c r="L4998" s="473"/>
      <c r="M4998" s="473"/>
    </row>
    <row r="4999" spans="5:13">
      <c r="E4999" s="473"/>
      <c r="F4999" s="473"/>
      <c r="G4999" s="473"/>
      <c r="H4999" s="473"/>
      <c r="I4999" s="473"/>
      <c r="J4999" s="473"/>
      <c r="K4999" s="478"/>
      <c r="L4999" s="473"/>
      <c r="M4999" s="473"/>
    </row>
    <row r="5000" spans="5:13">
      <c r="E5000" s="473"/>
      <c r="F5000" s="473"/>
      <c r="G5000" s="473"/>
      <c r="H5000" s="473"/>
      <c r="I5000" s="473"/>
      <c r="J5000" s="473"/>
      <c r="K5000" s="478"/>
      <c r="L5000" s="473"/>
      <c r="M5000" s="473"/>
    </row>
    <row r="5001" spans="5:13">
      <c r="E5001" s="473"/>
      <c r="F5001" s="473"/>
      <c r="G5001" s="473"/>
      <c r="H5001" s="473"/>
      <c r="I5001" s="473"/>
      <c r="J5001" s="473"/>
      <c r="K5001" s="478"/>
      <c r="L5001" s="473"/>
      <c r="M5001" s="473"/>
    </row>
    <row r="5002" spans="5:13">
      <c r="E5002" s="473"/>
      <c r="F5002" s="473"/>
      <c r="G5002" s="473"/>
      <c r="H5002" s="473"/>
      <c r="I5002" s="473"/>
      <c r="J5002" s="473"/>
      <c r="K5002" s="478"/>
      <c r="L5002" s="473"/>
      <c r="M5002" s="473"/>
    </row>
    <row r="5003" spans="5:13">
      <c r="E5003" s="473"/>
      <c r="F5003" s="473"/>
      <c r="G5003" s="473"/>
      <c r="H5003" s="473"/>
      <c r="I5003" s="473"/>
      <c r="J5003" s="473"/>
      <c r="K5003" s="478"/>
      <c r="L5003" s="473"/>
      <c r="M5003" s="473"/>
    </row>
    <row r="5004" spans="5:13">
      <c r="E5004" s="473"/>
      <c r="F5004" s="473"/>
      <c r="G5004" s="473"/>
      <c r="H5004" s="473"/>
      <c r="I5004" s="473"/>
      <c r="J5004" s="473"/>
      <c r="K5004" s="478"/>
      <c r="L5004" s="473"/>
      <c r="M5004" s="473"/>
    </row>
    <row r="5005" spans="5:13">
      <c r="E5005" s="473"/>
      <c r="F5005" s="473"/>
      <c r="G5005" s="473"/>
      <c r="H5005" s="473"/>
      <c r="I5005" s="473"/>
      <c r="J5005" s="473"/>
      <c r="K5005" s="478"/>
      <c r="L5005" s="473"/>
      <c r="M5005" s="473"/>
    </row>
    <row r="5006" spans="5:13">
      <c r="E5006" s="473"/>
      <c r="F5006" s="473"/>
      <c r="G5006" s="473"/>
      <c r="H5006" s="473"/>
      <c r="I5006" s="473"/>
      <c r="J5006" s="473"/>
      <c r="K5006" s="478"/>
      <c r="L5006" s="473"/>
      <c r="M5006" s="473"/>
    </row>
    <row r="5007" spans="5:13">
      <c r="E5007" s="473"/>
      <c r="F5007" s="473"/>
      <c r="G5007" s="473"/>
      <c r="H5007" s="473"/>
      <c r="I5007" s="473"/>
      <c r="J5007" s="473"/>
      <c r="K5007" s="478"/>
      <c r="L5007" s="473"/>
      <c r="M5007" s="473"/>
    </row>
    <row r="5008" spans="5:13">
      <c r="E5008" s="473"/>
      <c r="F5008" s="473"/>
      <c r="G5008" s="473"/>
      <c r="H5008" s="473"/>
      <c r="I5008" s="473"/>
      <c r="J5008" s="473"/>
      <c r="K5008" s="478"/>
      <c r="L5008" s="473"/>
      <c r="M5008" s="473"/>
    </row>
    <row r="5009" spans="5:13">
      <c r="E5009" s="473"/>
      <c r="F5009" s="473"/>
      <c r="G5009" s="473"/>
      <c r="H5009" s="473"/>
      <c r="I5009" s="473"/>
      <c r="J5009" s="473"/>
      <c r="K5009" s="478"/>
      <c r="L5009" s="473"/>
      <c r="M5009" s="473"/>
    </row>
    <row r="5010" spans="5:13">
      <c r="E5010" s="473"/>
      <c r="F5010" s="473"/>
      <c r="G5010" s="473"/>
      <c r="H5010" s="473"/>
      <c r="I5010" s="473"/>
      <c r="J5010" s="473"/>
      <c r="K5010" s="478"/>
      <c r="L5010" s="473"/>
      <c r="M5010" s="473"/>
    </row>
    <row r="5011" spans="5:13">
      <c r="E5011" s="473"/>
      <c r="F5011" s="473"/>
      <c r="G5011" s="473"/>
      <c r="H5011" s="473"/>
      <c r="I5011" s="473"/>
      <c r="J5011" s="473"/>
      <c r="K5011" s="478"/>
      <c r="L5011" s="473"/>
      <c r="M5011" s="473"/>
    </row>
    <row r="5012" spans="5:13">
      <c r="E5012" s="473"/>
      <c r="F5012" s="473"/>
      <c r="G5012" s="473"/>
      <c r="H5012" s="473"/>
      <c r="I5012" s="473"/>
      <c r="J5012" s="473"/>
      <c r="K5012" s="478"/>
      <c r="L5012" s="473"/>
      <c r="M5012" s="473"/>
    </row>
    <row r="5013" spans="5:13">
      <c r="E5013" s="473"/>
      <c r="F5013" s="473"/>
      <c r="G5013" s="473"/>
      <c r="H5013" s="473"/>
      <c r="I5013" s="473"/>
      <c r="J5013" s="473"/>
      <c r="K5013" s="478"/>
      <c r="L5013" s="473"/>
      <c r="M5013" s="473"/>
    </row>
    <row r="5014" spans="5:13">
      <c r="E5014" s="473"/>
      <c r="F5014" s="473"/>
      <c r="G5014" s="473"/>
      <c r="H5014" s="473"/>
      <c r="I5014" s="473"/>
      <c r="J5014" s="473"/>
      <c r="K5014" s="478"/>
      <c r="L5014" s="473"/>
      <c r="M5014" s="473"/>
    </row>
    <row r="5015" spans="5:13">
      <c r="E5015" s="473"/>
      <c r="F5015" s="473"/>
      <c r="G5015" s="473"/>
      <c r="H5015" s="473"/>
      <c r="I5015" s="473"/>
      <c r="J5015" s="473"/>
      <c r="K5015" s="478"/>
      <c r="L5015" s="473"/>
      <c r="M5015" s="473"/>
    </row>
    <row r="5016" spans="5:13">
      <c r="E5016" s="473"/>
      <c r="F5016" s="473"/>
      <c r="G5016" s="473"/>
      <c r="H5016" s="473"/>
      <c r="I5016" s="473"/>
      <c r="J5016" s="473"/>
      <c r="K5016" s="478"/>
      <c r="L5016" s="473"/>
      <c r="M5016" s="473"/>
    </row>
    <row r="5017" spans="5:13">
      <c r="E5017" s="473"/>
      <c r="F5017" s="473"/>
      <c r="G5017" s="473"/>
      <c r="H5017" s="473"/>
      <c r="I5017" s="473"/>
      <c r="J5017" s="473"/>
      <c r="K5017" s="478"/>
      <c r="L5017" s="473"/>
      <c r="M5017" s="473"/>
    </row>
    <row r="5018" spans="5:13">
      <c r="E5018" s="473"/>
      <c r="F5018" s="473"/>
      <c r="G5018" s="473"/>
      <c r="H5018" s="473"/>
      <c r="I5018" s="473"/>
      <c r="J5018" s="473"/>
      <c r="K5018" s="478"/>
      <c r="L5018" s="473"/>
      <c r="M5018" s="473"/>
    </row>
    <row r="5019" spans="5:13">
      <c r="E5019" s="473"/>
      <c r="F5019" s="473"/>
      <c r="G5019" s="473"/>
      <c r="H5019" s="473"/>
      <c r="I5019" s="473"/>
      <c r="J5019" s="473"/>
      <c r="K5019" s="478"/>
      <c r="L5019" s="473"/>
      <c r="M5019" s="473"/>
    </row>
    <row r="5020" spans="5:13">
      <c r="E5020" s="473"/>
      <c r="F5020" s="473"/>
      <c r="G5020" s="473"/>
      <c r="H5020" s="473"/>
      <c r="I5020" s="473"/>
      <c r="J5020" s="473"/>
      <c r="K5020" s="478"/>
      <c r="L5020" s="473"/>
      <c r="M5020" s="473"/>
    </row>
    <row r="5021" spans="5:13">
      <c r="E5021" s="473"/>
      <c r="F5021" s="473"/>
      <c r="G5021" s="473"/>
      <c r="H5021" s="473"/>
      <c r="I5021" s="473"/>
      <c r="J5021" s="473"/>
      <c r="K5021" s="478"/>
      <c r="L5021" s="473"/>
      <c r="M5021" s="473"/>
    </row>
    <row r="5022" spans="5:13">
      <c r="E5022" s="473"/>
      <c r="F5022" s="473"/>
      <c r="G5022" s="473"/>
      <c r="H5022" s="473"/>
      <c r="I5022" s="473"/>
      <c r="J5022" s="473"/>
      <c r="K5022" s="478"/>
      <c r="L5022" s="473"/>
      <c r="M5022" s="473"/>
    </row>
    <row r="5023" spans="5:13">
      <c r="E5023" s="473"/>
      <c r="F5023" s="473"/>
      <c r="G5023" s="473"/>
      <c r="H5023" s="473"/>
      <c r="I5023" s="473"/>
      <c r="J5023" s="473"/>
      <c r="K5023" s="478"/>
      <c r="L5023" s="473"/>
      <c r="M5023" s="473"/>
    </row>
    <row r="5024" spans="5:13">
      <c r="E5024" s="473"/>
      <c r="F5024" s="473"/>
      <c r="G5024" s="473"/>
      <c r="H5024" s="473"/>
      <c r="I5024" s="473"/>
      <c r="J5024" s="473"/>
      <c r="K5024" s="478"/>
      <c r="L5024" s="473"/>
      <c r="M5024" s="473"/>
    </row>
    <row r="5025" spans="5:13">
      <c r="E5025" s="473"/>
      <c r="F5025" s="473"/>
      <c r="G5025" s="473"/>
      <c r="H5025" s="473"/>
      <c r="I5025" s="473"/>
      <c r="J5025" s="473"/>
      <c r="K5025" s="478"/>
      <c r="L5025" s="473"/>
      <c r="M5025" s="473"/>
    </row>
    <row r="5026" spans="5:13">
      <c r="E5026" s="473"/>
      <c r="F5026" s="473"/>
      <c r="G5026" s="473"/>
      <c r="H5026" s="473"/>
      <c r="I5026" s="473"/>
      <c r="J5026" s="473"/>
      <c r="K5026" s="478"/>
      <c r="L5026" s="473"/>
      <c r="M5026" s="473"/>
    </row>
    <row r="5027" spans="5:13">
      <c r="E5027" s="473"/>
      <c r="F5027" s="473"/>
      <c r="G5027" s="473"/>
      <c r="H5027" s="473"/>
      <c r="I5027" s="473"/>
      <c r="J5027" s="473"/>
      <c r="K5027" s="478"/>
      <c r="L5027" s="473"/>
      <c r="M5027" s="473"/>
    </row>
    <row r="5028" spans="5:13">
      <c r="E5028" s="473"/>
      <c r="F5028" s="473"/>
      <c r="G5028" s="473"/>
      <c r="H5028" s="473"/>
      <c r="I5028" s="473"/>
      <c r="J5028" s="473"/>
      <c r="K5028" s="478"/>
      <c r="L5028" s="473"/>
      <c r="M5028" s="473"/>
    </row>
    <row r="5029" spans="5:13">
      <c r="E5029" s="473"/>
      <c r="F5029" s="473"/>
      <c r="G5029" s="473"/>
      <c r="H5029" s="473"/>
      <c r="I5029" s="473"/>
      <c r="J5029" s="473"/>
      <c r="K5029" s="478"/>
      <c r="L5029" s="473"/>
      <c r="M5029" s="473"/>
    </row>
    <row r="5030" spans="5:13">
      <c r="E5030" s="473"/>
      <c r="F5030" s="473"/>
      <c r="G5030" s="473"/>
      <c r="H5030" s="473"/>
      <c r="I5030" s="473"/>
      <c r="J5030" s="473"/>
      <c r="K5030" s="478"/>
      <c r="L5030" s="473"/>
      <c r="M5030" s="473"/>
    </row>
    <row r="5031" spans="5:13">
      <c r="E5031" s="473"/>
      <c r="F5031" s="473"/>
      <c r="G5031" s="473"/>
      <c r="H5031" s="473"/>
      <c r="I5031" s="473"/>
      <c r="J5031" s="473"/>
      <c r="K5031" s="478"/>
      <c r="L5031" s="473"/>
      <c r="M5031" s="473"/>
    </row>
    <row r="5032" spans="5:13">
      <c r="E5032" s="473"/>
      <c r="F5032" s="473"/>
      <c r="G5032" s="473"/>
      <c r="H5032" s="473"/>
      <c r="I5032" s="473"/>
      <c r="J5032" s="473"/>
      <c r="K5032" s="478"/>
      <c r="L5032" s="473"/>
      <c r="M5032" s="473"/>
    </row>
    <row r="5033" spans="5:13">
      <c r="E5033" s="473"/>
      <c r="F5033" s="473"/>
      <c r="G5033" s="473"/>
      <c r="H5033" s="473"/>
      <c r="I5033" s="473"/>
      <c r="J5033" s="473"/>
      <c r="K5033" s="478"/>
      <c r="L5033" s="473"/>
      <c r="M5033" s="473"/>
    </row>
    <row r="5034" spans="5:13">
      <c r="E5034" s="473"/>
      <c r="F5034" s="473"/>
      <c r="G5034" s="473"/>
      <c r="H5034" s="473"/>
      <c r="I5034" s="473"/>
      <c r="J5034" s="473"/>
      <c r="K5034" s="478"/>
      <c r="L5034" s="473"/>
      <c r="M5034" s="473"/>
    </row>
    <row r="5035" spans="5:13">
      <c r="E5035" s="473"/>
      <c r="F5035" s="473"/>
      <c r="G5035" s="473"/>
      <c r="H5035" s="473"/>
      <c r="I5035" s="473"/>
      <c r="J5035" s="473"/>
      <c r="K5035" s="478"/>
      <c r="L5035" s="473"/>
      <c r="M5035" s="473"/>
    </row>
    <row r="5036" spans="5:13">
      <c r="E5036" s="473"/>
      <c r="F5036" s="473"/>
      <c r="G5036" s="473"/>
      <c r="H5036" s="473"/>
      <c r="I5036" s="473"/>
      <c r="J5036" s="473"/>
      <c r="K5036" s="478"/>
      <c r="L5036" s="473"/>
      <c r="M5036" s="473"/>
    </row>
    <row r="5037" spans="5:13">
      <c r="E5037" s="473"/>
      <c r="F5037" s="473"/>
      <c r="G5037" s="473"/>
      <c r="H5037" s="473"/>
      <c r="I5037" s="473"/>
      <c r="J5037" s="473"/>
      <c r="K5037" s="478"/>
      <c r="L5037" s="473"/>
      <c r="M5037" s="473"/>
    </row>
    <row r="5038" spans="5:13">
      <c r="E5038" s="473"/>
      <c r="F5038" s="473"/>
      <c r="G5038" s="473"/>
      <c r="H5038" s="473"/>
      <c r="I5038" s="473"/>
      <c r="J5038" s="473"/>
      <c r="K5038" s="478"/>
      <c r="L5038" s="473"/>
      <c r="M5038" s="473"/>
    </row>
    <row r="5039" spans="5:13">
      <c r="E5039" s="473"/>
      <c r="F5039" s="473"/>
      <c r="G5039" s="473"/>
      <c r="H5039" s="473"/>
      <c r="I5039" s="473"/>
      <c r="J5039" s="473"/>
      <c r="K5039" s="478"/>
      <c r="L5039" s="473"/>
      <c r="M5039" s="473"/>
    </row>
    <row r="5040" spans="5:13">
      <c r="E5040" s="473"/>
      <c r="F5040" s="473"/>
      <c r="G5040" s="473"/>
      <c r="H5040" s="473"/>
      <c r="I5040" s="473"/>
      <c r="J5040" s="473"/>
      <c r="K5040" s="478"/>
      <c r="L5040" s="473"/>
      <c r="M5040" s="473"/>
    </row>
    <row r="5041" spans="5:13">
      <c r="E5041" s="473"/>
      <c r="F5041" s="473"/>
      <c r="G5041" s="473"/>
      <c r="H5041" s="473"/>
      <c r="I5041" s="473"/>
      <c r="J5041" s="473"/>
      <c r="K5041" s="478"/>
      <c r="L5041" s="473"/>
      <c r="M5041" s="473"/>
    </row>
    <row r="5042" spans="5:13">
      <c r="E5042" s="473"/>
      <c r="F5042" s="473"/>
      <c r="G5042" s="473"/>
      <c r="H5042" s="473"/>
      <c r="I5042" s="473"/>
      <c r="J5042" s="473"/>
      <c r="K5042" s="478"/>
      <c r="L5042" s="473"/>
      <c r="M5042" s="473"/>
    </row>
    <row r="5043" spans="5:13">
      <c r="E5043" s="473"/>
      <c r="F5043" s="473"/>
      <c r="G5043" s="473"/>
      <c r="H5043" s="473"/>
      <c r="I5043" s="473"/>
      <c r="J5043" s="473"/>
      <c r="K5043" s="478"/>
      <c r="L5043" s="473"/>
      <c r="M5043" s="473"/>
    </row>
    <row r="5044" spans="5:13">
      <c r="E5044" s="473"/>
      <c r="F5044" s="473"/>
      <c r="G5044" s="473"/>
      <c r="H5044" s="473"/>
      <c r="I5044" s="473"/>
      <c r="J5044" s="473"/>
      <c r="K5044" s="478"/>
      <c r="L5044" s="473"/>
      <c r="M5044" s="473"/>
    </row>
    <row r="5045" spans="5:13">
      <c r="E5045" s="473"/>
      <c r="F5045" s="473"/>
      <c r="G5045" s="473"/>
      <c r="H5045" s="473"/>
      <c r="I5045" s="473"/>
      <c r="J5045" s="473"/>
      <c r="K5045" s="478"/>
      <c r="L5045" s="473"/>
      <c r="M5045" s="473"/>
    </row>
    <row r="5046" spans="5:13">
      <c r="E5046" s="473"/>
      <c r="F5046" s="473"/>
      <c r="G5046" s="473"/>
      <c r="H5046" s="473"/>
      <c r="I5046" s="473"/>
      <c r="J5046" s="473"/>
      <c r="K5046" s="478"/>
      <c r="L5046" s="473"/>
      <c r="M5046" s="473"/>
    </row>
    <row r="5047" spans="5:13">
      <c r="E5047" s="473"/>
      <c r="F5047" s="473"/>
      <c r="G5047" s="473"/>
      <c r="H5047" s="473"/>
      <c r="I5047" s="473"/>
      <c r="J5047" s="473"/>
      <c r="K5047" s="478"/>
      <c r="L5047" s="473"/>
      <c r="M5047" s="473"/>
    </row>
    <row r="5048" spans="5:13">
      <c r="E5048" s="473"/>
      <c r="F5048" s="473"/>
      <c r="G5048" s="473"/>
      <c r="H5048" s="473"/>
      <c r="I5048" s="473"/>
      <c r="J5048" s="473"/>
      <c r="K5048" s="478"/>
      <c r="L5048" s="473"/>
      <c r="M5048" s="473"/>
    </row>
    <row r="5049" spans="5:13">
      <c r="E5049" s="473"/>
      <c r="F5049" s="473"/>
      <c r="G5049" s="473"/>
      <c r="H5049" s="473"/>
      <c r="I5049" s="473"/>
      <c r="J5049" s="473"/>
      <c r="K5049" s="478"/>
      <c r="L5049" s="473"/>
      <c r="M5049" s="473"/>
    </row>
    <row r="5050" spans="5:13">
      <c r="E5050" s="473"/>
      <c r="F5050" s="473"/>
      <c r="G5050" s="473"/>
      <c r="H5050" s="473"/>
      <c r="I5050" s="473"/>
      <c r="J5050" s="473"/>
      <c r="K5050" s="478"/>
      <c r="L5050" s="473"/>
      <c r="M5050" s="473"/>
    </row>
    <row r="5051" spans="5:13">
      <c r="E5051" s="473"/>
      <c r="F5051" s="473"/>
      <c r="G5051" s="473"/>
      <c r="H5051" s="473"/>
      <c r="I5051" s="473"/>
      <c r="J5051" s="473"/>
      <c r="K5051" s="478"/>
      <c r="L5051" s="473"/>
      <c r="M5051" s="473"/>
    </row>
    <row r="5052" spans="5:13">
      <c r="E5052" s="473"/>
      <c r="F5052" s="473"/>
      <c r="G5052" s="473"/>
      <c r="H5052" s="473"/>
      <c r="I5052" s="473"/>
      <c r="J5052" s="473"/>
      <c r="K5052" s="478"/>
      <c r="L5052" s="473"/>
      <c r="M5052" s="473"/>
    </row>
    <row r="5053" spans="5:13">
      <c r="E5053" s="473"/>
      <c r="F5053" s="473"/>
      <c r="G5053" s="473"/>
      <c r="H5053" s="473"/>
      <c r="I5053" s="473"/>
      <c r="J5053" s="473"/>
      <c r="K5053" s="478"/>
      <c r="L5053" s="473"/>
      <c r="M5053" s="473"/>
    </row>
    <row r="5054" spans="5:13">
      <c r="E5054" s="473"/>
      <c r="F5054" s="473"/>
      <c r="G5054" s="473"/>
      <c r="H5054" s="473"/>
      <c r="I5054" s="473"/>
      <c r="J5054" s="473"/>
      <c r="K5054" s="478"/>
      <c r="L5054" s="473"/>
      <c r="M5054" s="473"/>
    </row>
    <row r="5055" spans="5:13">
      <c r="E5055" s="473"/>
      <c r="F5055" s="473"/>
      <c r="G5055" s="473"/>
      <c r="H5055" s="473"/>
      <c r="I5055" s="473"/>
      <c r="J5055" s="473"/>
      <c r="K5055" s="478"/>
      <c r="L5055" s="473"/>
      <c r="M5055" s="473"/>
    </row>
    <row r="5056" spans="5:13">
      <c r="E5056" s="473"/>
      <c r="F5056" s="473"/>
      <c r="G5056" s="473"/>
      <c r="H5056" s="473"/>
      <c r="I5056" s="473"/>
      <c r="J5056" s="473"/>
      <c r="K5056" s="478"/>
      <c r="L5056" s="473"/>
      <c r="M5056" s="473"/>
    </row>
    <row r="5057" spans="5:13">
      <c r="E5057" s="473"/>
      <c r="F5057" s="473"/>
      <c r="G5057" s="473"/>
      <c r="H5057" s="473"/>
      <c r="I5057" s="473"/>
      <c r="J5057" s="473"/>
      <c r="K5057" s="478"/>
      <c r="L5057" s="473"/>
      <c r="M5057" s="473"/>
    </row>
    <row r="5058" spans="5:13">
      <c r="E5058" s="473"/>
      <c r="F5058" s="473"/>
      <c r="G5058" s="473"/>
      <c r="H5058" s="473"/>
      <c r="I5058" s="473"/>
      <c r="J5058" s="473"/>
      <c r="K5058" s="478"/>
      <c r="L5058" s="473"/>
      <c r="M5058" s="473"/>
    </row>
    <row r="5059" spans="5:13">
      <c r="E5059" s="473"/>
      <c r="F5059" s="473"/>
      <c r="G5059" s="473"/>
      <c r="H5059" s="473"/>
      <c r="I5059" s="473"/>
      <c r="J5059" s="473"/>
      <c r="K5059" s="478"/>
      <c r="L5059" s="473"/>
      <c r="M5059" s="473"/>
    </row>
    <row r="5060" spans="5:13">
      <c r="E5060" s="473"/>
      <c r="F5060" s="473"/>
      <c r="G5060" s="473"/>
      <c r="H5060" s="473"/>
      <c r="I5060" s="473"/>
      <c r="J5060" s="473"/>
      <c r="K5060" s="478"/>
      <c r="L5060" s="473"/>
      <c r="M5060" s="473"/>
    </row>
    <row r="5061" spans="5:13">
      <c r="E5061" s="473"/>
      <c r="F5061" s="473"/>
      <c r="G5061" s="473"/>
      <c r="H5061" s="473"/>
      <c r="I5061" s="473"/>
      <c r="J5061" s="473"/>
      <c r="K5061" s="478"/>
      <c r="L5061" s="473"/>
      <c r="M5061" s="473"/>
    </row>
    <row r="5062" spans="5:13">
      <c r="E5062" s="473"/>
      <c r="F5062" s="473"/>
      <c r="G5062" s="473"/>
      <c r="H5062" s="473"/>
      <c r="I5062" s="473"/>
      <c r="J5062" s="473"/>
      <c r="K5062" s="478"/>
      <c r="L5062" s="473"/>
      <c r="M5062" s="473"/>
    </row>
    <row r="5063" spans="5:13">
      <c r="E5063" s="473"/>
      <c r="F5063" s="473"/>
      <c r="G5063" s="473"/>
      <c r="H5063" s="473"/>
      <c r="I5063" s="473"/>
      <c r="J5063" s="473"/>
      <c r="K5063" s="478"/>
      <c r="L5063" s="473"/>
      <c r="M5063" s="473"/>
    </row>
    <row r="5064" spans="5:13">
      <c r="E5064" s="473"/>
      <c r="F5064" s="473"/>
      <c r="G5064" s="473"/>
      <c r="H5064" s="473"/>
      <c r="I5064" s="473"/>
      <c r="J5064" s="473"/>
      <c r="K5064" s="478"/>
      <c r="L5064" s="473"/>
      <c r="M5064" s="473"/>
    </row>
    <row r="5065" spans="5:13">
      <c r="E5065" s="473"/>
      <c r="F5065" s="473"/>
      <c r="G5065" s="473"/>
      <c r="H5065" s="473"/>
      <c r="I5065" s="473"/>
      <c r="J5065" s="473"/>
      <c r="K5065" s="478"/>
      <c r="L5065" s="473"/>
      <c r="M5065" s="473"/>
    </row>
    <row r="5066" spans="5:13">
      <c r="E5066" s="473"/>
      <c r="F5066" s="473"/>
      <c r="G5066" s="473"/>
      <c r="H5066" s="473"/>
      <c r="I5066" s="473"/>
      <c r="J5066" s="473"/>
      <c r="K5066" s="478"/>
      <c r="L5066" s="473"/>
      <c r="M5066" s="473"/>
    </row>
    <row r="5067" spans="5:13">
      <c r="E5067" s="473"/>
      <c r="F5067" s="473"/>
      <c r="G5067" s="473"/>
      <c r="H5067" s="473"/>
      <c r="I5067" s="473"/>
      <c r="J5067" s="473"/>
      <c r="K5067" s="478"/>
      <c r="L5067" s="473"/>
      <c r="M5067" s="473"/>
    </row>
    <row r="5068" spans="5:13">
      <c r="E5068" s="473"/>
      <c r="F5068" s="473"/>
      <c r="G5068" s="473"/>
      <c r="H5068" s="473"/>
      <c r="I5068" s="473"/>
      <c r="J5068" s="473"/>
      <c r="K5068" s="478"/>
      <c r="L5068" s="473"/>
      <c r="M5068" s="473"/>
    </row>
    <row r="5069" spans="5:13">
      <c r="E5069" s="473"/>
      <c r="F5069" s="473"/>
      <c r="G5069" s="473"/>
      <c r="H5069" s="473"/>
      <c r="I5069" s="473"/>
      <c r="J5069" s="473"/>
      <c r="K5069" s="478"/>
      <c r="L5069" s="473"/>
      <c r="M5069" s="473"/>
    </row>
    <row r="5070" spans="5:13">
      <c r="E5070" s="473"/>
      <c r="F5070" s="473"/>
      <c r="G5070" s="473"/>
      <c r="H5070" s="473"/>
      <c r="I5070" s="473"/>
      <c r="J5070" s="473"/>
      <c r="K5070" s="478"/>
      <c r="L5070" s="473"/>
      <c r="M5070" s="473"/>
    </row>
    <row r="5071" spans="5:13">
      <c r="E5071" s="473"/>
      <c r="F5071" s="473"/>
      <c r="G5071" s="473"/>
      <c r="H5071" s="473"/>
      <c r="I5071" s="473"/>
      <c r="J5071" s="473"/>
      <c r="K5071" s="478"/>
      <c r="L5071" s="473"/>
      <c r="M5071" s="473"/>
    </row>
    <row r="5072" spans="5:13">
      <c r="E5072" s="473"/>
      <c r="F5072" s="473"/>
      <c r="G5072" s="473"/>
      <c r="H5072" s="473"/>
      <c r="I5072" s="473"/>
      <c r="J5072" s="473"/>
      <c r="K5072" s="478"/>
      <c r="L5072" s="473"/>
      <c r="M5072" s="473"/>
    </row>
    <row r="5073" spans="5:13">
      <c r="E5073" s="473"/>
      <c r="F5073" s="473"/>
      <c r="G5073" s="473"/>
      <c r="H5073" s="473"/>
      <c r="I5073" s="473"/>
      <c r="J5073" s="473"/>
      <c r="K5073" s="478"/>
      <c r="L5073" s="473"/>
      <c r="M5073" s="473"/>
    </row>
    <row r="5074" spans="5:13">
      <c r="E5074" s="473"/>
      <c r="F5074" s="473"/>
      <c r="G5074" s="473"/>
      <c r="H5074" s="473"/>
      <c r="I5074" s="473"/>
      <c r="J5074" s="473"/>
      <c r="K5074" s="478"/>
      <c r="L5074" s="473"/>
      <c r="M5074" s="473"/>
    </row>
    <row r="5075" spans="5:13">
      <c r="E5075" s="473"/>
      <c r="F5075" s="473"/>
      <c r="G5075" s="473"/>
      <c r="H5075" s="473"/>
      <c r="I5075" s="473"/>
      <c r="J5075" s="473"/>
      <c r="K5075" s="478"/>
      <c r="L5075" s="473"/>
      <c r="M5075" s="473"/>
    </row>
    <row r="5076" spans="5:13">
      <c r="E5076" s="473"/>
      <c r="F5076" s="473"/>
      <c r="G5076" s="473"/>
      <c r="H5076" s="473"/>
      <c r="I5076" s="473"/>
      <c r="J5076" s="473"/>
      <c r="K5076" s="478"/>
      <c r="L5076" s="473"/>
      <c r="M5076" s="473"/>
    </row>
    <row r="5077" spans="5:13">
      <c r="E5077" s="473"/>
      <c r="F5077" s="473"/>
      <c r="G5077" s="473"/>
      <c r="H5077" s="473"/>
      <c r="I5077" s="473"/>
      <c r="J5077" s="473"/>
      <c r="K5077" s="478"/>
      <c r="L5077" s="473"/>
      <c r="M5077" s="473"/>
    </row>
    <row r="5078" spans="5:13">
      <c r="E5078" s="473"/>
      <c r="F5078" s="473"/>
      <c r="G5078" s="473"/>
      <c r="H5078" s="473"/>
      <c r="I5078" s="473"/>
      <c r="J5078" s="473"/>
      <c r="K5078" s="478"/>
      <c r="L5078" s="473"/>
      <c r="M5078" s="473"/>
    </row>
    <row r="5079" spans="5:13">
      <c r="E5079" s="473"/>
      <c r="F5079" s="473"/>
      <c r="G5079" s="473"/>
      <c r="H5079" s="473"/>
      <c r="I5079" s="473"/>
      <c r="J5079" s="473"/>
      <c r="K5079" s="478"/>
      <c r="L5079" s="473"/>
      <c r="M5079" s="473"/>
    </row>
    <row r="5080" spans="5:13">
      <c r="E5080" s="473"/>
      <c r="F5080" s="473"/>
      <c r="G5080" s="473"/>
      <c r="H5080" s="473"/>
      <c r="I5080" s="473"/>
      <c r="J5080" s="473"/>
      <c r="K5080" s="478"/>
      <c r="L5080" s="473"/>
      <c r="M5080" s="473"/>
    </row>
    <row r="5081" spans="5:13">
      <c r="E5081" s="473"/>
      <c r="F5081" s="473"/>
      <c r="G5081" s="473"/>
      <c r="H5081" s="473"/>
      <c r="I5081" s="473"/>
      <c r="J5081" s="473"/>
      <c r="K5081" s="478"/>
      <c r="L5081" s="473"/>
      <c r="M5081" s="473"/>
    </row>
    <row r="5082" spans="5:13">
      <c r="E5082" s="473"/>
      <c r="F5082" s="473"/>
      <c r="G5082" s="473"/>
      <c r="H5082" s="473"/>
      <c r="I5082" s="473"/>
      <c r="J5082" s="473"/>
      <c r="K5082" s="478"/>
      <c r="L5082" s="473"/>
      <c r="M5082" s="473"/>
    </row>
    <row r="5083" spans="5:13">
      <c r="E5083" s="473"/>
      <c r="F5083" s="473"/>
      <c r="G5083" s="473"/>
      <c r="H5083" s="473"/>
      <c r="I5083" s="473"/>
      <c r="J5083" s="473"/>
      <c r="K5083" s="478"/>
      <c r="L5083" s="473"/>
      <c r="M5083" s="473"/>
    </row>
    <row r="5084" spans="5:13">
      <c r="E5084" s="473"/>
      <c r="F5084" s="473"/>
      <c r="G5084" s="473"/>
      <c r="H5084" s="473"/>
      <c r="I5084" s="473"/>
      <c r="J5084" s="473"/>
      <c r="K5084" s="478"/>
      <c r="L5084" s="473"/>
      <c r="M5084" s="473"/>
    </row>
    <row r="5085" spans="5:13">
      <c r="E5085" s="473"/>
      <c r="F5085" s="473"/>
      <c r="G5085" s="473"/>
      <c r="H5085" s="473"/>
      <c r="I5085" s="473"/>
      <c r="J5085" s="473"/>
      <c r="K5085" s="478"/>
      <c r="L5085" s="473"/>
      <c r="M5085" s="473"/>
    </row>
    <row r="5086" spans="5:13">
      <c r="E5086" s="473"/>
      <c r="F5086" s="473"/>
      <c r="G5086" s="473"/>
      <c r="H5086" s="473"/>
      <c r="I5086" s="473"/>
      <c r="J5086" s="473"/>
      <c r="K5086" s="478"/>
      <c r="L5086" s="473"/>
      <c r="M5086" s="473"/>
    </row>
    <row r="5087" spans="5:13">
      <c r="E5087" s="473"/>
      <c r="F5087" s="473"/>
      <c r="G5087" s="473"/>
      <c r="H5087" s="473"/>
      <c r="I5087" s="473"/>
      <c r="J5087" s="473"/>
      <c r="K5087" s="478"/>
      <c r="L5087" s="473"/>
      <c r="M5087" s="473"/>
    </row>
    <row r="5088" spans="5:13">
      <c r="E5088" s="473"/>
      <c r="F5088" s="473"/>
      <c r="G5088" s="473"/>
      <c r="H5088" s="473"/>
      <c r="I5088" s="473"/>
      <c r="J5088" s="473"/>
      <c r="K5088" s="478"/>
      <c r="L5088" s="473"/>
      <c r="M5088" s="473"/>
    </row>
    <row r="5089" spans="5:13">
      <c r="E5089" s="473"/>
      <c r="F5089" s="473"/>
      <c r="G5089" s="473"/>
      <c r="H5089" s="473"/>
      <c r="I5089" s="473"/>
      <c r="J5089" s="473"/>
      <c r="K5089" s="478"/>
      <c r="L5089" s="473"/>
      <c r="M5089" s="473"/>
    </row>
    <row r="5090" spans="5:13">
      <c r="E5090" s="473"/>
      <c r="F5090" s="473"/>
      <c r="G5090" s="473"/>
      <c r="H5090" s="473"/>
      <c r="I5090" s="473"/>
      <c r="J5090" s="473"/>
      <c r="K5090" s="478"/>
      <c r="L5090" s="473"/>
      <c r="M5090" s="473"/>
    </row>
    <row r="5091" spans="5:13">
      <c r="E5091" s="473"/>
      <c r="F5091" s="473"/>
      <c r="G5091" s="473"/>
      <c r="H5091" s="473"/>
      <c r="I5091" s="473"/>
      <c r="J5091" s="473"/>
      <c r="K5091" s="478"/>
      <c r="L5091" s="473"/>
      <c r="M5091" s="473"/>
    </row>
    <row r="5092" spans="5:13">
      <c r="E5092" s="473"/>
      <c r="F5092" s="473"/>
      <c r="G5092" s="473"/>
      <c r="H5092" s="473"/>
      <c r="I5092" s="473"/>
      <c r="J5092" s="473"/>
      <c r="K5092" s="478"/>
      <c r="L5092" s="473"/>
      <c r="M5092" s="473"/>
    </row>
    <row r="5093" spans="5:13">
      <c r="E5093" s="473"/>
      <c r="F5093" s="473"/>
      <c r="G5093" s="473"/>
      <c r="H5093" s="473"/>
      <c r="I5093" s="473"/>
      <c r="J5093" s="473"/>
      <c r="K5093" s="478"/>
      <c r="L5093" s="473"/>
      <c r="M5093" s="473"/>
    </row>
    <row r="5094" spans="5:13">
      <c r="E5094" s="473"/>
      <c r="F5094" s="473"/>
      <c r="G5094" s="473"/>
      <c r="H5094" s="473"/>
      <c r="I5094" s="473"/>
      <c r="J5094" s="473"/>
      <c r="K5094" s="478"/>
      <c r="L5094" s="473"/>
      <c r="M5094" s="473"/>
    </row>
    <row r="5095" spans="5:13">
      <c r="E5095" s="473"/>
      <c r="F5095" s="473"/>
      <c r="G5095" s="473"/>
      <c r="H5095" s="473"/>
      <c r="I5095" s="473"/>
      <c r="J5095" s="473"/>
      <c r="K5095" s="478"/>
      <c r="L5095" s="473"/>
      <c r="M5095" s="473"/>
    </row>
    <row r="5096" spans="5:13">
      <c r="E5096" s="473"/>
      <c r="F5096" s="473"/>
      <c r="G5096" s="473"/>
      <c r="H5096" s="473"/>
      <c r="I5096" s="473"/>
      <c r="J5096" s="473"/>
      <c r="K5096" s="478"/>
      <c r="L5096" s="473"/>
      <c r="M5096" s="473"/>
    </row>
    <row r="5097" spans="5:13">
      <c r="E5097" s="473"/>
      <c r="F5097" s="473"/>
      <c r="G5097" s="473"/>
      <c r="H5097" s="473"/>
      <c r="I5097" s="473"/>
      <c r="J5097" s="473"/>
      <c r="K5097" s="478"/>
      <c r="L5097" s="473"/>
      <c r="M5097" s="473"/>
    </row>
    <row r="5098" spans="5:13">
      <c r="E5098" s="473"/>
      <c r="F5098" s="473"/>
      <c r="G5098" s="473"/>
      <c r="H5098" s="473"/>
      <c r="I5098" s="473"/>
      <c r="J5098" s="473"/>
      <c r="K5098" s="478"/>
      <c r="L5098" s="473"/>
      <c r="M5098" s="473"/>
    </row>
    <row r="5099" spans="5:13">
      <c r="E5099" s="473"/>
      <c r="F5099" s="473"/>
      <c r="G5099" s="473"/>
      <c r="H5099" s="473"/>
      <c r="I5099" s="473"/>
      <c r="J5099" s="473"/>
      <c r="K5099" s="478"/>
      <c r="L5099" s="473"/>
      <c r="M5099" s="473"/>
    </row>
    <row r="5100" spans="5:13">
      <c r="E5100" s="473"/>
      <c r="F5100" s="473"/>
      <c r="G5100" s="473"/>
      <c r="H5100" s="473"/>
      <c r="I5100" s="473"/>
      <c r="J5100" s="473"/>
      <c r="K5100" s="478"/>
      <c r="L5100" s="473"/>
      <c r="M5100" s="473"/>
    </row>
    <row r="5101" spans="5:13">
      <c r="E5101" s="473"/>
      <c r="F5101" s="473"/>
      <c r="G5101" s="473"/>
      <c r="H5101" s="473"/>
      <c r="I5101" s="473"/>
      <c r="J5101" s="473"/>
      <c r="K5101" s="478"/>
      <c r="L5101" s="473"/>
      <c r="M5101" s="473"/>
    </row>
    <row r="5102" spans="5:13">
      <c r="E5102" s="473"/>
      <c r="F5102" s="473"/>
      <c r="G5102" s="473"/>
      <c r="H5102" s="473"/>
      <c r="I5102" s="473"/>
      <c r="J5102" s="473"/>
      <c r="K5102" s="478"/>
      <c r="L5102" s="473"/>
      <c r="M5102" s="473"/>
    </row>
    <row r="5103" spans="5:13">
      <c r="E5103" s="473"/>
      <c r="F5103" s="473"/>
      <c r="G5103" s="473"/>
      <c r="H5103" s="473"/>
      <c r="I5103" s="473"/>
      <c r="J5103" s="473"/>
      <c r="K5103" s="478"/>
      <c r="L5103" s="473"/>
      <c r="M5103" s="473"/>
    </row>
    <row r="5104" spans="5:13">
      <c r="E5104" s="473"/>
      <c r="F5104" s="473"/>
      <c r="G5104" s="473"/>
      <c r="H5104" s="473"/>
      <c r="I5104" s="473"/>
      <c r="J5104" s="473"/>
      <c r="K5104" s="478"/>
      <c r="L5104" s="473"/>
      <c r="M5104" s="473"/>
    </row>
    <row r="5105" spans="5:13">
      <c r="E5105" s="473"/>
      <c r="F5105" s="473"/>
      <c r="G5105" s="473"/>
      <c r="H5105" s="473"/>
      <c r="I5105" s="473"/>
      <c r="J5105" s="473"/>
      <c r="K5105" s="478"/>
      <c r="L5105" s="473"/>
      <c r="M5105" s="473"/>
    </row>
    <row r="5106" spans="5:13">
      <c r="E5106" s="473"/>
      <c r="F5106" s="473"/>
      <c r="G5106" s="473"/>
      <c r="H5106" s="473"/>
      <c r="I5106" s="473"/>
      <c r="J5106" s="473"/>
      <c r="K5106" s="478"/>
      <c r="L5106" s="473"/>
      <c r="M5106" s="473"/>
    </row>
    <row r="5107" spans="5:13">
      <c r="E5107" s="473"/>
      <c r="F5107" s="473"/>
      <c r="G5107" s="473"/>
      <c r="H5107" s="473"/>
      <c r="I5107" s="473"/>
      <c r="J5107" s="473"/>
      <c r="K5107" s="478"/>
      <c r="L5107" s="473"/>
      <c r="M5107" s="473"/>
    </row>
    <row r="5108" spans="5:13">
      <c r="E5108" s="473"/>
      <c r="F5108" s="473"/>
      <c r="G5108" s="473"/>
      <c r="H5108" s="473"/>
      <c r="I5108" s="473"/>
      <c r="J5108" s="473"/>
      <c r="K5108" s="478"/>
      <c r="L5108" s="473"/>
      <c r="M5108" s="473"/>
    </row>
    <row r="5109" spans="5:13">
      <c r="E5109" s="473"/>
      <c r="F5109" s="473"/>
      <c r="G5109" s="473"/>
      <c r="H5109" s="473"/>
      <c r="I5109" s="473"/>
      <c r="J5109" s="473"/>
      <c r="K5109" s="478"/>
      <c r="L5109" s="473"/>
      <c r="M5109" s="473"/>
    </row>
    <row r="5110" spans="5:13">
      <c r="E5110" s="473"/>
      <c r="F5110" s="473"/>
      <c r="G5110" s="473"/>
      <c r="H5110" s="473"/>
      <c r="I5110" s="473"/>
      <c r="J5110" s="473"/>
      <c r="K5110" s="478"/>
      <c r="L5110" s="473"/>
      <c r="M5110" s="473"/>
    </row>
    <row r="5111" spans="5:13">
      <c r="E5111" s="473"/>
      <c r="F5111" s="473"/>
      <c r="G5111" s="473"/>
      <c r="H5111" s="473"/>
      <c r="I5111" s="473"/>
      <c r="J5111" s="473"/>
      <c r="K5111" s="478"/>
      <c r="L5111" s="473"/>
      <c r="M5111" s="473"/>
    </row>
    <row r="5112" spans="5:13">
      <c r="E5112" s="473"/>
      <c r="F5112" s="473"/>
      <c r="G5112" s="473"/>
      <c r="H5112" s="473"/>
      <c r="I5112" s="473"/>
      <c r="J5112" s="473"/>
      <c r="K5112" s="478"/>
      <c r="L5112" s="473"/>
      <c r="M5112" s="473"/>
    </row>
    <row r="5113" spans="5:13">
      <c r="E5113" s="473"/>
      <c r="F5113" s="473"/>
      <c r="G5113" s="473"/>
      <c r="H5113" s="473"/>
      <c r="I5113" s="473"/>
      <c r="J5113" s="473"/>
      <c r="K5113" s="478"/>
      <c r="L5113" s="473"/>
      <c r="M5113" s="473"/>
    </row>
    <row r="5114" spans="5:13">
      <c r="E5114" s="473"/>
      <c r="F5114" s="473"/>
      <c r="G5114" s="473"/>
      <c r="H5114" s="473"/>
      <c r="I5114" s="473"/>
      <c r="J5114" s="473"/>
      <c r="K5114" s="478"/>
      <c r="L5114" s="473"/>
      <c r="M5114" s="473"/>
    </row>
    <row r="5115" spans="5:13">
      <c r="E5115" s="473"/>
      <c r="F5115" s="473"/>
      <c r="G5115" s="473"/>
      <c r="H5115" s="473"/>
      <c r="I5115" s="473"/>
      <c r="J5115" s="473"/>
      <c r="K5115" s="478"/>
      <c r="L5115" s="473"/>
      <c r="M5115" s="473"/>
    </row>
    <row r="5116" spans="5:13">
      <c r="E5116" s="473"/>
      <c r="F5116" s="473"/>
      <c r="G5116" s="473"/>
      <c r="H5116" s="473"/>
      <c r="I5116" s="473"/>
      <c r="J5116" s="473"/>
      <c r="K5116" s="478"/>
      <c r="L5116" s="473"/>
      <c r="M5116" s="473"/>
    </row>
    <row r="5117" spans="5:13">
      <c r="E5117" s="473"/>
      <c r="F5117" s="473"/>
      <c r="G5117" s="473"/>
      <c r="H5117" s="473"/>
      <c r="I5117" s="473"/>
      <c r="J5117" s="473"/>
      <c r="K5117" s="478"/>
      <c r="L5117" s="473"/>
      <c r="M5117" s="473"/>
    </row>
    <row r="5118" spans="5:13">
      <c r="E5118" s="473"/>
      <c r="F5118" s="473"/>
      <c r="G5118" s="473"/>
      <c r="H5118" s="473"/>
      <c r="I5118" s="473"/>
      <c r="J5118" s="473"/>
      <c r="K5118" s="478"/>
      <c r="L5118" s="473"/>
      <c r="M5118" s="473"/>
    </row>
    <row r="5119" spans="5:13">
      <c r="E5119" s="473"/>
      <c r="F5119" s="473"/>
      <c r="G5119" s="473"/>
      <c r="H5119" s="473"/>
      <c r="I5119" s="473"/>
      <c r="J5119" s="473"/>
      <c r="K5119" s="478"/>
      <c r="L5119" s="473"/>
      <c r="M5119" s="473"/>
    </row>
    <row r="5120" spans="5:13">
      <c r="E5120" s="473"/>
      <c r="F5120" s="473"/>
      <c r="G5120" s="473"/>
      <c r="H5120" s="473"/>
      <c r="I5120" s="473"/>
      <c r="J5120" s="473"/>
      <c r="K5120" s="478"/>
      <c r="L5120" s="473"/>
      <c r="M5120" s="473"/>
    </row>
    <row r="5121" spans="5:13">
      <c r="E5121" s="473"/>
      <c r="F5121" s="473"/>
      <c r="G5121" s="473"/>
      <c r="H5121" s="473"/>
      <c r="I5121" s="473"/>
      <c r="J5121" s="473"/>
      <c r="K5121" s="478"/>
      <c r="L5121" s="473"/>
      <c r="M5121" s="473"/>
    </row>
    <row r="5122" spans="5:13">
      <c r="E5122" s="473"/>
      <c r="F5122" s="473"/>
      <c r="G5122" s="473"/>
      <c r="H5122" s="473"/>
      <c r="I5122" s="473"/>
      <c r="J5122" s="473"/>
      <c r="K5122" s="478"/>
      <c r="L5122" s="473"/>
      <c r="M5122" s="473"/>
    </row>
    <row r="5123" spans="5:13">
      <c r="E5123" s="473"/>
      <c r="F5123" s="473"/>
      <c r="G5123" s="473"/>
      <c r="H5123" s="473"/>
      <c r="I5123" s="473"/>
      <c r="J5123" s="473"/>
      <c r="K5123" s="478"/>
      <c r="L5123" s="473"/>
      <c r="M5123" s="473"/>
    </row>
    <row r="5124" spans="5:13">
      <c r="E5124" s="473"/>
      <c r="F5124" s="473"/>
      <c r="G5124" s="473"/>
      <c r="H5124" s="473"/>
      <c r="I5124" s="473"/>
      <c r="J5124" s="473"/>
      <c r="K5124" s="478"/>
      <c r="L5124" s="473"/>
      <c r="M5124" s="473"/>
    </row>
    <row r="5125" spans="5:13">
      <c r="E5125" s="473"/>
      <c r="F5125" s="473"/>
      <c r="G5125" s="473"/>
      <c r="H5125" s="473"/>
      <c r="I5125" s="473"/>
      <c r="J5125" s="473"/>
      <c r="K5125" s="478"/>
      <c r="L5125" s="473"/>
      <c r="M5125" s="473"/>
    </row>
    <row r="5126" spans="5:13">
      <c r="E5126" s="473"/>
      <c r="F5126" s="473"/>
      <c r="G5126" s="473"/>
      <c r="H5126" s="473"/>
      <c r="I5126" s="473"/>
      <c r="J5126" s="473"/>
      <c r="K5126" s="478"/>
      <c r="L5126" s="473"/>
      <c r="M5126" s="473"/>
    </row>
    <row r="5127" spans="5:13">
      <c r="E5127" s="473"/>
      <c r="F5127" s="473"/>
      <c r="G5127" s="473"/>
      <c r="H5127" s="473"/>
      <c r="I5127" s="473"/>
      <c r="J5127" s="473"/>
      <c r="K5127" s="478"/>
      <c r="L5127" s="473"/>
      <c r="M5127" s="473"/>
    </row>
    <row r="5128" spans="5:13">
      <c r="E5128" s="473"/>
      <c r="F5128" s="473"/>
      <c r="G5128" s="473"/>
      <c r="H5128" s="473"/>
      <c r="I5128" s="473"/>
      <c r="J5128" s="473"/>
      <c r="K5128" s="478"/>
      <c r="L5128" s="473"/>
      <c r="M5128" s="473"/>
    </row>
    <row r="5129" spans="5:13">
      <c r="E5129" s="473"/>
      <c r="F5129" s="473"/>
      <c r="G5129" s="473"/>
      <c r="H5129" s="473"/>
      <c r="I5129" s="473"/>
      <c r="J5129" s="473"/>
      <c r="K5129" s="478"/>
      <c r="L5129" s="473"/>
      <c r="M5129" s="473"/>
    </row>
    <row r="5130" spans="5:13">
      <c r="E5130" s="473"/>
      <c r="F5130" s="473"/>
      <c r="G5130" s="473"/>
      <c r="H5130" s="473"/>
      <c r="I5130" s="473"/>
      <c r="J5130" s="473"/>
      <c r="K5130" s="478"/>
      <c r="L5130" s="473"/>
      <c r="M5130" s="473"/>
    </row>
    <row r="5131" spans="5:13">
      <c r="E5131" s="473"/>
      <c r="F5131" s="473"/>
      <c r="G5131" s="473"/>
      <c r="H5131" s="473"/>
      <c r="I5131" s="473"/>
      <c r="J5131" s="473"/>
      <c r="K5131" s="478"/>
      <c r="L5131" s="473"/>
      <c r="M5131" s="473"/>
    </row>
    <row r="5132" spans="5:13">
      <c r="E5132" s="473"/>
      <c r="F5132" s="473"/>
      <c r="G5132" s="473"/>
      <c r="H5132" s="473"/>
      <c r="I5132" s="473"/>
      <c r="J5132" s="473"/>
      <c r="K5132" s="478"/>
      <c r="L5132" s="473"/>
      <c r="M5132" s="473"/>
    </row>
    <row r="5133" spans="5:13">
      <c r="E5133" s="473"/>
      <c r="F5133" s="473"/>
      <c r="G5133" s="473"/>
      <c r="H5133" s="473"/>
      <c r="I5133" s="473"/>
      <c r="J5133" s="473"/>
      <c r="K5133" s="478"/>
      <c r="L5133" s="473"/>
      <c r="M5133" s="473"/>
    </row>
    <row r="5134" spans="5:13">
      <c r="E5134" s="473"/>
      <c r="F5134" s="473"/>
      <c r="G5134" s="473"/>
      <c r="H5134" s="473"/>
      <c r="I5134" s="473"/>
      <c r="J5134" s="473"/>
      <c r="K5134" s="478"/>
      <c r="L5134" s="473"/>
      <c r="M5134" s="473"/>
    </row>
    <row r="5135" spans="5:13">
      <c r="E5135" s="473"/>
      <c r="F5135" s="473"/>
      <c r="G5135" s="473"/>
      <c r="H5135" s="473"/>
      <c r="I5135" s="473"/>
      <c r="J5135" s="473"/>
      <c r="K5135" s="478"/>
      <c r="L5135" s="473"/>
      <c r="M5135" s="473"/>
    </row>
    <row r="5136" spans="5:13">
      <c r="E5136" s="473"/>
      <c r="F5136" s="473"/>
      <c r="G5136" s="473"/>
      <c r="H5136" s="473"/>
      <c r="I5136" s="473"/>
      <c r="J5136" s="473"/>
      <c r="K5136" s="478"/>
      <c r="L5136" s="473"/>
      <c r="M5136" s="473"/>
    </row>
    <row r="5137" spans="5:13">
      <c r="E5137" s="473"/>
      <c r="F5137" s="473"/>
      <c r="G5137" s="473"/>
      <c r="H5137" s="473"/>
      <c r="I5137" s="473"/>
      <c r="J5137" s="473"/>
      <c r="K5137" s="478"/>
      <c r="L5137" s="473"/>
      <c r="M5137" s="473"/>
    </row>
    <row r="5138" spans="5:13">
      <c r="E5138" s="473"/>
      <c r="F5138" s="473"/>
      <c r="G5138" s="473"/>
      <c r="H5138" s="473"/>
      <c r="I5138" s="473"/>
      <c r="J5138" s="473"/>
      <c r="K5138" s="478"/>
      <c r="L5138" s="473"/>
      <c r="M5138" s="473"/>
    </row>
    <row r="5139" spans="5:13">
      <c r="E5139" s="473"/>
      <c r="F5139" s="473"/>
      <c r="G5139" s="473"/>
      <c r="H5139" s="473"/>
      <c r="I5139" s="473"/>
      <c r="J5139" s="473"/>
      <c r="K5139" s="478"/>
      <c r="L5139" s="473"/>
      <c r="M5139" s="473"/>
    </row>
    <row r="5140" spans="5:13">
      <c r="E5140" s="473"/>
      <c r="F5140" s="473"/>
      <c r="G5140" s="473"/>
      <c r="H5140" s="473"/>
      <c r="I5140" s="473"/>
      <c r="J5140" s="473"/>
      <c r="K5140" s="478"/>
      <c r="L5140" s="473"/>
      <c r="M5140" s="473"/>
    </row>
    <row r="5141" spans="5:13">
      <c r="E5141" s="473"/>
      <c r="F5141" s="473"/>
      <c r="G5141" s="473"/>
      <c r="H5141" s="473"/>
      <c r="I5141" s="473"/>
      <c r="J5141" s="473"/>
      <c r="K5141" s="478"/>
      <c r="L5141" s="473"/>
      <c r="M5141" s="473"/>
    </row>
    <row r="5142" spans="5:13">
      <c r="E5142" s="473"/>
      <c r="F5142" s="473"/>
      <c r="G5142" s="473"/>
      <c r="H5142" s="473"/>
      <c r="I5142" s="473"/>
      <c r="J5142" s="473"/>
      <c r="K5142" s="478"/>
      <c r="L5142" s="473"/>
      <c r="M5142" s="473"/>
    </row>
    <row r="5143" spans="5:13">
      <c r="E5143" s="473"/>
      <c r="F5143" s="473"/>
      <c r="G5143" s="473"/>
      <c r="H5143" s="473"/>
      <c r="I5143" s="473"/>
      <c r="J5143" s="473"/>
      <c r="K5143" s="478"/>
      <c r="L5143" s="473"/>
      <c r="M5143" s="473"/>
    </row>
    <row r="5144" spans="5:13">
      <c r="E5144" s="473"/>
      <c r="F5144" s="473"/>
      <c r="G5144" s="473"/>
      <c r="H5144" s="473"/>
      <c r="I5144" s="473"/>
      <c r="J5144" s="473"/>
      <c r="K5144" s="478"/>
      <c r="L5144" s="473"/>
      <c r="M5144" s="473"/>
    </row>
    <row r="5145" spans="5:13">
      <c r="E5145" s="473"/>
      <c r="F5145" s="473"/>
      <c r="G5145" s="473"/>
      <c r="H5145" s="473"/>
      <c r="I5145" s="473"/>
      <c r="J5145" s="473"/>
      <c r="K5145" s="478"/>
      <c r="L5145" s="473"/>
      <c r="M5145" s="473"/>
    </row>
    <row r="5146" spans="5:13">
      <c r="E5146" s="473"/>
      <c r="F5146" s="473"/>
      <c r="G5146" s="473"/>
      <c r="H5146" s="473"/>
      <c r="I5146" s="473"/>
      <c r="J5146" s="473"/>
      <c r="K5146" s="478"/>
      <c r="L5146" s="473"/>
      <c r="M5146" s="473"/>
    </row>
    <row r="5147" spans="5:13">
      <c r="E5147" s="473"/>
      <c r="F5147" s="473"/>
      <c r="G5147" s="473"/>
      <c r="H5147" s="473"/>
      <c r="I5147" s="473"/>
      <c r="J5147" s="473"/>
      <c r="K5147" s="478"/>
      <c r="L5147" s="473"/>
      <c r="M5147" s="473"/>
    </row>
    <row r="5148" spans="5:13">
      <c r="E5148" s="473"/>
      <c r="F5148" s="473"/>
      <c r="G5148" s="473"/>
      <c r="H5148" s="473"/>
      <c r="I5148" s="473"/>
      <c r="J5148" s="473"/>
      <c r="K5148" s="478"/>
      <c r="L5148" s="473"/>
      <c r="M5148" s="473"/>
    </row>
    <row r="5149" spans="5:13">
      <c r="E5149" s="473"/>
      <c r="F5149" s="473"/>
      <c r="G5149" s="473"/>
      <c r="H5149" s="473"/>
      <c r="I5149" s="473"/>
      <c r="J5149" s="473"/>
      <c r="K5149" s="478"/>
      <c r="L5149" s="473"/>
      <c r="M5149" s="473"/>
    </row>
    <row r="5150" spans="5:13">
      <c r="E5150" s="473"/>
      <c r="F5150" s="473"/>
      <c r="G5150" s="473"/>
      <c r="H5150" s="473"/>
      <c r="I5150" s="473"/>
      <c r="J5150" s="473"/>
      <c r="K5150" s="478"/>
      <c r="L5150" s="473"/>
      <c r="M5150" s="473"/>
    </row>
    <row r="5151" spans="5:13">
      <c r="E5151" s="473"/>
      <c r="F5151" s="473"/>
      <c r="G5151" s="473"/>
      <c r="H5151" s="473"/>
      <c r="I5151" s="473"/>
      <c r="J5151" s="473"/>
      <c r="K5151" s="478"/>
      <c r="L5151" s="473"/>
      <c r="M5151" s="473"/>
    </row>
    <row r="5152" spans="5:13">
      <c r="E5152" s="473"/>
      <c r="F5152" s="473"/>
      <c r="G5152" s="473"/>
      <c r="H5152" s="473"/>
      <c r="I5152" s="473"/>
      <c r="J5152" s="473"/>
      <c r="K5152" s="478"/>
      <c r="L5152" s="473"/>
      <c r="M5152" s="473"/>
    </row>
    <row r="5153" spans="5:13">
      <c r="E5153" s="473"/>
      <c r="F5153" s="473"/>
      <c r="G5153" s="473"/>
      <c r="H5153" s="473"/>
      <c r="I5153" s="473"/>
      <c r="J5153" s="473"/>
      <c r="K5153" s="478"/>
      <c r="L5153" s="473"/>
      <c r="M5153" s="473"/>
    </row>
    <row r="5154" spans="5:13">
      <c r="E5154" s="473"/>
      <c r="F5154" s="473"/>
      <c r="G5154" s="473"/>
      <c r="H5154" s="473"/>
      <c r="I5154" s="473"/>
      <c r="J5154" s="473"/>
      <c r="K5154" s="478"/>
      <c r="L5154" s="473"/>
      <c r="M5154" s="473"/>
    </row>
    <row r="5155" spans="5:13">
      <c r="E5155" s="473"/>
      <c r="F5155" s="473"/>
      <c r="G5155" s="473"/>
      <c r="H5155" s="473"/>
      <c r="I5155" s="473"/>
      <c r="J5155" s="473"/>
      <c r="K5155" s="478"/>
      <c r="L5155" s="473"/>
      <c r="M5155" s="473"/>
    </row>
    <row r="5156" spans="5:13">
      <c r="E5156" s="473"/>
      <c r="F5156" s="473"/>
      <c r="G5156" s="473"/>
      <c r="H5156" s="473"/>
      <c r="I5156" s="473"/>
      <c r="J5156" s="473"/>
      <c r="K5156" s="478"/>
      <c r="L5156" s="473"/>
      <c r="M5156" s="473"/>
    </row>
    <row r="5157" spans="5:13">
      <c r="E5157" s="473"/>
      <c r="F5157" s="473"/>
      <c r="G5157" s="473"/>
      <c r="H5157" s="473"/>
      <c r="I5157" s="473"/>
      <c r="J5157" s="473"/>
      <c r="K5157" s="478"/>
      <c r="L5157" s="473"/>
      <c r="M5157" s="473"/>
    </row>
    <row r="5158" spans="5:13">
      <c r="E5158" s="473"/>
      <c r="F5158" s="473"/>
      <c r="G5158" s="473"/>
      <c r="H5158" s="473"/>
      <c r="I5158" s="473"/>
      <c r="J5158" s="473"/>
      <c r="K5158" s="478"/>
      <c r="L5158" s="473"/>
      <c r="M5158" s="473"/>
    </row>
    <row r="5159" spans="5:13">
      <c r="E5159" s="473"/>
      <c r="F5159" s="473"/>
      <c r="G5159" s="473"/>
      <c r="H5159" s="473"/>
      <c r="I5159" s="473"/>
      <c r="J5159" s="473"/>
      <c r="K5159" s="478"/>
      <c r="L5159" s="473"/>
      <c r="M5159" s="473"/>
    </row>
    <row r="5160" spans="5:13">
      <c r="E5160" s="473"/>
      <c r="F5160" s="473"/>
      <c r="G5160" s="473"/>
      <c r="H5160" s="473"/>
      <c r="I5160" s="473"/>
      <c r="J5160" s="473"/>
      <c r="K5160" s="478"/>
      <c r="L5160" s="473"/>
      <c r="M5160" s="473"/>
    </row>
    <row r="5161" spans="5:13">
      <c r="E5161" s="473"/>
      <c r="F5161" s="473"/>
      <c r="G5161" s="473"/>
      <c r="H5161" s="473"/>
      <c r="I5161" s="473"/>
      <c r="J5161" s="473"/>
      <c r="K5161" s="478"/>
      <c r="L5161" s="473"/>
      <c r="M5161" s="473"/>
    </row>
    <row r="5162" spans="5:13">
      <c r="E5162" s="473"/>
      <c r="F5162" s="473"/>
      <c r="G5162" s="473"/>
      <c r="H5162" s="473"/>
      <c r="I5162" s="473"/>
      <c r="J5162" s="473"/>
      <c r="K5162" s="478"/>
      <c r="L5162" s="473"/>
      <c r="M5162" s="473"/>
    </row>
    <row r="5163" spans="5:13">
      <c r="E5163" s="473"/>
      <c r="F5163" s="473"/>
      <c r="G5163" s="473"/>
      <c r="H5163" s="473"/>
      <c r="I5163" s="473"/>
      <c r="J5163" s="473"/>
      <c r="K5163" s="478"/>
      <c r="L5163" s="473"/>
      <c r="M5163" s="473"/>
    </row>
    <row r="5164" spans="5:13">
      <c r="E5164" s="473"/>
      <c r="F5164" s="473"/>
      <c r="G5164" s="473"/>
      <c r="H5164" s="473"/>
      <c r="I5164" s="473"/>
      <c r="J5164" s="473"/>
      <c r="K5164" s="478"/>
      <c r="L5164" s="473"/>
      <c r="M5164" s="473"/>
    </row>
    <row r="5165" spans="5:13">
      <c r="E5165" s="473"/>
      <c r="F5165" s="473"/>
      <c r="G5165" s="473"/>
      <c r="H5165" s="473"/>
      <c r="I5165" s="473"/>
      <c r="J5165" s="473"/>
      <c r="K5165" s="478"/>
      <c r="L5165" s="473"/>
      <c r="M5165" s="473"/>
    </row>
    <row r="5166" spans="5:13">
      <c r="E5166" s="473"/>
      <c r="F5166" s="473"/>
      <c r="G5166" s="473"/>
      <c r="H5166" s="473"/>
      <c r="I5166" s="473"/>
      <c r="J5166" s="473"/>
      <c r="K5166" s="478"/>
      <c r="L5166" s="473"/>
      <c r="M5166" s="473"/>
    </row>
    <row r="5167" spans="5:13">
      <c r="E5167" s="473"/>
      <c r="F5167" s="473"/>
      <c r="G5167" s="473"/>
      <c r="H5167" s="473"/>
      <c r="I5167" s="473"/>
      <c r="J5167" s="473"/>
      <c r="K5167" s="478"/>
      <c r="L5167" s="473"/>
      <c r="M5167" s="473"/>
    </row>
    <row r="5168" spans="5:13">
      <c r="E5168" s="473"/>
      <c r="F5168" s="473"/>
      <c r="G5168" s="473"/>
      <c r="H5168" s="473"/>
      <c r="I5168" s="473"/>
      <c r="J5168" s="473"/>
      <c r="K5168" s="478"/>
      <c r="L5168" s="473"/>
      <c r="M5168" s="473"/>
    </row>
    <row r="5169" spans="5:13">
      <c r="E5169" s="473"/>
      <c r="F5169" s="473"/>
      <c r="G5169" s="473"/>
      <c r="H5169" s="473"/>
      <c r="I5169" s="473"/>
      <c r="J5169" s="473"/>
      <c r="K5169" s="478"/>
      <c r="L5169" s="473"/>
      <c r="M5169" s="473"/>
    </row>
    <row r="5170" spans="5:13">
      <c r="E5170" s="473"/>
      <c r="F5170" s="473"/>
      <c r="G5170" s="473"/>
      <c r="H5170" s="473"/>
      <c r="I5170" s="473"/>
      <c r="J5170" s="473"/>
      <c r="K5170" s="478"/>
      <c r="L5170" s="473"/>
      <c r="M5170" s="473"/>
    </row>
    <row r="5171" spans="5:13">
      <c r="E5171" s="473"/>
      <c r="F5171" s="473"/>
      <c r="G5171" s="473"/>
      <c r="H5171" s="473"/>
      <c r="I5171" s="473"/>
      <c r="J5171" s="473"/>
      <c r="K5171" s="478"/>
      <c r="L5171" s="473"/>
      <c r="M5171" s="473"/>
    </row>
    <row r="5172" spans="5:13">
      <c r="E5172" s="473"/>
      <c r="F5172" s="473"/>
      <c r="G5172" s="473"/>
      <c r="H5172" s="473"/>
      <c r="I5172" s="473"/>
      <c r="J5172" s="473"/>
      <c r="K5172" s="478"/>
      <c r="L5172" s="473"/>
      <c r="M5172" s="473"/>
    </row>
    <row r="5173" spans="5:13">
      <c r="E5173" s="473"/>
      <c r="F5173" s="473"/>
      <c r="G5173" s="473"/>
      <c r="H5173" s="473"/>
      <c r="I5173" s="473"/>
      <c r="J5173" s="473"/>
      <c r="K5173" s="478"/>
      <c r="L5173" s="473"/>
      <c r="M5173" s="473"/>
    </row>
    <row r="5174" spans="5:13">
      <c r="E5174" s="473"/>
      <c r="F5174" s="473"/>
      <c r="G5174" s="473"/>
      <c r="H5174" s="473"/>
      <c r="I5174" s="473"/>
      <c r="J5174" s="473"/>
      <c r="K5174" s="478"/>
      <c r="L5174" s="473"/>
      <c r="M5174" s="473"/>
    </row>
    <row r="5175" spans="5:13">
      <c r="E5175" s="473"/>
      <c r="F5175" s="473"/>
      <c r="G5175" s="473"/>
      <c r="H5175" s="473"/>
      <c r="I5175" s="473"/>
      <c r="J5175" s="473"/>
      <c r="K5175" s="478"/>
      <c r="L5175" s="473"/>
      <c r="M5175" s="473"/>
    </row>
    <row r="5176" spans="5:13">
      <c r="E5176" s="473"/>
      <c r="F5176" s="473"/>
      <c r="G5176" s="473"/>
      <c r="H5176" s="473"/>
      <c r="I5176" s="473"/>
      <c r="J5176" s="473"/>
      <c r="K5176" s="478"/>
      <c r="L5176" s="473"/>
      <c r="M5176" s="473"/>
    </row>
    <row r="5177" spans="5:13">
      <c r="E5177" s="473"/>
      <c r="F5177" s="473"/>
      <c r="G5177" s="473"/>
      <c r="H5177" s="473"/>
      <c r="I5177" s="473"/>
      <c r="J5177" s="473"/>
      <c r="K5177" s="478"/>
      <c r="L5177" s="473"/>
      <c r="M5177" s="473"/>
    </row>
    <row r="5178" spans="5:13">
      <c r="E5178" s="473"/>
      <c r="F5178" s="473"/>
      <c r="G5178" s="473"/>
      <c r="H5178" s="473"/>
      <c r="I5178" s="473"/>
      <c r="J5178" s="473"/>
      <c r="K5178" s="478"/>
      <c r="L5178" s="473"/>
      <c r="M5178" s="473"/>
    </row>
    <row r="5179" spans="5:13">
      <c r="E5179" s="473"/>
      <c r="F5179" s="473"/>
      <c r="G5179" s="473"/>
      <c r="H5179" s="473"/>
      <c r="I5179" s="473"/>
      <c r="J5179" s="473"/>
      <c r="K5179" s="478"/>
      <c r="L5179" s="473"/>
      <c r="M5179" s="473"/>
    </row>
    <row r="5180" spans="5:13">
      <c r="E5180" s="473"/>
      <c r="F5180" s="473"/>
      <c r="G5180" s="473"/>
      <c r="H5180" s="473"/>
      <c r="I5180" s="473"/>
      <c r="J5180" s="473"/>
      <c r="K5180" s="478"/>
      <c r="L5180" s="473"/>
      <c r="M5180" s="473"/>
    </row>
    <row r="5181" spans="5:13">
      <c r="E5181" s="473"/>
      <c r="F5181" s="473"/>
      <c r="G5181" s="473"/>
      <c r="H5181" s="473"/>
      <c r="I5181" s="473"/>
      <c r="J5181" s="473"/>
      <c r="K5181" s="478"/>
      <c r="L5181" s="473"/>
      <c r="M5181" s="473"/>
    </row>
    <row r="5182" spans="5:13">
      <c r="E5182" s="473"/>
      <c r="F5182" s="473"/>
      <c r="G5182" s="473"/>
      <c r="H5182" s="473"/>
      <c r="I5182" s="473"/>
      <c r="J5182" s="473"/>
      <c r="K5182" s="478"/>
      <c r="L5182" s="473"/>
      <c r="M5182" s="473"/>
    </row>
    <row r="5183" spans="5:13">
      <c r="E5183" s="473"/>
      <c r="F5183" s="473"/>
      <c r="G5183" s="473"/>
      <c r="H5183" s="473"/>
      <c r="I5183" s="473"/>
      <c r="J5183" s="473"/>
      <c r="K5183" s="478"/>
      <c r="L5183" s="473"/>
      <c r="M5183" s="473"/>
    </row>
    <row r="5184" spans="5:13">
      <c r="E5184" s="473"/>
      <c r="F5184" s="473"/>
      <c r="G5184" s="473"/>
      <c r="H5184" s="473"/>
      <c r="I5184" s="473"/>
      <c r="J5184" s="473"/>
      <c r="K5184" s="478"/>
      <c r="L5184" s="473"/>
      <c r="M5184" s="473"/>
    </row>
    <row r="5185" spans="5:13">
      <c r="E5185" s="473"/>
      <c r="F5185" s="473"/>
      <c r="G5185" s="473"/>
      <c r="H5185" s="473"/>
      <c r="I5185" s="473"/>
      <c r="J5185" s="473"/>
      <c r="K5185" s="478"/>
      <c r="L5185" s="473"/>
      <c r="M5185" s="473"/>
    </row>
    <row r="5186" spans="5:13">
      <c r="E5186" s="473"/>
      <c r="F5186" s="473"/>
      <c r="G5186" s="473"/>
      <c r="H5186" s="473"/>
      <c r="I5186" s="473"/>
      <c r="J5186" s="473"/>
      <c r="K5186" s="478"/>
      <c r="L5186" s="473"/>
      <c r="M5186" s="473"/>
    </row>
    <row r="5187" spans="5:13">
      <c r="E5187" s="473"/>
      <c r="F5187" s="473"/>
      <c r="G5187" s="473"/>
      <c r="H5187" s="473"/>
      <c r="I5187" s="473"/>
      <c r="J5187" s="473"/>
      <c r="K5187" s="478"/>
      <c r="L5187" s="473"/>
      <c r="M5187" s="473"/>
    </row>
    <row r="5188" spans="5:13">
      <c r="E5188" s="473"/>
      <c r="F5188" s="473"/>
      <c r="G5188" s="473"/>
      <c r="H5188" s="473"/>
      <c r="I5188" s="473"/>
      <c r="J5188" s="473"/>
      <c r="K5188" s="478"/>
      <c r="L5188" s="473"/>
      <c r="M5188" s="473"/>
    </row>
    <row r="5189" spans="5:13">
      <c r="E5189" s="473"/>
      <c r="F5189" s="473"/>
      <c r="G5189" s="473"/>
      <c r="H5189" s="473"/>
      <c r="I5189" s="473"/>
      <c r="J5189" s="473"/>
      <c r="K5189" s="478"/>
      <c r="L5189" s="473"/>
      <c r="M5189" s="473"/>
    </row>
    <row r="5190" spans="5:13">
      <c r="E5190" s="473"/>
      <c r="F5190" s="473"/>
      <c r="G5190" s="473"/>
      <c r="H5190" s="473"/>
      <c r="I5190" s="473"/>
      <c r="J5190" s="473"/>
      <c r="K5190" s="478"/>
      <c r="L5190" s="473"/>
      <c r="M5190" s="473"/>
    </row>
    <row r="5191" spans="5:13">
      <c r="E5191" s="473"/>
      <c r="F5191" s="473"/>
      <c r="G5191" s="473"/>
      <c r="H5191" s="473"/>
      <c r="I5191" s="473"/>
      <c r="J5191" s="473"/>
      <c r="K5191" s="478"/>
      <c r="L5191" s="473"/>
      <c r="M5191" s="473"/>
    </row>
    <row r="5192" spans="5:13">
      <c r="E5192" s="473"/>
      <c r="F5192" s="473"/>
      <c r="G5192" s="473"/>
      <c r="H5192" s="473"/>
      <c r="I5192" s="473"/>
      <c r="J5192" s="473"/>
      <c r="K5192" s="478"/>
      <c r="L5192" s="473"/>
      <c r="M5192" s="473"/>
    </row>
    <row r="5193" spans="5:13">
      <c r="E5193" s="473"/>
      <c r="F5193" s="473"/>
      <c r="G5193" s="473"/>
      <c r="H5193" s="473"/>
      <c r="I5193" s="473"/>
      <c r="J5193" s="473"/>
      <c r="K5193" s="478"/>
      <c r="L5193" s="473"/>
      <c r="M5193" s="473"/>
    </row>
    <row r="5194" spans="5:13">
      <c r="E5194" s="473"/>
      <c r="F5194" s="473"/>
      <c r="G5194" s="473"/>
      <c r="H5194" s="473"/>
      <c r="I5194" s="473"/>
      <c r="J5194" s="473"/>
      <c r="K5194" s="478"/>
      <c r="L5194" s="473"/>
      <c r="M5194" s="473"/>
    </row>
    <row r="5195" spans="5:13">
      <c r="E5195" s="473"/>
      <c r="F5195" s="473"/>
      <c r="G5195" s="473"/>
      <c r="H5195" s="473"/>
      <c r="I5195" s="473"/>
      <c r="J5195" s="473"/>
      <c r="K5195" s="478"/>
      <c r="L5195" s="473"/>
      <c r="M5195" s="473"/>
    </row>
    <row r="5196" spans="5:13">
      <c r="E5196" s="473"/>
      <c r="F5196" s="473"/>
      <c r="G5196" s="473"/>
      <c r="H5196" s="473"/>
      <c r="I5196" s="473"/>
      <c r="J5196" s="473"/>
      <c r="K5196" s="478"/>
      <c r="L5196" s="473"/>
      <c r="M5196" s="473"/>
    </row>
    <row r="5197" spans="5:13">
      <c r="E5197" s="473"/>
      <c r="F5197" s="473"/>
      <c r="G5197" s="473"/>
      <c r="H5197" s="473"/>
      <c r="I5197" s="473"/>
      <c r="J5197" s="473"/>
      <c r="K5197" s="478"/>
      <c r="L5197" s="473"/>
      <c r="M5197" s="473"/>
    </row>
    <row r="5198" spans="5:13">
      <c r="E5198" s="473"/>
      <c r="F5198" s="473"/>
      <c r="G5198" s="473"/>
      <c r="H5198" s="473"/>
      <c r="I5198" s="473"/>
      <c r="J5198" s="473"/>
      <c r="K5198" s="478"/>
      <c r="L5198" s="473"/>
      <c r="M5198" s="473"/>
    </row>
    <row r="5199" spans="5:13">
      <c r="E5199" s="473"/>
      <c r="F5199" s="473"/>
      <c r="G5199" s="473"/>
      <c r="H5199" s="473"/>
      <c r="I5199" s="473"/>
      <c r="J5199" s="473"/>
      <c r="K5199" s="478"/>
      <c r="L5199" s="473"/>
      <c r="M5199" s="473"/>
    </row>
    <row r="5200" spans="5:13">
      <c r="E5200" s="473"/>
      <c r="F5200" s="473"/>
      <c r="G5200" s="473"/>
      <c r="H5200" s="473"/>
      <c r="I5200" s="473"/>
      <c r="J5200" s="473"/>
      <c r="K5200" s="478"/>
      <c r="L5200" s="473"/>
      <c r="M5200" s="473"/>
    </row>
    <row r="5201" spans="5:13">
      <c r="E5201" s="473"/>
      <c r="F5201" s="473"/>
      <c r="G5201" s="473"/>
      <c r="H5201" s="473"/>
      <c r="I5201" s="473"/>
      <c r="J5201" s="473"/>
      <c r="K5201" s="478"/>
      <c r="L5201" s="473"/>
      <c r="M5201" s="473"/>
    </row>
    <row r="5202" spans="5:13">
      <c r="E5202" s="473"/>
      <c r="F5202" s="473"/>
      <c r="G5202" s="473"/>
      <c r="H5202" s="473"/>
      <c r="I5202" s="473"/>
      <c r="J5202" s="473"/>
      <c r="K5202" s="478"/>
      <c r="L5202" s="473"/>
      <c r="M5202" s="473"/>
    </row>
    <row r="5203" spans="5:13">
      <c r="E5203" s="473"/>
      <c r="F5203" s="473"/>
      <c r="G5203" s="473"/>
      <c r="H5203" s="473"/>
      <c r="I5203" s="473"/>
      <c r="J5203" s="473"/>
      <c r="K5203" s="478"/>
      <c r="L5203" s="473"/>
      <c r="M5203" s="473"/>
    </row>
    <row r="5204" spans="5:13">
      <c r="E5204" s="473"/>
      <c r="F5204" s="473"/>
      <c r="G5204" s="473"/>
      <c r="H5204" s="473"/>
      <c r="I5204" s="473"/>
      <c r="J5204" s="473"/>
      <c r="K5204" s="478"/>
      <c r="L5204" s="473"/>
      <c r="M5204" s="473"/>
    </row>
    <row r="5205" spans="5:13">
      <c r="E5205" s="473"/>
      <c r="F5205" s="473"/>
      <c r="G5205" s="473"/>
      <c r="H5205" s="473"/>
      <c r="I5205" s="473"/>
      <c r="J5205" s="473"/>
      <c r="K5205" s="478"/>
      <c r="L5205" s="473"/>
      <c r="M5205" s="473"/>
    </row>
    <row r="5206" spans="5:13">
      <c r="E5206" s="473"/>
      <c r="F5206" s="473"/>
      <c r="G5206" s="473"/>
      <c r="H5206" s="473"/>
      <c r="I5206" s="473"/>
      <c r="J5206" s="473"/>
      <c r="K5206" s="478"/>
      <c r="L5206" s="473"/>
      <c r="M5206" s="473"/>
    </row>
    <row r="5207" spans="5:13">
      <c r="E5207" s="473"/>
      <c r="F5207" s="473"/>
      <c r="G5207" s="473"/>
      <c r="H5207" s="473"/>
      <c r="I5207" s="473"/>
      <c r="J5207" s="473"/>
      <c r="K5207" s="478"/>
      <c r="L5207" s="473"/>
      <c r="M5207" s="473"/>
    </row>
    <row r="5208" spans="5:13">
      <c r="E5208" s="473"/>
      <c r="F5208" s="473"/>
      <c r="G5208" s="473"/>
      <c r="H5208" s="473"/>
      <c r="I5208" s="473"/>
      <c r="J5208" s="473"/>
      <c r="K5208" s="478"/>
      <c r="L5208" s="473"/>
      <c r="M5208" s="473"/>
    </row>
    <row r="5209" spans="5:13">
      <c r="E5209" s="473"/>
      <c r="F5209" s="473"/>
      <c r="G5209" s="473"/>
      <c r="H5209" s="473"/>
      <c r="I5209" s="473"/>
      <c r="J5209" s="473"/>
      <c r="K5209" s="478"/>
      <c r="L5209" s="473"/>
      <c r="M5209" s="473"/>
    </row>
    <row r="5210" spans="5:13">
      <c r="E5210" s="473"/>
      <c r="F5210" s="473"/>
      <c r="G5210" s="473"/>
      <c r="H5210" s="473"/>
      <c r="I5210" s="473"/>
      <c r="J5210" s="473"/>
      <c r="K5210" s="478"/>
      <c r="L5210" s="473"/>
      <c r="M5210" s="473"/>
    </row>
    <row r="5211" spans="5:13">
      <c r="E5211" s="473"/>
      <c r="F5211" s="473"/>
      <c r="G5211" s="473"/>
      <c r="H5211" s="473"/>
      <c r="I5211" s="473"/>
      <c r="J5211" s="473"/>
      <c r="K5211" s="478"/>
      <c r="L5211" s="473"/>
      <c r="M5211" s="473"/>
    </row>
    <row r="5212" spans="5:13">
      <c r="E5212" s="473"/>
      <c r="F5212" s="473"/>
      <c r="G5212" s="473"/>
      <c r="H5212" s="473"/>
      <c r="I5212" s="473"/>
      <c r="J5212" s="473"/>
      <c r="K5212" s="478"/>
      <c r="L5212" s="473"/>
      <c r="M5212" s="473"/>
    </row>
    <row r="5213" spans="5:13">
      <c r="E5213" s="473"/>
      <c r="F5213" s="473"/>
      <c r="G5213" s="473"/>
      <c r="H5213" s="473"/>
      <c r="I5213" s="473"/>
      <c r="J5213" s="473"/>
      <c r="K5213" s="478"/>
      <c r="L5213" s="473"/>
      <c r="M5213" s="473"/>
    </row>
    <row r="5214" spans="5:13">
      <c r="E5214" s="473"/>
      <c r="F5214" s="473"/>
      <c r="G5214" s="473"/>
      <c r="H5214" s="473"/>
      <c r="I5214" s="473"/>
      <c r="J5214" s="473"/>
      <c r="K5214" s="478"/>
      <c r="L5214" s="473"/>
      <c r="M5214" s="473"/>
    </row>
    <row r="5215" spans="5:13">
      <c r="E5215" s="473"/>
      <c r="F5215" s="473"/>
      <c r="G5215" s="473"/>
      <c r="H5215" s="473"/>
      <c r="I5215" s="473"/>
      <c r="J5215" s="473"/>
      <c r="K5215" s="478"/>
      <c r="L5215" s="473"/>
      <c r="M5215" s="473"/>
    </row>
    <row r="5216" spans="5:13">
      <c r="E5216" s="473"/>
      <c r="F5216" s="473"/>
      <c r="G5216" s="473"/>
      <c r="H5216" s="473"/>
      <c r="I5216" s="473"/>
      <c r="J5216" s="473"/>
      <c r="K5216" s="478"/>
      <c r="L5216" s="473"/>
      <c r="M5216" s="473"/>
    </row>
    <row r="5217" spans="5:13">
      <c r="E5217" s="473"/>
      <c r="F5217" s="473"/>
      <c r="G5217" s="473"/>
      <c r="H5217" s="473"/>
      <c r="I5217" s="473"/>
      <c r="J5217" s="473"/>
      <c r="K5217" s="478"/>
      <c r="L5217" s="473"/>
      <c r="M5217" s="473"/>
    </row>
    <row r="5218" spans="5:13">
      <c r="E5218" s="473"/>
      <c r="F5218" s="473"/>
      <c r="G5218" s="473"/>
      <c r="H5218" s="473"/>
      <c r="I5218" s="473"/>
      <c r="J5218" s="473"/>
      <c r="K5218" s="478"/>
      <c r="L5218" s="473"/>
      <c r="M5218" s="473"/>
    </row>
    <row r="5219" spans="5:13">
      <c r="E5219" s="473"/>
      <c r="F5219" s="473"/>
      <c r="G5219" s="473"/>
      <c r="H5219" s="473"/>
      <c r="I5219" s="473"/>
      <c r="J5219" s="473"/>
      <c r="K5219" s="478"/>
      <c r="L5219" s="473"/>
      <c r="M5219" s="473"/>
    </row>
    <row r="5220" spans="5:13">
      <c r="E5220" s="473"/>
      <c r="F5220" s="473"/>
      <c r="G5220" s="473"/>
      <c r="H5220" s="473"/>
      <c r="I5220" s="473"/>
      <c r="J5220" s="473"/>
      <c r="K5220" s="478"/>
      <c r="L5220" s="473"/>
      <c r="M5220" s="473"/>
    </row>
    <row r="5221" spans="5:13">
      <c r="E5221" s="473"/>
      <c r="F5221" s="473"/>
      <c r="G5221" s="473"/>
      <c r="H5221" s="473"/>
      <c r="I5221" s="473"/>
      <c r="J5221" s="473"/>
      <c r="K5221" s="478"/>
      <c r="L5221" s="473"/>
      <c r="M5221" s="473"/>
    </row>
    <row r="5222" spans="5:13">
      <c r="E5222" s="473"/>
      <c r="F5222" s="473"/>
      <c r="G5222" s="473"/>
      <c r="H5222" s="473"/>
      <c r="I5222" s="473"/>
      <c r="J5222" s="473"/>
      <c r="K5222" s="478"/>
      <c r="L5222" s="473"/>
      <c r="M5222" s="473"/>
    </row>
    <row r="5223" spans="5:13">
      <c r="E5223" s="473"/>
      <c r="F5223" s="473"/>
      <c r="G5223" s="473"/>
      <c r="H5223" s="473"/>
      <c r="I5223" s="473"/>
      <c r="J5223" s="473"/>
      <c r="K5223" s="478"/>
      <c r="L5223" s="473"/>
      <c r="M5223" s="473"/>
    </row>
    <row r="5224" spans="5:13">
      <c r="E5224" s="473"/>
      <c r="F5224" s="473"/>
      <c r="G5224" s="473"/>
      <c r="H5224" s="473"/>
      <c r="I5224" s="473"/>
      <c r="J5224" s="473"/>
      <c r="K5224" s="478"/>
      <c r="L5224" s="473"/>
      <c r="M5224" s="473"/>
    </row>
    <row r="5225" spans="5:13">
      <c r="E5225" s="473"/>
      <c r="F5225" s="473"/>
      <c r="G5225" s="473"/>
      <c r="H5225" s="473"/>
      <c r="I5225" s="473"/>
      <c r="J5225" s="473"/>
      <c r="K5225" s="478"/>
      <c r="L5225" s="473"/>
      <c r="M5225" s="473"/>
    </row>
    <row r="5226" spans="5:13">
      <c r="E5226" s="473"/>
      <c r="F5226" s="473"/>
      <c r="G5226" s="473"/>
      <c r="H5226" s="473"/>
      <c r="I5226" s="473"/>
      <c r="J5226" s="473"/>
      <c r="K5226" s="478"/>
      <c r="L5226" s="473"/>
      <c r="M5226" s="473"/>
    </row>
    <row r="5227" spans="5:13">
      <c r="E5227" s="473"/>
      <c r="F5227" s="473"/>
      <c r="G5227" s="473"/>
      <c r="H5227" s="473"/>
      <c r="I5227" s="473"/>
      <c r="J5227" s="473"/>
      <c r="K5227" s="478"/>
      <c r="L5227" s="473"/>
      <c r="M5227" s="473"/>
    </row>
    <row r="5228" spans="5:13">
      <c r="E5228" s="473"/>
      <c r="F5228" s="473"/>
      <c r="G5228" s="473"/>
      <c r="H5228" s="473"/>
      <c r="I5228" s="473"/>
      <c r="J5228" s="473"/>
      <c r="K5228" s="478"/>
      <c r="L5228" s="473"/>
      <c r="M5228" s="473"/>
    </row>
    <row r="5229" spans="5:13">
      <c r="E5229" s="473"/>
      <c r="F5229" s="473"/>
      <c r="G5229" s="473"/>
      <c r="H5229" s="473"/>
      <c r="I5229" s="473"/>
      <c r="J5229" s="473"/>
      <c r="K5229" s="478"/>
      <c r="L5229" s="473"/>
      <c r="M5229" s="473"/>
    </row>
    <row r="5230" spans="5:13">
      <c r="E5230" s="473"/>
      <c r="F5230" s="473"/>
      <c r="G5230" s="473"/>
      <c r="H5230" s="473"/>
      <c r="I5230" s="473"/>
      <c r="J5230" s="473"/>
      <c r="K5230" s="478"/>
      <c r="L5230" s="473"/>
      <c r="M5230" s="473"/>
    </row>
    <row r="5231" spans="5:13">
      <c r="E5231" s="473"/>
      <c r="F5231" s="473"/>
      <c r="G5231" s="473"/>
      <c r="H5231" s="473"/>
      <c r="I5231" s="473"/>
      <c r="J5231" s="473"/>
      <c r="K5231" s="478"/>
      <c r="L5231" s="473"/>
      <c r="M5231" s="473"/>
    </row>
    <row r="5232" spans="5:13">
      <c r="E5232" s="473"/>
      <c r="F5232" s="473"/>
      <c r="G5232" s="473"/>
      <c r="H5232" s="473"/>
      <c r="I5232" s="473"/>
      <c r="J5232" s="473"/>
      <c r="K5232" s="478"/>
      <c r="L5232" s="473"/>
      <c r="M5232" s="473"/>
    </row>
    <row r="5233" spans="5:13">
      <c r="E5233" s="473"/>
      <c r="F5233" s="473"/>
      <c r="G5233" s="473"/>
      <c r="H5233" s="473"/>
      <c r="I5233" s="473"/>
      <c r="J5233" s="473"/>
      <c r="K5233" s="478"/>
      <c r="L5233" s="473"/>
      <c r="M5233" s="473"/>
    </row>
    <row r="5234" spans="5:13">
      <c r="E5234" s="473"/>
      <c r="F5234" s="473"/>
      <c r="G5234" s="473"/>
      <c r="H5234" s="473"/>
      <c r="I5234" s="473"/>
      <c r="J5234" s="473"/>
      <c r="K5234" s="478"/>
      <c r="L5234" s="473"/>
      <c r="M5234" s="473"/>
    </row>
    <row r="5235" spans="5:13">
      <c r="E5235" s="473"/>
      <c r="F5235" s="473"/>
      <c r="G5235" s="473"/>
      <c r="H5235" s="473"/>
      <c r="I5235" s="473"/>
      <c r="J5235" s="473"/>
      <c r="K5235" s="478"/>
      <c r="L5235" s="473"/>
      <c r="M5235" s="473"/>
    </row>
    <row r="5236" spans="5:13">
      <c r="E5236" s="473"/>
      <c r="F5236" s="473"/>
      <c r="G5236" s="473"/>
      <c r="H5236" s="473"/>
      <c r="I5236" s="473"/>
      <c r="J5236" s="473"/>
      <c r="K5236" s="478"/>
      <c r="L5236" s="473"/>
      <c r="M5236" s="473"/>
    </row>
    <row r="5237" spans="5:13">
      <c r="E5237" s="473"/>
      <c r="F5237" s="473"/>
      <c r="G5237" s="473"/>
      <c r="H5237" s="473"/>
      <c r="I5237" s="473"/>
      <c r="J5237" s="473"/>
      <c r="K5237" s="478"/>
      <c r="L5237" s="473"/>
      <c r="M5237" s="473"/>
    </row>
    <row r="5238" spans="5:13">
      <c r="E5238" s="473"/>
      <c r="F5238" s="473"/>
      <c r="G5238" s="473"/>
      <c r="H5238" s="473"/>
      <c r="I5238" s="473"/>
      <c r="J5238" s="473"/>
      <c r="K5238" s="478"/>
      <c r="L5238" s="473"/>
      <c r="M5238" s="473"/>
    </row>
    <row r="5239" spans="5:13">
      <c r="E5239" s="473"/>
      <c r="F5239" s="473"/>
      <c r="G5239" s="473"/>
      <c r="H5239" s="473"/>
      <c r="I5239" s="473"/>
      <c r="J5239" s="473"/>
      <c r="K5239" s="478"/>
      <c r="L5239" s="473"/>
      <c r="M5239" s="473"/>
    </row>
    <row r="5240" spans="5:13">
      <c r="E5240" s="473"/>
      <c r="F5240" s="473"/>
      <c r="G5240" s="473"/>
      <c r="H5240" s="473"/>
      <c r="I5240" s="473"/>
      <c r="J5240" s="473"/>
      <c r="K5240" s="478"/>
      <c r="L5240" s="473"/>
      <c r="M5240" s="473"/>
    </row>
    <row r="5241" spans="5:13">
      <c r="E5241" s="473"/>
      <c r="F5241" s="473"/>
      <c r="G5241" s="473"/>
      <c r="H5241" s="473"/>
      <c r="I5241" s="473"/>
      <c r="J5241" s="473"/>
      <c r="K5241" s="478"/>
      <c r="L5241" s="473"/>
      <c r="M5241" s="473"/>
    </row>
    <row r="5242" spans="5:13">
      <c r="E5242" s="473"/>
      <c r="F5242" s="473"/>
      <c r="G5242" s="473"/>
      <c r="H5242" s="473"/>
      <c r="I5242" s="473"/>
      <c r="J5242" s="473"/>
      <c r="K5242" s="478"/>
      <c r="L5242" s="473"/>
      <c r="M5242" s="473"/>
    </row>
    <row r="5243" spans="5:13">
      <c r="E5243" s="473"/>
      <c r="F5243" s="473"/>
      <c r="G5243" s="473"/>
      <c r="H5243" s="473"/>
      <c r="I5243" s="473"/>
      <c r="J5243" s="473"/>
      <c r="K5243" s="478"/>
      <c r="L5243" s="473"/>
      <c r="M5243" s="473"/>
    </row>
    <row r="5244" spans="5:13">
      <c r="E5244" s="473"/>
      <c r="F5244" s="473"/>
      <c r="G5244" s="473"/>
      <c r="H5244" s="473"/>
      <c r="I5244" s="473"/>
      <c r="J5244" s="473"/>
      <c r="K5244" s="478"/>
      <c r="L5244" s="473"/>
      <c r="M5244" s="473"/>
    </row>
    <row r="5245" spans="5:13">
      <c r="E5245" s="473"/>
      <c r="F5245" s="473"/>
      <c r="G5245" s="473"/>
      <c r="H5245" s="473"/>
      <c r="I5245" s="473"/>
      <c r="J5245" s="473"/>
      <c r="K5245" s="478"/>
      <c r="L5245" s="473"/>
      <c r="M5245" s="473"/>
    </row>
    <row r="5246" spans="5:13">
      <c r="E5246" s="473"/>
      <c r="F5246" s="473"/>
      <c r="G5246" s="473"/>
      <c r="H5246" s="473"/>
      <c r="I5246" s="473"/>
      <c r="J5246" s="473"/>
      <c r="K5246" s="478"/>
      <c r="L5246" s="473"/>
      <c r="M5246" s="473"/>
    </row>
    <row r="5247" spans="5:13">
      <c r="E5247" s="473"/>
      <c r="F5247" s="473"/>
      <c r="G5247" s="473"/>
      <c r="H5247" s="473"/>
      <c r="I5247" s="473"/>
      <c r="J5247" s="473"/>
      <c r="K5247" s="478"/>
      <c r="L5247" s="473"/>
      <c r="M5247" s="473"/>
    </row>
    <row r="5248" spans="5:13">
      <c r="E5248" s="473"/>
      <c r="F5248" s="473"/>
      <c r="G5248" s="473"/>
      <c r="H5248" s="473"/>
      <c r="I5248" s="473"/>
      <c r="J5248" s="473"/>
      <c r="K5248" s="478"/>
      <c r="L5248" s="473"/>
      <c r="M5248" s="473"/>
    </row>
    <row r="5249" spans="5:13">
      <c r="E5249" s="473"/>
      <c r="F5249" s="473"/>
      <c r="G5249" s="473"/>
      <c r="H5249" s="473"/>
      <c r="I5249" s="473"/>
      <c r="J5249" s="473"/>
      <c r="K5249" s="478"/>
      <c r="L5249" s="473"/>
      <c r="M5249" s="473"/>
    </row>
    <row r="5250" spans="5:13">
      <c r="E5250" s="473"/>
      <c r="F5250" s="473"/>
      <c r="G5250" s="473"/>
      <c r="H5250" s="473"/>
      <c r="I5250" s="473"/>
      <c r="J5250" s="473"/>
      <c r="K5250" s="478"/>
      <c r="L5250" s="473"/>
      <c r="M5250" s="473"/>
    </row>
    <row r="5251" spans="5:13">
      <c r="E5251" s="473"/>
      <c r="F5251" s="473"/>
      <c r="G5251" s="473"/>
      <c r="H5251" s="473"/>
      <c r="I5251" s="473"/>
      <c r="J5251" s="473"/>
      <c r="K5251" s="478"/>
      <c r="L5251" s="473"/>
      <c r="M5251" s="473"/>
    </row>
    <row r="5252" spans="5:13">
      <c r="E5252" s="473"/>
      <c r="F5252" s="473"/>
      <c r="G5252" s="473"/>
      <c r="H5252" s="473"/>
      <c r="I5252" s="473"/>
      <c r="J5252" s="473"/>
      <c r="K5252" s="478"/>
      <c r="L5252" s="473"/>
      <c r="M5252" s="473"/>
    </row>
    <row r="5253" spans="5:13">
      <c r="E5253" s="473"/>
      <c r="F5253" s="473"/>
      <c r="G5253" s="473"/>
      <c r="H5253" s="473"/>
      <c r="I5253" s="473"/>
      <c r="J5253" s="473"/>
      <c r="K5253" s="478"/>
      <c r="L5253" s="473"/>
      <c r="M5253" s="473"/>
    </row>
    <row r="5254" spans="5:13">
      <c r="E5254" s="473"/>
      <c r="F5254" s="473"/>
      <c r="G5254" s="473"/>
      <c r="H5254" s="473"/>
      <c r="I5254" s="473"/>
      <c r="J5254" s="473"/>
      <c r="K5254" s="478"/>
      <c r="L5254" s="473"/>
      <c r="M5254" s="473"/>
    </row>
    <row r="5255" spans="5:13">
      <c r="E5255" s="473"/>
      <c r="F5255" s="473"/>
      <c r="G5255" s="473"/>
      <c r="H5255" s="473"/>
      <c r="I5255" s="473"/>
      <c r="J5255" s="473"/>
      <c r="K5255" s="478"/>
      <c r="L5255" s="473"/>
      <c r="M5255" s="473"/>
    </row>
    <row r="5256" spans="5:13">
      <c r="E5256" s="473"/>
      <c r="F5256" s="473"/>
      <c r="G5256" s="473"/>
      <c r="H5256" s="473"/>
      <c r="I5256" s="473"/>
      <c r="J5256" s="473"/>
      <c r="K5256" s="478"/>
      <c r="L5256" s="473"/>
      <c r="M5256" s="473"/>
    </row>
    <row r="5257" spans="5:13">
      <c r="E5257" s="473"/>
      <c r="F5257" s="473"/>
      <c r="G5257" s="473"/>
      <c r="H5257" s="473"/>
      <c r="I5257" s="473"/>
      <c r="J5257" s="473"/>
      <c r="K5257" s="478"/>
      <c r="L5257" s="473"/>
      <c r="M5257" s="473"/>
    </row>
    <row r="5258" spans="5:13">
      <c r="E5258" s="473"/>
      <c r="F5258" s="473"/>
      <c r="G5258" s="473"/>
      <c r="H5258" s="473"/>
      <c r="I5258" s="473"/>
      <c r="J5258" s="473"/>
      <c r="K5258" s="478"/>
      <c r="L5258" s="473"/>
      <c r="M5258" s="473"/>
    </row>
    <row r="5259" spans="5:13">
      <c r="E5259" s="473"/>
      <c r="F5259" s="473"/>
      <c r="G5259" s="473"/>
      <c r="H5259" s="473"/>
      <c r="I5259" s="473"/>
      <c r="J5259" s="473"/>
      <c r="K5259" s="478"/>
      <c r="L5259" s="473"/>
      <c r="M5259" s="473"/>
    </row>
    <row r="5260" spans="5:13">
      <c r="E5260" s="473"/>
      <c r="F5260" s="473"/>
      <c r="G5260" s="473"/>
      <c r="H5260" s="473"/>
      <c r="I5260" s="473"/>
      <c r="J5260" s="473"/>
      <c r="K5260" s="478"/>
      <c r="L5260" s="473"/>
      <c r="M5260" s="473"/>
    </row>
    <row r="5261" spans="5:13">
      <c r="E5261" s="473"/>
      <c r="F5261" s="473"/>
      <c r="G5261" s="473"/>
      <c r="H5261" s="473"/>
      <c r="I5261" s="473"/>
      <c r="J5261" s="473"/>
      <c r="K5261" s="478"/>
      <c r="L5261" s="473"/>
      <c r="M5261" s="473"/>
    </row>
    <row r="5262" spans="5:13">
      <c r="E5262" s="473"/>
      <c r="F5262" s="473"/>
      <c r="G5262" s="473"/>
      <c r="H5262" s="473"/>
      <c r="I5262" s="473"/>
      <c r="J5262" s="473"/>
      <c r="K5262" s="478"/>
      <c r="L5262" s="473"/>
      <c r="M5262" s="473"/>
    </row>
    <row r="5263" spans="5:13">
      <c r="E5263" s="473"/>
      <c r="F5263" s="473"/>
      <c r="G5263" s="473"/>
      <c r="H5263" s="473"/>
      <c r="I5263" s="473"/>
      <c r="J5263" s="473"/>
      <c r="K5263" s="478"/>
      <c r="L5263" s="473"/>
      <c r="M5263" s="473"/>
    </row>
    <row r="5264" spans="5:13">
      <c r="E5264" s="473"/>
      <c r="F5264" s="473"/>
      <c r="G5264" s="473"/>
      <c r="H5264" s="473"/>
      <c r="I5264" s="473"/>
      <c r="J5264" s="473"/>
      <c r="K5264" s="478"/>
      <c r="L5264" s="473"/>
      <c r="M5264" s="473"/>
    </row>
    <row r="5265" spans="5:13">
      <c r="E5265" s="473"/>
      <c r="F5265" s="473"/>
      <c r="G5265" s="473"/>
      <c r="H5265" s="473"/>
      <c r="I5265" s="473"/>
      <c r="J5265" s="473"/>
      <c r="K5265" s="478"/>
      <c r="L5265" s="473"/>
      <c r="M5265" s="473"/>
    </row>
    <row r="5266" spans="5:13">
      <c r="E5266" s="473"/>
      <c r="F5266" s="473"/>
      <c r="G5266" s="473"/>
      <c r="H5266" s="473"/>
      <c r="I5266" s="473"/>
      <c r="J5266" s="473"/>
      <c r="K5266" s="478"/>
      <c r="L5266" s="473"/>
      <c r="M5266" s="473"/>
    </row>
    <row r="5267" spans="5:13">
      <c r="E5267" s="473"/>
      <c r="F5267" s="473"/>
      <c r="G5267" s="473"/>
      <c r="H5267" s="473"/>
      <c r="I5267" s="473"/>
      <c r="J5267" s="473"/>
      <c r="K5267" s="478"/>
      <c r="L5267" s="473"/>
      <c r="M5267" s="473"/>
    </row>
    <row r="5268" spans="5:13">
      <c r="E5268" s="473"/>
      <c r="F5268" s="473"/>
      <c r="G5268" s="473"/>
      <c r="H5268" s="473"/>
      <c r="I5268" s="473"/>
      <c r="J5268" s="473"/>
      <c r="K5268" s="478"/>
      <c r="L5268" s="473"/>
      <c r="M5268" s="473"/>
    </row>
    <row r="5269" spans="5:13">
      <c r="E5269" s="473"/>
      <c r="F5269" s="473"/>
      <c r="G5269" s="473"/>
      <c r="H5269" s="473"/>
      <c r="I5269" s="473"/>
      <c r="J5269" s="473"/>
      <c r="K5269" s="478"/>
      <c r="L5269" s="473"/>
      <c r="M5269" s="473"/>
    </row>
    <row r="5270" spans="5:13">
      <c r="E5270" s="473"/>
      <c r="F5270" s="473"/>
      <c r="G5270" s="473"/>
      <c r="H5270" s="473"/>
      <c r="I5270" s="473"/>
      <c r="J5270" s="473"/>
      <c r="K5270" s="478"/>
      <c r="L5270" s="473"/>
      <c r="M5270" s="473"/>
    </row>
    <row r="5271" spans="5:13">
      <c r="E5271" s="473"/>
      <c r="F5271" s="473"/>
      <c r="G5271" s="473"/>
      <c r="H5271" s="473"/>
      <c r="I5271" s="473"/>
      <c r="J5271" s="473"/>
      <c r="K5271" s="478"/>
      <c r="L5271" s="473"/>
      <c r="M5271" s="473"/>
    </row>
    <row r="5272" spans="5:13">
      <c r="E5272" s="473"/>
      <c r="F5272" s="473"/>
      <c r="G5272" s="473"/>
      <c r="H5272" s="473"/>
      <c r="I5272" s="473"/>
      <c r="J5272" s="473"/>
      <c r="K5272" s="478"/>
      <c r="L5272" s="473"/>
      <c r="M5272" s="473"/>
    </row>
    <row r="5273" spans="5:13">
      <c r="E5273" s="473"/>
      <c r="F5273" s="473"/>
      <c r="G5273" s="473"/>
      <c r="H5273" s="473"/>
      <c r="I5273" s="473"/>
      <c r="J5273" s="473"/>
      <c r="K5273" s="478"/>
      <c r="L5273" s="473"/>
      <c r="M5273" s="473"/>
    </row>
    <row r="5274" spans="5:13">
      <c r="E5274" s="473"/>
      <c r="F5274" s="473"/>
      <c r="G5274" s="473"/>
      <c r="H5274" s="473"/>
      <c r="I5274" s="473"/>
      <c r="J5274" s="473"/>
      <c r="K5274" s="478"/>
      <c r="L5274" s="473"/>
      <c r="M5274" s="473"/>
    </row>
    <row r="5275" spans="5:13">
      <c r="E5275" s="473"/>
      <c r="F5275" s="473"/>
      <c r="G5275" s="473"/>
      <c r="H5275" s="473"/>
      <c r="I5275" s="473"/>
      <c r="J5275" s="473"/>
      <c r="K5275" s="478"/>
      <c r="L5275" s="473"/>
      <c r="M5275" s="473"/>
    </row>
    <row r="5276" spans="5:13">
      <c r="E5276" s="473"/>
      <c r="F5276" s="473"/>
      <c r="G5276" s="473"/>
      <c r="H5276" s="473"/>
      <c r="I5276" s="473"/>
      <c r="J5276" s="473"/>
      <c r="K5276" s="478"/>
      <c r="L5276" s="473"/>
      <c r="M5276" s="473"/>
    </row>
    <row r="5277" spans="5:13">
      <c r="E5277" s="473"/>
      <c r="F5277" s="473"/>
      <c r="G5277" s="473"/>
      <c r="H5277" s="473"/>
      <c r="I5277" s="473"/>
      <c r="J5277" s="473"/>
      <c r="K5277" s="478"/>
      <c r="L5277" s="473"/>
      <c r="M5277" s="473"/>
    </row>
    <row r="5278" spans="5:13">
      <c r="E5278" s="473"/>
      <c r="F5278" s="473"/>
      <c r="G5278" s="473"/>
      <c r="H5278" s="473"/>
      <c r="I5278" s="473"/>
      <c r="J5278" s="473"/>
      <c r="K5278" s="478"/>
      <c r="L5278" s="473"/>
      <c r="M5278" s="473"/>
    </row>
    <row r="5279" spans="5:13">
      <c r="E5279" s="473"/>
      <c r="F5279" s="473"/>
      <c r="G5279" s="473"/>
      <c r="H5279" s="473"/>
      <c r="I5279" s="473"/>
      <c r="J5279" s="473"/>
      <c r="K5279" s="478"/>
      <c r="L5279" s="473"/>
      <c r="M5279" s="473"/>
    </row>
    <row r="5280" spans="5:13">
      <c r="E5280" s="473"/>
      <c r="F5280" s="473"/>
      <c r="G5280" s="473"/>
      <c r="H5280" s="473"/>
      <c r="I5280" s="473"/>
      <c r="J5280" s="473"/>
      <c r="K5280" s="478"/>
      <c r="L5280" s="473"/>
      <c r="M5280" s="473"/>
    </row>
    <row r="5281" spans="5:13">
      <c r="E5281" s="473"/>
      <c r="F5281" s="473"/>
      <c r="G5281" s="473"/>
      <c r="H5281" s="473"/>
      <c r="I5281" s="473"/>
      <c r="J5281" s="473"/>
      <c r="K5281" s="478"/>
      <c r="L5281" s="473"/>
      <c r="M5281" s="473"/>
    </row>
    <row r="5282" spans="5:13">
      <c r="E5282" s="473"/>
      <c r="F5282" s="473"/>
      <c r="G5282" s="473"/>
      <c r="H5282" s="473"/>
      <c r="I5282" s="473"/>
      <c r="J5282" s="473"/>
      <c r="K5282" s="478"/>
      <c r="L5282" s="473"/>
      <c r="M5282" s="473"/>
    </row>
    <row r="5283" spans="5:13">
      <c r="E5283" s="473"/>
      <c r="F5283" s="473"/>
      <c r="G5283" s="473"/>
      <c r="H5283" s="473"/>
      <c r="I5283" s="473"/>
      <c r="J5283" s="473"/>
      <c r="K5283" s="478"/>
      <c r="L5283" s="473"/>
      <c r="M5283" s="473"/>
    </row>
    <row r="5284" spans="5:13">
      <c r="E5284" s="473"/>
      <c r="F5284" s="473"/>
      <c r="G5284" s="473"/>
      <c r="H5284" s="473"/>
      <c r="I5284" s="473"/>
      <c r="J5284" s="473"/>
      <c r="K5284" s="478"/>
      <c r="L5284" s="473"/>
      <c r="M5284" s="473"/>
    </row>
    <row r="5285" spans="5:13">
      <c r="E5285" s="473"/>
      <c r="F5285" s="473"/>
      <c r="G5285" s="473"/>
      <c r="H5285" s="473"/>
      <c r="I5285" s="473"/>
      <c r="J5285" s="473"/>
      <c r="K5285" s="478"/>
      <c r="L5285" s="473"/>
      <c r="M5285" s="473"/>
    </row>
    <row r="5286" spans="5:13">
      <c r="E5286" s="473"/>
      <c r="F5286" s="473"/>
      <c r="G5286" s="473"/>
      <c r="H5286" s="473"/>
      <c r="I5286" s="473"/>
      <c r="J5286" s="473"/>
      <c r="K5286" s="478"/>
      <c r="L5286" s="473"/>
      <c r="M5286" s="473"/>
    </row>
    <row r="5287" spans="5:13">
      <c r="E5287" s="473"/>
      <c r="F5287" s="473"/>
      <c r="G5287" s="473"/>
      <c r="H5287" s="473"/>
      <c r="I5287" s="473"/>
      <c r="J5287" s="473"/>
      <c r="K5287" s="478"/>
      <c r="L5287" s="473"/>
      <c r="M5287" s="473"/>
    </row>
    <row r="5288" spans="5:13">
      <c r="E5288" s="473"/>
      <c r="F5288" s="473"/>
      <c r="G5288" s="473"/>
      <c r="H5288" s="473"/>
      <c r="I5288" s="473"/>
      <c r="J5288" s="473"/>
      <c r="K5288" s="478"/>
      <c r="L5288" s="473"/>
      <c r="M5288" s="473"/>
    </row>
    <row r="5289" spans="5:13">
      <c r="E5289" s="473"/>
      <c r="F5289" s="473"/>
      <c r="G5289" s="473"/>
      <c r="H5289" s="473"/>
      <c r="I5289" s="473"/>
      <c r="J5289" s="473"/>
      <c r="K5289" s="478"/>
      <c r="L5289" s="473"/>
      <c r="M5289" s="473"/>
    </row>
    <row r="5290" spans="5:13">
      <c r="E5290" s="473"/>
      <c r="F5290" s="473"/>
      <c r="G5290" s="473"/>
      <c r="H5290" s="473"/>
      <c r="I5290" s="473"/>
      <c r="J5290" s="473"/>
      <c r="K5290" s="478"/>
      <c r="L5290" s="473"/>
      <c r="M5290" s="473"/>
    </row>
    <row r="5291" spans="5:13">
      <c r="E5291" s="473"/>
      <c r="F5291" s="473"/>
      <c r="G5291" s="473"/>
      <c r="H5291" s="473"/>
      <c r="I5291" s="473"/>
      <c r="J5291" s="473"/>
      <c r="K5291" s="478"/>
      <c r="L5291" s="473"/>
      <c r="M5291" s="473"/>
    </row>
    <row r="5292" spans="5:13">
      <c r="E5292" s="473"/>
      <c r="F5292" s="473"/>
      <c r="G5292" s="473"/>
      <c r="H5292" s="473"/>
      <c r="I5292" s="473"/>
      <c r="J5292" s="473"/>
      <c r="K5292" s="478"/>
      <c r="L5292" s="473"/>
      <c r="M5292" s="473"/>
    </row>
    <row r="5293" spans="5:13">
      <c r="E5293" s="473"/>
      <c r="F5293" s="473"/>
      <c r="G5293" s="473"/>
      <c r="H5293" s="473"/>
      <c r="I5293" s="473"/>
      <c r="J5293" s="473"/>
      <c r="K5293" s="478"/>
      <c r="L5293" s="473"/>
      <c r="M5293" s="473"/>
    </row>
    <row r="5294" spans="5:13">
      <c r="E5294" s="473"/>
      <c r="F5294" s="473"/>
      <c r="G5294" s="473"/>
      <c r="H5294" s="473"/>
      <c r="I5294" s="473"/>
      <c r="J5294" s="473"/>
      <c r="K5294" s="478"/>
      <c r="L5294" s="473"/>
      <c r="M5294" s="473"/>
    </row>
    <row r="5295" spans="5:13">
      <c r="E5295" s="473"/>
      <c r="F5295" s="473"/>
      <c r="G5295" s="473"/>
      <c r="H5295" s="473"/>
      <c r="I5295" s="473"/>
      <c r="J5295" s="473"/>
      <c r="K5295" s="478"/>
      <c r="L5295" s="473"/>
      <c r="M5295" s="473"/>
    </row>
    <row r="5296" spans="5:13">
      <c r="E5296" s="473"/>
      <c r="F5296" s="473"/>
      <c r="G5296" s="473"/>
      <c r="H5296" s="473"/>
      <c r="I5296" s="473"/>
      <c r="J5296" s="473"/>
      <c r="K5296" s="478"/>
      <c r="L5296" s="473"/>
      <c r="M5296" s="473"/>
    </row>
    <row r="5297" spans="5:13">
      <c r="E5297" s="473"/>
      <c r="F5297" s="473"/>
      <c r="G5297" s="473"/>
      <c r="H5297" s="473"/>
      <c r="I5297" s="473"/>
      <c r="J5297" s="473"/>
      <c r="K5297" s="478"/>
      <c r="L5297" s="473"/>
      <c r="M5297" s="473"/>
    </row>
    <row r="5298" spans="5:13">
      <c r="E5298" s="473"/>
      <c r="F5298" s="473"/>
      <c r="G5298" s="473"/>
      <c r="H5298" s="473"/>
      <c r="I5298" s="473"/>
      <c r="J5298" s="473"/>
      <c r="K5298" s="478"/>
      <c r="L5298" s="473"/>
      <c r="M5298" s="473"/>
    </row>
    <row r="5299" spans="5:13">
      <c r="E5299" s="473"/>
      <c r="F5299" s="473"/>
      <c r="G5299" s="473"/>
      <c r="H5299" s="473"/>
      <c r="I5299" s="473"/>
      <c r="J5299" s="473"/>
      <c r="K5299" s="478"/>
      <c r="L5299" s="473"/>
      <c r="M5299" s="473"/>
    </row>
    <row r="5300" spans="5:13">
      <c r="E5300" s="473"/>
      <c r="F5300" s="473"/>
      <c r="G5300" s="473"/>
      <c r="H5300" s="473"/>
      <c r="I5300" s="473"/>
      <c r="J5300" s="473"/>
      <c r="K5300" s="478"/>
      <c r="L5300" s="473"/>
      <c r="M5300" s="473"/>
    </row>
    <row r="5301" spans="5:13">
      <c r="E5301" s="473"/>
      <c r="F5301" s="473"/>
      <c r="G5301" s="473"/>
      <c r="H5301" s="473"/>
      <c r="I5301" s="473"/>
      <c r="J5301" s="473"/>
      <c r="K5301" s="478"/>
      <c r="L5301" s="473"/>
      <c r="M5301" s="473"/>
    </row>
    <row r="5302" spans="5:13">
      <c r="E5302" s="473"/>
      <c r="F5302" s="473"/>
      <c r="G5302" s="473"/>
      <c r="H5302" s="473"/>
      <c r="I5302" s="473"/>
      <c r="J5302" s="473"/>
      <c r="K5302" s="478"/>
      <c r="L5302" s="473"/>
      <c r="M5302" s="473"/>
    </row>
    <row r="5303" spans="5:13">
      <c r="E5303" s="473"/>
      <c r="F5303" s="473"/>
      <c r="G5303" s="473"/>
      <c r="H5303" s="473"/>
      <c r="I5303" s="473"/>
      <c r="J5303" s="473"/>
      <c r="K5303" s="478"/>
      <c r="L5303" s="473"/>
      <c r="M5303" s="473"/>
    </row>
    <row r="5304" spans="5:13">
      <c r="E5304" s="473"/>
      <c r="F5304" s="473"/>
      <c r="G5304" s="473"/>
      <c r="H5304" s="473"/>
      <c r="I5304" s="473"/>
      <c r="J5304" s="473"/>
      <c r="K5304" s="478"/>
      <c r="L5304" s="473"/>
      <c r="M5304" s="473"/>
    </row>
    <row r="5305" spans="5:13">
      <c r="E5305" s="473"/>
      <c r="F5305" s="473"/>
      <c r="G5305" s="473"/>
      <c r="H5305" s="473"/>
      <c r="I5305" s="473"/>
      <c r="J5305" s="473"/>
      <c r="K5305" s="478"/>
      <c r="L5305" s="473"/>
      <c r="M5305" s="473"/>
    </row>
    <row r="5306" spans="5:13">
      <c r="E5306" s="473"/>
      <c r="F5306" s="473"/>
      <c r="G5306" s="473"/>
      <c r="H5306" s="473"/>
      <c r="I5306" s="473"/>
      <c r="J5306" s="473"/>
      <c r="K5306" s="478"/>
      <c r="L5306" s="473"/>
      <c r="M5306" s="473"/>
    </row>
    <row r="5307" spans="5:13">
      <c r="E5307" s="473"/>
      <c r="F5307" s="473"/>
      <c r="G5307" s="473"/>
      <c r="H5307" s="473"/>
      <c r="I5307" s="473"/>
      <c r="J5307" s="473"/>
      <c r="K5307" s="478"/>
      <c r="L5307" s="473"/>
      <c r="M5307" s="473"/>
    </row>
    <row r="5308" spans="5:13">
      <c r="E5308" s="473"/>
      <c r="F5308" s="473"/>
      <c r="G5308" s="473"/>
      <c r="H5308" s="473"/>
      <c r="I5308" s="473"/>
      <c r="J5308" s="473"/>
      <c r="K5308" s="478"/>
      <c r="L5308" s="473"/>
      <c r="M5308" s="473"/>
    </row>
    <row r="5309" spans="5:13">
      <c r="E5309" s="473"/>
      <c r="F5309" s="473"/>
      <c r="G5309" s="473"/>
      <c r="H5309" s="473"/>
      <c r="I5309" s="473"/>
      <c r="J5309" s="473"/>
      <c r="K5309" s="478"/>
      <c r="L5309" s="473"/>
      <c r="M5309" s="473"/>
    </row>
    <row r="5310" spans="5:13">
      <c r="E5310" s="473"/>
      <c r="F5310" s="473"/>
      <c r="G5310" s="473"/>
      <c r="H5310" s="473"/>
      <c r="I5310" s="473"/>
      <c r="J5310" s="473"/>
      <c r="K5310" s="478"/>
      <c r="L5310" s="473"/>
      <c r="M5310" s="473"/>
    </row>
    <row r="5311" spans="5:13">
      <c r="E5311" s="473"/>
      <c r="F5311" s="473"/>
      <c r="G5311" s="473"/>
      <c r="H5311" s="473"/>
      <c r="I5311" s="473"/>
      <c r="J5311" s="473"/>
      <c r="K5311" s="478"/>
      <c r="L5311" s="473"/>
      <c r="M5311" s="473"/>
    </row>
    <row r="5312" spans="5:13">
      <c r="E5312" s="473"/>
      <c r="F5312" s="473"/>
      <c r="G5312" s="473"/>
      <c r="H5312" s="473"/>
      <c r="I5312" s="473"/>
      <c r="J5312" s="473"/>
      <c r="K5312" s="478"/>
      <c r="L5312" s="473"/>
      <c r="M5312" s="473"/>
    </row>
    <row r="5313" spans="5:13">
      <c r="E5313" s="473"/>
      <c r="F5313" s="473"/>
      <c r="G5313" s="473"/>
      <c r="H5313" s="473"/>
      <c r="I5313" s="473"/>
      <c r="J5313" s="473"/>
      <c r="K5313" s="478"/>
      <c r="L5313" s="473"/>
      <c r="M5313" s="473"/>
    </row>
    <row r="5314" spans="5:13">
      <c r="E5314" s="473"/>
      <c r="F5314" s="473"/>
      <c r="G5314" s="473"/>
      <c r="H5314" s="473"/>
      <c r="I5314" s="473"/>
      <c r="J5314" s="473"/>
      <c r="K5314" s="478"/>
      <c r="L5314" s="473"/>
      <c r="M5314" s="473"/>
    </row>
    <row r="5315" spans="5:13">
      <c r="E5315" s="473"/>
      <c r="F5315" s="473"/>
      <c r="G5315" s="473"/>
      <c r="H5315" s="473"/>
      <c r="I5315" s="473"/>
      <c r="J5315" s="473"/>
      <c r="K5315" s="478"/>
      <c r="L5315" s="473"/>
      <c r="M5315" s="473"/>
    </row>
    <row r="5316" spans="5:13">
      <c r="E5316" s="473"/>
      <c r="F5316" s="473"/>
      <c r="G5316" s="473"/>
      <c r="H5316" s="473"/>
      <c r="I5316" s="473"/>
      <c r="J5316" s="473"/>
      <c r="K5316" s="478"/>
      <c r="L5316" s="473"/>
      <c r="M5316" s="473"/>
    </row>
    <row r="5317" spans="5:13">
      <c r="E5317" s="473"/>
      <c r="F5317" s="473"/>
      <c r="G5317" s="473"/>
      <c r="H5317" s="473"/>
      <c r="I5317" s="473"/>
      <c r="J5317" s="473"/>
      <c r="K5317" s="478"/>
      <c r="L5317" s="473"/>
      <c r="M5317" s="473"/>
    </row>
    <row r="5318" spans="5:13">
      <c r="E5318" s="473"/>
      <c r="F5318" s="473"/>
      <c r="G5318" s="473"/>
      <c r="H5318" s="473"/>
      <c r="I5318" s="473"/>
      <c r="J5318" s="473"/>
      <c r="K5318" s="478"/>
      <c r="L5318" s="473"/>
      <c r="M5318" s="473"/>
    </row>
    <row r="5319" spans="5:13">
      <c r="E5319" s="473"/>
      <c r="F5319" s="473"/>
      <c r="G5319" s="473"/>
      <c r="H5319" s="473"/>
      <c r="I5319" s="473"/>
      <c r="J5319" s="473"/>
      <c r="K5319" s="478"/>
      <c r="L5319" s="473"/>
      <c r="M5319" s="473"/>
    </row>
    <row r="5320" spans="5:13">
      <c r="E5320" s="473"/>
      <c r="F5320" s="473"/>
      <c r="G5320" s="473"/>
      <c r="H5320" s="473"/>
      <c r="I5320" s="473"/>
      <c r="J5320" s="473"/>
      <c r="K5320" s="478"/>
      <c r="L5320" s="473"/>
      <c r="M5320" s="473"/>
    </row>
    <row r="5321" spans="5:13">
      <c r="E5321" s="473"/>
      <c r="F5321" s="473"/>
      <c r="G5321" s="473"/>
      <c r="H5321" s="473"/>
      <c r="I5321" s="473"/>
      <c r="J5321" s="473"/>
      <c r="K5321" s="478"/>
      <c r="L5321" s="473"/>
      <c r="M5321" s="473"/>
    </row>
    <row r="5322" spans="5:13">
      <c r="E5322" s="473"/>
      <c r="F5322" s="473"/>
      <c r="G5322" s="473"/>
      <c r="H5322" s="473"/>
      <c r="I5322" s="473"/>
      <c r="J5322" s="473"/>
      <c r="K5322" s="478"/>
      <c r="L5322" s="473"/>
      <c r="M5322" s="473"/>
    </row>
    <row r="5323" spans="5:13">
      <c r="E5323" s="473"/>
      <c r="F5323" s="473"/>
      <c r="G5323" s="473"/>
      <c r="H5323" s="473"/>
      <c r="I5323" s="473"/>
      <c r="J5323" s="473"/>
      <c r="K5323" s="478"/>
      <c r="L5323" s="473"/>
      <c r="M5323" s="473"/>
    </row>
    <row r="5324" spans="5:13">
      <c r="E5324" s="473"/>
      <c r="F5324" s="473"/>
      <c r="G5324" s="473"/>
      <c r="H5324" s="473"/>
      <c r="I5324" s="473"/>
      <c r="J5324" s="473"/>
      <c r="K5324" s="478"/>
      <c r="L5324" s="473"/>
      <c r="M5324" s="473"/>
    </row>
    <row r="5325" spans="5:13">
      <c r="E5325" s="473"/>
      <c r="F5325" s="473"/>
      <c r="G5325" s="473"/>
      <c r="H5325" s="473"/>
      <c r="I5325" s="473"/>
      <c r="J5325" s="473"/>
      <c r="K5325" s="478"/>
      <c r="L5325" s="473"/>
      <c r="M5325" s="473"/>
    </row>
    <row r="5326" spans="5:13">
      <c r="E5326" s="473"/>
      <c r="F5326" s="473"/>
      <c r="G5326" s="473"/>
      <c r="H5326" s="473"/>
      <c r="I5326" s="473"/>
      <c r="J5326" s="473"/>
      <c r="K5326" s="478"/>
      <c r="L5326" s="473"/>
      <c r="M5326" s="473"/>
    </row>
    <row r="5327" spans="5:13">
      <c r="E5327" s="473"/>
      <c r="F5327" s="473"/>
      <c r="G5327" s="473"/>
      <c r="H5327" s="473"/>
      <c r="I5327" s="473"/>
      <c r="J5327" s="473"/>
      <c r="K5327" s="478"/>
      <c r="L5327" s="473"/>
      <c r="M5327" s="473"/>
    </row>
    <row r="5328" spans="5:13">
      <c r="E5328" s="473"/>
      <c r="F5328" s="473"/>
      <c r="G5328" s="473"/>
      <c r="H5328" s="473"/>
      <c r="I5328" s="473"/>
      <c r="J5328" s="473"/>
      <c r="K5328" s="478"/>
      <c r="L5328" s="473"/>
      <c r="M5328" s="473"/>
    </row>
    <row r="5329" spans="5:13">
      <c r="E5329" s="473"/>
      <c r="F5329" s="473"/>
      <c r="G5329" s="473"/>
      <c r="H5329" s="473"/>
      <c r="I5329" s="473"/>
      <c r="J5329" s="473"/>
      <c r="K5329" s="478"/>
      <c r="L5329" s="473"/>
      <c r="M5329" s="473"/>
    </row>
    <row r="5330" spans="5:13">
      <c r="E5330" s="473"/>
      <c r="F5330" s="473"/>
      <c r="G5330" s="473"/>
      <c r="H5330" s="473"/>
      <c r="I5330" s="473"/>
      <c r="J5330" s="473"/>
      <c r="K5330" s="478"/>
      <c r="L5330" s="473"/>
      <c r="M5330" s="473"/>
    </row>
    <row r="5331" spans="5:13">
      <c r="E5331" s="473"/>
      <c r="F5331" s="473"/>
      <c r="G5331" s="473"/>
      <c r="H5331" s="473"/>
      <c r="I5331" s="473"/>
      <c r="J5331" s="473"/>
      <c r="K5331" s="478"/>
      <c r="L5331" s="473"/>
      <c r="M5331" s="473"/>
    </row>
    <row r="5332" spans="5:13">
      <c r="E5332" s="473"/>
      <c r="F5332" s="473"/>
      <c r="G5332" s="473"/>
      <c r="H5332" s="473"/>
      <c r="I5332" s="473"/>
      <c r="J5332" s="473"/>
      <c r="K5332" s="478"/>
      <c r="L5332" s="473"/>
      <c r="M5332" s="473"/>
    </row>
    <row r="5333" spans="5:13">
      <c r="E5333" s="473"/>
      <c r="F5333" s="473"/>
      <c r="G5333" s="473"/>
      <c r="H5333" s="473"/>
      <c r="I5333" s="473"/>
      <c r="J5333" s="473"/>
      <c r="K5333" s="478"/>
      <c r="L5333" s="473"/>
      <c r="M5333" s="473"/>
    </row>
    <row r="5334" spans="5:13">
      <c r="E5334" s="473"/>
      <c r="F5334" s="473"/>
      <c r="G5334" s="473"/>
      <c r="H5334" s="473"/>
      <c r="I5334" s="473"/>
      <c r="J5334" s="473"/>
      <c r="K5334" s="478"/>
      <c r="L5334" s="473"/>
      <c r="M5334" s="473"/>
    </row>
    <row r="5335" spans="5:13">
      <c r="E5335" s="473"/>
      <c r="F5335" s="473"/>
      <c r="G5335" s="473"/>
      <c r="H5335" s="473"/>
      <c r="I5335" s="473"/>
      <c r="J5335" s="473"/>
      <c r="K5335" s="478"/>
      <c r="L5335" s="473"/>
      <c r="M5335" s="473"/>
    </row>
    <row r="5336" spans="5:13">
      <c r="E5336" s="473"/>
      <c r="F5336" s="473"/>
      <c r="G5336" s="473"/>
      <c r="H5336" s="473"/>
      <c r="I5336" s="473"/>
      <c r="J5336" s="473"/>
      <c r="K5336" s="478"/>
      <c r="L5336" s="473"/>
      <c r="M5336" s="473"/>
    </row>
    <row r="5337" spans="5:13">
      <c r="E5337" s="473"/>
      <c r="F5337" s="473"/>
      <c r="G5337" s="473"/>
      <c r="H5337" s="473"/>
      <c r="I5337" s="473"/>
      <c r="J5337" s="473"/>
      <c r="K5337" s="478"/>
      <c r="L5337" s="473"/>
      <c r="M5337" s="473"/>
    </row>
    <row r="5338" spans="5:13">
      <c r="E5338" s="473"/>
      <c r="F5338" s="473"/>
      <c r="G5338" s="473"/>
      <c r="H5338" s="473"/>
      <c r="I5338" s="473"/>
      <c r="J5338" s="473"/>
      <c r="K5338" s="478"/>
      <c r="L5338" s="473"/>
      <c r="M5338" s="473"/>
    </row>
    <row r="5339" spans="5:13">
      <c r="E5339" s="473"/>
      <c r="F5339" s="473"/>
      <c r="G5339" s="473"/>
      <c r="H5339" s="473"/>
      <c r="I5339" s="473"/>
      <c r="J5339" s="473"/>
      <c r="K5339" s="478"/>
      <c r="L5339" s="473"/>
      <c r="M5339" s="473"/>
    </row>
    <row r="5340" spans="5:13">
      <c r="E5340" s="473"/>
      <c r="F5340" s="473"/>
      <c r="G5340" s="473"/>
      <c r="H5340" s="473"/>
      <c r="I5340" s="473"/>
      <c r="J5340" s="473"/>
      <c r="K5340" s="478"/>
      <c r="L5340" s="473"/>
      <c r="M5340" s="473"/>
    </row>
    <row r="5341" spans="5:13">
      <c r="E5341" s="473"/>
      <c r="F5341" s="473"/>
      <c r="G5341" s="473"/>
      <c r="H5341" s="473"/>
      <c r="I5341" s="473"/>
      <c r="J5341" s="473"/>
      <c r="K5341" s="478"/>
      <c r="L5341" s="473"/>
      <c r="M5341" s="473"/>
    </row>
    <row r="5342" spans="5:13">
      <c r="E5342" s="473"/>
      <c r="F5342" s="473"/>
      <c r="G5342" s="473"/>
      <c r="H5342" s="473"/>
      <c r="I5342" s="473"/>
      <c r="J5342" s="473"/>
      <c r="K5342" s="478"/>
      <c r="L5342" s="473"/>
      <c r="M5342" s="473"/>
    </row>
    <row r="5343" spans="5:13">
      <c r="E5343" s="473"/>
      <c r="F5343" s="473"/>
      <c r="G5343" s="473"/>
      <c r="H5343" s="473"/>
      <c r="I5343" s="473"/>
      <c r="J5343" s="473"/>
      <c r="K5343" s="478"/>
      <c r="L5343" s="473"/>
      <c r="M5343" s="473"/>
    </row>
    <row r="5344" spans="5:13">
      <c r="E5344" s="473"/>
      <c r="F5344" s="473"/>
      <c r="G5344" s="473"/>
      <c r="H5344" s="473"/>
      <c r="I5344" s="473"/>
      <c r="J5344" s="473"/>
      <c r="K5344" s="478"/>
      <c r="L5344" s="473"/>
      <c r="M5344" s="473"/>
    </row>
    <row r="5345" spans="5:13">
      <c r="E5345" s="473"/>
      <c r="F5345" s="473"/>
      <c r="G5345" s="473"/>
      <c r="H5345" s="473"/>
      <c r="I5345" s="473"/>
      <c r="J5345" s="473"/>
      <c r="K5345" s="478"/>
      <c r="L5345" s="473"/>
      <c r="M5345" s="473"/>
    </row>
    <row r="5346" spans="5:13">
      <c r="E5346" s="473"/>
      <c r="F5346" s="473"/>
      <c r="G5346" s="473"/>
      <c r="H5346" s="473"/>
      <c r="I5346" s="473"/>
      <c r="J5346" s="473"/>
      <c r="K5346" s="478"/>
      <c r="L5346" s="473"/>
      <c r="M5346" s="473"/>
    </row>
    <row r="5347" spans="5:13">
      <c r="E5347" s="473"/>
      <c r="F5347" s="473"/>
      <c r="G5347" s="473"/>
      <c r="H5347" s="473"/>
      <c r="I5347" s="473"/>
      <c r="J5347" s="473"/>
      <c r="K5347" s="478"/>
      <c r="L5347" s="473"/>
      <c r="M5347" s="473"/>
    </row>
    <row r="5348" spans="5:13">
      <c r="E5348" s="473"/>
      <c r="F5348" s="473"/>
      <c r="G5348" s="473"/>
      <c r="H5348" s="473"/>
      <c r="I5348" s="473"/>
      <c r="J5348" s="473"/>
      <c r="K5348" s="478"/>
      <c r="L5348" s="473"/>
      <c r="M5348" s="473"/>
    </row>
    <row r="5349" spans="5:13">
      <c r="E5349" s="473"/>
      <c r="F5349" s="473"/>
      <c r="G5349" s="473"/>
      <c r="H5349" s="473"/>
      <c r="I5349" s="473"/>
      <c r="J5349" s="473"/>
      <c r="K5349" s="478"/>
      <c r="L5349" s="473"/>
      <c r="M5349" s="473"/>
    </row>
    <row r="5350" spans="5:13">
      <c r="E5350" s="473"/>
      <c r="F5350" s="473"/>
      <c r="G5350" s="473"/>
      <c r="H5350" s="473"/>
      <c r="I5350" s="473"/>
      <c r="J5350" s="473"/>
      <c r="K5350" s="478"/>
      <c r="L5350" s="473"/>
      <c r="M5350" s="473"/>
    </row>
    <row r="5351" spans="5:13">
      <c r="E5351" s="473"/>
      <c r="F5351" s="473"/>
      <c r="G5351" s="473"/>
      <c r="H5351" s="473"/>
      <c r="I5351" s="473"/>
      <c r="J5351" s="473"/>
      <c r="K5351" s="478"/>
      <c r="L5351" s="473"/>
      <c r="M5351" s="473"/>
    </row>
    <row r="5352" spans="5:13">
      <c r="E5352" s="473"/>
      <c r="F5352" s="473"/>
      <c r="G5352" s="473"/>
      <c r="H5352" s="473"/>
      <c r="I5352" s="473"/>
      <c r="J5352" s="473"/>
      <c r="K5352" s="478"/>
      <c r="L5352" s="473"/>
      <c r="M5352" s="473"/>
    </row>
    <row r="5353" spans="5:13">
      <c r="E5353" s="473"/>
      <c r="F5353" s="473"/>
      <c r="G5353" s="473"/>
      <c r="H5353" s="473"/>
      <c r="I5353" s="473"/>
      <c r="J5353" s="473"/>
      <c r="K5353" s="478"/>
      <c r="L5353" s="473"/>
      <c r="M5353" s="473"/>
    </row>
    <row r="5354" spans="5:13">
      <c r="E5354" s="473"/>
      <c r="F5354" s="473"/>
      <c r="G5354" s="473"/>
      <c r="H5354" s="473"/>
      <c r="I5354" s="473"/>
      <c r="J5354" s="473"/>
      <c r="K5354" s="478"/>
      <c r="L5354" s="473"/>
      <c r="M5354" s="473"/>
    </row>
    <row r="5355" spans="5:13">
      <c r="E5355" s="473"/>
      <c r="F5355" s="473"/>
      <c r="G5355" s="473"/>
      <c r="H5355" s="473"/>
      <c r="I5355" s="473"/>
      <c r="J5355" s="473"/>
      <c r="K5355" s="478"/>
      <c r="L5355" s="473"/>
      <c r="M5355" s="473"/>
    </row>
    <row r="5356" spans="5:13">
      <c r="E5356" s="473"/>
      <c r="F5356" s="473"/>
      <c r="G5356" s="473"/>
      <c r="H5356" s="473"/>
      <c r="I5356" s="473"/>
      <c r="J5356" s="473"/>
      <c r="K5356" s="478"/>
      <c r="L5356" s="473"/>
      <c r="M5356" s="473"/>
    </row>
    <row r="5357" spans="5:13">
      <c r="E5357" s="473"/>
      <c r="F5357" s="473"/>
      <c r="G5357" s="473"/>
      <c r="H5357" s="473"/>
      <c r="I5357" s="473"/>
      <c r="J5357" s="473"/>
      <c r="K5357" s="478"/>
      <c r="L5357" s="473"/>
      <c r="M5357" s="473"/>
    </row>
    <row r="5358" spans="5:13">
      <c r="E5358" s="473"/>
      <c r="F5358" s="473"/>
      <c r="G5358" s="473"/>
      <c r="H5358" s="473"/>
      <c r="I5358" s="473"/>
      <c r="J5358" s="473"/>
      <c r="K5358" s="478"/>
      <c r="L5358" s="473"/>
      <c r="M5358" s="473"/>
    </row>
    <row r="5359" spans="5:13">
      <c r="E5359" s="473"/>
      <c r="F5359" s="473"/>
      <c r="G5359" s="473"/>
      <c r="H5359" s="473"/>
      <c r="I5359" s="473"/>
      <c r="J5359" s="473"/>
      <c r="K5359" s="478"/>
      <c r="L5359" s="473"/>
      <c r="M5359" s="473"/>
    </row>
    <row r="5360" spans="5:13">
      <c r="E5360" s="473"/>
      <c r="F5360" s="473"/>
      <c r="G5360" s="473"/>
      <c r="H5360" s="473"/>
      <c r="I5360" s="473"/>
      <c r="J5360" s="473"/>
      <c r="K5360" s="478"/>
      <c r="L5360" s="473"/>
      <c r="M5360" s="473"/>
    </row>
    <row r="5361" spans="5:13">
      <c r="E5361" s="473"/>
      <c r="F5361" s="473"/>
      <c r="G5361" s="473"/>
      <c r="H5361" s="473"/>
      <c r="I5361" s="473"/>
      <c r="J5361" s="473"/>
      <c r="K5361" s="478"/>
      <c r="L5361" s="473"/>
      <c r="M5361" s="473"/>
    </row>
    <row r="5362" spans="5:13">
      <c r="E5362" s="473"/>
      <c r="F5362" s="473"/>
      <c r="G5362" s="473"/>
      <c r="H5362" s="473"/>
      <c r="I5362" s="473"/>
      <c r="J5362" s="473"/>
      <c r="K5362" s="478"/>
      <c r="L5362" s="473"/>
      <c r="M5362" s="473"/>
    </row>
    <row r="5363" spans="5:13">
      <c r="E5363" s="473"/>
      <c r="F5363" s="473"/>
      <c r="G5363" s="473"/>
      <c r="H5363" s="473"/>
      <c r="I5363" s="473"/>
      <c r="J5363" s="473"/>
      <c r="K5363" s="478"/>
      <c r="L5363" s="473"/>
      <c r="M5363" s="473"/>
    </row>
    <row r="5364" spans="5:13">
      <c r="E5364" s="473"/>
      <c r="F5364" s="473"/>
      <c r="G5364" s="473"/>
      <c r="H5364" s="473"/>
      <c r="I5364" s="473"/>
      <c r="J5364" s="473"/>
      <c r="K5364" s="478"/>
      <c r="L5364" s="473"/>
      <c r="M5364" s="473"/>
    </row>
    <row r="5365" spans="5:13">
      <c r="E5365" s="473"/>
      <c r="F5365" s="473"/>
      <c r="G5365" s="473"/>
      <c r="H5365" s="473"/>
      <c r="I5365" s="473"/>
      <c r="J5365" s="473"/>
      <c r="K5365" s="478"/>
      <c r="L5365" s="473"/>
      <c r="M5365" s="473"/>
    </row>
    <row r="5366" spans="5:13">
      <c r="E5366" s="473"/>
      <c r="F5366" s="473"/>
      <c r="G5366" s="473"/>
      <c r="H5366" s="473"/>
      <c r="I5366" s="473"/>
      <c r="J5366" s="473"/>
      <c r="K5366" s="478"/>
      <c r="L5366" s="473"/>
      <c r="M5366" s="473"/>
    </row>
    <row r="5367" spans="5:13">
      <c r="E5367" s="473"/>
      <c r="F5367" s="473"/>
      <c r="G5367" s="473"/>
      <c r="H5367" s="473"/>
      <c r="I5367" s="473"/>
      <c r="J5367" s="473"/>
      <c r="K5367" s="478"/>
      <c r="L5367" s="473"/>
      <c r="M5367" s="473"/>
    </row>
    <row r="5368" spans="5:13">
      <c r="E5368" s="473"/>
      <c r="F5368" s="473"/>
      <c r="G5368" s="473"/>
      <c r="H5368" s="473"/>
      <c r="I5368" s="473"/>
      <c r="J5368" s="473"/>
      <c r="K5368" s="478"/>
      <c r="L5368" s="473"/>
      <c r="M5368" s="473"/>
    </row>
    <row r="5369" spans="5:13">
      <c r="E5369" s="473"/>
      <c r="F5369" s="473"/>
      <c r="G5369" s="473"/>
      <c r="H5369" s="473"/>
      <c r="I5369" s="473"/>
      <c r="J5369" s="473"/>
      <c r="K5369" s="478"/>
      <c r="L5369" s="473"/>
      <c r="M5369" s="473"/>
    </row>
    <row r="5370" spans="5:13">
      <c r="E5370" s="473"/>
      <c r="F5370" s="473"/>
      <c r="G5370" s="473"/>
      <c r="H5370" s="473"/>
      <c r="I5370" s="473"/>
      <c r="J5370" s="473"/>
      <c r="K5370" s="478"/>
      <c r="L5370" s="473"/>
      <c r="M5370" s="473"/>
    </row>
    <row r="5371" spans="5:13">
      <c r="E5371" s="473"/>
      <c r="F5371" s="473"/>
      <c r="G5371" s="473"/>
      <c r="H5371" s="473"/>
      <c r="I5371" s="473"/>
      <c r="J5371" s="473"/>
      <c r="K5371" s="478"/>
      <c r="L5371" s="473"/>
      <c r="M5371" s="473"/>
    </row>
    <row r="5372" spans="5:13">
      <c r="E5372" s="473"/>
      <c r="F5372" s="473"/>
      <c r="G5372" s="473"/>
      <c r="H5372" s="473"/>
      <c r="I5372" s="473"/>
      <c r="J5372" s="473"/>
      <c r="K5372" s="478"/>
      <c r="L5372" s="473"/>
      <c r="M5372" s="473"/>
    </row>
    <row r="5373" spans="5:13">
      <c r="E5373" s="473"/>
      <c r="F5373" s="473"/>
      <c r="G5373" s="473"/>
      <c r="H5373" s="473"/>
      <c r="I5373" s="473"/>
      <c r="J5373" s="473"/>
      <c r="K5373" s="478"/>
      <c r="L5373" s="473"/>
      <c r="M5373" s="473"/>
    </row>
    <row r="5374" spans="5:13">
      <c r="E5374" s="473"/>
      <c r="F5374" s="473"/>
      <c r="G5374" s="473"/>
      <c r="H5374" s="473"/>
      <c r="I5374" s="473"/>
      <c r="J5374" s="473"/>
      <c r="K5374" s="478"/>
      <c r="L5374" s="473"/>
      <c r="M5374" s="473"/>
    </row>
    <row r="5375" spans="5:13">
      <c r="E5375" s="473"/>
      <c r="F5375" s="473"/>
      <c r="G5375" s="473"/>
      <c r="H5375" s="473"/>
      <c r="I5375" s="473"/>
      <c r="J5375" s="473"/>
      <c r="K5375" s="478"/>
      <c r="L5375" s="473"/>
      <c r="M5375" s="473"/>
    </row>
    <row r="5376" spans="5:13">
      <c r="E5376" s="473"/>
      <c r="F5376" s="473"/>
      <c r="G5376" s="473"/>
      <c r="H5376" s="473"/>
      <c r="I5376" s="473"/>
      <c r="J5376" s="473"/>
      <c r="K5376" s="478"/>
      <c r="L5376" s="473"/>
      <c r="M5376" s="473"/>
    </row>
    <row r="5377" spans="5:13">
      <c r="E5377" s="473"/>
      <c r="F5377" s="473"/>
      <c r="G5377" s="473"/>
      <c r="H5377" s="473"/>
      <c r="I5377" s="473"/>
      <c r="J5377" s="473"/>
      <c r="K5377" s="478"/>
      <c r="L5377" s="473"/>
      <c r="M5377" s="473"/>
    </row>
    <row r="5378" spans="5:13">
      <c r="E5378" s="473"/>
      <c r="F5378" s="473"/>
      <c r="G5378" s="473"/>
      <c r="H5378" s="473"/>
      <c r="I5378" s="473"/>
      <c r="J5378" s="473"/>
      <c r="K5378" s="478"/>
      <c r="L5378" s="473"/>
      <c r="M5378" s="473"/>
    </row>
    <row r="5379" spans="5:13">
      <c r="E5379" s="473"/>
      <c r="F5379" s="473"/>
      <c r="G5379" s="473"/>
      <c r="H5379" s="473"/>
      <c r="I5379" s="473"/>
      <c r="J5379" s="473"/>
      <c r="K5379" s="478"/>
      <c r="L5379" s="473"/>
      <c r="M5379" s="473"/>
    </row>
    <row r="5380" spans="5:13">
      <c r="E5380" s="473"/>
      <c r="F5380" s="473"/>
      <c r="G5380" s="473"/>
      <c r="H5380" s="473"/>
      <c r="I5380" s="473"/>
      <c r="J5380" s="473"/>
      <c r="K5380" s="478"/>
      <c r="L5380" s="473"/>
      <c r="M5380" s="473"/>
    </row>
    <row r="5381" spans="5:13">
      <c r="E5381" s="473"/>
      <c r="F5381" s="473"/>
      <c r="G5381" s="473"/>
      <c r="H5381" s="473"/>
      <c r="I5381" s="473"/>
      <c r="J5381" s="473"/>
      <c r="K5381" s="478"/>
      <c r="L5381" s="473"/>
      <c r="M5381" s="473"/>
    </row>
    <row r="5382" spans="5:13">
      <c r="E5382" s="473"/>
      <c r="F5382" s="473"/>
      <c r="G5382" s="473"/>
      <c r="H5382" s="473"/>
      <c r="I5382" s="473"/>
      <c r="J5382" s="473"/>
      <c r="K5382" s="478"/>
      <c r="L5382" s="473"/>
      <c r="M5382" s="473"/>
    </row>
    <row r="5383" spans="5:13">
      <c r="E5383" s="473"/>
      <c r="F5383" s="473"/>
      <c r="G5383" s="473"/>
      <c r="H5383" s="473"/>
      <c r="I5383" s="473"/>
      <c r="J5383" s="473"/>
      <c r="K5383" s="478"/>
      <c r="L5383" s="473"/>
      <c r="M5383" s="473"/>
    </row>
    <row r="5384" spans="5:13">
      <c r="E5384" s="473"/>
      <c r="F5384" s="473"/>
      <c r="G5384" s="473"/>
      <c r="H5384" s="473"/>
      <c r="I5384" s="473"/>
      <c r="J5384" s="473"/>
      <c r="K5384" s="478"/>
      <c r="L5384" s="473"/>
      <c r="M5384" s="473"/>
    </row>
    <row r="5385" spans="5:13">
      <c r="E5385" s="473"/>
      <c r="F5385" s="473"/>
      <c r="G5385" s="473"/>
      <c r="H5385" s="473"/>
      <c r="I5385" s="473"/>
      <c r="J5385" s="473"/>
      <c r="K5385" s="478"/>
      <c r="L5385" s="473"/>
      <c r="M5385" s="473"/>
    </row>
    <row r="5386" spans="5:13">
      <c r="E5386" s="473"/>
      <c r="F5386" s="473"/>
      <c r="G5386" s="473"/>
      <c r="H5386" s="473"/>
      <c r="I5386" s="473"/>
      <c r="J5386" s="473"/>
      <c r="K5386" s="478"/>
      <c r="L5386" s="473"/>
      <c r="M5386" s="473"/>
    </row>
    <row r="5387" spans="5:13">
      <c r="E5387" s="473"/>
      <c r="F5387" s="473"/>
      <c r="G5387" s="473"/>
      <c r="H5387" s="473"/>
      <c r="I5387" s="473"/>
      <c r="J5387" s="473"/>
      <c r="K5387" s="478"/>
      <c r="L5387" s="473"/>
      <c r="M5387" s="473"/>
    </row>
    <row r="5388" spans="5:13">
      <c r="E5388" s="473"/>
      <c r="F5388" s="473"/>
      <c r="G5388" s="473"/>
      <c r="H5388" s="473"/>
      <c r="I5388" s="473"/>
      <c r="J5388" s="473"/>
      <c r="K5388" s="478"/>
      <c r="L5388" s="473"/>
      <c r="M5388" s="473"/>
    </row>
    <row r="5389" spans="5:13">
      <c r="E5389" s="473"/>
      <c r="F5389" s="473"/>
      <c r="G5389" s="473"/>
      <c r="H5389" s="473"/>
      <c r="I5389" s="473"/>
      <c r="J5389" s="473"/>
      <c r="K5389" s="478"/>
      <c r="L5389" s="473"/>
      <c r="M5389" s="473"/>
    </row>
    <row r="5390" spans="5:13">
      <c r="E5390" s="473"/>
      <c r="F5390" s="473"/>
      <c r="G5390" s="473"/>
      <c r="H5390" s="473"/>
      <c r="I5390" s="473"/>
      <c r="J5390" s="473"/>
      <c r="K5390" s="478"/>
      <c r="L5390" s="473"/>
      <c r="M5390" s="473"/>
    </row>
    <row r="5391" spans="5:13">
      <c r="E5391" s="473"/>
      <c r="F5391" s="473"/>
      <c r="G5391" s="473"/>
      <c r="H5391" s="473"/>
      <c r="I5391" s="473"/>
      <c r="J5391" s="473"/>
      <c r="K5391" s="478"/>
      <c r="L5391" s="473"/>
      <c r="M5391" s="473"/>
    </row>
    <row r="5392" spans="5:13">
      <c r="E5392" s="473"/>
      <c r="F5392" s="473"/>
      <c r="G5392" s="473"/>
      <c r="H5392" s="473"/>
      <c r="I5392" s="473"/>
      <c r="J5392" s="473"/>
      <c r="K5392" s="478"/>
      <c r="L5392" s="473"/>
      <c r="M5392" s="473"/>
    </row>
    <row r="5393" spans="5:13">
      <c r="E5393" s="473"/>
      <c r="F5393" s="473"/>
      <c r="G5393" s="473"/>
      <c r="H5393" s="473"/>
      <c r="I5393" s="473"/>
      <c r="J5393" s="473"/>
      <c r="K5393" s="478"/>
      <c r="L5393" s="473"/>
      <c r="M5393" s="473"/>
    </row>
    <row r="5394" spans="5:13">
      <c r="E5394" s="473"/>
      <c r="F5394" s="473"/>
      <c r="G5394" s="473"/>
      <c r="H5394" s="473"/>
      <c r="I5394" s="473"/>
      <c r="J5394" s="473"/>
      <c r="K5394" s="478"/>
      <c r="L5394" s="473"/>
      <c r="M5394" s="473"/>
    </row>
    <row r="5395" spans="5:13">
      <c r="E5395" s="473"/>
      <c r="F5395" s="473"/>
      <c r="G5395" s="473"/>
      <c r="H5395" s="473"/>
      <c r="I5395" s="473"/>
      <c r="J5395" s="473"/>
      <c r="K5395" s="478"/>
      <c r="L5395" s="473"/>
      <c r="M5395" s="473"/>
    </row>
    <row r="5396" spans="5:13">
      <c r="E5396" s="473"/>
      <c r="F5396" s="473"/>
      <c r="G5396" s="473"/>
      <c r="H5396" s="473"/>
      <c r="I5396" s="473"/>
      <c r="J5396" s="473"/>
      <c r="K5396" s="478"/>
      <c r="L5396" s="473"/>
      <c r="M5396" s="473"/>
    </row>
    <row r="5397" spans="5:13">
      <c r="E5397" s="473"/>
      <c r="F5397" s="473"/>
      <c r="G5397" s="473"/>
      <c r="H5397" s="473"/>
      <c r="I5397" s="473"/>
      <c r="J5397" s="473"/>
      <c r="K5397" s="478"/>
      <c r="L5397" s="473"/>
      <c r="M5397" s="473"/>
    </row>
    <row r="5398" spans="5:13">
      <c r="E5398" s="473"/>
      <c r="F5398" s="473"/>
      <c r="G5398" s="473"/>
      <c r="H5398" s="473"/>
      <c r="I5398" s="473"/>
      <c r="J5398" s="473"/>
      <c r="K5398" s="478"/>
      <c r="L5398" s="473"/>
      <c r="M5398" s="473"/>
    </row>
    <row r="5399" spans="5:13">
      <c r="E5399" s="473"/>
      <c r="F5399" s="473"/>
      <c r="G5399" s="473"/>
      <c r="H5399" s="473"/>
      <c r="I5399" s="473"/>
      <c r="J5399" s="473"/>
      <c r="K5399" s="478"/>
      <c r="L5399" s="473"/>
      <c r="M5399" s="473"/>
    </row>
    <row r="5400" spans="5:13">
      <c r="E5400" s="473"/>
      <c r="F5400" s="473"/>
      <c r="G5400" s="473"/>
      <c r="H5400" s="473"/>
      <c r="I5400" s="473"/>
      <c r="J5400" s="473"/>
      <c r="K5400" s="478"/>
      <c r="L5400" s="473"/>
      <c r="M5400" s="473"/>
    </row>
    <row r="5401" spans="5:13">
      <c r="E5401" s="473"/>
      <c r="F5401" s="473"/>
      <c r="G5401" s="473"/>
      <c r="H5401" s="473"/>
      <c r="I5401" s="473"/>
      <c r="J5401" s="473"/>
      <c r="K5401" s="478"/>
      <c r="L5401" s="473"/>
      <c r="M5401" s="473"/>
    </row>
    <row r="5402" spans="5:13">
      <c r="E5402" s="473"/>
      <c r="F5402" s="473"/>
      <c r="G5402" s="473"/>
      <c r="H5402" s="473"/>
      <c r="I5402" s="473"/>
      <c r="J5402" s="473"/>
      <c r="K5402" s="478"/>
      <c r="L5402" s="473"/>
      <c r="M5402" s="473"/>
    </row>
    <row r="5403" spans="5:13">
      <c r="E5403" s="473"/>
      <c r="F5403" s="473"/>
      <c r="G5403" s="473"/>
      <c r="H5403" s="473"/>
      <c r="I5403" s="473"/>
      <c r="J5403" s="473"/>
      <c r="K5403" s="478"/>
      <c r="L5403" s="473"/>
      <c r="M5403" s="473"/>
    </row>
    <row r="5404" spans="5:13">
      <c r="E5404" s="473"/>
      <c r="F5404" s="473"/>
      <c r="G5404" s="473"/>
      <c r="H5404" s="473"/>
      <c r="I5404" s="473"/>
      <c r="J5404" s="473"/>
      <c r="K5404" s="478"/>
      <c r="L5404" s="473"/>
      <c r="M5404" s="473"/>
    </row>
    <row r="5405" spans="5:13">
      <c r="E5405" s="473"/>
      <c r="F5405" s="473"/>
      <c r="G5405" s="473"/>
      <c r="H5405" s="473"/>
      <c r="I5405" s="473"/>
      <c r="J5405" s="473"/>
      <c r="K5405" s="478"/>
      <c r="L5405" s="473"/>
      <c r="M5405" s="473"/>
    </row>
    <row r="5406" spans="5:13">
      <c r="E5406" s="473"/>
      <c r="F5406" s="473"/>
      <c r="G5406" s="473"/>
      <c r="H5406" s="473"/>
      <c r="I5406" s="473"/>
      <c r="J5406" s="473"/>
      <c r="K5406" s="478"/>
      <c r="L5406" s="473"/>
      <c r="M5406" s="473"/>
    </row>
    <row r="5407" spans="5:13">
      <c r="E5407" s="473"/>
      <c r="F5407" s="473"/>
      <c r="G5407" s="473"/>
      <c r="H5407" s="473"/>
      <c r="I5407" s="473"/>
      <c r="J5407" s="473"/>
      <c r="K5407" s="478"/>
      <c r="L5407" s="473"/>
      <c r="M5407" s="473"/>
    </row>
    <row r="5408" spans="5:13">
      <c r="E5408" s="473"/>
      <c r="F5408" s="473"/>
      <c r="G5408" s="473"/>
      <c r="H5408" s="473"/>
      <c r="I5408" s="473"/>
      <c r="J5408" s="473"/>
      <c r="K5408" s="478"/>
      <c r="L5408" s="473"/>
      <c r="M5408" s="473"/>
    </row>
    <row r="5409" spans="5:13">
      <c r="E5409" s="473"/>
      <c r="F5409" s="473"/>
      <c r="G5409" s="473"/>
      <c r="H5409" s="473"/>
      <c r="I5409" s="473"/>
      <c r="J5409" s="473"/>
      <c r="K5409" s="478"/>
      <c r="L5409" s="473"/>
      <c r="M5409" s="473"/>
    </row>
    <row r="5410" spans="5:13">
      <c r="E5410" s="473"/>
      <c r="F5410" s="473"/>
      <c r="G5410" s="473"/>
      <c r="H5410" s="473"/>
      <c r="I5410" s="473"/>
      <c r="J5410" s="473"/>
      <c r="K5410" s="478"/>
      <c r="L5410" s="473"/>
      <c r="M5410" s="473"/>
    </row>
    <row r="5411" spans="5:13">
      <c r="E5411" s="473"/>
      <c r="F5411" s="473"/>
      <c r="G5411" s="473"/>
      <c r="H5411" s="473"/>
      <c r="I5411" s="473"/>
      <c r="J5411" s="473"/>
      <c r="K5411" s="478"/>
      <c r="L5411" s="473"/>
      <c r="M5411" s="473"/>
    </row>
    <row r="5412" spans="5:13">
      <c r="E5412" s="473"/>
      <c r="F5412" s="473"/>
      <c r="G5412" s="473"/>
      <c r="H5412" s="473"/>
      <c r="I5412" s="473"/>
      <c r="J5412" s="473"/>
      <c r="K5412" s="478"/>
      <c r="L5412" s="473"/>
      <c r="M5412" s="473"/>
    </row>
    <row r="5413" spans="5:13">
      <c r="E5413" s="473"/>
      <c r="F5413" s="473"/>
      <c r="G5413" s="473"/>
      <c r="H5413" s="473"/>
      <c r="I5413" s="473"/>
      <c r="J5413" s="473"/>
      <c r="K5413" s="478"/>
      <c r="L5413" s="473"/>
      <c r="M5413" s="473"/>
    </row>
    <row r="5414" spans="5:13">
      <c r="E5414" s="473"/>
      <c r="F5414" s="473"/>
      <c r="G5414" s="473"/>
      <c r="H5414" s="473"/>
      <c r="I5414" s="473"/>
      <c r="J5414" s="473"/>
      <c r="K5414" s="478"/>
      <c r="L5414" s="473"/>
      <c r="M5414" s="473"/>
    </row>
    <row r="5415" spans="5:13">
      <c r="E5415" s="473"/>
      <c r="F5415" s="473"/>
      <c r="G5415" s="473"/>
      <c r="H5415" s="473"/>
      <c r="I5415" s="473"/>
      <c r="J5415" s="473"/>
      <c r="K5415" s="478"/>
      <c r="L5415" s="473"/>
      <c r="M5415" s="473"/>
    </row>
    <row r="5416" spans="5:13">
      <c r="E5416" s="473"/>
      <c r="F5416" s="473"/>
      <c r="G5416" s="473"/>
      <c r="H5416" s="473"/>
      <c r="I5416" s="473"/>
      <c r="J5416" s="473"/>
      <c r="K5416" s="478"/>
      <c r="L5416" s="473"/>
      <c r="M5416" s="473"/>
    </row>
    <row r="5417" spans="5:13">
      <c r="E5417" s="473"/>
      <c r="F5417" s="473"/>
      <c r="G5417" s="473"/>
      <c r="H5417" s="473"/>
      <c r="I5417" s="473"/>
      <c r="J5417" s="473"/>
      <c r="K5417" s="478"/>
      <c r="L5417" s="473"/>
      <c r="M5417" s="473"/>
    </row>
    <row r="5418" spans="5:13">
      <c r="E5418" s="473"/>
      <c r="F5418" s="473"/>
      <c r="G5418" s="473"/>
      <c r="H5418" s="473"/>
      <c r="I5418" s="473"/>
      <c r="J5418" s="473"/>
      <c r="K5418" s="478"/>
      <c r="L5418" s="473"/>
      <c r="M5418" s="473"/>
    </row>
    <row r="5419" spans="5:13">
      <c r="E5419" s="473"/>
      <c r="F5419" s="473"/>
      <c r="G5419" s="473"/>
      <c r="H5419" s="473"/>
      <c r="I5419" s="473"/>
      <c r="J5419" s="473"/>
      <c r="K5419" s="478"/>
      <c r="L5419" s="473"/>
      <c r="M5419" s="473"/>
    </row>
    <row r="5420" spans="5:13">
      <c r="E5420" s="473"/>
      <c r="F5420" s="473"/>
      <c r="G5420" s="473"/>
      <c r="H5420" s="473"/>
      <c r="I5420" s="473"/>
      <c r="J5420" s="473"/>
      <c r="K5420" s="478"/>
      <c r="L5420" s="473"/>
      <c r="M5420" s="473"/>
    </row>
    <row r="5421" spans="5:13">
      <c r="E5421" s="473"/>
      <c r="F5421" s="473"/>
      <c r="G5421" s="473"/>
      <c r="H5421" s="473"/>
      <c r="I5421" s="473"/>
      <c r="J5421" s="473"/>
      <c r="K5421" s="478"/>
      <c r="L5421" s="473"/>
      <c r="M5421" s="473"/>
    </row>
    <row r="5422" spans="5:13">
      <c r="E5422" s="473"/>
      <c r="F5422" s="473"/>
      <c r="G5422" s="473"/>
      <c r="H5422" s="473"/>
      <c r="I5422" s="473"/>
      <c r="J5422" s="473"/>
      <c r="K5422" s="478"/>
      <c r="L5422" s="473"/>
      <c r="M5422" s="473"/>
    </row>
    <row r="5423" spans="5:13">
      <c r="E5423" s="473"/>
      <c r="F5423" s="473"/>
      <c r="G5423" s="473"/>
      <c r="H5423" s="473"/>
      <c r="I5423" s="473"/>
      <c r="J5423" s="473"/>
      <c r="K5423" s="478"/>
      <c r="L5423" s="473"/>
      <c r="M5423" s="473"/>
    </row>
    <row r="5424" spans="5:13">
      <c r="E5424" s="473"/>
      <c r="F5424" s="473"/>
      <c r="G5424" s="473"/>
      <c r="H5424" s="473"/>
      <c r="I5424" s="473"/>
      <c r="J5424" s="473"/>
      <c r="K5424" s="478"/>
      <c r="L5424" s="473"/>
      <c r="M5424" s="473"/>
    </row>
    <row r="5425" spans="5:13">
      <c r="E5425" s="473"/>
      <c r="F5425" s="473"/>
      <c r="G5425" s="473"/>
      <c r="H5425" s="473"/>
      <c r="I5425" s="473"/>
      <c r="J5425" s="473"/>
      <c r="K5425" s="478"/>
      <c r="L5425" s="473"/>
      <c r="M5425" s="473"/>
    </row>
    <row r="5426" spans="5:13">
      <c r="E5426" s="473"/>
      <c r="F5426" s="473"/>
      <c r="G5426" s="473"/>
      <c r="H5426" s="473"/>
      <c r="I5426" s="473"/>
      <c r="J5426" s="473"/>
      <c r="K5426" s="478"/>
      <c r="L5426" s="473"/>
      <c r="M5426" s="473"/>
    </row>
    <row r="5427" spans="5:13">
      <c r="E5427" s="473"/>
      <c r="F5427" s="473"/>
      <c r="G5427" s="473"/>
      <c r="H5427" s="473"/>
      <c r="I5427" s="473"/>
      <c r="J5427" s="473"/>
      <c r="K5427" s="478"/>
      <c r="L5427" s="473"/>
      <c r="M5427" s="473"/>
    </row>
    <row r="5428" spans="5:13">
      <c r="E5428" s="473"/>
      <c r="F5428" s="473"/>
      <c r="G5428" s="473"/>
      <c r="H5428" s="473"/>
      <c r="I5428" s="473"/>
      <c r="J5428" s="473"/>
      <c r="K5428" s="478"/>
      <c r="L5428" s="473"/>
      <c r="M5428" s="473"/>
    </row>
    <row r="5429" spans="5:13">
      <c r="E5429" s="473"/>
      <c r="F5429" s="473"/>
      <c r="G5429" s="473"/>
      <c r="H5429" s="473"/>
      <c r="I5429" s="473"/>
      <c r="J5429" s="473"/>
      <c r="K5429" s="478"/>
      <c r="L5429" s="473"/>
      <c r="M5429" s="473"/>
    </row>
    <row r="5430" spans="5:13">
      <c r="E5430" s="473"/>
      <c r="F5430" s="473"/>
      <c r="G5430" s="473"/>
      <c r="H5430" s="473"/>
      <c r="I5430" s="473"/>
      <c r="J5430" s="473"/>
      <c r="K5430" s="478"/>
      <c r="L5430" s="473"/>
      <c r="M5430" s="473"/>
    </row>
    <row r="5431" spans="5:13">
      <c r="E5431" s="473"/>
      <c r="F5431" s="473"/>
      <c r="G5431" s="473"/>
      <c r="H5431" s="473"/>
      <c r="I5431" s="473"/>
      <c r="J5431" s="473"/>
      <c r="K5431" s="478"/>
      <c r="L5431" s="473"/>
      <c r="M5431" s="473"/>
    </row>
    <row r="5432" spans="5:13">
      <c r="E5432" s="473"/>
      <c r="F5432" s="473"/>
      <c r="G5432" s="473"/>
      <c r="H5432" s="473"/>
      <c r="I5432" s="473"/>
      <c r="J5432" s="473"/>
      <c r="K5432" s="478"/>
      <c r="L5432" s="473"/>
      <c r="M5432" s="473"/>
    </row>
    <row r="5433" spans="5:13">
      <c r="E5433" s="473"/>
      <c r="F5433" s="473"/>
      <c r="G5433" s="473"/>
      <c r="H5433" s="473"/>
      <c r="I5433" s="473"/>
      <c r="J5433" s="473"/>
      <c r="K5433" s="478"/>
      <c r="L5433" s="473"/>
      <c r="M5433" s="473"/>
    </row>
    <row r="5434" spans="5:13">
      <c r="E5434" s="473"/>
      <c r="F5434" s="473"/>
      <c r="G5434" s="473"/>
      <c r="H5434" s="473"/>
      <c r="I5434" s="473"/>
      <c r="J5434" s="473"/>
      <c r="K5434" s="478"/>
      <c r="L5434" s="473"/>
      <c r="M5434" s="473"/>
    </row>
    <row r="5435" spans="5:13">
      <c r="E5435" s="473"/>
      <c r="F5435" s="473"/>
      <c r="G5435" s="473"/>
      <c r="H5435" s="473"/>
      <c r="I5435" s="473"/>
      <c r="J5435" s="473"/>
      <c r="K5435" s="478"/>
      <c r="L5435" s="473"/>
      <c r="M5435" s="473"/>
    </row>
    <row r="5436" spans="5:13">
      <c r="E5436" s="473"/>
      <c r="F5436" s="473"/>
      <c r="G5436" s="473"/>
      <c r="H5436" s="473"/>
      <c r="I5436" s="473"/>
      <c r="J5436" s="473"/>
      <c r="K5436" s="478"/>
      <c r="L5436" s="473"/>
      <c r="M5436" s="473"/>
    </row>
    <row r="5437" spans="5:13">
      <c r="E5437" s="473"/>
      <c r="F5437" s="473"/>
      <c r="G5437" s="473"/>
      <c r="H5437" s="473"/>
      <c r="I5437" s="473"/>
      <c r="J5437" s="473"/>
      <c r="K5437" s="478"/>
      <c r="L5437" s="473"/>
      <c r="M5437" s="473"/>
    </row>
    <row r="5438" spans="5:13">
      <c r="E5438" s="473"/>
      <c r="F5438" s="473"/>
      <c r="G5438" s="473"/>
      <c r="H5438" s="473"/>
      <c r="I5438" s="473"/>
      <c r="J5438" s="473"/>
      <c r="K5438" s="478"/>
      <c r="L5438" s="473"/>
      <c r="M5438" s="473"/>
    </row>
    <row r="5439" spans="5:13">
      <c r="E5439" s="473"/>
      <c r="F5439" s="473"/>
      <c r="G5439" s="473"/>
      <c r="H5439" s="473"/>
      <c r="I5439" s="473"/>
      <c r="J5439" s="473"/>
      <c r="K5439" s="478"/>
      <c r="L5439" s="473"/>
      <c r="M5439" s="473"/>
    </row>
    <row r="5440" spans="5:13">
      <c r="E5440" s="473"/>
      <c r="F5440" s="473"/>
      <c r="G5440" s="473"/>
      <c r="H5440" s="473"/>
      <c r="I5440" s="473"/>
      <c r="J5440" s="473"/>
      <c r="K5440" s="478"/>
      <c r="L5440" s="473"/>
      <c r="M5440" s="473"/>
    </row>
    <row r="5441" spans="5:13">
      <c r="E5441" s="473"/>
      <c r="F5441" s="473"/>
      <c r="G5441" s="473"/>
      <c r="H5441" s="473"/>
      <c r="I5441" s="473"/>
      <c r="J5441" s="473"/>
      <c r="K5441" s="478"/>
      <c r="L5441" s="473"/>
      <c r="M5441" s="473"/>
    </row>
    <row r="5442" spans="5:13">
      <c r="E5442" s="473"/>
      <c r="F5442" s="473"/>
      <c r="G5442" s="473"/>
      <c r="H5442" s="473"/>
      <c r="I5442" s="473"/>
      <c r="J5442" s="473"/>
      <c r="K5442" s="478"/>
      <c r="L5442" s="473"/>
      <c r="M5442" s="473"/>
    </row>
    <row r="5443" spans="5:13">
      <c r="E5443" s="473"/>
      <c r="F5443" s="473"/>
      <c r="G5443" s="473"/>
      <c r="H5443" s="473"/>
      <c r="I5443" s="473"/>
      <c r="J5443" s="473"/>
      <c r="K5443" s="478"/>
      <c r="L5443" s="473"/>
      <c r="M5443" s="473"/>
    </row>
    <row r="5444" spans="5:13">
      <c r="E5444" s="473"/>
      <c r="F5444" s="473"/>
      <c r="G5444" s="473"/>
      <c r="H5444" s="473"/>
      <c r="I5444" s="473"/>
      <c r="J5444" s="473"/>
      <c r="K5444" s="478"/>
      <c r="L5444" s="473"/>
      <c r="M5444" s="473"/>
    </row>
    <row r="5445" spans="5:13">
      <c r="E5445" s="473"/>
      <c r="F5445" s="473"/>
      <c r="G5445" s="473"/>
      <c r="H5445" s="473"/>
      <c r="I5445" s="473"/>
      <c r="J5445" s="473"/>
      <c r="K5445" s="478"/>
      <c r="L5445" s="473"/>
      <c r="M5445" s="473"/>
    </row>
    <row r="5446" spans="5:13">
      <c r="E5446" s="473"/>
      <c r="F5446" s="473"/>
      <c r="G5446" s="473"/>
      <c r="H5446" s="473"/>
      <c r="I5446" s="473"/>
      <c r="J5446" s="473"/>
      <c r="K5446" s="478"/>
      <c r="L5446" s="473"/>
      <c r="M5446" s="473"/>
    </row>
    <row r="5447" spans="5:13">
      <c r="E5447" s="473"/>
      <c r="F5447" s="473"/>
      <c r="G5447" s="473"/>
      <c r="H5447" s="473"/>
      <c r="I5447" s="473"/>
      <c r="J5447" s="473"/>
      <c r="K5447" s="478"/>
      <c r="L5447" s="473"/>
      <c r="M5447" s="473"/>
    </row>
    <row r="5448" spans="5:13">
      <c r="E5448" s="473"/>
      <c r="F5448" s="473"/>
      <c r="G5448" s="473"/>
      <c r="H5448" s="473"/>
      <c r="I5448" s="473"/>
      <c r="J5448" s="473"/>
      <c r="K5448" s="478"/>
      <c r="L5448" s="473"/>
      <c r="M5448" s="473"/>
    </row>
    <row r="5449" spans="5:13">
      <c r="E5449" s="473"/>
      <c r="F5449" s="473"/>
      <c r="G5449" s="473"/>
      <c r="H5449" s="473"/>
      <c r="I5449" s="473"/>
      <c r="J5449" s="473"/>
      <c r="K5449" s="478"/>
      <c r="L5449" s="473"/>
      <c r="M5449" s="473"/>
    </row>
    <row r="5450" spans="5:13">
      <c r="E5450" s="473"/>
      <c r="F5450" s="473"/>
      <c r="G5450" s="473"/>
      <c r="H5450" s="473"/>
      <c r="I5450" s="473"/>
      <c r="J5450" s="473"/>
      <c r="K5450" s="478"/>
      <c r="L5450" s="473"/>
      <c r="M5450" s="473"/>
    </row>
    <row r="5451" spans="5:13">
      <c r="E5451" s="473"/>
      <c r="F5451" s="473"/>
      <c r="G5451" s="473"/>
      <c r="H5451" s="473"/>
      <c r="I5451" s="473"/>
      <c r="J5451" s="473"/>
      <c r="K5451" s="478"/>
      <c r="L5451" s="473"/>
      <c r="M5451" s="473"/>
    </row>
    <row r="5452" spans="5:13">
      <c r="E5452" s="473"/>
      <c r="F5452" s="473"/>
      <c r="G5452" s="473"/>
      <c r="H5452" s="473"/>
      <c r="I5452" s="473"/>
      <c r="J5452" s="473"/>
      <c r="K5452" s="478"/>
      <c r="L5452" s="473"/>
      <c r="M5452" s="473"/>
    </row>
    <row r="5453" spans="5:13">
      <c r="E5453" s="473"/>
      <c r="F5453" s="473"/>
      <c r="G5453" s="473"/>
      <c r="H5453" s="473"/>
      <c r="I5453" s="473"/>
      <c r="J5453" s="473"/>
      <c r="K5453" s="478"/>
      <c r="L5453" s="473"/>
      <c r="M5453" s="473"/>
    </row>
    <row r="5454" spans="5:13">
      <c r="E5454" s="473"/>
      <c r="F5454" s="473"/>
      <c r="G5454" s="473"/>
      <c r="H5454" s="473"/>
      <c r="I5454" s="473"/>
      <c r="J5454" s="473"/>
      <c r="K5454" s="478"/>
      <c r="L5454" s="473"/>
      <c r="M5454" s="473"/>
    </row>
    <row r="5455" spans="5:13">
      <c r="E5455" s="473"/>
      <c r="F5455" s="473"/>
      <c r="G5455" s="473"/>
      <c r="H5455" s="473"/>
      <c r="I5455" s="473"/>
      <c r="J5455" s="473"/>
      <c r="K5455" s="478"/>
      <c r="L5455" s="473"/>
      <c r="M5455" s="473"/>
    </row>
    <row r="5456" spans="5:13">
      <c r="E5456" s="473"/>
      <c r="F5456" s="473"/>
      <c r="G5456" s="473"/>
      <c r="H5456" s="473"/>
      <c r="I5456" s="473"/>
      <c r="J5456" s="473"/>
      <c r="K5456" s="478"/>
      <c r="L5456" s="473"/>
      <c r="M5456" s="473"/>
    </row>
    <row r="5457" spans="5:13">
      <c r="E5457" s="473"/>
      <c r="F5457" s="473"/>
      <c r="G5457" s="473"/>
      <c r="H5457" s="473"/>
      <c r="I5457" s="473"/>
      <c r="J5457" s="473"/>
      <c r="K5457" s="478"/>
      <c r="L5457" s="473"/>
      <c r="M5457" s="473"/>
    </row>
    <row r="5458" spans="5:13">
      <c r="E5458" s="473"/>
      <c r="F5458" s="473"/>
      <c r="G5458" s="473"/>
      <c r="H5458" s="473"/>
      <c r="I5458" s="473"/>
      <c r="J5458" s="473"/>
      <c r="K5458" s="478"/>
      <c r="L5458" s="473"/>
      <c r="M5458" s="473"/>
    </row>
    <row r="5459" spans="5:13">
      <c r="E5459" s="473"/>
      <c r="F5459" s="473"/>
      <c r="G5459" s="473"/>
      <c r="H5459" s="473"/>
      <c r="I5459" s="473"/>
      <c r="J5459" s="473"/>
      <c r="K5459" s="478"/>
      <c r="L5459" s="473"/>
      <c r="M5459" s="473"/>
    </row>
    <row r="5460" spans="5:13">
      <c r="E5460" s="473"/>
      <c r="F5460" s="473"/>
      <c r="G5460" s="473"/>
      <c r="H5460" s="473"/>
      <c r="I5460" s="473"/>
      <c r="J5460" s="473"/>
      <c r="K5460" s="478"/>
      <c r="L5460" s="473"/>
      <c r="M5460" s="473"/>
    </row>
    <row r="5461" spans="5:13">
      <c r="E5461" s="473"/>
      <c r="F5461" s="473"/>
      <c r="G5461" s="473"/>
      <c r="H5461" s="473"/>
      <c r="I5461" s="473"/>
      <c r="J5461" s="473"/>
      <c r="K5461" s="478"/>
      <c r="L5461" s="473"/>
      <c r="M5461" s="473"/>
    </row>
    <row r="5462" spans="5:13">
      <c r="E5462" s="473"/>
      <c r="F5462" s="473"/>
      <c r="G5462" s="473"/>
      <c r="H5462" s="473"/>
      <c r="I5462" s="473"/>
      <c r="J5462" s="473"/>
      <c r="K5462" s="478"/>
      <c r="L5462" s="473"/>
      <c r="M5462" s="473"/>
    </row>
    <row r="5463" spans="5:13">
      <c r="E5463" s="473"/>
      <c r="F5463" s="473"/>
      <c r="G5463" s="473"/>
      <c r="H5463" s="473"/>
      <c r="I5463" s="473"/>
      <c r="J5463" s="473"/>
      <c r="K5463" s="478"/>
      <c r="L5463" s="473"/>
      <c r="M5463" s="473"/>
    </row>
    <row r="5464" spans="5:13">
      <c r="E5464" s="473"/>
      <c r="F5464" s="473"/>
      <c r="G5464" s="473"/>
      <c r="H5464" s="473"/>
      <c r="I5464" s="473"/>
      <c r="J5464" s="473"/>
      <c r="K5464" s="478"/>
      <c r="L5464" s="473"/>
      <c r="M5464" s="473"/>
    </row>
    <row r="5465" spans="5:13">
      <c r="E5465" s="473"/>
      <c r="F5465" s="473"/>
      <c r="G5465" s="473"/>
      <c r="H5465" s="473"/>
      <c r="I5465" s="473"/>
      <c r="J5465" s="473"/>
      <c r="K5465" s="478"/>
      <c r="L5465" s="473"/>
      <c r="M5465" s="473"/>
    </row>
    <row r="5466" spans="5:13">
      <c r="E5466" s="473"/>
      <c r="F5466" s="473"/>
      <c r="G5466" s="473"/>
      <c r="H5466" s="473"/>
      <c r="I5466" s="473"/>
      <c r="J5466" s="473"/>
      <c r="K5466" s="478"/>
      <c r="L5466" s="473"/>
      <c r="M5466" s="473"/>
    </row>
    <row r="5467" spans="5:13">
      <c r="E5467" s="473"/>
      <c r="F5467" s="473"/>
      <c r="G5467" s="473"/>
      <c r="H5467" s="473"/>
      <c r="I5467" s="473"/>
      <c r="J5467" s="473"/>
      <c r="K5467" s="478"/>
      <c r="L5467" s="473"/>
      <c r="M5467" s="473"/>
    </row>
    <row r="5468" spans="5:13">
      <c r="E5468" s="473"/>
      <c r="F5468" s="473"/>
      <c r="G5468" s="473"/>
      <c r="H5468" s="473"/>
      <c r="I5468" s="473"/>
      <c r="J5468" s="473"/>
      <c r="K5468" s="478"/>
      <c r="L5468" s="473"/>
      <c r="M5468" s="473"/>
    </row>
    <row r="5469" spans="5:13">
      <c r="E5469" s="473"/>
      <c r="F5469" s="473"/>
      <c r="G5469" s="473"/>
      <c r="H5469" s="473"/>
      <c r="I5469" s="473"/>
      <c r="J5469" s="473"/>
      <c r="K5469" s="478"/>
      <c r="L5469" s="473"/>
      <c r="M5469" s="473"/>
    </row>
    <row r="5470" spans="5:13">
      <c r="E5470" s="473"/>
      <c r="F5470" s="473"/>
      <c r="G5470" s="473"/>
      <c r="H5470" s="473"/>
      <c r="I5470" s="473"/>
      <c r="J5470" s="473"/>
      <c r="K5470" s="478"/>
      <c r="L5470" s="473"/>
      <c r="M5470" s="473"/>
    </row>
    <row r="5471" spans="5:13">
      <c r="E5471" s="473"/>
      <c r="F5471" s="473"/>
      <c r="G5471" s="473"/>
      <c r="H5471" s="473"/>
      <c r="I5471" s="473"/>
      <c r="J5471" s="473"/>
      <c r="K5471" s="478"/>
      <c r="L5471" s="473"/>
      <c r="M5471" s="473"/>
    </row>
    <row r="5472" spans="5:13">
      <c r="E5472" s="473"/>
      <c r="F5472" s="473"/>
      <c r="G5472" s="473"/>
      <c r="H5472" s="473"/>
      <c r="I5472" s="473"/>
      <c r="J5472" s="473"/>
      <c r="K5472" s="478"/>
      <c r="L5472" s="473"/>
      <c r="M5472" s="473"/>
    </row>
    <row r="5473" spans="5:13">
      <c r="E5473" s="473"/>
      <c r="F5473" s="473"/>
      <c r="G5473" s="473"/>
      <c r="H5473" s="473"/>
      <c r="I5473" s="473"/>
      <c r="J5473" s="473"/>
      <c r="K5473" s="478"/>
      <c r="L5473" s="473"/>
      <c r="M5473" s="473"/>
    </row>
    <row r="5474" spans="5:13">
      <c r="E5474" s="473"/>
      <c r="F5474" s="473"/>
      <c r="G5474" s="473"/>
      <c r="H5474" s="473"/>
      <c r="I5474" s="473"/>
      <c r="J5474" s="473"/>
      <c r="K5474" s="478"/>
      <c r="L5474" s="473"/>
      <c r="M5474" s="473"/>
    </row>
    <row r="5475" spans="5:13">
      <c r="E5475" s="473"/>
      <c r="F5475" s="473"/>
      <c r="G5475" s="473"/>
      <c r="H5475" s="473"/>
      <c r="I5475" s="473"/>
      <c r="J5475" s="473"/>
      <c r="K5475" s="478"/>
      <c r="L5475" s="473"/>
      <c r="M5475" s="473"/>
    </row>
    <row r="5476" spans="5:13">
      <c r="E5476" s="473"/>
      <c r="F5476" s="473"/>
      <c r="G5476" s="473"/>
      <c r="H5476" s="473"/>
      <c r="I5476" s="473"/>
      <c r="J5476" s="473"/>
      <c r="K5476" s="478"/>
      <c r="L5476" s="473"/>
      <c r="M5476" s="473"/>
    </row>
    <row r="5477" spans="5:13">
      <c r="E5477" s="473"/>
      <c r="F5477" s="473"/>
      <c r="G5477" s="473"/>
      <c r="H5477" s="473"/>
      <c r="I5477" s="473"/>
      <c r="J5477" s="473"/>
      <c r="K5477" s="478"/>
      <c r="L5477" s="473"/>
      <c r="M5477" s="473"/>
    </row>
    <row r="5478" spans="5:13">
      <c r="E5478" s="473"/>
      <c r="F5478" s="473"/>
      <c r="G5478" s="473"/>
      <c r="H5478" s="473"/>
      <c r="I5478" s="473"/>
      <c r="J5478" s="473"/>
      <c r="K5478" s="478"/>
      <c r="L5478" s="473"/>
      <c r="M5478" s="473"/>
    </row>
    <row r="5479" spans="5:13">
      <c r="E5479" s="473"/>
      <c r="F5479" s="473"/>
      <c r="G5479" s="473"/>
      <c r="H5479" s="473"/>
      <c r="I5479" s="473"/>
      <c r="J5479" s="473"/>
      <c r="K5479" s="478"/>
      <c r="L5479" s="473"/>
      <c r="M5479" s="473"/>
    </row>
    <row r="5480" spans="5:13">
      <c r="E5480" s="473"/>
      <c r="F5480" s="473"/>
      <c r="G5480" s="473"/>
      <c r="H5480" s="473"/>
      <c r="I5480" s="473"/>
      <c r="J5480" s="473"/>
      <c r="K5480" s="478"/>
      <c r="L5480" s="473"/>
      <c r="M5480" s="473"/>
    </row>
    <row r="5481" spans="5:13">
      <c r="E5481" s="473"/>
      <c r="F5481" s="473"/>
      <c r="G5481" s="473"/>
      <c r="H5481" s="473"/>
      <c r="I5481" s="473"/>
      <c r="J5481" s="473"/>
      <c r="K5481" s="478"/>
      <c r="L5481" s="473"/>
      <c r="M5481" s="473"/>
    </row>
    <row r="5482" spans="5:13">
      <c r="E5482" s="473"/>
      <c r="F5482" s="473"/>
      <c r="G5482" s="473"/>
      <c r="H5482" s="473"/>
      <c r="I5482" s="473"/>
      <c r="J5482" s="473"/>
      <c r="K5482" s="478"/>
      <c r="L5482" s="473"/>
      <c r="M5482" s="473"/>
    </row>
    <row r="5483" spans="5:13">
      <c r="E5483" s="473"/>
      <c r="F5483" s="473"/>
      <c r="G5483" s="473"/>
      <c r="H5483" s="473"/>
      <c r="I5483" s="473"/>
      <c r="J5483" s="473"/>
      <c r="K5483" s="478"/>
      <c r="L5483" s="473"/>
      <c r="M5483" s="473"/>
    </row>
    <row r="5484" spans="5:13">
      <c r="E5484" s="473"/>
      <c r="F5484" s="473"/>
      <c r="G5484" s="473"/>
      <c r="H5484" s="473"/>
      <c r="I5484" s="473"/>
      <c r="J5484" s="473"/>
      <c r="K5484" s="478"/>
      <c r="L5484" s="473"/>
      <c r="M5484" s="473"/>
    </row>
    <row r="5485" spans="5:13">
      <c r="E5485" s="473"/>
      <c r="F5485" s="473"/>
      <c r="G5485" s="473"/>
      <c r="H5485" s="473"/>
      <c r="I5485" s="473"/>
      <c r="J5485" s="473"/>
      <c r="K5485" s="478"/>
      <c r="L5485" s="473"/>
      <c r="M5485" s="473"/>
    </row>
    <row r="5486" spans="5:13">
      <c r="E5486" s="473"/>
      <c r="F5486" s="473"/>
      <c r="G5486" s="473"/>
      <c r="H5486" s="473"/>
      <c r="I5486" s="473"/>
      <c r="J5486" s="473"/>
      <c r="K5486" s="478"/>
      <c r="L5486" s="473"/>
      <c r="M5486" s="473"/>
    </row>
    <row r="5487" spans="5:13">
      <c r="E5487" s="473"/>
      <c r="F5487" s="473"/>
      <c r="G5487" s="473"/>
      <c r="H5487" s="473"/>
      <c r="I5487" s="473"/>
      <c r="J5487" s="473"/>
      <c r="K5487" s="478"/>
      <c r="L5487" s="473"/>
      <c r="M5487" s="473"/>
    </row>
    <row r="5488" spans="5:13">
      <c r="E5488" s="473"/>
      <c r="F5488" s="473"/>
      <c r="G5488" s="473"/>
      <c r="H5488" s="473"/>
      <c r="I5488" s="473"/>
      <c r="J5488" s="473"/>
      <c r="K5488" s="478"/>
      <c r="L5488" s="473"/>
      <c r="M5488" s="473"/>
    </row>
    <row r="5489" spans="5:13">
      <c r="E5489" s="473"/>
      <c r="F5489" s="473"/>
      <c r="G5489" s="473"/>
      <c r="H5489" s="473"/>
      <c r="I5489" s="473"/>
      <c r="J5489" s="473"/>
      <c r="K5489" s="478"/>
      <c r="L5489" s="473"/>
      <c r="M5489" s="473"/>
    </row>
    <row r="5490" spans="5:13">
      <c r="E5490" s="473"/>
      <c r="F5490" s="473"/>
      <c r="G5490" s="473"/>
      <c r="H5490" s="473"/>
      <c r="I5490" s="473"/>
      <c r="J5490" s="473"/>
      <c r="K5490" s="478"/>
      <c r="L5490" s="473"/>
      <c r="M5490" s="473"/>
    </row>
    <row r="5491" spans="5:13">
      <c r="E5491" s="473"/>
      <c r="F5491" s="473"/>
      <c r="G5491" s="473"/>
      <c r="H5491" s="473"/>
      <c r="I5491" s="473"/>
      <c r="J5491" s="473"/>
      <c r="K5491" s="478"/>
      <c r="L5491" s="473"/>
      <c r="M5491" s="473"/>
    </row>
    <row r="5492" spans="5:13">
      <c r="E5492" s="473"/>
      <c r="F5492" s="473"/>
      <c r="G5492" s="473"/>
      <c r="H5492" s="473"/>
      <c r="I5492" s="473"/>
      <c r="J5492" s="473"/>
      <c r="K5492" s="478"/>
      <c r="L5492" s="473"/>
      <c r="M5492" s="473"/>
    </row>
    <row r="5493" spans="5:13">
      <c r="E5493" s="473"/>
      <c r="F5493" s="473"/>
      <c r="G5493" s="473"/>
      <c r="H5493" s="473"/>
      <c r="I5493" s="473"/>
      <c r="J5493" s="473"/>
      <c r="K5493" s="478"/>
      <c r="L5493" s="473"/>
      <c r="M5493" s="473"/>
    </row>
    <row r="5494" spans="5:13">
      <c r="E5494" s="473"/>
      <c r="F5494" s="473"/>
      <c r="G5494" s="473"/>
      <c r="H5494" s="473"/>
      <c r="I5494" s="473"/>
      <c r="J5494" s="473"/>
      <c r="K5494" s="478"/>
      <c r="L5494" s="473"/>
      <c r="M5494" s="473"/>
    </row>
    <row r="5495" spans="5:13">
      <c r="E5495" s="473"/>
      <c r="F5495" s="473"/>
      <c r="G5495" s="473"/>
      <c r="H5495" s="473"/>
      <c r="I5495" s="473"/>
      <c r="J5495" s="473"/>
      <c r="K5495" s="478"/>
      <c r="L5495" s="473"/>
      <c r="M5495" s="473"/>
    </row>
    <row r="5496" spans="5:13">
      <c r="E5496" s="473"/>
      <c r="F5496" s="473"/>
      <c r="G5496" s="473"/>
      <c r="H5496" s="473"/>
      <c r="I5496" s="473"/>
      <c r="J5496" s="473"/>
      <c r="K5496" s="478"/>
      <c r="L5496" s="473"/>
      <c r="M5496" s="473"/>
    </row>
    <row r="5497" spans="5:13">
      <c r="E5497" s="473"/>
      <c r="F5497" s="473"/>
      <c r="G5497" s="473"/>
      <c r="H5497" s="473"/>
      <c r="I5497" s="473"/>
      <c r="J5497" s="473"/>
      <c r="K5497" s="478"/>
      <c r="L5497" s="473"/>
      <c r="M5497" s="473"/>
    </row>
    <row r="5498" spans="5:13">
      <c r="E5498" s="473"/>
      <c r="F5498" s="473"/>
      <c r="G5498" s="473"/>
      <c r="H5498" s="473"/>
      <c r="I5498" s="473"/>
      <c r="J5498" s="473"/>
      <c r="K5498" s="478"/>
      <c r="L5498" s="473"/>
      <c r="M5498" s="473"/>
    </row>
    <row r="5499" spans="5:13">
      <c r="E5499" s="473"/>
      <c r="F5499" s="473"/>
      <c r="G5499" s="473"/>
      <c r="H5499" s="473"/>
      <c r="I5499" s="473"/>
      <c r="J5499" s="473"/>
      <c r="K5499" s="478"/>
      <c r="L5499" s="473"/>
      <c r="M5499" s="473"/>
    </row>
    <row r="5500" spans="5:13">
      <c r="E5500" s="473"/>
      <c r="F5500" s="473"/>
      <c r="G5500" s="473"/>
      <c r="H5500" s="473"/>
      <c r="I5500" s="473"/>
      <c r="J5500" s="473"/>
      <c r="K5500" s="478"/>
      <c r="L5500" s="473"/>
      <c r="M5500" s="473"/>
    </row>
    <row r="5501" spans="5:13">
      <c r="E5501" s="473"/>
      <c r="F5501" s="473"/>
      <c r="G5501" s="473"/>
      <c r="H5501" s="473"/>
      <c r="I5501" s="473"/>
      <c r="J5501" s="473"/>
      <c r="K5501" s="478"/>
      <c r="L5501" s="473"/>
      <c r="M5501" s="473"/>
    </row>
    <row r="5502" spans="5:13">
      <c r="E5502" s="473"/>
      <c r="F5502" s="473"/>
      <c r="G5502" s="473"/>
      <c r="H5502" s="473"/>
      <c r="I5502" s="473"/>
      <c r="J5502" s="473"/>
      <c r="K5502" s="478"/>
      <c r="L5502" s="473"/>
      <c r="M5502" s="473"/>
    </row>
    <row r="5503" spans="5:13">
      <c r="E5503" s="473"/>
      <c r="F5503" s="473"/>
      <c r="G5503" s="473"/>
      <c r="H5503" s="473"/>
      <c r="I5503" s="473"/>
      <c r="J5503" s="473"/>
      <c r="K5503" s="478"/>
      <c r="L5503" s="473"/>
      <c r="M5503" s="473"/>
    </row>
    <row r="5504" spans="5:13">
      <c r="E5504" s="473"/>
      <c r="F5504" s="473"/>
      <c r="G5504" s="473"/>
      <c r="H5504" s="473"/>
      <c r="I5504" s="473"/>
      <c r="J5504" s="473"/>
      <c r="K5504" s="478"/>
      <c r="L5504" s="473"/>
      <c r="M5504" s="473"/>
    </row>
    <row r="5505" spans="5:13">
      <c r="E5505" s="473"/>
      <c r="F5505" s="473"/>
      <c r="G5505" s="473"/>
      <c r="H5505" s="473"/>
      <c r="I5505" s="473"/>
      <c r="J5505" s="473"/>
      <c r="K5505" s="478"/>
      <c r="L5505" s="473"/>
      <c r="M5505" s="473"/>
    </row>
    <row r="5506" spans="5:13">
      <c r="E5506" s="473"/>
      <c r="F5506" s="473"/>
      <c r="G5506" s="473"/>
      <c r="H5506" s="473"/>
      <c r="I5506" s="473"/>
      <c r="J5506" s="473"/>
      <c r="K5506" s="478"/>
      <c r="L5506" s="473"/>
      <c r="M5506" s="473"/>
    </row>
    <row r="5507" spans="5:13">
      <c r="E5507" s="473"/>
      <c r="F5507" s="473"/>
      <c r="G5507" s="473"/>
      <c r="H5507" s="473"/>
      <c r="I5507" s="473"/>
      <c r="J5507" s="473"/>
      <c r="K5507" s="478"/>
      <c r="L5507" s="473"/>
      <c r="M5507" s="473"/>
    </row>
    <row r="5508" spans="5:13">
      <c r="E5508" s="473"/>
      <c r="F5508" s="473"/>
      <c r="G5508" s="473"/>
      <c r="H5508" s="473"/>
      <c r="I5508" s="473"/>
      <c r="J5508" s="473"/>
      <c r="K5508" s="478"/>
      <c r="L5508" s="473"/>
      <c r="M5508" s="473"/>
    </row>
    <row r="5509" spans="5:13">
      <c r="E5509" s="473"/>
      <c r="F5509" s="473"/>
      <c r="G5509" s="473"/>
      <c r="H5509" s="473"/>
      <c r="I5509" s="473"/>
      <c r="J5509" s="473"/>
      <c r="K5509" s="478"/>
      <c r="L5509" s="473"/>
      <c r="M5509" s="473"/>
    </row>
    <row r="5510" spans="5:13">
      <c r="E5510" s="473"/>
      <c r="F5510" s="473"/>
      <c r="G5510" s="473"/>
      <c r="H5510" s="473"/>
      <c r="I5510" s="473"/>
      <c r="J5510" s="473"/>
      <c r="K5510" s="478"/>
      <c r="L5510" s="473"/>
      <c r="M5510" s="473"/>
    </row>
    <row r="5511" spans="5:13">
      <c r="E5511" s="473"/>
      <c r="F5511" s="473"/>
      <c r="G5511" s="473"/>
      <c r="H5511" s="473"/>
      <c r="I5511" s="473"/>
      <c r="J5511" s="473"/>
      <c r="K5511" s="478"/>
      <c r="L5511" s="473"/>
      <c r="M5511" s="473"/>
    </row>
    <row r="5512" spans="5:13">
      <c r="E5512" s="473"/>
      <c r="F5512" s="473"/>
      <c r="G5512" s="473"/>
      <c r="H5512" s="473"/>
      <c r="I5512" s="473"/>
      <c r="J5512" s="473"/>
      <c r="K5512" s="478"/>
      <c r="L5512" s="473"/>
      <c r="M5512" s="473"/>
    </row>
    <row r="5513" spans="5:13">
      <c r="E5513" s="473"/>
      <c r="F5513" s="473"/>
      <c r="G5513" s="473"/>
      <c r="H5513" s="473"/>
      <c r="I5513" s="473"/>
      <c r="J5513" s="473"/>
      <c r="K5513" s="478"/>
      <c r="L5513" s="473"/>
      <c r="M5513" s="473"/>
    </row>
    <row r="5514" spans="5:13">
      <c r="E5514" s="473"/>
      <c r="F5514" s="473"/>
      <c r="G5514" s="473"/>
      <c r="H5514" s="473"/>
      <c r="I5514" s="473"/>
      <c r="J5514" s="473"/>
      <c r="K5514" s="478"/>
      <c r="L5514" s="473"/>
      <c r="M5514" s="473"/>
    </row>
    <row r="5515" spans="5:13">
      <c r="E5515" s="473"/>
      <c r="F5515" s="473"/>
      <c r="G5515" s="473"/>
      <c r="H5515" s="473"/>
      <c r="I5515" s="473"/>
      <c r="J5515" s="473"/>
      <c r="K5515" s="478"/>
      <c r="L5515" s="473"/>
      <c r="M5515" s="473"/>
    </row>
    <row r="5516" spans="5:13">
      <c r="E5516" s="473"/>
      <c r="F5516" s="473"/>
      <c r="G5516" s="473"/>
      <c r="H5516" s="473"/>
      <c r="I5516" s="473"/>
      <c r="J5516" s="473"/>
      <c r="K5516" s="478"/>
      <c r="L5516" s="473"/>
      <c r="M5516" s="473"/>
    </row>
    <row r="5517" spans="5:13">
      <c r="E5517" s="473"/>
      <c r="F5517" s="473"/>
      <c r="G5517" s="473"/>
      <c r="H5517" s="473"/>
      <c r="I5517" s="473"/>
      <c r="J5517" s="473"/>
      <c r="K5517" s="478"/>
      <c r="L5517" s="473"/>
      <c r="M5517" s="473"/>
    </row>
    <row r="5518" spans="5:13">
      <c r="E5518" s="473"/>
      <c r="F5518" s="473"/>
      <c r="G5518" s="473"/>
      <c r="H5518" s="473"/>
      <c r="I5518" s="473"/>
      <c r="J5518" s="473"/>
      <c r="K5518" s="478"/>
      <c r="L5518" s="473"/>
      <c r="M5518" s="473"/>
    </row>
    <row r="5519" spans="5:13">
      <c r="E5519" s="473"/>
      <c r="F5519" s="473"/>
      <c r="G5519" s="473"/>
      <c r="H5519" s="473"/>
      <c r="I5519" s="473"/>
      <c r="J5519" s="473"/>
      <c r="K5519" s="478"/>
      <c r="L5519" s="473"/>
      <c r="M5519" s="473"/>
    </row>
    <row r="5520" spans="5:13">
      <c r="E5520" s="473"/>
      <c r="F5520" s="473"/>
      <c r="G5520" s="473"/>
      <c r="H5520" s="473"/>
      <c r="I5520" s="473"/>
      <c r="J5520" s="473"/>
      <c r="K5520" s="478"/>
      <c r="L5520" s="473"/>
      <c r="M5520" s="473"/>
    </row>
    <row r="5521" spans="5:13">
      <c r="E5521" s="473"/>
      <c r="F5521" s="473"/>
      <c r="G5521" s="473"/>
      <c r="H5521" s="473"/>
      <c r="I5521" s="473"/>
      <c r="J5521" s="473"/>
      <c r="K5521" s="478"/>
      <c r="L5521" s="473"/>
      <c r="M5521" s="473"/>
    </row>
    <row r="5522" spans="5:13">
      <c r="E5522" s="473"/>
      <c r="F5522" s="473"/>
      <c r="G5522" s="473"/>
      <c r="H5522" s="473"/>
      <c r="I5522" s="473"/>
      <c r="J5522" s="473"/>
      <c r="K5522" s="478"/>
      <c r="L5522" s="473"/>
      <c r="M5522" s="473"/>
    </row>
    <row r="5523" spans="5:13">
      <c r="E5523" s="473"/>
      <c r="F5523" s="473"/>
      <c r="G5523" s="473"/>
      <c r="H5523" s="473"/>
      <c r="I5523" s="473"/>
      <c r="J5523" s="473"/>
      <c r="K5523" s="478"/>
      <c r="L5523" s="473"/>
      <c r="M5523" s="473"/>
    </row>
    <row r="5524" spans="5:13">
      <c r="E5524" s="473"/>
      <c r="F5524" s="473"/>
      <c r="G5524" s="473"/>
      <c r="H5524" s="473"/>
      <c r="I5524" s="473"/>
      <c r="J5524" s="473"/>
      <c r="K5524" s="478"/>
      <c r="L5524" s="473"/>
      <c r="M5524" s="473"/>
    </row>
    <row r="5525" spans="5:13">
      <c r="E5525" s="473"/>
      <c r="F5525" s="473"/>
      <c r="G5525" s="473"/>
      <c r="H5525" s="473"/>
      <c r="I5525" s="473"/>
      <c r="J5525" s="473"/>
      <c r="K5525" s="478"/>
      <c r="L5525" s="473"/>
      <c r="M5525" s="473"/>
    </row>
    <row r="5526" spans="5:13">
      <c r="E5526" s="473"/>
      <c r="F5526" s="473"/>
      <c r="G5526" s="473"/>
      <c r="H5526" s="473"/>
      <c r="I5526" s="473"/>
      <c r="J5526" s="473"/>
      <c r="K5526" s="478"/>
      <c r="L5526" s="473"/>
      <c r="M5526" s="473"/>
    </row>
    <row r="5527" spans="5:13">
      <c r="E5527" s="473"/>
      <c r="F5527" s="473"/>
      <c r="G5527" s="473"/>
      <c r="H5527" s="473"/>
      <c r="I5527" s="473"/>
      <c r="J5527" s="473"/>
      <c r="K5527" s="478"/>
      <c r="L5527" s="473"/>
      <c r="M5527" s="473"/>
    </row>
    <row r="5528" spans="5:13">
      <c r="E5528" s="473"/>
      <c r="F5528" s="473"/>
      <c r="G5528" s="473"/>
      <c r="H5528" s="473"/>
      <c r="I5528" s="473"/>
      <c r="J5528" s="473"/>
      <c r="K5528" s="478"/>
      <c r="L5528" s="473"/>
      <c r="M5528" s="473"/>
    </row>
    <row r="5529" spans="5:13">
      <c r="E5529" s="473"/>
      <c r="F5529" s="473"/>
      <c r="G5529" s="473"/>
      <c r="H5529" s="473"/>
      <c r="I5529" s="473"/>
      <c r="J5529" s="473"/>
      <c r="K5529" s="478"/>
      <c r="L5529" s="473"/>
      <c r="M5529" s="473"/>
    </row>
    <row r="5530" spans="5:13">
      <c r="E5530" s="473"/>
      <c r="F5530" s="473"/>
      <c r="G5530" s="473"/>
      <c r="H5530" s="473"/>
      <c r="I5530" s="473"/>
      <c r="J5530" s="473"/>
      <c r="K5530" s="478"/>
      <c r="L5530" s="473"/>
      <c r="M5530" s="473"/>
    </row>
    <row r="5531" spans="5:13">
      <c r="E5531" s="473"/>
      <c r="F5531" s="473"/>
      <c r="G5531" s="473"/>
      <c r="H5531" s="473"/>
      <c r="I5531" s="473"/>
      <c r="J5531" s="473"/>
      <c r="K5531" s="478"/>
      <c r="L5531" s="473"/>
      <c r="M5531" s="473"/>
    </row>
    <row r="5532" spans="5:13">
      <c r="E5532" s="473"/>
      <c r="F5532" s="473"/>
      <c r="G5532" s="473"/>
      <c r="H5532" s="473"/>
      <c r="I5532" s="473"/>
      <c r="J5532" s="473"/>
      <c r="K5532" s="478"/>
      <c r="L5532" s="473"/>
      <c r="M5532" s="473"/>
    </row>
    <row r="5533" spans="5:13">
      <c r="E5533" s="473"/>
      <c r="F5533" s="473"/>
      <c r="G5533" s="473"/>
      <c r="H5533" s="473"/>
      <c r="I5533" s="473"/>
      <c r="J5533" s="473"/>
      <c r="K5533" s="478"/>
      <c r="L5533" s="473"/>
      <c r="M5533" s="473"/>
    </row>
    <row r="5534" spans="5:13">
      <c r="E5534" s="473"/>
      <c r="F5534" s="473"/>
      <c r="G5534" s="473"/>
      <c r="H5534" s="473"/>
      <c r="I5534" s="473"/>
      <c r="J5534" s="473"/>
      <c r="K5534" s="478"/>
      <c r="L5534" s="473"/>
      <c r="M5534" s="473"/>
    </row>
    <row r="5535" spans="5:13">
      <c r="E5535" s="473"/>
      <c r="F5535" s="473"/>
      <c r="G5535" s="473"/>
      <c r="H5535" s="473"/>
      <c r="I5535" s="473"/>
      <c r="J5535" s="473"/>
      <c r="K5535" s="478"/>
      <c r="L5535" s="473"/>
      <c r="M5535" s="473"/>
    </row>
    <row r="5536" spans="5:13">
      <c r="E5536" s="473"/>
      <c r="F5536" s="473"/>
      <c r="G5536" s="473"/>
      <c r="H5536" s="473"/>
      <c r="I5536" s="473"/>
      <c r="J5536" s="473"/>
      <c r="K5536" s="478"/>
      <c r="L5536" s="473"/>
      <c r="M5536" s="473"/>
    </row>
    <row r="5537" spans="5:13">
      <c r="E5537" s="473"/>
      <c r="F5537" s="473"/>
      <c r="G5537" s="473"/>
      <c r="H5537" s="473"/>
      <c r="I5537" s="473"/>
      <c r="J5537" s="473"/>
      <c r="K5537" s="478"/>
      <c r="L5537" s="473"/>
      <c r="M5537" s="473"/>
    </row>
    <row r="5538" spans="5:13">
      <c r="E5538" s="473"/>
      <c r="F5538" s="473"/>
      <c r="G5538" s="473"/>
      <c r="H5538" s="473"/>
      <c r="I5538" s="473"/>
      <c r="J5538" s="473"/>
      <c r="K5538" s="478"/>
      <c r="L5538" s="473"/>
      <c r="M5538" s="473"/>
    </row>
    <row r="5539" spans="5:13">
      <c r="E5539" s="473"/>
      <c r="F5539" s="473"/>
      <c r="G5539" s="473"/>
      <c r="H5539" s="473"/>
      <c r="I5539" s="473"/>
      <c r="J5539" s="473"/>
      <c r="K5539" s="478"/>
      <c r="L5539" s="473"/>
      <c r="M5539" s="473"/>
    </row>
    <row r="5540" spans="5:13">
      <c r="E5540" s="473"/>
      <c r="F5540" s="473"/>
      <c r="G5540" s="473"/>
      <c r="H5540" s="473"/>
      <c r="I5540" s="473"/>
      <c r="J5540" s="473"/>
      <c r="K5540" s="478"/>
      <c r="L5540" s="473"/>
      <c r="M5540" s="473"/>
    </row>
    <row r="5541" spans="5:13">
      <c r="E5541" s="473"/>
      <c r="F5541" s="473"/>
      <c r="G5541" s="473"/>
      <c r="H5541" s="473"/>
      <c r="I5541" s="473"/>
      <c r="J5541" s="473"/>
      <c r="K5541" s="478"/>
      <c r="L5541" s="473"/>
      <c r="M5541" s="473"/>
    </row>
    <row r="5542" spans="5:13">
      <c r="E5542" s="473"/>
      <c r="F5542" s="473"/>
      <c r="G5542" s="473"/>
      <c r="H5542" s="473"/>
      <c r="I5542" s="473"/>
      <c r="J5542" s="473"/>
      <c r="K5542" s="478"/>
      <c r="L5542" s="473"/>
      <c r="M5542" s="473"/>
    </row>
    <row r="5543" spans="5:13">
      <c r="E5543" s="473"/>
      <c r="F5543" s="473"/>
      <c r="G5543" s="473"/>
      <c r="H5543" s="473"/>
      <c r="I5543" s="473"/>
      <c r="J5543" s="473"/>
      <c r="K5543" s="478"/>
      <c r="L5543" s="473"/>
      <c r="M5543" s="473"/>
    </row>
    <row r="5544" spans="5:13">
      <c r="E5544" s="473"/>
      <c r="F5544" s="473"/>
      <c r="G5544" s="473"/>
      <c r="H5544" s="473"/>
      <c r="I5544" s="473"/>
      <c r="J5544" s="473"/>
      <c r="K5544" s="478"/>
      <c r="L5544" s="473"/>
      <c r="M5544" s="473"/>
    </row>
    <row r="5545" spans="5:13">
      <c r="E5545" s="473"/>
      <c r="F5545" s="473"/>
      <c r="G5545" s="473"/>
      <c r="H5545" s="473"/>
      <c r="I5545" s="473"/>
      <c r="J5545" s="473"/>
      <c r="K5545" s="478"/>
      <c r="L5545" s="473"/>
      <c r="M5545" s="473"/>
    </row>
    <row r="5546" spans="5:13">
      <c r="E5546" s="473"/>
      <c r="F5546" s="473"/>
      <c r="G5546" s="473"/>
      <c r="H5546" s="473"/>
      <c r="I5546" s="473"/>
      <c r="J5546" s="473"/>
      <c r="K5546" s="478"/>
      <c r="L5546" s="473"/>
      <c r="M5546" s="473"/>
    </row>
    <row r="5547" spans="5:13">
      <c r="E5547" s="473"/>
      <c r="F5547" s="473"/>
      <c r="G5547" s="473"/>
      <c r="H5547" s="473"/>
      <c r="I5547" s="473"/>
      <c r="J5547" s="473"/>
      <c r="K5547" s="478"/>
      <c r="L5547" s="473"/>
      <c r="M5547" s="473"/>
    </row>
    <row r="5548" spans="5:13">
      <c r="E5548" s="473"/>
      <c r="F5548" s="473"/>
      <c r="G5548" s="473"/>
      <c r="H5548" s="473"/>
      <c r="I5548" s="473"/>
      <c r="J5548" s="473"/>
      <c r="K5548" s="478"/>
      <c r="L5548" s="473"/>
      <c r="M5548" s="473"/>
    </row>
    <row r="5549" spans="5:13">
      <c r="E5549" s="473"/>
      <c r="F5549" s="473"/>
      <c r="G5549" s="473"/>
      <c r="H5549" s="473"/>
      <c r="I5549" s="473"/>
      <c r="J5549" s="473"/>
      <c r="K5549" s="478"/>
      <c r="L5549" s="473"/>
      <c r="M5549" s="473"/>
    </row>
    <row r="5550" spans="5:13">
      <c r="E5550" s="473"/>
      <c r="F5550" s="473"/>
      <c r="G5550" s="473"/>
      <c r="H5550" s="473"/>
      <c r="I5550" s="473"/>
      <c r="J5550" s="473"/>
      <c r="K5550" s="478"/>
      <c r="L5550" s="473"/>
      <c r="M5550" s="473"/>
    </row>
    <row r="5551" spans="5:13">
      <c r="E5551" s="473"/>
      <c r="F5551" s="473"/>
      <c r="G5551" s="473"/>
      <c r="H5551" s="473"/>
      <c r="I5551" s="473"/>
      <c r="J5551" s="473"/>
      <c r="K5551" s="478"/>
      <c r="L5551" s="473"/>
      <c r="M5551" s="473"/>
    </row>
    <row r="5552" spans="5:13">
      <c r="E5552" s="473"/>
      <c r="F5552" s="473"/>
      <c r="G5552" s="473"/>
      <c r="H5552" s="473"/>
      <c r="I5552" s="473"/>
      <c r="J5552" s="473"/>
      <c r="K5552" s="478"/>
      <c r="L5552" s="473"/>
      <c r="M5552" s="473"/>
    </row>
    <row r="5553" spans="5:13">
      <c r="E5553" s="473"/>
      <c r="F5553" s="473"/>
      <c r="G5553" s="473"/>
      <c r="H5553" s="473"/>
      <c r="I5553" s="473"/>
      <c r="J5553" s="473"/>
      <c r="K5553" s="478"/>
      <c r="L5553" s="473"/>
      <c r="M5553" s="473"/>
    </row>
    <row r="5554" spans="5:13">
      <c r="E5554" s="473"/>
      <c r="F5554" s="473"/>
      <c r="G5554" s="473"/>
      <c r="H5554" s="473"/>
      <c r="I5554" s="473"/>
      <c r="J5554" s="473"/>
      <c r="K5554" s="478"/>
      <c r="L5554" s="473"/>
      <c r="M5554" s="473"/>
    </row>
    <row r="5555" spans="5:13">
      <c r="E5555" s="473"/>
      <c r="F5555" s="473"/>
      <c r="G5555" s="473"/>
      <c r="H5555" s="473"/>
      <c r="I5555" s="473"/>
      <c r="J5555" s="473"/>
      <c r="K5555" s="478"/>
      <c r="L5555" s="473"/>
      <c r="M5555" s="473"/>
    </row>
    <row r="5556" spans="5:13">
      <c r="E5556" s="473"/>
      <c r="F5556" s="473"/>
      <c r="G5556" s="473"/>
      <c r="H5556" s="473"/>
      <c r="I5556" s="473"/>
      <c r="J5556" s="473"/>
      <c r="K5556" s="478"/>
      <c r="L5556" s="473"/>
      <c r="M5556" s="473"/>
    </row>
    <row r="5557" spans="5:13">
      <c r="E5557" s="473"/>
      <c r="F5557" s="473"/>
      <c r="G5557" s="473"/>
      <c r="H5557" s="473"/>
      <c r="I5557" s="473"/>
      <c r="J5557" s="473"/>
      <c r="K5557" s="478"/>
      <c r="L5557" s="473"/>
      <c r="M5557" s="473"/>
    </row>
    <row r="5558" spans="5:13">
      <c r="E5558" s="473"/>
      <c r="F5558" s="473"/>
      <c r="G5558" s="473"/>
      <c r="H5558" s="473"/>
      <c r="I5558" s="473"/>
      <c r="J5558" s="473"/>
      <c r="K5558" s="478"/>
      <c r="L5558" s="473"/>
      <c r="M5558" s="473"/>
    </row>
    <row r="5559" spans="5:13">
      <c r="E5559" s="473"/>
      <c r="F5559" s="473"/>
      <c r="G5559" s="473"/>
      <c r="H5559" s="473"/>
      <c r="I5559" s="473"/>
      <c r="J5559" s="473"/>
      <c r="K5559" s="478"/>
      <c r="L5559" s="473"/>
      <c r="M5559" s="473"/>
    </row>
    <row r="5560" spans="5:13">
      <c r="E5560" s="473"/>
      <c r="F5560" s="473"/>
      <c r="G5560" s="473"/>
      <c r="H5560" s="473"/>
      <c r="I5560" s="473"/>
      <c r="J5560" s="473"/>
      <c r="K5560" s="478"/>
      <c r="L5560" s="473"/>
      <c r="M5560" s="473"/>
    </row>
    <row r="5561" spans="5:13">
      <c r="E5561" s="473"/>
      <c r="F5561" s="473"/>
      <c r="G5561" s="473"/>
      <c r="H5561" s="473"/>
      <c r="I5561" s="473"/>
      <c r="J5561" s="473"/>
      <c r="K5561" s="478"/>
      <c r="L5561" s="473"/>
      <c r="M5561" s="473"/>
    </row>
    <row r="5562" spans="5:13">
      <c r="E5562" s="473"/>
      <c r="F5562" s="473"/>
      <c r="G5562" s="473"/>
      <c r="H5562" s="473"/>
      <c r="I5562" s="473"/>
      <c r="J5562" s="473"/>
      <c r="K5562" s="478"/>
      <c r="L5562" s="473"/>
      <c r="M5562" s="473"/>
    </row>
    <row r="5563" spans="5:13">
      <c r="E5563" s="473"/>
      <c r="F5563" s="473"/>
      <c r="G5563" s="473"/>
      <c r="H5563" s="473"/>
      <c r="I5563" s="473"/>
      <c r="J5563" s="473"/>
      <c r="K5563" s="478"/>
      <c r="L5563" s="473"/>
      <c r="M5563" s="473"/>
    </row>
    <row r="5564" spans="5:13">
      <c r="E5564" s="473"/>
      <c r="F5564" s="473"/>
      <c r="G5564" s="473"/>
      <c r="H5564" s="473"/>
      <c r="I5564" s="473"/>
      <c r="J5564" s="473"/>
      <c r="K5564" s="478"/>
      <c r="L5564" s="473"/>
      <c r="M5564" s="473"/>
    </row>
    <row r="5565" spans="5:13">
      <c r="E5565" s="473"/>
      <c r="F5565" s="473"/>
      <c r="G5565" s="473"/>
      <c r="H5565" s="473"/>
      <c r="I5565" s="473"/>
      <c r="J5565" s="473"/>
      <c r="K5565" s="478"/>
      <c r="L5565" s="473"/>
      <c r="M5565" s="473"/>
    </row>
    <row r="5566" spans="5:13">
      <c r="E5566" s="473"/>
      <c r="F5566" s="473"/>
      <c r="G5566" s="473"/>
      <c r="H5566" s="473"/>
      <c r="I5566" s="473"/>
      <c r="J5566" s="473"/>
      <c r="K5566" s="478"/>
      <c r="L5566" s="473"/>
      <c r="M5566" s="473"/>
    </row>
    <row r="5567" spans="5:13">
      <c r="E5567" s="473"/>
      <c r="F5567" s="473"/>
      <c r="G5567" s="473"/>
      <c r="H5567" s="473"/>
      <c r="I5567" s="473"/>
      <c r="J5567" s="473"/>
      <c r="K5567" s="478"/>
      <c r="L5567" s="473"/>
      <c r="M5567" s="473"/>
    </row>
    <row r="5568" spans="5:13">
      <c r="E5568" s="473"/>
      <c r="F5568" s="473"/>
      <c r="G5568" s="473"/>
      <c r="H5568" s="473"/>
      <c r="I5568" s="473"/>
      <c r="J5568" s="473"/>
      <c r="K5568" s="478"/>
      <c r="L5568" s="473"/>
      <c r="M5568" s="473"/>
    </row>
    <row r="5569" spans="5:13">
      <c r="E5569" s="473"/>
      <c r="F5569" s="473"/>
      <c r="G5569" s="473"/>
      <c r="H5569" s="473"/>
      <c r="I5569" s="473"/>
      <c r="J5569" s="473"/>
      <c r="K5569" s="478"/>
      <c r="L5569" s="473"/>
      <c r="M5569" s="473"/>
    </row>
    <row r="5570" spans="5:13">
      <c r="E5570" s="473"/>
      <c r="F5570" s="473"/>
      <c r="G5570" s="473"/>
      <c r="H5570" s="473"/>
      <c r="I5570" s="473"/>
      <c r="J5570" s="473"/>
      <c r="K5570" s="478"/>
      <c r="L5570" s="473"/>
      <c r="M5570" s="473"/>
    </row>
    <row r="5571" spans="5:13">
      <c r="E5571" s="473"/>
      <c r="F5571" s="473"/>
      <c r="G5571" s="473"/>
      <c r="H5571" s="473"/>
      <c r="I5571" s="473"/>
      <c r="J5571" s="473"/>
      <c r="K5571" s="478"/>
      <c r="L5571" s="473"/>
      <c r="M5571" s="473"/>
    </row>
    <row r="5572" spans="5:13">
      <c r="E5572" s="473"/>
      <c r="F5572" s="473"/>
      <c r="G5572" s="473"/>
      <c r="H5572" s="473"/>
      <c r="I5572" s="473"/>
      <c r="J5572" s="473"/>
      <c r="K5572" s="478"/>
      <c r="L5572" s="473"/>
      <c r="M5572" s="473"/>
    </row>
    <row r="5573" spans="5:13">
      <c r="E5573" s="473"/>
      <c r="F5573" s="473"/>
      <c r="G5573" s="473"/>
      <c r="H5573" s="473"/>
      <c r="I5573" s="473"/>
      <c r="J5573" s="473"/>
      <c r="K5573" s="478"/>
      <c r="L5573" s="473"/>
      <c r="M5573" s="473"/>
    </row>
    <row r="5574" spans="5:13">
      <c r="E5574" s="473"/>
      <c r="F5574" s="473"/>
      <c r="G5574" s="473"/>
      <c r="H5574" s="473"/>
      <c r="I5574" s="473"/>
      <c r="J5574" s="473"/>
      <c r="K5574" s="478"/>
      <c r="L5574" s="473"/>
      <c r="M5574" s="473"/>
    </row>
    <row r="5575" spans="5:13">
      <c r="E5575" s="473"/>
      <c r="F5575" s="473"/>
      <c r="G5575" s="473"/>
      <c r="H5575" s="473"/>
      <c r="I5575" s="473"/>
      <c r="J5575" s="473"/>
      <c r="K5575" s="478"/>
      <c r="L5575" s="473"/>
      <c r="M5575" s="473"/>
    </row>
    <row r="5576" spans="5:13">
      <c r="E5576" s="473"/>
      <c r="F5576" s="473"/>
      <c r="G5576" s="473"/>
      <c r="H5576" s="473"/>
      <c r="I5576" s="473"/>
      <c r="J5576" s="473"/>
      <c r="K5576" s="478"/>
      <c r="L5576" s="473"/>
      <c r="M5576" s="473"/>
    </row>
    <row r="5577" spans="5:13">
      <c r="E5577" s="473"/>
      <c r="F5577" s="473"/>
      <c r="G5577" s="473"/>
      <c r="H5577" s="473"/>
      <c r="I5577" s="473"/>
      <c r="J5577" s="473"/>
      <c r="K5577" s="478"/>
      <c r="L5577" s="473"/>
      <c r="M5577" s="473"/>
    </row>
    <row r="5578" spans="5:13">
      <c r="E5578" s="473"/>
      <c r="F5578" s="473"/>
      <c r="G5578" s="473"/>
      <c r="H5578" s="473"/>
      <c r="I5578" s="473"/>
      <c r="J5578" s="473"/>
      <c r="K5578" s="478"/>
      <c r="L5578" s="473"/>
      <c r="M5578" s="473"/>
    </row>
    <row r="5579" spans="5:13">
      <c r="E5579" s="473"/>
      <c r="F5579" s="473"/>
      <c r="G5579" s="473"/>
      <c r="H5579" s="473"/>
      <c r="I5579" s="473"/>
      <c r="J5579" s="473"/>
      <c r="K5579" s="478"/>
      <c r="L5579" s="473"/>
      <c r="M5579" s="473"/>
    </row>
    <row r="5580" spans="5:13">
      <c r="E5580" s="473"/>
      <c r="F5580" s="473"/>
      <c r="G5580" s="473"/>
      <c r="H5580" s="473"/>
      <c r="I5580" s="473"/>
      <c r="J5580" s="473"/>
      <c r="K5580" s="478"/>
      <c r="L5580" s="473"/>
      <c r="M5580" s="473"/>
    </row>
    <row r="5581" spans="5:13">
      <c r="E5581" s="473"/>
      <c r="F5581" s="473"/>
      <c r="G5581" s="473"/>
      <c r="H5581" s="473"/>
      <c r="I5581" s="473"/>
      <c r="J5581" s="473"/>
      <c r="K5581" s="478"/>
      <c r="L5581" s="473"/>
      <c r="M5581" s="473"/>
    </row>
    <row r="5582" spans="5:13">
      <c r="E5582" s="473"/>
      <c r="F5582" s="473"/>
      <c r="G5582" s="473"/>
      <c r="H5582" s="473"/>
      <c r="I5582" s="473"/>
      <c r="J5582" s="473"/>
      <c r="K5582" s="478"/>
      <c r="L5582" s="473"/>
      <c r="M5582" s="473"/>
    </row>
    <row r="5583" spans="5:13">
      <c r="E5583" s="473"/>
      <c r="F5583" s="473"/>
      <c r="G5583" s="473"/>
      <c r="H5583" s="473"/>
      <c r="I5583" s="473"/>
      <c r="J5583" s="473"/>
      <c r="K5583" s="478"/>
      <c r="L5583" s="473"/>
      <c r="M5583" s="473"/>
    </row>
    <row r="5584" spans="5:13">
      <c r="E5584" s="473"/>
      <c r="F5584" s="473"/>
      <c r="G5584" s="473"/>
      <c r="H5584" s="473"/>
      <c r="I5584" s="473"/>
      <c r="J5584" s="473"/>
      <c r="K5584" s="478"/>
      <c r="L5584" s="473"/>
      <c r="M5584" s="473"/>
    </row>
    <row r="5585" spans="5:13">
      <c r="E5585" s="473"/>
      <c r="F5585" s="473"/>
      <c r="G5585" s="473"/>
      <c r="H5585" s="473"/>
      <c r="I5585" s="473"/>
      <c r="J5585" s="473"/>
      <c r="K5585" s="478"/>
      <c r="L5585" s="473"/>
      <c r="M5585" s="473"/>
    </row>
    <row r="5586" spans="5:13">
      <c r="E5586" s="473"/>
      <c r="F5586" s="473"/>
      <c r="G5586" s="473"/>
      <c r="H5586" s="473"/>
      <c r="I5586" s="473"/>
      <c r="J5586" s="473"/>
      <c r="K5586" s="478"/>
      <c r="L5586" s="473"/>
      <c r="M5586" s="473"/>
    </row>
    <row r="5587" spans="5:13">
      <c r="E5587" s="473"/>
      <c r="F5587" s="473"/>
      <c r="G5587" s="473"/>
      <c r="H5587" s="473"/>
      <c r="I5587" s="473"/>
      <c r="J5587" s="473"/>
      <c r="K5587" s="478"/>
      <c r="L5587" s="473"/>
      <c r="M5587" s="473"/>
    </row>
    <row r="5588" spans="5:13">
      <c r="E5588" s="473"/>
      <c r="F5588" s="473"/>
      <c r="G5588" s="473"/>
      <c r="H5588" s="473"/>
      <c r="I5588" s="473"/>
      <c r="J5588" s="473"/>
      <c r="K5588" s="478"/>
      <c r="L5588" s="473"/>
      <c r="M5588" s="473"/>
    </row>
    <row r="5589" spans="5:13">
      <c r="E5589" s="473"/>
      <c r="F5589" s="473"/>
      <c r="G5589" s="473"/>
      <c r="H5589" s="473"/>
      <c r="I5589" s="473"/>
      <c r="J5589" s="473"/>
      <c r="K5589" s="478"/>
      <c r="L5589" s="473"/>
      <c r="M5589" s="473"/>
    </row>
    <row r="5590" spans="5:13">
      <c r="E5590" s="473"/>
      <c r="F5590" s="473"/>
      <c r="G5590" s="473"/>
      <c r="H5590" s="473"/>
      <c r="I5590" s="473"/>
      <c r="J5590" s="473"/>
      <c r="K5590" s="478"/>
      <c r="L5590" s="473"/>
      <c r="M5590" s="473"/>
    </row>
    <row r="5591" spans="5:13">
      <c r="E5591" s="473"/>
      <c r="F5591" s="473"/>
      <c r="G5591" s="473"/>
      <c r="H5591" s="473"/>
      <c r="I5591" s="473"/>
      <c r="J5591" s="473"/>
      <c r="K5591" s="478"/>
      <c r="L5591" s="473"/>
      <c r="M5591" s="473"/>
    </row>
    <row r="5592" spans="5:13">
      <c r="E5592" s="473"/>
      <c r="F5592" s="473"/>
      <c r="G5592" s="473"/>
      <c r="H5592" s="473"/>
      <c r="I5592" s="473"/>
      <c r="J5592" s="473"/>
      <c r="K5592" s="478"/>
      <c r="L5592" s="473"/>
      <c r="M5592" s="473"/>
    </row>
    <row r="5593" spans="5:13">
      <c r="E5593" s="473"/>
      <c r="F5593" s="473"/>
      <c r="G5593" s="473"/>
      <c r="H5593" s="473"/>
      <c r="I5593" s="473"/>
      <c r="J5593" s="473"/>
      <c r="K5593" s="478"/>
      <c r="L5593" s="473"/>
      <c r="M5593" s="473"/>
    </row>
    <row r="5594" spans="5:13">
      <c r="E5594" s="473"/>
      <c r="F5594" s="473"/>
      <c r="G5594" s="473"/>
      <c r="H5594" s="473"/>
      <c r="I5594" s="473"/>
      <c r="J5594" s="473"/>
      <c r="K5594" s="478"/>
      <c r="L5594" s="473"/>
      <c r="M5594" s="473"/>
    </row>
    <row r="5595" spans="5:13">
      <c r="E5595" s="473"/>
      <c r="F5595" s="473"/>
      <c r="G5595" s="473"/>
      <c r="H5595" s="473"/>
      <c r="I5595" s="473"/>
      <c r="J5595" s="473"/>
      <c r="K5595" s="478"/>
      <c r="L5595" s="473"/>
      <c r="M5595" s="473"/>
    </row>
    <row r="5596" spans="5:13">
      <c r="E5596" s="473"/>
      <c r="F5596" s="473"/>
      <c r="G5596" s="473"/>
      <c r="H5596" s="473"/>
      <c r="I5596" s="473"/>
      <c r="J5596" s="473"/>
      <c r="K5596" s="478"/>
      <c r="L5596" s="473"/>
      <c r="M5596" s="473"/>
    </row>
    <row r="5597" spans="5:13">
      <c r="E5597" s="473"/>
      <c r="F5597" s="473"/>
      <c r="G5597" s="473"/>
      <c r="H5597" s="473"/>
      <c r="I5597" s="473"/>
      <c r="J5597" s="473"/>
      <c r="K5597" s="478"/>
      <c r="L5597" s="473"/>
      <c r="M5597" s="473"/>
    </row>
    <row r="5598" spans="5:13">
      <c r="E5598" s="473"/>
      <c r="F5598" s="473"/>
      <c r="G5598" s="473"/>
      <c r="H5598" s="473"/>
      <c r="I5598" s="473"/>
      <c r="J5598" s="473"/>
      <c r="K5598" s="478"/>
      <c r="L5598" s="473"/>
      <c r="M5598" s="473"/>
    </row>
    <row r="5599" spans="5:13">
      <c r="E5599" s="473"/>
      <c r="F5599" s="473"/>
      <c r="G5599" s="473"/>
      <c r="H5599" s="473"/>
      <c r="I5599" s="473"/>
      <c r="J5599" s="473"/>
      <c r="K5599" s="478"/>
      <c r="L5599" s="473"/>
      <c r="M5599" s="473"/>
    </row>
    <row r="5600" spans="5:13">
      <c r="E5600" s="473"/>
      <c r="F5600" s="473"/>
      <c r="G5600" s="473"/>
      <c r="H5600" s="473"/>
      <c r="I5600" s="473"/>
      <c r="J5600" s="473"/>
      <c r="K5600" s="478"/>
      <c r="L5600" s="473"/>
      <c r="M5600" s="473"/>
    </row>
    <row r="5601" spans="5:13">
      <c r="E5601" s="473"/>
      <c r="F5601" s="473"/>
      <c r="G5601" s="473"/>
      <c r="H5601" s="473"/>
      <c r="I5601" s="473"/>
      <c r="J5601" s="473"/>
      <c r="K5601" s="478"/>
      <c r="L5601" s="473"/>
      <c r="M5601" s="473"/>
    </row>
    <row r="5602" spans="5:13">
      <c r="E5602" s="473"/>
      <c r="F5602" s="473"/>
      <c r="G5602" s="473"/>
      <c r="H5602" s="473"/>
      <c r="I5602" s="473"/>
      <c r="J5602" s="473"/>
      <c r="K5602" s="478"/>
      <c r="L5602" s="473"/>
      <c r="M5602" s="473"/>
    </row>
    <row r="5603" spans="5:13">
      <c r="E5603" s="473"/>
      <c r="F5603" s="473"/>
      <c r="G5603" s="473"/>
      <c r="H5603" s="473"/>
      <c r="I5603" s="473"/>
      <c r="J5603" s="473"/>
      <c r="K5603" s="478"/>
      <c r="L5603" s="473"/>
      <c r="M5603" s="473"/>
    </row>
    <row r="5604" spans="5:13">
      <c r="E5604" s="473"/>
      <c r="F5604" s="473"/>
      <c r="G5604" s="473"/>
      <c r="H5604" s="473"/>
      <c r="I5604" s="473"/>
      <c r="J5604" s="473"/>
      <c r="K5604" s="478"/>
      <c r="L5604" s="473"/>
      <c r="M5604" s="473"/>
    </row>
    <row r="5605" spans="5:13">
      <c r="E5605" s="473"/>
      <c r="F5605" s="473"/>
      <c r="G5605" s="473"/>
      <c r="H5605" s="473"/>
      <c r="I5605" s="473"/>
      <c r="J5605" s="473"/>
      <c r="K5605" s="478"/>
      <c r="L5605" s="473"/>
      <c r="M5605" s="473"/>
    </row>
    <row r="5606" spans="5:13">
      <c r="E5606" s="473"/>
      <c r="F5606" s="473"/>
      <c r="G5606" s="473"/>
      <c r="H5606" s="473"/>
      <c r="I5606" s="473"/>
      <c r="J5606" s="473"/>
      <c r="K5606" s="478"/>
      <c r="L5606" s="473"/>
      <c r="M5606" s="473"/>
    </row>
    <row r="5607" spans="5:13">
      <c r="E5607" s="473"/>
      <c r="F5607" s="473"/>
      <c r="G5607" s="473"/>
      <c r="H5607" s="473"/>
      <c r="I5607" s="473"/>
      <c r="J5607" s="473"/>
      <c r="K5607" s="478"/>
      <c r="L5607" s="473"/>
      <c r="M5607" s="473"/>
    </row>
    <row r="5608" spans="5:13">
      <c r="E5608" s="473"/>
      <c r="F5608" s="473"/>
      <c r="G5608" s="473"/>
      <c r="H5608" s="473"/>
      <c r="I5608" s="473"/>
      <c r="J5608" s="473"/>
      <c r="K5608" s="478"/>
      <c r="L5608" s="473"/>
      <c r="M5608" s="473"/>
    </row>
    <row r="5609" spans="5:13">
      <c r="E5609" s="473"/>
      <c r="F5609" s="473"/>
      <c r="G5609" s="473"/>
      <c r="H5609" s="473"/>
      <c r="I5609" s="473"/>
      <c r="J5609" s="473"/>
      <c r="K5609" s="478"/>
      <c r="L5609" s="473"/>
      <c r="M5609" s="473"/>
    </row>
    <row r="5610" spans="5:13">
      <c r="E5610" s="473"/>
      <c r="F5610" s="473"/>
      <c r="G5610" s="473"/>
      <c r="H5610" s="473"/>
      <c r="I5610" s="473"/>
      <c r="J5610" s="473"/>
      <c r="K5610" s="478"/>
      <c r="L5610" s="473"/>
      <c r="M5610" s="473"/>
    </row>
    <row r="5611" spans="5:13">
      <c r="E5611" s="473"/>
      <c r="F5611" s="473"/>
      <c r="G5611" s="473"/>
      <c r="H5611" s="473"/>
      <c r="I5611" s="473"/>
      <c r="J5611" s="473"/>
      <c r="K5611" s="478"/>
      <c r="L5611" s="473"/>
      <c r="M5611" s="473"/>
    </row>
    <row r="5612" spans="5:13">
      <c r="E5612" s="473"/>
      <c r="F5612" s="473"/>
      <c r="G5612" s="473"/>
      <c r="H5612" s="473"/>
      <c r="I5612" s="473"/>
      <c r="J5612" s="473"/>
      <c r="K5612" s="478"/>
      <c r="L5612" s="473"/>
      <c r="M5612" s="473"/>
    </row>
    <row r="5613" spans="5:13">
      <c r="E5613" s="473"/>
      <c r="F5613" s="473"/>
      <c r="G5613" s="473"/>
      <c r="H5613" s="473"/>
      <c r="I5613" s="473"/>
      <c r="J5613" s="473"/>
      <c r="K5613" s="478"/>
      <c r="L5613" s="473"/>
      <c r="M5613" s="473"/>
    </row>
    <row r="5614" spans="5:13">
      <c r="E5614" s="473"/>
      <c r="F5614" s="473"/>
      <c r="G5614" s="473"/>
      <c r="H5614" s="473"/>
      <c r="I5614" s="473"/>
      <c r="J5614" s="473"/>
      <c r="K5614" s="478"/>
      <c r="L5614" s="473"/>
      <c r="M5614" s="473"/>
    </row>
    <row r="5615" spans="5:13">
      <c r="E5615" s="473"/>
      <c r="F5615" s="473"/>
      <c r="G5615" s="473"/>
      <c r="H5615" s="473"/>
      <c r="I5615" s="473"/>
      <c r="J5615" s="473"/>
      <c r="K5615" s="478"/>
      <c r="L5615" s="473"/>
      <c r="M5615" s="473"/>
    </row>
    <row r="5616" spans="5:13">
      <c r="E5616" s="473"/>
      <c r="F5616" s="473"/>
      <c r="G5616" s="473"/>
      <c r="H5616" s="473"/>
      <c r="I5616" s="473"/>
      <c r="J5616" s="473"/>
      <c r="K5616" s="478"/>
      <c r="L5616" s="473"/>
      <c r="M5616" s="473"/>
    </row>
    <row r="5617" spans="5:13">
      <c r="E5617" s="473"/>
      <c r="F5617" s="473"/>
      <c r="G5617" s="473"/>
      <c r="H5617" s="473"/>
      <c r="I5617" s="473"/>
      <c r="J5617" s="473"/>
      <c r="K5617" s="478"/>
      <c r="L5617" s="473"/>
      <c r="M5617" s="473"/>
    </row>
    <row r="5618" spans="5:13">
      <c r="E5618" s="473"/>
      <c r="F5618" s="473"/>
      <c r="G5618" s="473"/>
      <c r="H5618" s="473"/>
      <c r="I5618" s="473"/>
      <c r="J5618" s="473"/>
      <c r="K5618" s="478"/>
      <c r="L5618" s="473"/>
      <c r="M5618" s="473"/>
    </row>
    <row r="5619" spans="5:13">
      <c r="E5619" s="473"/>
      <c r="F5619" s="473"/>
      <c r="G5619" s="473"/>
      <c r="H5619" s="473"/>
      <c r="I5619" s="473"/>
      <c r="J5619" s="473"/>
      <c r="K5619" s="478"/>
      <c r="L5619" s="473"/>
      <c r="M5619" s="473"/>
    </row>
    <row r="5620" spans="5:13">
      <c r="E5620" s="473"/>
      <c r="F5620" s="473"/>
      <c r="G5620" s="473"/>
      <c r="H5620" s="473"/>
      <c r="I5620" s="473"/>
      <c r="J5620" s="473"/>
      <c r="K5620" s="478"/>
      <c r="L5620" s="473"/>
      <c r="M5620" s="473"/>
    </row>
    <row r="5621" spans="5:13">
      <c r="E5621" s="473"/>
      <c r="F5621" s="473"/>
      <c r="G5621" s="473"/>
      <c r="H5621" s="473"/>
      <c r="I5621" s="473"/>
      <c r="J5621" s="473"/>
      <c r="K5621" s="478"/>
      <c r="L5621" s="473"/>
      <c r="M5621" s="473"/>
    </row>
    <row r="5622" spans="5:13">
      <c r="E5622" s="473"/>
      <c r="F5622" s="473"/>
      <c r="G5622" s="473"/>
      <c r="H5622" s="473"/>
      <c r="I5622" s="473"/>
      <c r="J5622" s="473"/>
      <c r="K5622" s="478"/>
      <c r="L5622" s="473"/>
      <c r="M5622" s="473"/>
    </row>
    <row r="5623" spans="5:13">
      <c r="E5623" s="473"/>
      <c r="F5623" s="473"/>
      <c r="G5623" s="473"/>
      <c r="H5623" s="473"/>
      <c r="I5623" s="473"/>
      <c r="J5623" s="473"/>
      <c r="K5623" s="478"/>
      <c r="L5623" s="473"/>
      <c r="M5623" s="473"/>
    </row>
    <row r="5624" spans="5:13">
      <c r="E5624" s="473"/>
      <c r="F5624" s="473"/>
      <c r="G5624" s="473"/>
      <c r="H5624" s="473"/>
      <c r="I5624" s="473"/>
      <c r="J5624" s="473"/>
      <c r="K5624" s="478"/>
      <c r="L5624" s="473"/>
      <c r="M5624" s="473"/>
    </row>
    <row r="5625" spans="5:13">
      <c r="E5625" s="473"/>
      <c r="F5625" s="473"/>
      <c r="G5625" s="473"/>
      <c r="H5625" s="473"/>
      <c r="I5625" s="473"/>
      <c r="J5625" s="473"/>
      <c r="K5625" s="478"/>
      <c r="L5625" s="473"/>
      <c r="M5625" s="473"/>
    </row>
    <row r="5626" spans="5:13">
      <c r="E5626" s="473"/>
      <c r="F5626" s="473"/>
      <c r="G5626" s="473"/>
      <c r="H5626" s="473"/>
      <c r="I5626" s="473"/>
      <c r="J5626" s="473"/>
      <c r="K5626" s="478"/>
      <c r="L5626" s="473"/>
      <c r="M5626" s="473"/>
    </row>
    <row r="5627" spans="5:13">
      <c r="E5627" s="473"/>
      <c r="F5627" s="473"/>
      <c r="G5627" s="473"/>
      <c r="H5627" s="473"/>
      <c r="I5627" s="473"/>
      <c r="J5627" s="473"/>
      <c r="K5627" s="478"/>
      <c r="L5627" s="473"/>
      <c r="M5627" s="473"/>
    </row>
    <row r="5628" spans="5:13">
      <c r="E5628" s="473"/>
      <c r="F5628" s="473"/>
      <c r="G5628" s="473"/>
      <c r="H5628" s="473"/>
      <c r="I5628" s="473"/>
      <c r="J5628" s="473"/>
      <c r="K5628" s="478"/>
      <c r="L5628" s="473"/>
      <c r="M5628" s="473"/>
    </row>
    <row r="5629" spans="5:13">
      <c r="E5629" s="473"/>
      <c r="F5629" s="473"/>
      <c r="G5629" s="473"/>
      <c r="H5629" s="473"/>
      <c r="I5629" s="473"/>
      <c r="J5629" s="473"/>
      <c r="K5629" s="478"/>
      <c r="L5629" s="473"/>
      <c r="M5629" s="473"/>
    </row>
    <row r="5630" spans="5:13">
      <c r="E5630" s="473"/>
      <c r="F5630" s="473"/>
      <c r="G5630" s="473"/>
      <c r="H5630" s="473"/>
      <c r="I5630" s="473"/>
      <c r="J5630" s="473"/>
      <c r="K5630" s="478"/>
      <c r="L5630" s="473"/>
      <c r="M5630" s="473"/>
    </row>
    <row r="5631" spans="5:13">
      <c r="E5631" s="473"/>
      <c r="F5631" s="473"/>
      <c r="G5631" s="473"/>
      <c r="H5631" s="473"/>
      <c r="I5631" s="473"/>
      <c r="J5631" s="473"/>
      <c r="K5631" s="478"/>
      <c r="L5631" s="473"/>
      <c r="M5631" s="473"/>
    </row>
    <row r="5632" spans="5:13">
      <c r="E5632" s="473"/>
      <c r="F5632" s="473"/>
      <c r="G5632" s="473"/>
      <c r="H5632" s="473"/>
      <c r="I5632" s="473"/>
      <c r="J5632" s="473"/>
      <c r="K5632" s="478"/>
      <c r="L5632" s="473"/>
      <c r="M5632" s="473"/>
    </row>
    <row r="5633" spans="5:13">
      <c r="E5633" s="473"/>
      <c r="F5633" s="473"/>
      <c r="G5633" s="473"/>
      <c r="H5633" s="473"/>
      <c r="I5633" s="473"/>
      <c r="J5633" s="473"/>
      <c r="K5633" s="478"/>
      <c r="L5633" s="473"/>
      <c r="M5633" s="473"/>
    </row>
    <row r="5634" spans="5:13">
      <c r="E5634" s="473"/>
      <c r="F5634" s="473"/>
      <c r="G5634" s="473"/>
      <c r="H5634" s="473"/>
      <c r="I5634" s="473"/>
      <c r="J5634" s="473"/>
      <c r="K5634" s="478"/>
      <c r="L5634" s="473"/>
      <c r="M5634" s="473"/>
    </row>
    <row r="5635" spans="5:13">
      <c r="E5635" s="473"/>
      <c r="F5635" s="473"/>
      <c r="G5635" s="473"/>
      <c r="H5635" s="473"/>
      <c r="I5635" s="473"/>
      <c r="J5635" s="473"/>
      <c r="K5635" s="478"/>
      <c r="L5635" s="473"/>
      <c r="M5635" s="473"/>
    </row>
    <row r="5636" spans="5:13">
      <c r="E5636" s="473"/>
      <c r="F5636" s="473"/>
      <c r="G5636" s="473"/>
      <c r="H5636" s="473"/>
      <c r="I5636" s="473"/>
      <c r="J5636" s="473"/>
      <c r="K5636" s="478"/>
      <c r="L5636" s="473"/>
      <c r="M5636" s="473"/>
    </row>
    <row r="5637" spans="5:13">
      <c r="E5637" s="473"/>
      <c r="F5637" s="473"/>
      <c r="G5637" s="473"/>
      <c r="H5637" s="473"/>
      <c r="I5637" s="473"/>
      <c r="J5637" s="473"/>
      <c r="K5637" s="478"/>
      <c r="L5637" s="473"/>
      <c r="M5637" s="473"/>
    </row>
    <row r="5638" spans="5:13">
      <c r="E5638" s="473"/>
      <c r="F5638" s="473"/>
      <c r="G5638" s="473"/>
      <c r="H5638" s="473"/>
      <c r="I5638" s="473"/>
      <c r="J5638" s="473"/>
      <c r="K5638" s="478"/>
      <c r="L5638" s="473"/>
      <c r="M5638" s="473"/>
    </row>
    <row r="5639" spans="5:13">
      <c r="E5639" s="473"/>
      <c r="F5639" s="473"/>
      <c r="G5639" s="473"/>
      <c r="H5639" s="473"/>
      <c r="I5639" s="473"/>
      <c r="J5639" s="473"/>
      <c r="K5639" s="478"/>
      <c r="L5639" s="473"/>
      <c r="M5639" s="473"/>
    </row>
    <row r="5640" spans="5:13">
      <c r="E5640" s="473"/>
      <c r="F5640" s="473"/>
      <c r="G5640" s="473"/>
      <c r="H5640" s="473"/>
      <c r="I5640" s="473"/>
      <c r="J5640" s="473"/>
      <c r="K5640" s="478"/>
      <c r="L5640" s="473"/>
      <c r="M5640" s="473"/>
    </row>
    <row r="5641" spans="5:13">
      <c r="E5641" s="473"/>
      <c r="F5641" s="473"/>
      <c r="G5641" s="473"/>
      <c r="H5641" s="473"/>
      <c r="I5641" s="473"/>
      <c r="J5641" s="473"/>
      <c r="K5641" s="478"/>
      <c r="L5641" s="473"/>
      <c r="M5641" s="473"/>
    </row>
    <row r="5642" spans="5:13">
      <c r="E5642" s="473"/>
      <c r="F5642" s="473"/>
      <c r="G5642" s="473"/>
      <c r="H5642" s="473"/>
      <c r="I5642" s="473"/>
      <c r="J5642" s="473"/>
      <c r="K5642" s="478"/>
      <c r="L5642" s="473"/>
      <c r="M5642" s="473"/>
    </row>
    <row r="5643" spans="5:13">
      <c r="E5643" s="473"/>
      <c r="F5643" s="473"/>
      <c r="G5643" s="473"/>
      <c r="H5643" s="473"/>
      <c r="I5643" s="473"/>
      <c r="J5643" s="473"/>
      <c r="K5643" s="478"/>
      <c r="L5643" s="473"/>
      <c r="M5643" s="473"/>
    </row>
    <row r="5644" spans="5:13">
      <c r="E5644" s="473"/>
      <c r="F5644" s="473"/>
      <c r="G5644" s="473"/>
      <c r="H5644" s="473"/>
      <c r="I5644" s="473"/>
      <c r="J5644" s="473"/>
      <c r="K5644" s="478"/>
      <c r="L5644" s="473"/>
      <c r="M5644" s="473"/>
    </row>
    <row r="5645" spans="5:13">
      <c r="E5645" s="473"/>
      <c r="F5645" s="473"/>
      <c r="G5645" s="473"/>
      <c r="H5645" s="473"/>
      <c r="I5645" s="473"/>
      <c r="J5645" s="473"/>
      <c r="K5645" s="478"/>
      <c r="L5645" s="473"/>
      <c r="M5645" s="473"/>
    </row>
    <row r="5646" spans="5:13">
      <c r="E5646" s="473"/>
      <c r="F5646" s="473"/>
      <c r="G5646" s="473"/>
      <c r="H5646" s="473"/>
      <c r="I5646" s="473"/>
      <c r="J5646" s="473"/>
      <c r="K5646" s="478"/>
      <c r="L5646" s="473"/>
      <c r="M5646" s="473"/>
    </row>
    <row r="5647" spans="5:13">
      <c r="E5647" s="473"/>
      <c r="F5647" s="473"/>
      <c r="G5647" s="473"/>
      <c r="H5647" s="473"/>
      <c r="I5647" s="473"/>
      <c r="J5647" s="473"/>
      <c r="K5647" s="478"/>
      <c r="L5647" s="473"/>
      <c r="M5647" s="473"/>
    </row>
    <row r="5648" spans="5:13">
      <c r="E5648" s="473"/>
      <c r="F5648" s="473"/>
      <c r="G5648" s="473"/>
      <c r="H5648" s="473"/>
      <c r="I5648" s="473"/>
      <c r="J5648" s="473"/>
      <c r="K5648" s="478"/>
      <c r="L5648" s="473"/>
      <c r="M5648" s="473"/>
    </row>
    <row r="5649" spans="5:13">
      <c r="E5649" s="473"/>
      <c r="F5649" s="473"/>
      <c r="G5649" s="473"/>
      <c r="H5649" s="473"/>
      <c r="I5649" s="473"/>
      <c r="J5649" s="473"/>
      <c r="K5649" s="478"/>
      <c r="L5649" s="473"/>
      <c r="M5649" s="473"/>
    </row>
    <row r="5650" spans="5:13">
      <c r="E5650" s="473"/>
      <c r="F5650" s="473"/>
      <c r="G5650" s="473"/>
      <c r="H5650" s="473"/>
      <c r="I5650" s="473"/>
      <c r="J5650" s="473"/>
      <c r="K5650" s="478"/>
      <c r="L5650" s="473"/>
      <c r="M5650" s="473"/>
    </row>
    <row r="5651" spans="5:13">
      <c r="E5651" s="473"/>
      <c r="F5651" s="473"/>
      <c r="G5651" s="473"/>
      <c r="H5651" s="473"/>
      <c r="I5651" s="473"/>
      <c r="J5651" s="473"/>
      <c r="K5651" s="478"/>
      <c r="L5651" s="473"/>
      <c r="M5651" s="473"/>
    </row>
    <row r="5652" spans="5:13">
      <c r="E5652" s="473"/>
      <c r="F5652" s="473"/>
      <c r="G5652" s="473"/>
      <c r="H5652" s="473"/>
      <c r="I5652" s="473"/>
      <c r="J5652" s="473"/>
      <c r="K5652" s="478"/>
      <c r="L5652" s="473"/>
      <c r="M5652" s="473"/>
    </row>
    <row r="5653" spans="5:13">
      <c r="E5653" s="473"/>
      <c r="F5653" s="473"/>
      <c r="G5653" s="473"/>
      <c r="H5653" s="473"/>
      <c r="I5653" s="473"/>
      <c r="J5653" s="473"/>
      <c r="K5653" s="478"/>
      <c r="L5653" s="473"/>
      <c r="M5653" s="473"/>
    </row>
    <row r="5654" spans="5:13">
      <c r="E5654" s="473"/>
      <c r="F5654" s="473"/>
      <c r="G5654" s="473"/>
      <c r="H5654" s="473"/>
      <c r="I5654" s="473"/>
      <c r="J5654" s="473"/>
      <c r="K5654" s="478"/>
      <c r="L5654" s="473"/>
      <c r="M5654" s="473"/>
    </row>
    <row r="5655" spans="5:13">
      <c r="E5655" s="473"/>
      <c r="F5655" s="473"/>
      <c r="G5655" s="473"/>
      <c r="H5655" s="473"/>
      <c r="I5655" s="473"/>
      <c r="J5655" s="473"/>
      <c r="K5655" s="478"/>
      <c r="L5655" s="473"/>
      <c r="M5655" s="473"/>
    </row>
    <row r="5656" spans="5:13">
      <c r="E5656" s="473"/>
      <c r="F5656" s="473"/>
      <c r="G5656" s="473"/>
      <c r="H5656" s="473"/>
      <c r="I5656" s="473"/>
      <c r="J5656" s="473"/>
      <c r="K5656" s="478"/>
      <c r="L5656" s="473"/>
      <c r="M5656" s="473"/>
    </row>
    <row r="5657" spans="5:13">
      <c r="E5657" s="473"/>
      <c r="F5657" s="473"/>
      <c r="G5657" s="473"/>
      <c r="H5657" s="473"/>
      <c r="I5657" s="473"/>
      <c r="J5657" s="473"/>
      <c r="K5657" s="478"/>
      <c r="L5657" s="473"/>
      <c r="M5657" s="473"/>
    </row>
    <row r="5658" spans="5:13">
      <c r="E5658" s="473"/>
      <c r="F5658" s="473"/>
      <c r="G5658" s="473"/>
      <c r="H5658" s="473"/>
      <c r="I5658" s="473"/>
      <c r="J5658" s="473"/>
      <c r="K5658" s="478"/>
      <c r="L5658" s="473"/>
      <c r="M5658" s="473"/>
    </row>
    <row r="5659" spans="5:13">
      <c r="E5659" s="473"/>
      <c r="F5659" s="473"/>
      <c r="G5659" s="473"/>
      <c r="H5659" s="473"/>
      <c r="I5659" s="473"/>
      <c r="J5659" s="473"/>
      <c r="K5659" s="478"/>
      <c r="L5659" s="473"/>
      <c r="M5659" s="473"/>
    </row>
    <row r="5660" spans="5:13">
      <c r="E5660" s="473"/>
      <c r="F5660" s="473"/>
      <c r="G5660" s="473"/>
      <c r="H5660" s="473"/>
      <c r="I5660" s="473"/>
      <c r="J5660" s="473"/>
      <c r="K5660" s="478"/>
      <c r="L5660" s="473"/>
      <c r="M5660" s="473"/>
    </row>
    <row r="5661" spans="5:13">
      <c r="E5661" s="473"/>
      <c r="F5661" s="473"/>
      <c r="G5661" s="473"/>
      <c r="H5661" s="473"/>
      <c r="I5661" s="473"/>
      <c r="J5661" s="473"/>
      <c r="K5661" s="478"/>
      <c r="L5661" s="473"/>
      <c r="M5661" s="473"/>
    </row>
    <row r="5662" spans="5:13">
      <c r="E5662" s="473"/>
      <c r="F5662" s="473"/>
      <c r="G5662" s="473"/>
      <c r="H5662" s="473"/>
      <c r="I5662" s="473"/>
      <c r="J5662" s="473"/>
      <c r="K5662" s="478"/>
      <c r="L5662" s="473"/>
      <c r="M5662" s="473"/>
    </row>
    <row r="5663" spans="5:13">
      <c r="E5663" s="473"/>
      <c r="F5663" s="473"/>
      <c r="G5663" s="473"/>
      <c r="H5663" s="473"/>
      <c r="I5663" s="473"/>
      <c r="J5663" s="473"/>
      <c r="K5663" s="478"/>
      <c r="L5663" s="473"/>
      <c r="M5663" s="473"/>
    </row>
    <row r="5664" spans="5:13">
      <c r="E5664" s="473"/>
      <c r="F5664" s="473"/>
      <c r="G5664" s="473"/>
      <c r="H5664" s="473"/>
      <c r="I5664" s="473"/>
      <c r="J5664" s="473"/>
      <c r="K5664" s="478"/>
      <c r="L5664" s="473"/>
      <c r="M5664" s="473"/>
    </row>
    <row r="5665" spans="5:13">
      <c r="E5665" s="473"/>
      <c r="F5665" s="473"/>
      <c r="G5665" s="473"/>
      <c r="H5665" s="473"/>
      <c r="I5665" s="473"/>
      <c r="J5665" s="473"/>
      <c r="K5665" s="478"/>
      <c r="L5665" s="473"/>
      <c r="M5665" s="473"/>
    </row>
    <row r="5666" spans="5:13">
      <c r="E5666" s="473"/>
      <c r="F5666" s="473"/>
      <c r="G5666" s="473"/>
      <c r="H5666" s="473"/>
      <c r="I5666" s="473"/>
      <c r="J5666" s="473"/>
      <c r="K5666" s="478"/>
      <c r="L5666" s="473"/>
      <c r="M5666" s="473"/>
    </row>
    <row r="5667" spans="5:13">
      <c r="E5667" s="473"/>
      <c r="F5667" s="473"/>
      <c r="G5667" s="473"/>
      <c r="H5667" s="473"/>
      <c r="I5667" s="473"/>
      <c r="J5667" s="473"/>
      <c r="K5667" s="478"/>
      <c r="L5667" s="473"/>
      <c r="M5667" s="473"/>
    </row>
    <row r="5668" spans="5:13">
      <c r="E5668" s="473"/>
      <c r="F5668" s="473"/>
      <c r="G5668" s="473"/>
      <c r="H5668" s="473"/>
      <c r="I5668" s="473"/>
      <c r="J5668" s="473"/>
      <c r="K5668" s="478"/>
      <c r="L5668" s="473"/>
      <c r="M5668" s="473"/>
    </row>
    <row r="5669" spans="5:13">
      <c r="E5669" s="473"/>
      <c r="F5669" s="473"/>
      <c r="G5669" s="473"/>
      <c r="H5669" s="473"/>
      <c r="I5669" s="473"/>
      <c r="J5669" s="473"/>
      <c r="K5669" s="478"/>
      <c r="L5669" s="473"/>
      <c r="M5669" s="473"/>
    </row>
    <row r="5670" spans="5:13">
      <c r="E5670" s="473"/>
      <c r="F5670" s="473"/>
      <c r="G5670" s="473"/>
      <c r="H5670" s="473"/>
      <c r="I5670" s="473"/>
      <c r="J5670" s="473"/>
      <c r="K5670" s="478"/>
      <c r="L5670" s="473"/>
      <c r="M5670" s="473"/>
    </row>
    <row r="5671" spans="5:13">
      <c r="E5671" s="473"/>
      <c r="F5671" s="473"/>
      <c r="G5671" s="473"/>
      <c r="H5671" s="473"/>
      <c r="I5671" s="473"/>
      <c r="J5671" s="473"/>
      <c r="K5671" s="478"/>
      <c r="L5671" s="473"/>
      <c r="M5671" s="473"/>
    </row>
    <row r="5672" spans="5:13">
      <c r="E5672" s="473"/>
      <c r="F5672" s="473"/>
      <c r="G5672" s="473"/>
      <c r="H5672" s="473"/>
      <c r="I5672" s="473"/>
      <c r="J5672" s="473"/>
      <c r="K5672" s="478"/>
      <c r="L5672" s="473"/>
      <c r="M5672" s="473"/>
    </row>
    <row r="5673" spans="5:13">
      <c r="E5673" s="473"/>
      <c r="F5673" s="473"/>
      <c r="G5673" s="473"/>
      <c r="H5673" s="473"/>
      <c r="I5673" s="473"/>
      <c r="J5673" s="473"/>
      <c r="K5673" s="478"/>
      <c r="L5673" s="473"/>
      <c r="M5673" s="473"/>
    </row>
    <row r="5674" spans="5:13">
      <c r="E5674" s="473"/>
      <c r="F5674" s="473"/>
      <c r="G5674" s="473"/>
      <c r="H5674" s="473"/>
      <c r="I5674" s="473"/>
      <c r="J5674" s="473"/>
      <c r="K5674" s="478"/>
      <c r="L5674" s="473"/>
      <c r="M5674" s="473"/>
    </row>
    <row r="5675" spans="5:13">
      <c r="E5675" s="473"/>
      <c r="F5675" s="473"/>
      <c r="G5675" s="473"/>
      <c r="H5675" s="473"/>
      <c r="I5675" s="473"/>
      <c r="J5675" s="473"/>
      <c r="K5675" s="478"/>
      <c r="L5675" s="473"/>
      <c r="M5675" s="473"/>
    </row>
    <row r="5676" spans="5:13">
      <c r="E5676" s="473"/>
      <c r="F5676" s="473"/>
      <c r="G5676" s="473"/>
      <c r="H5676" s="473"/>
      <c r="I5676" s="473"/>
      <c r="J5676" s="473"/>
      <c r="K5676" s="478"/>
      <c r="L5676" s="473"/>
      <c r="M5676" s="473"/>
    </row>
    <row r="5677" spans="5:13">
      <c r="E5677" s="473"/>
      <c r="F5677" s="473"/>
      <c r="G5677" s="473"/>
      <c r="H5677" s="473"/>
      <c r="I5677" s="473"/>
      <c r="J5677" s="473"/>
      <c r="K5677" s="478"/>
      <c r="L5677" s="473"/>
      <c r="M5677" s="473"/>
    </row>
    <row r="5678" spans="5:13">
      <c r="E5678" s="473"/>
      <c r="F5678" s="473"/>
      <c r="G5678" s="473"/>
      <c r="H5678" s="473"/>
      <c r="I5678" s="473"/>
      <c r="J5678" s="473"/>
      <c r="K5678" s="478"/>
      <c r="L5678" s="473"/>
      <c r="M5678" s="473"/>
    </row>
    <row r="5679" spans="5:13">
      <c r="E5679" s="473"/>
      <c r="F5679" s="473"/>
      <c r="G5679" s="473"/>
      <c r="H5679" s="473"/>
      <c r="I5679" s="473"/>
      <c r="J5679" s="473"/>
      <c r="K5679" s="478"/>
      <c r="L5679" s="473"/>
      <c r="M5679" s="473"/>
    </row>
    <row r="5680" spans="5:13">
      <c r="E5680" s="473"/>
      <c r="F5680" s="473"/>
      <c r="G5680" s="473"/>
      <c r="H5680" s="473"/>
      <c r="I5680" s="473"/>
      <c r="J5680" s="473"/>
      <c r="K5680" s="478"/>
      <c r="L5680" s="473"/>
      <c r="M5680" s="473"/>
    </row>
    <row r="5681" spans="5:13">
      <c r="E5681" s="473"/>
      <c r="F5681" s="473"/>
      <c r="G5681" s="473"/>
      <c r="H5681" s="473"/>
      <c r="I5681" s="473"/>
      <c r="J5681" s="473"/>
      <c r="K5681" s="478"/>
      <c r="L5681" s="473"/>
      <c r="M5681" s="473"/>
    </row>
    <row r="5682" spans="5:13">
      <c r="E5682" s="473"/>
      <c r="F5682" s="473"/>
      <c r="G5682" s="473"/>
      <c r="H5682" s="473"/>
      <c r="I5682" s="473"/>
      <c r="J5682" s="473"/>
      <c r="K5682" s="478"/>
      <c r="L5682" s="473"/>
      <c r="M5682" s="473"/>
    </row>
    <row r="5683" spans="5:13">
      <c r="E5683" s="473"/>
      <c r="F5683" s="473"/>
      <c r="G5683" s="473"/>
      <c r="H5683" s="473"/>
      <c r="I5683" s="473"/>
      <c r="J5683" s="473"/>
      <c r="K5683" s="478"/>
      <c r="L5683" s="473"/>
      <c r="M5683" s="473"/>
    </row>
    <row r="5684" spans="5:13">
      <c r="E5684" s="473"/>
      <c r="F5684" s="473"/>
      <c r="G5684" s="473"/>
      <c r="H5684" s="473"/>
      <c r="I5684" s="473"/>
      <c r="J5684" s="473"/>
      <c r="K5684" s="478"/>
      <c r="L5684" s="473"/>
      <c r="M5684" s="473"/>
    </row>
    <row r="5685" spans="5:13">
      <c r="E5685" s="473"/>
      <c r="F5685" s="473"/>
      <c r="G5685" s="473"/>
      <c r="H5685" s="473"/>
      <c r="I5685" s="473"/>
      <c r="J5685" s="473"/>
      <c r="K5685" s="478"/>
      <c r="L5685" s="473"/>
      <c r="M5685" s="473"/>
    </row>
    <row r="5686" spans="5:13">
      <c r="E5686" s="473"/>
      <c r="F5686" s="473"/>
      <c r="G5686" s="473"/>
      <c r="H5686" s="473"/>
      <c r="I5686" s="473"/>
      <c r="J5686" s="473"/>
      <c r="K5686" s="478"/>
      <c r="L5686" s="473"/>
      <c r="M5686" s="473"/>
    </row>
    <row r="5687" spans="5:13">
      <c r="E5687" s="473"/>
      <c r="F5687" s="473"/>
      <c r="G5687" s="473"/>
      <c r="H5687" s="473"/>
      <c r="I5687" s="473"/>
      <c r="J5687" s="473"/>
      <c r="K5687" s="478"/>
      <c r="L5687" s="473"/>
      <c r="M5687" s="473"/>
    </row>
    <row r="5688" spans="5:13">
      <c r="E5688" s="473"/>
      <c r="F5688" s="473"/>
      <c r="G5688" s="473"/>
      <c r="H5688" s="473"/>
      <c r="I5688" s="473"/>
      <c r="J5688" s="473"/>
      <c r="K5688" s="478"/>
      <c r="L5688" s="473"/>
      <c r="M5688" s="473"/>
    </row>
    <row r="5689" spans="5:13">
      <c r="E5689" s="473"/>
      <c r="F5689" s="473"/>
      <c r="G5689" s="473"/>
      <c r="H5689" s="473"/>
      <c r="I5689" s="473"/>
      <c r="J5689" s="473"/>
      <c r="K5689" s="478"/>
      <c r="L5689" s="473"/>
      <c r="M5689" s="473"/>
    </row>
    <row r="5690" spans="5:13">
      <c r="E5690" s="473"/>
      <c r="F5690" s="473"/>
      <c r="G5690" s="473"/>
      <c r="H5690" s="473"/>
      <c r="I5690" s="473"/>
      <c r="J5690" s="473"/>
      <c r="K5690" s="478"/>
      <c r="L5690" s="473"/>
      <c r="M5690" s="473"/>
    </row>
    <row r="5691" spans="5:13">
      <c r="E5691" s="473"/>
      <c r="F5691" s="473"/>
      <c r="G5691" s="473"/>
      <c r="H5691" s="473"/>
      <c r="I5691" s="473"/>
      <c r="J5691" s="473"/>
      <c r="K5691" s="478"/>
      <c r="L5691" s="473"/>
      <c r="M5691" s="473"/>
    </row>
    <row r="5692" spans="5:13">
      <c r="E5692" s="473"/>
      <c r="F5692" s="473"/>
      <c r="G5692" s="473"/>
      <c r="H5692" s="473"/>
      <c r="I5692" s="473"/>
      <c r="J5692" s="473"/>
      <c r="K5692" s="478"/>
      <c r="L5692" s="473"/>
      <c r="M5692" s="473"/>
    </row>
    <row r="5693" spans="5:13">
      <c r="E5693" s="473"/>
      <c r="F5693" s="473"/>
      <c r="G5693" s="473"/>
      <c r="H5693" s="473"/>
      <c r="I5693" s="473"/>
      <c r="J5693" s="473"/>
      <c r="K5693" s="478"/>
      <c r="L5693" s="473"/>
      <c r="M5693" s="473"/>
    </row>
    <row r="5694" spans="5:13">
      <c r="E5694" s="473"/>
      <c r="F5694" s="473"/>
      <c r="G5694" s="473"/>
      <c r="H5694" s="473"/>
      <c r="I5694" s="473"/>
      <c r="J5694" s="473"/>
      <c r="K5694" s="478"/>
      <c r="L5694" s="473"/>
      <c r="M5694" s="473"/>
    </row>
    <row r="5695" spans="5:13">
      <c r="E5695" s="473"/>
      <c r="F5695" s="473"/>
      <c r="G5695" s="473"/>
      <c r="H5695" s="473"/>
      <c r="I5695" s="473"/>
      <c r="J5695" s="473"/>
      <c r="K5695" s="478"/>
      <c r="L5695" s="473"/>
      <c r="M5695" s="473"/>
    </row>
    <row r="5696" spans="5:13">
      <c r="E5696" s="473"/>
      <c r="F5696" s="473"/>
      <c r="G5696" s="473"/>
      <c r="H5696" s="473"/>
      <c r="I5696" s="473"/>
      <c r="J5696" s="473"/>
      <c r="K5696" s="478"/>
      <c r="L5696" s="473"/>
      <c r="M5696" s="473"/>
    </row>
    <row r="5697" spans="5:13">
      <c r="E5697" s="473"/>
      <c r="F5697" s="473"/>
      <c r="G5697" s="473"/>
      <c r="H5697" s="473"/>
      <c r="I5697" s="473"/>
      <c r="J5697" s="473"/>
      <c r="K5697" s="478"/>
      <c r="L5697" s="473"/>
      <c r="M5697" s="473"/>
    </row>
    <row r="5698" spans="5:13">
      <c r="E5698" s="473"/>
      <c r="F5698" s="473"/>
      <c r="G5698" s="473"/>
      <c r="H5698" s="473"/>
      <c r="I5698" s="473"/>
      <c r="J5698" s="473"/>
      <c r="K5698" s="478"/>
      <c r="L5698" s="473"/>
      <c r="M5698" s="473"/>
    </row>
    <row r="5699" spans="5:13">
      <c r="E5699" s="473"/>
      <c r="F5699" s="473"/>
      <c r="G5699" s="473"/>
      <c r="H5699" s="473"/>
      <c r="I5699" s="473"/>
      <c r="J5699" s="473"/>
      <c r="K5699" s="478"/>
      <c r="L5699" s="473"/>
      <c r="M5699" s="473"/>
    </row>
    <row r="5700" spans="5:13">
      <c r="E5700" s="473"/>
      <c r="F5700" s="473"/>
      <c r="G5700" s="473"/>
      <c r="H5700" s="473"/>
      <c r="I5700" s="473"/>
      <c r="J5700" s="473"/>
      <c r="K5700" s="478"/>
      <c r="L5700" s="473"/>
      <c r="M5700" s="473"/>
    </row>
    <row r="5701" spans="5:13">
      <c r="E5701" s="473"/>
      <c r="F5701" s="473"/>
      <c r="G5701" s="473"/>
      <c r="H5701" s="473"/>
      <c r="I5701" s="473"/>
      <c r="J5701" s="473"/>
      <c r="K5701" s="478"/>
      <c r="L5701" s="473"/>
      <c r="M5701" s="473"/>
    </row>
    <row r="5702" spans="5:13">
      <c r="E5702" s="473"/>
      <c r="F5702" s="473"/>
      <c r="G5702" s="473"/>
      <c r="H5702" s="473"/>
      <c r="I5702" s="473"/>
      <c r="J5702" s="473"/>
      <c r="K5702" s="478"/>
      <c r="L5702" s="473"/>
      <c r="M5702" s="473"/>
    </row>
    <row r="5703" spans="5:13">
      <c r="E5703" s="473"/>
      <c r="F5703" s="473"/>
      <c r="G5703" s="473"/>
      <c r="H5703" s="473"/>
      <c r="I5703" s="473"/>
      <c r="J5703" s="473"/>
      <c r="K5703" s="478"/>
      <c r="L5703" s="473"/>
      <c r="M5703" s="473"/>
    </row>
    <row r="5704" spans="5:13">
      <c r="E5704" s="473"/>
      <c r="F5704" s="473"/>
      <c r="G5704" s="473"/>
      <c r="H5704" s="473"/>
      <c r="I5704" s="473"/>
      <c r="J5704" s="473"/>
      <c r="K5704" s="478"/>
      <c r="L5704" s="473"/>
      <c r="M5704" s="473"/>
    </row>
    <row r="5705" spans="5:13">
      <c r="E5705" s="473"/>
      <c r="F5705" s="473"/>
      <c r="G5705" s="473"/>
      <c r="H5705" s="473"/>
      <c r="I5705" s="473"/>
      <c r="J5705" s="473"/>
      <c r="K5705" s="478"/>
      <c r="L5705" s="473"/>
      <c r="M5705" s="473"/>
    </row>
    <row r="5706" spans="5:13">
      <c r="E5706" s="473"/>
      <c r="F5706" s="473"/>
      <c r="G5706" s="473"/>
      <c r="H5706" s="473"/>
      <c r="I5706" s="473"/>
      <c r="J5706" s="473"/>
      <c r="K5706" s="478"/>
      <c r="L5706" s="473"/>
      <c r="M5706" s="473"/>
    </row>
    <row r="5707" spans="5:13">
      <c r="E5707" s="473"/>
      <c r="F5707" s="473"/>
      <c r="G5707" s="473"/>
      <c r="H5707" s="473"/>
      <c r="I5707" s="473"/>
      <c r="J5707" s="473"/>
      <c r="K5707" s="478"/>
      <c r="L5707" s="473"/>
      <c r="M5707" s="473"/>
    </row>
    <row r="5708" spans="5:13">
      <c r="E5708" s="473"/>
      <c r="F5708" s="473"/>
      <c r="G5708" s="473"/>
      <c r="H5708" s="473"/>
      <c r="I5708" s="473"/>
      <c r="J5708" s="473"/>
      <c r="K5708" s="478"/>
      <c r="L5708" s="473"/>
      <c r="M5708" s="473"/>
    </row>
    <row r="5709" spans="5:13">
      <c r="E5709" s="473"/>
      <c r="F5709" s="473"/>
      <c r="G5709" s="473"/>
      <c r="H5709" s="473"/>
      <c r="I5709" s="473"/>
      <c r="J5709" s="473"/>
      <c r="K5709" s="478"/>
      <c r="L5709" s="473"/>
      <c r="M5709" s="473"/>
    </row>
    <row r="5710" spans="5:13">
      <c r="E5710" s="473"/>
      <c r="F5710" s="473"/>
      <c r="G5710" s="473"/>
      <c r="H5710" s="473"/>
      <c r="I5710" s="473"/>
      <c r="J5710" s="473"/>
      <c r="K5710" s="478"/>
      <c r="L5710" s="473"/>
      <c r="M5710" s="473"/>
    </row>
    <row r="5711" spans="5:13">
      <c r="E5711" s="473"/>
      <c r="F5711" s="473"/>
      <c r="G5711" s="473"/>
      <c r="H5711" s="473"/>
      <c r="I5711" s="473"/>
      <c r="J5711" s="473"/>
      <c r="K5711" s="478"/>
      <c r="L5711" s="473"/>
      <c r="M5711" s="473"/>
    </row>
    <row r="5712" spans="5:13">
      <c r="E5712" s="473"/>
      <c r="F5712" s="473"/>
      <c r="G5712" s="473"/>
      <c r="H5712" s="473"/>
      <c r="I5712" s="473"/>
      <c r="J5712" s="473"/>
      <c r="K5712" s="478"/>
      <c r="L5712" s="473"/>
      <c r="M5712" s="473"/>
    </row>
    <row r="5713" spans="5:13">
      <c r="E5713" s="473"/>
      <c r="F5713" s="473"/>
      <c r="G5713" s="473"/>
      <c r="H5713" s="473"/>
      <c r="I5713" s="473"/>
      <c r="J5713" s="473"/>
      <c r="K5713" s="478"/>
      <c r="L5713" s="473"/>
      <c r="M5713" s="473"/>
    </row>
    <row r="5714" spans="5:13">
      <c r="E5714" s="473"/>
      <c r="F5714" s="473"/>
      <c r="G5714" s="473"/>
      <c r="H5714" s="473"/>
      <c r="I5714" s="473"/>
      <c r="J5714" s="473"/>
      <c r="K5714" s="478"/>
      <c r="L5714" s="473"/>
      <c r="M5714" s="473"/>
    </row>
    <row r="5715" spans="5:13">
      <c r="E5715" s="473"/>
      <c r="F5715" s="473"/>
      <c r="G5715" s="473"/>
      <c r="H5715" s="473"/>
      <c r="I5715" s="473"/>
      <c r="J5715" s="473"/>
      <c r="K5715" s="478"/>
      <c r="L5715" s="473"/>
      <c r="M5715" s="473"/>
    </row>
    <row r="5716" spans="5:13">
      <c r="E5716" s="473"/>
      <c r="F5716" s="473"/>
      <c r="G5716" s="473"/>
      <c r="H5716" s="473"/>
      <c r="I5716" s="473"/>
      <c r="J5716" s="473"/>
      <c r="K5716" s="478"/>
      <c r="L5716" s="473"/>
      <c r="M5716" s="473"/>
    </row>
    <row r="5717" spans="5:13">
      <c r="E5717" s="473"/>
      <c r="F5717" s="473"/>
      <c r="G5717" s="473"/>
      <c r="H5717" s="473"/>
      <c r="I5717" s="473"/>
      <c r="J5717" s="473"/>
      <c r="K5717" s="478"/>
      <c r="L5717" s="473"/>
      <c r="M5717" s="473"/>
    </row>
    <row r="5718" spans="5:13">
      <c r="E5718" s="473"/>
      <c r="F5718" s="473"/>
      <c r="G5718" s="473"/>
      <c r="H5718" s="473"/>
      <c r="I5718" s="473"/>
      <c r="J5718" s="473"/>
      <c r="K5718" s="478"/>
      <c r="L5718" s="473"/>
      <c r="M5718" s="473"/>
    </row>
    <row r="5719" spans="5:13">
      <c r="E5719" s="473"/>
      <c r="F5719" s="473"/>
      <c r="G5719" s="473"/>
      <c r="H5719" s="473"/>
      <c r="I5719" s="473"/>
      <c r="J5719" s="473"/>
      <c r="K5719" s="478"/>
      <c r="L5719" s="473"/>
      <c r="M5719" s="473"/>
    </row>
    <row r="5720" spans="5:13">
      <c r="E5720" s="473"/>
      <c r="F5720" s="473"/>
      <c r="G5720" s="473"/>
      <c r="H5720" s="473"/>
      <c r="I5720" s="473"/>
      <c r="J5720" s="473"/>
      <c r="K5720" s="478"/>
      <c r="L5720" s="473"/>
      <c r="M5720" s="473"/>
    </row>
    <row r="5721" spans="5:13">
      <c r="E5721" s="473"/>
      <c r="F5721" s="473"/>
      <c r="G5721" s="473"/>
      <c r="H5721" s="473"/>
      <c r="I5721" s="473"/>
      <c r="J5721" s="473"/>
      <c r="K5721" s="478"/>
      <c r="L5721" s="473"/>
      <c r="M5721" s="473"/>
    </row>
    <row r="5722" spans="5:13">
      <c r="E5722" s="473"/>
      <c r="F5722" s="473"/>
      <c r="G5722" s="473"/>
      <c r="H5722" s="473"/>
      <c r="I5722" s="473"/>
      <c r="J5722" s="473"/>
      <c r="K5722" s="478"/>
      <c r="L5722" s="473"/>
      <c r="M5722" s="473"/>
    </row>
    <row r="5723" spans="5:13">
      <c r="E5723" s="473"/>
      <c r="F5723" s="473"/>
      <c r="G5723" s="473"/>
      <c r="H5723" s="473"/>
      <c r="I5723" s="473"/>
      <c r="J5723" s="473"/>
      <c r="K5723" s="478"/>
      <c r="L5723" s="473"/>
      <c r="M5723" s="473"/>
    </row>
    <row r="5724" spans="5:13">
      <c r="E5724" s="473"/>
      <c r="F5724" s="473"/>
      <c r="G5724" s="473"/>
      <c r="H5724" s="473"/>
      <c r="I5724" s="473"/>
      <c r="J5724" s="473"/>
      <c r="K5724" s="478"/>
      <c r="L5724" s="473"/>
      <c r="M5724" s="473"/>
    </row>
    <row r="5725" spans="5:13">
      <c r="E5725" s="473"/>
      <c r="F5725" s="473"/>
      <c r="G5725" s="473"/>
      <c r="H5725" s="473"/>
      <c r="I5725" s="473"/>
      <c r="J5725" s="473"/>
      <c r="K5725" s="478"/>
      <c r="L5725" s="473"/>
      <c r="M5725" s="473"/>
    </row>
    <row r="5726" spans="5:13">
      <c r="E5726" s="473"/>
      <c r="F5726" s="473"/>
      <c r="G5726" s="473"/>
      <c r="H5726" s="473"/>
      <c r="I5726" s="473"/>
      <c r="J5726" s="473"/>
      <c r="K5726" s="478"/>
      <c r="L5726" s="473"/>
      <c r="M5726" s="473"/>
    </row>
    <row r="5727" spans="5:13">
      <c r="E5727" s="473"/>
      <c r="F5727" s="473"/>
      <c r="G5727" s="473"/>
      <c r="H5727" s="473"/>
      <c r="I5727" s="473"/>
      <c r="J5727" s="473"/>
      <c r="K5727" s="478"/>
      <c r="L5727" s="473"/>
      <c r="M5727" s="473"/>
    </row>
    <row r="5728" spans="5:13">
      <c r="E5728" s="473"/>
      <c r="F5728" s="473"/>
      <c r="G5728" s="473"/>
      <c r="H5728" s="473"/>
      <c r="I5728" s="473"/>
      <c r="J5728" s="473"/>
      <c r="K5728" s="478"/>
      <c r="L5728" s="473"/>
      <c r="M5728" s="473"/>
    </row>
    <row r="5729" spans="5:13">
      <c r="E5729" s="473"/>
      <c r="F5729" s="473"/>
      <c r="G5729" s="473"/>
      <c r="H5729" s="473"/>
      <c r="I5729" s="473"/>
      <c r="J5729" s="473"/>
      <c r="K5729" s="478"/>
      <c r="L5729" s="473"/>
      <c r="M5729" s="473"/>
    </row>
    <row r="5730" spans="5:13">
      <c r="E5730" s="473"/>
      <c r="F5730" s="473"/>
      <c r="G5730" s="473"/>
      <c r="H5730" s="473"/>
      <c r="I5730" s="473"/>
      <c r="J5730" s="473"/>
      <c r="K5730" s="478"/>
      <c r="L5730" s="473"/>
      <c r="M5730" s="473"/>
    </row>
    <row r="5731" spans="5:13">
      <c r="E5731" s="473"/>
      <c r="F5731" s="473"/>
      <c r="G5731" s="473"/>
      <c r="H5731" s="473"/>
      <c r="I5731" s="473"/>
      <c r="J5731" s="473"/>
      <c r="K5731" s="478"/>
      <c r="L5731" s="473"/>
      <c r="M5731" s="473"/>
    </row>
    <row r="5732" spans="5:13">
      <c r="E5732" s="473"/>
      <c r="F5732" s="473"/>
      <c r="G5732" s="473"/>
      <c r="H5732" s="473"/>
      <c r="I5732" s="473"/>
      <c r="J5732" s="473"/>
      <c r="K5732" s="478"/>
      <c r="L5732" s="473"/>
      <c r="M5732" s="473"/>
    </row>
    <row r="5733" spans="5:13">
      <c r="E5733" s="473"/>
      <c r="F5733" s="473"/>
      <c r="G5733" s="473"/>
      <c r="H5733" s="473"/>
      <c r="I5733" s="473"/>
      <c r="J5733" s="473"/>
      <c r="K5733" s="478"/>
      <c r="L5733" s="473"/>
      <c r="M5733" s="473"/>
    </row>
    <row r="5734" spans="5:13">
      <c r="E5734" s="473"/>
      <c r="F5734" s="473"/>
      <c r="G5734" s="473"/>
      <c r="H5734" s="473"/>
      <c r="I5734" s="473"/>
      <c r="J5734" s="473"/>
      <c r="K5734" s="478"/>
      <c r="L5734" s="473"/>
      <c r="M5734" s="473"/>
    </row>
    <row r="5735" spans="5:13">
      <c r="E5735" s="473"/>
      <c r="F5735" s="473"/>
      <c r="G5735" s="473"/>
      <c r="H5735" s="473"/>
      <c r="I5735" s="473"/>
      <c r="J5735" s="473"/>
      <c r="K5735" s="478"/>
      <c r="L5735" s="473"/>
      <c r="M5735" s="473"/>
    </row>
    <row r="5736" spans="5:13">
      <c r="E5736" s="473"/>
      <c r="F5736" s="473"/>
      <c r="G5736" s="473"/>
      <c r="H5736" s="473"/>
      <c r="I5736" s="473"/>
      <c r="J5736" s="473"/>
      <c r="K5736" s="478"/>
      <c r="L5736" s="473"/>
      <c r="M5736" s="473"/>
    </row>
    <row r="5737" spans="5:13">
      <c r="E5737" s="473"/>
      <c r="F5737" s="473"/>
      <c r="G5737" s="473"/>
      <c r="H5737" s="473"/>
      <c r="I5737" s="473"/>
      <c r="J5737" s="473"/>
      <c r="K5737" s="478"/>
      <c r="L5737" s="473"/>
      <c r="M5737" s="473"/>
    </row>
    <row r="5738" spans="5:13">
      <c r="E5738" s="473"/>
      <c r="F5738" s="473"/>
      <c r="G5738" s="473"/>
      <c r="H5738" s="473"/>
      <c r="I5738" s="473"/>
      <c r="J5738" s="473"/>
      <c r="K5738" s="478"/>
      <c r="L5738" s="473"/>
      <c r="M5738" s="473"/>
    </row>
    <row r="5739" spans="5:13">
      <c r="E5739" s="473"/>
      <c r="F5739" s="473"/>
      <c r="G5739" s="473"/>
      <c r="H5739" s="473"/>
      <c r="I5739" s="473"/>
      <c r="J5739" s="473"/>
      <c r="K5739" s="478"/>
      <c r="L5739" s="473"/>
      <c r="M5739" s="473"/>
    </row>
    <row r="5740" spans="5:13">
      <c r="E5740" s="473"/>
      <c r="F5740" s="473"/>
      <c r="G5740" s="473"/>
      <c r="H5740" s="473"/>
      <c r="I5740" s="473"/>
      <c r="J5740" s="473"/>
      <c r="K5740" s="478"/>
      <c r="L5740" s="473"/>
      <c r="M5740" s="473"/>
    </row>
    <row r="5741" spans="5:13">
      <c r="E5741" s="473"/>
      <c r="F5741" s="473"/>
      <c r="G5741" s="473"/>
      <c r="H5741" s="473"/>
      <c r="I5741" s="473"/>
      <c r="J5741" s="473"/>
      <c r="K5741" s="478"/>
      <c r="L5741" s="473"/>
      <c r="M5741" s="473"/>
    </row>
    <row r="5742" spans="5:13">
      <c r="E5742" s="473"/>
      <c r="F5742" s="473"/>
      <c r="G5742" s="473"/>
      <c r="H5742" s="473"/>
      <c r="I5742" s="473"/>
      <c r="J5742" s="473"/>
      <c r="K5742" s="478"/>
      <c r="L5742" s="473"/>
      <c r="M5742" s="473"/>
    </row>
    <row r="5743" spans="5:13">
      <c r="E5743" s="473"/>
      <c r="F5743" s="473"/>
      <c r="G5743" s="473"/>
      <c r="H5743" s="473"/>
      <c r="I5743" s="473"/>
      <c r="J5743" s="473"/>
      <c r="K5743" s="478"/>
      <c r="L5743" s="473"/>
      <c r="M5743" s="473"/>
    </row>
    <row r="5744" spans="5:13">
      <c r="E5744" s="473"/>
      <c r="F5744" s="473"/>
      <c r="G5744" s="473"/>
      <c r="H5744" s="473"/>
      <c r="I5744" s="473"/>
      <c r="J5744" s="473"/>
      <c r="K5744" s="478"/>
      <c r="L5744" s="473"/>
      <c r="M5744" s="473"/>
    </row>
    <row r="5745" spans="5:13">
      <c r="E5745" s="473"/>
      <c r="F5745" s="473"/>
      <c r="G5745" s="473"/>
      <c r="H5745" s="473"/>
      <c r="I5745" s="473"/>
      <c r="J5745" s="473"/>
      <c r="K5745" s="478"/>
      <c r="L5745" s="473"/>
      <c r="M5745" s="473"/>
    </row>
    <row r="5746" spans="5:13">
      <c r="E5746" s="473"/>
      <c r="F5746" s="473"/>
      <c r="G5746" s="473"/>
      <c r="H5746" s="473"/>
      <c r="I5746" s="473"/>
      <c r="J5746" s="473"/>
      <c r="K5746" s="478"/>
      <c r="L5746" s="473"/>
      <c r="M5746" s="473"/>
    </row>
    <row r="5747" spans="5:13">
      <c r="E5747" s="473"/>
      <c r="F5747" s="473"/>
      <c r="G5747" s="473"/>
      <c r="H5747" s="473"/>
      <c r="I5747" s="473"/>
      <c r="J5747" s="473"/>
      <c r="K5747" s="478"/>
      <c r="L5747" s="473"/>
      <c r="M5747" s="473"/>
    </row>
    <row r="5748" spans="5:13">
      <c r="E5748" s="473"/>
      <c r="F5748" s="473"/>
      <c r="G5748" s="473"/>
      <c r="H5748" s="473"/>
      <c r="I5748" s="473"/>
      <c r="J5748" s="473"/>
      <c r="K5748" s="478"/>
      <c r="L5748" s="473"/>
      <c r="M5748" s="473"/>
    </row>
    <row r="5749" spans="5:13">
      <c r="E5749" s="473"/>
      <c r="F5749" s="473"/>
      <c r="G5749" s="473"/>
      <c r="H5749" s="473"/>
      <c r="I5749" s="473"/>
      <c r="J5749" s="473"/>
      <c r="K5749" s="478"/>
      <c r="L5749" s="473"/>
      <c r="M5749" s="473"/>
    </row>
    <row r="5750" spans="5:13">
      <c r="E5750" s="473"/>
      <c r="F5750" s="473"/>
      <c r="G5750" s="473"/>
      <c r="H5750" s="473"/>
      <c r="I5750" s="473"/>
      <c r="J5750" s="473"/>
      <c r="K5750" s="478"/>
      <c r="L5750" s="473"/>
      <c r="M5750" s="473"/>
    </row>
    <row r="5751" spans="5:13">
      <c r="E5751" s="473"/>
      <c r="F5751" s="473"/>
      <c r="G5751" s="473"/>
      <c r="H5751" s="473"/>
      <c r="I5751" s="473"/>
      <c r="J5751" s="473"/>
      <c r="K5751" s="478"/>
      <c r="L5751" s="473"/>
      <c r="M5751" s="473"/>
    </row>
    <row r="5752" spans="5:13">
      <c r="E5752" s="473"/>
      <c r="F5752" s="473"/>
      <c r="G5752" s="473"/>
      <c r="H5752" s="473"/>
      <c r="I5752" s="473"/>
      <c r="J5752" s="473"/>
      <c r="K5752" s="478"/>
      <c r="L5752" s="473"/>
      <c r="M5752" s="473"/>
    </row>
    <row r="5753" spans="5:13">
      <c r="E5753" s="473"/>
      <c r="F5753" s="473"/>
      <c r="G5753" s="473"/>
      <c r="H5753" s="473"/>
      <c r="I5753" s="473"/>
      <c r="J5753" s="473"/>
      <c r="K5753" s="478"/>
      <c r="L5753" s="473"/>
      <c r="M5753" s="473"/>
    </row>
    <row r="5754" spans="5:13">
      <c r="E5754" s="473"/>
      <c r="F5754" s="473"/>
      <c r="G5754" s="473"/>
      <c r="H5754" s="473"/>
      <c r="I5754" s="473"/>
      <c r="J5754" s="473"/>
      <c r="K5754" s="478"/>
      <c r="L5754" s="473"/>
      <c r="M5754" s="473"/>
    </row>
    <row r="5755" spans="5:13">
      <c r="E5755" s="473"/>
      <c r="F5755" s="473"/>
      <c r="G5755" s="473"/>
      <c r="H5755" s="473"/>
      <c r="I5755" s="473"/>
      <c r="J5755" s="473"/>
      <c r="K5755" s="478"/>
      <c r="L5755" s="473"/>
      <c r="M5755" s="473"/>
    </row>
    <row r="5756" spans="5:13">
      <c r="E5756" s="473"/>
      <c r="F5756" s="473"/>
      <c r="G5756" s="473"/>
      <c r="H5756" s="473"/>
      <c r="I5756" s="473"/>
      <c r="J5756" s="473"/>
      <c r="K5756" s="478"/>
      <c r="L5756" s="473"/>
      <c r="M5756" s="473"/>
    </row>
    <row r="5757" spans="5:13">
      <c r="E5757" s="473"/>
      <c r="F5757" s="473"/>
      <c r="G5757" s="473"/>
      <c r="H5757" s="473"/>
      <c r="I5757" s="473"/>
      <c r="J5757" s="473"/>
      <c r="K5757" s="478"/>
      <c r="L5757" s="473"/>
      <c r="M5757" s="473"/>
    </row>
    <row r="5758" spans="5:13">
      <c r="E5758" s="473"/>
      <c r="F5758" s="473"/>
      <c r="G5758" s="473"/>
      <c r="H5758" s="473"/>
      <c r="I5758" s="473"/>
      <c r="J5758" s="473"/>
      <c r="K5758" s="478"/>
      <c r="L5758" s="473"/>
      <c r="M5758" s="473"/>
    </row>
    <row r="5759" spans="5:13">
      <c r="E5759" s="473"/>
      <c r="F5759" s="473"/>
      <c r="G5759" s="473"/>
      <c r="H5759" s="473"/>
      <c r="I5759" s="473"/>
      <c r="J5759" s="473"/>
      <c r="K5759" s="478"/>
      <c r="L5759" s="473"/>
      <c r="M5759" s="473"/>
    </row>
    <row r="5760" spans="5:13">
      <c r="E5760" s="473"/>
      <c r="F5760" s="473"/>
      <c r="G5760" s="473"/>
      <c r="H5760" s="473"/>
      <c r="I5760" s="473"/>
      <c r="J5760" s="473"/>
      <c r="K5760" s="478"/>
      <c r="L5760" s="473"/>
      <c r="M5760" s="473"/>
    </row>
    <row r="5761" spans="5:13">
      <c r="E5761" s="473"/>
      <c r="F5761" s="473"/>
      <c r="G5761" s="473"/>
      <c r="H5761" s="473"/>
      <c r="I5761" s="473"/>
      <c r="J5761" s="473"/>
      <c r="K5761" s="478"/>
      <c r="L5761" s="473"/>
      <c r="M5761" s="473"/>
    </row>
    <row r="5762" spans="5:13">
      <c r="E5762" s="473"/>
      <c r="F5762" s="473"/>
      <c r="G5762" s="473"/>
      <c r="H5762" s="473"/>
      <c r="I5762" s="473"/>
      <c r="J5762" s="473"/>
      <c r="K5762" s="478"/>
      <c r="L5762" s="473"/>
      <c r="M5762" s="473"/>
    </row>
    <row r="5763" spans="5:13">
      <c r="E5763" s="473"/>
      <c r="F5763" s="473"/>
      <c r="G5763" s="473"/>
      <c r="H5763" s="473"/>
      <c r="I5763" s="473"/>
      <c r="J5763" s="473"/>
      <c r="K5763" s="478"/>
      <c r="L5763" s="473"/>
      <c r="M5763" s="473"/>
    </row>
    <row r="5764" spans="5:13">
      <c r="E5764" s="473"/>
      <c r="F5764" s="473"/>
      <c r="G5764" s="473"/>
      <c r="H5764" s="473"/>
      <c r="I5764" s="473"/>
      <c r="J5764" s="473"/>
      <c r="K5764" s="478"/>
      <c r="L5764" s="473"/>
      <c r="M5764" s="473"/>
    </row>
    <row r="5765" spans="5:13">
      <c r="E5765" s="473"/>
      <c r="F5765" s="473"/>
      <c r="G5765" s="473"/>
      <c r="H5765" s="473"/>
      <c r="I5765" s="473"/>
      <c r="J5765" s="473"/>
      <c r="K5765" s="478"/>
      <c r="L5765" s="473"/>
      <c r="M5765" s="473"/>
    </row>
    <row r="5766" spans="5:13">
      <c r="E5766" s="473"/>
      <c r="F5766" s="473"/>
      <c r="G5766" s="473"/>
      <c r="H5766" s="473"/>
      <c r="I5766" s="473"/>
      <c r="J5766" s="473"/>
      <c r="K5766" s="478"/>
      <c r="L5766" s="473"/>
      <c r="M5766" s="473"/>
    </row>
    <row r="5767" spans="5:13">
      <c r="E5767" s="473"/>
      <c r="F5767" s="473"/>
      <c r="G5767" s="473"/>
      <c r="H5767" s="473"/>
      <c r="I5767" s="473"/>
      <c r="J5767" s="473"/>
      <c r="K5767" s="478"/>
      <c r="L5767" s="473"/>
      <c r="M5767" s="473"/>
    </row>
    <row r="5768" spans="5:13">
      <c r="E5768" s="473"/>
      <c r="F5768" s="473"/>
      <c r="G5768" s="473"/>
      <c r="H5768" s="473"/>
      <c r="I5768" s="473"/>
      <c r="J5768" s="473"/>
      <c r="K5768" s="478"/>
      <c r="L5768" s="473"/>
      <c r="M5768" s="473"/>
    </row>
    <row r="5769" spans="5:13">
      <c r="E5769" s="473"/>
      <c r="F5769" s="473"/>
      <c r="G5769" s="473"/>
      <c r="H5769" s="473"/>
      <c r="I5769" s="473"/>
      <c r="J5769" s="473"/>
      <c r="K5769" s="478"/>
      <c r="L5769" s="473"/>
      <c r="M5769" s="473"/>
    </row>
    <row r="5770" spans="5:13">
      <c r="E5770" s="473"/>
      <c r="F5770" s="473"/>
      <c r="G5770" s="473"/>
      <c r="H5770" s="473"/>
      <c r="I5770" s="473"/>
      <c r="J5770" s="473"/>
      <c r="K5770" s="478"/>
      <c r="L5770" s="473"/>
      <c r="M5770" s="473"/>
    </row>
    <row r="5771" spans="5:13">
      <c r="E5771" s="473"/>
      <c r="F5771" s="473"/>
      <c r="G5771" s="473"/>
      <c r="H5771" s="473"/>
      <c r="I5771" s="473"/>
      <c r="J5771" s="473"/>
      <c r="K5771" s="478"/>
      <c r="L5771" s="473"/>
      <c r="M5771" s="473"/>
    </row>
    <row r="5772" spans="5:13">
      <c r="E5772" s="473"/>
      <c r="F5772" s="473"/>
      <c r="G5772" s="473"/>
      <c r="H5772" s="473"/>
      <c r="I5772" s="473"/>
      <c r="J5772" s="473"/>
      <c r="K5772" s="478"/>
      <c r="L5772" s="473"/>
      <c r="M5772" s="473"/>
    </row>
    <row r="5773" spans="5:13">
      <c r="E5773" s="473"/>
      <c r="F5773" s="473"/>
      <c r="G5773" s="473"/>
      <c r="H5773" s="473"/>
      <c r="I5773" s="473"/>
      <c r="J5773" s="473"/>
      <c r="K5773" s="478"/>
      <c r="L5773" s="473"/>
      <c r="M5773" s="473"/>
    </row>
    <row r="5774" spans="5:13">
      <c r="E5774" s="473"/>
      <c r="F5774" s="473"/>
      <c r="G5774" s="473"/>
      <c r="H5774" s="473"/>
      <c r="I5774" s="473"/>
      <c r="J5774" s="473"/>
      <c r="K5774" s="478"/>
      <c r="L5774" s="473"/>
      <c r="M5774" s="473"/>
    </row>
    <row r="5775" spans="5:13">
      <c r="E5775" s="473"/>
      <c r="F5775" s="473"/>
      <c r="G5775" s="473"/>
      <c r="H5775" s="473"/>
      <c r="I5775" s="473"/>
      <c r="J5775" s="473"/>
      <c r="K5775" s="478"/>
      <c r="L5775" s="473"/>
      <c r="M5775" s="473"/>
    </row>
    <row r="5776" spans="5:13">
      <c r="E5776" s="473"/>
      <c r="F5776" s="473"/>
      <c r="G5776" s="473"/>
      <c r="H5776" s="473"/>
      <c r="I5776" s="473"/>
      <c r="J5776" s="473"/>
      <c r="K5776" s="478"/>
      <c r="L5776" s="473"/>
      <c r="M5776" s="473"/>
    </row>
    <row r="5777" spans="5:13">
      <c r="E5777" s="473"/>
      <c r="F5777" s="473"/>
      <c r="G5777" s="473"/>
      <c r="H5777" s="473"/>
      <c r="I5777" s="473"/>
      <c r="J5777" s="473"/>
      <c r="K5777" s="478"/>
      <c r="L5777" s="473"/>
      <c r="M5777" s="473"/>
    </row>
    <row r="5778" spans="5:13">
      <c r="E5778" s="473"/>
      <c r="F5778" s="473"/>
      <c r="G5778" s="473"/>
      <c r="H5778" s="473"/>
      <c r="I5778" s="473"/>
      <c r="J5778" s="473"/>
      <c r="K5778" s="478"/>
      <c r="L5778" s="473"/>
      <c r="M5778" s="473"/>
    </row>
    <row r="5779" spans="5:13">
      <c r="E5779" s="473"/>
      <c r="F5779" s="473"/>
      <c r="G5779" s="473"/>
      <c r="H5779" s="473"/>
      <c r="I5779" s="473"/>
      <c r="J5779" s="473"/>
      <c r="K5779" s="478"/>
      <c r="L5779" s="473"/>
      <c r="M5779" s="473"/>
    </row>
    <row r="5780" spans="5:13">
      <c r="E5780" s="473"/>
      <c r="F5780" s="473"/>
      <c r="G5780" s="473"/>
      <c r="H5780" s="473"/>
      <c r="I5780" s="473"/>
      <c r="J5780" s="473"/>
      <c r="K5780" s="478"/>
      <c r="L5780" s="473"/>
      <c r="M5780" s="473"/>
    </row>
    <row r="5781" spans="5:13">
      <c r="E5781" s="473"/>
      <c r="F5781" s="473"/>
      <c r="G5781" s="473"/>
      <c r="H5781" s="473"/>
      <c r="I5781" s="473"/>
      <c r="J5781" s="473"/>
      <c r="K5781" s="478"/>
      <c r="L5781" s="473"/>
      <c r="M5781" s="473"/>
    </row>
    <row r="5782" spans="5:13">
      <c r="E5782" s="473"/>
      <c r="F5782" s="473"/>
      <c r="G5782" s="473"/>
      <c r="H5782" s="473"/>
      <c r="I5782" s="473"/>
      <c r="J5782" s="473"/>
      <c r="K5782" s="478"/>
      <c r="L5782" s="473"/>
      <c r="M5782" s="473"/>
    </row>
    <row r="5783" spans="5:13">
      <c r="E5783" s="473"/>
      <c r="F5783" s="473"/>
      <c r="G5783" s="473"/>
      <c r="H5783" s="473"/>
      <c r="I5783" s="473"/>
      <c r="J5783" s="473"/>
      <c r="K5783" s="478"/>
      <c r="L5783" s="473"/>
      <c r="M5783" s="473"/>
    </row>
    <row r="5784" spans="5:13">
      <c r="E5784" s="473"/>
      <c r="F5784" s="473"/>
      <c r="G5784" s="473"/>
      <c r="H5784" s="473"/>
      <c r="I5784" s="473"/>
      <c r="J5784" s="473"/>
      <c r="K5784" s="478"/>
      <c r="L5784" s="473"/>
      <c r="M5784" s="473"/>
    </row>
    <row r="5785" spans="5:13">
      <c r="E5785" s="473"/>
      <c r="F5785" s="473"/>
      <c r="G5785" s="473"/>
      <c r="H5785" s="473"/>
      <c r="I5785" s="473"/>
      <c r="J5785" s="473"/>
      <c r="K5785" s="478"/>
      <c r="L5785" s="473"/>
      <c r="M5785" s="473"/>
    </row>
    <row r="5786" spans="5:13">
      <c r="E5786" s="473"/>
      <c r="F5786" s="473"/>
      <c r="G5786" s="473"/>
      <c r="H5786" s="473"/>
      <c r="I5786" s="473"/>
      <c r="J5786" s="473"/>
      <c r="K5786" s="478"/>
      <c r="L5786" s="473"/>
      <c r="M5786" s="473"/>
    </row>
    <row r="5787" spans="5:13">
      <c r="E5787" s="473"/>
      <c r="F5787" s="473"/>
      <c r="G5787" s="473"/>
      <c r="H5787" s="473"/>
      <c r="I5787" s="473"/>
      <c r="J5787" s="473"/>
      <c r="K5787" s="478"/>
      <c r="L5787" s="473"/>
      <c r="M5787" s="473"/>
    </row>
    <row r="5788" spans="5:13">
      <c r="E5788" s="473"/>
      <c r="F5788" s="473"/>
      <c r="G5788" s="473"/>
      <c r="H5788" s="473"/>
      <c r="I5788" s="473"/>
      <c r="J5788" s="473"/>
      <c r="K5788" s="478"/>
      <c r="L5788" s="473"/>
      <c r="M5788" s="473"/>
    </row>
    <row r="5789" spans="5:13">
      <c r="E5789" s="473"/>
      <c r="F5789" s="473"/>
      <c r="G5789" s="473"/>
      <c r="H5789" s="473"/>
      <c r="I5789" s="473"/>
      <c r="J5789" s="473"/>
      <c r="K5789" s="478"/>
      <c r="L5789" s="473"/>
      <c r="M5789" s="473"/>
    </row>
    <row r="5790" spans="5:13">
      <c r="E5790" s="473"/>
      <c r="F5790" s="473"/>
      <c r="G5790" s="473"/>
      <c r="H5790" s="473"/>
      <c r="I5790" s="473"/>
      <c r="J5790" s="473"/>
      <c r="K5790" s="478"/>
      <c r="L5790" s="473"/>
      <c r="M5790" s="473"/>
    </row>
    <row r="5791" spans="5:13">
      <c r="E5791" s="473"/>
      <c r="F5791" s="473"/>
      <c r="G5791" s="473"/>
      <c r="H5791" s="473"/>
      <c r="I5791" s="473"/>
      <c r="J5791" s="473"/>
      <c r="K5791" s="478"/>
      <c r="L5791" s="473"/>
      <c r="M5791" s="473"/>
    </row>
    <row r="5792" spans="5:13">
      <c r="E5792" s="473"/>
      <c r="F5792" s="473"/>
      <c r="G5792" s="473"/>
      <c r="H5792" s="473"/>
      <c r="I5792" s="473"/>
      <c r="J5792" s="473"/>
      <c r="K5792" s="478"/>
      <c r="L5792" s="473"/>
      <c r="M5792" s="473"/>
    </row>
    <row r="5793" spans="5:13">
      <c r="E5793" s="473"/>
      <c r="F5793" s="473"/>
      <c r="G5793" s="473"/>
      <c r="H5793" s="473"/>
      <c r="I5793" s="473"/>
      <c r="J5793" s="473"/>
      <c r="K5793" s="478"/>
      <c r="L5793" s="473"/>
      <c r="M5793" s="473"/>
    </row>
    <row r="5794" spans="5:13">
      <c r="E5794" s="473"/>
      <c r="F5794" s="473"/>
      <c r="G5794" s="473"/>
      <c r="H5794" s="473"/>
      <c r="I5794" s="473"/>
      <c r="J5794" s="473"/>
      <c r="K5794" s="478"/>
      <c r="L5794" s="473"/>
      <c r="M5794" s="473"/>
    </row>
    <row r="5795" spans="5:13">
      <c r="E5795" s="473"/>
      <c r="F5795" s="473"/>
      <c r="G5795" s="473"/>
      <c r="H5795" s="473"/>
      <c r="I5795" s="473"/>
      <c r="J5795" s="473"/>
      <c r="K5795" s="478"/>
      <c r="L5795" s="473"/>
      <c r="M5795" s="473"/>
    </row>
    <row r="5796" spans="5:13">
      <c r="E5796" s="473"/>
      <c r="F5796" s="473"/>
      <c r="G5796" s="473"/>
      <c r="H5796" s="473"/>
      <c r="I5796" s="473"/>
      <c r="J5796" s="473"/>
      <c r="K5796" s="478"/>
      <c r="L5796" s="473"/>
      <c r="M5796" s="473"/>
    </row>
    <row r="5797" spans="5:13">
      <c r="E5797" s="473"/>
      <c r="F5797" s="473"/>
      <c r="G5797" s="473"/>
      <c r="H5797" s="473"/>
      <c r="I5797" s="473"/>
      <c r="J5797" s="473"/>
      <c r="K5797" s="478"/>
      <c r="L5797" s="473"/>
      <c r="M5797" s="473"/>
    </row>
    <row r="5798" spans="5:13">
      <c r="E5798" s="473"/>
      <c r="F5798" s="473"/>
      <c r="G5798" s="473"/>
      <c r="H5798" s="473"/>
      <c r="I5798" s="473"/>
      <c r="J5798" s="473"/>
      <c r="K5798" s="478"/>
      <c r="L5798" s="473"/>
      <c r="M5798" s="473"/>
    </row>
    <row r="5799" spans="5:13">
      <c r="E5799" s="473"/>
      <c r="F5799" s="473"/>
      <c r="G5799" s="473"/>
      <c r="H5799" s="473"/>
      <c r="I5799" s="473"/>
      <c r="J5799" s="473"/>
      <c r="K5799" s="478"/>
      <c r="L5799" s="473"/>
      <c r="M5799" s="473"/>
    </row>
    <row r="5800" spans="5:13">
      <c r="E5800" s="473"/>
      <c r="F5800" s="473"/>
      <c r="G5800" s="473"/>
      <c r="H5800" s="473"/>
      <c r="I5800" s="473"/>
      <c r="J5800" s="473"/>
      <c r="K5800" s="478"/>
      <c r="L5800" s="473"/>
      <c r="M5800" s="473"/>
    </row>
    <row r="5801" spans="5:13">
      <c r="E5801" s="473"/>
      <c r="F5801" s="473"/>
      <c r="G5801" s="473"/>
      <c r="H5801" s="473"/>
      <c r="I5801" s="473"/>
      <c r="J5801" s="473"/>
      <c r="K5801" s="478"/>
      <c r="L5801" s="473"/>
      <c r="M5801" s="473"/>
    </row>
    <row r="5802" spans="5:13">
      <c r="E5802" s="473"/>
      <c r="F5802" s="473"/>
      <c r="G5802" s="473"/>
      <c r="H5802" s="473"/>
      <c r="I5802" s="473"/>
      <c r="J5802" s="473"/>
      <c r="K5802" s="478"/>
      <c r="L5802" s="473"/>
      <c r="M5802" s="473"/>
    </row>
    <row r="5803" spans="5:13">
      <c r="E5803" s="473"/>
      <c r="F5803" s="473"/>
      <c r="G5803" s="473"/>
      <c r="H5803" s="473"/>
      <c r="I5803" s="473"/>
      <c r="J5803" s="473"/>
      <c r="K5803" s="478"/>
      <c r="L5803" s="473"/>
      <c r="M5803" s="473"/>
    </row>
    <row r="5804" spans="5:13">
      <c r="E5804" s="473"/>
      <c r="F5804" s="473"/>
      <c r="G5804" s="473"/>
      <c r="H5804" s="473"/>
      <c r="I5804" s="473"/>
      <c r="J5804" s="473"/>
      <c r="K5804" s="478"/>
      <c r="L5804" s="473"/>
      <c r="M5804" s="473"/>
    </row>
    <row r="5805" spans="5:13">
      <c r="E5805" s="473"/>
      <c r="F5805" s="473"/>
      <c r="G5805" s="473"/>
      <c r="H5805" s="473"/>
      <c r="I5805" s="473"/>
      <c r="J5805" s="473"/>
      <c r="K5805" s="478"/>
      <c r="L5805" s="473"/>
      <c r="M5805" s="473"/>
    </row>
    <row r="5806" spans="5:13">
      <c r="E5806" s="473"/>
      <c r="F5806" s="473"/>
      <c r="G5806" s="473"/>
      <c r="H5806" s="473"/>
      <c r="I5806" s="473"/>
      <c r="J5806" s="473"/>
      <c r="K5806" s="478"/>
      <c r="L5806" s="473"/>
      <c r="M5806" s="473"/>
    </row>
    <row r="5807" spans="5:13">
      <c r="E5807" s="473"/>
      <c r="F5807" s="473"/>
      <c r="G5807" s="473"/>
      <c r="H5807" s="473"/>
      <c r="I5807" s="473"/>
      <c r="J5807" s="473"/>
      <c r="K5807" s="478"/>
      <c r="L5807" s="473"/>
      <c r="M5807" s="473"/>
    </row>
    <row r="5808" spans="5:13">
      <c r="E5808" s="473"/>
      <c r="F5808" s="473"/>
      <c r="G5808" s="473"/>
      <c r="H5808" s="473"/>
      <c r="I5808" s="473"/>
      <c r="J5808" s="473"/>
      <c r="K5808" s="478"/>
      <c r="L5808" s="473"/>
      <c r="M5808" s="473"/>
    </row>
    <row r="5809" spans="5:13">
      <c r="E5809" s="473"/>
      <c r="F5809" s="473"/>
      <c r="G5809" s="473"/>
      <c r="H5809" s="473"/>
      <c r="I5809" s="473"/>
      <c r="J5809" s="473"/>
      <c r="K5809" s="478"/>
      <c r="L5809" s="473"/>
      <c r="M5809" s="473"/>
    </row>
    <row r="5810" spans="5:13">
      <c r="E5810" s="473"/>
      <c r="F5810" s="473"/>
      <c r="G5810" s="473"/>
      <c r="H5810" s="473"/>
      <c r="I5810" s="473"/>
      <c r="J5810" s="473"/>
      <c r="K5810" s="478"/>
      <c r="L5810" s="473"/>
      <c r="M5810" s="473"/>
    </row>
    <row r="5811" spans="5:13">
      <c r="E5811" s="473"/>
      <c r="F5811" s="473"/>
      <c r="G5811" s="473"/>
      <c r="H5811" s="473"/>
      <c r="I5811" s="473"/>
      <c r="J5811" s="473"/>
      <c r="K5811" s="478"/>
      <c r="L5811" s="473"/>
      <c r="M5811" s="473"/>
    </row>
    <row r="5812" spans="5:13">
      <c r="E5812" s="473"/>
      <c r="F5812" s="473"/>
      <c r="G5812" s="473"/>
      <c r="H5812" s="473"/>
      <c r="I5812" s="473"/>
      <c r="J5812" s="473"/>
      <c r="K5812" s="478"/>
      <c r="L5812" s="473"/>
      <c r="M5812" s="473"/>
    </row>
    <row r="5813" spans="5:13">
      <c r="E5813" s="473"/>
      <c r="F5813" s="473"/>
      <c r="G5813" s="473"/>
      <c r="H5813" s="473"/>
      <c r="I5813" s="473"/>
      <c r="J5813" s="473"/>
      <c r="K5813" s="478"/>
      <c r="L5813" s="473"/>
      <c r="M5813" s="473"/>
    </row>
    <row r="5814" spans="5:13">
      <c r="E5814" s="473"/>
      <c r="F5814" s="473"/>
      <c r="G5814" s="473"/>
      <c r="H5814" s="473"/>
      <c r="I5814" s="473"/>
      <c r="J5814" s="473"/>
      <c r="K5814" s="478"/>
      <c r="L5814" s="473"/>
      <c r="M5814" s="473"/>
    </row>
    <row r="5815" spans="5:13">
      <c r="E5815" s="473"/>
      <c r="F5815" s="473"/>
      <c r="G5815" s="473"/>
      <c r="H5815" s="473"/>
      <c r="I5815" s="473"/>
      <c r="J5815" s="473"/>
      <c r="K5815" s="478"/>
      <c r="L5815" s="473"/>
      <c r="M5815" s="473"/>
    </row>
    <row r="5816" spans="5:13">
      <c r="E5816" s="473"/>
      <c r="F5816" s="473"/>
      <c r="G5816" s="473"/>
      <c r="H5816" s="473"/>
      <c r="I5816" s="473"/>
      <c r="J5816" s="473"/>
      <c r="K5816" s="478"/>
      <c r="L5816" s="473"/>
      <c r="M5816" s="473"/>
    </row>
    <row r="5817" spans="5:13">
      <c r="E5817" s="473"/>
      <c r="F5817" s="473"/>
      <c r="G5817" s="473"/>
      <c r="H5817" s="473"/>
      <c r="I5817" s="473"/>
      <c r="J5817" s="473"/>
      <c r="K5817" s="478"/>
      <c r="L5817" s="473"/>
      <c r="M5817" s="473"/>
    </row>
    <row r="5818" spans="5:13">
      <c r="E5818" s="473"/>
      <c r="F5818" s="473"/>
      <c r="G5818" s="473"/>
      <c r="H5818" s="473"/>
      <c r="I5818" s="473"/>
      <c r="J5818" s="473"/>
      <c r="K5818" s="478"/>
      <c r="L5818" s="473"/>
      <c r="M5818" s="473"/>
    </row>
    <row r="5819" spans="5:13">
      <c r="E5819" s="473"/>
      <c r="F5819" s="473"/>
      <c r="G5819" s="473"/>
      <c r="H5819" s="473"/>
      <c r="I5819" s="473"/>
      <c r="J5819" s="473"/>
      <c r="K5819" s="478"/>
      <c r="L5819" s="473"/>
      <c r="M5819" s="473"/>
    </row>
    <row r="5820" spans="5:13">
      <c r="E5820" s="473"/>
      <c r="F5820" s="473"/>
      <c r="G5820" s="473"/>
      <c r="H5820" s="473"/>
      <c r="I5820" s="473"/>
      <c r="J5820" s="473"/>
      <c r="K5820" s="478"/>
      <c r="L5820" s="473"/>
      <c r="M5820" s="473"/>
    </row>
    <row r="5821" spans="5:13">
      <c r="E5821" s="473"/>
      <c r="F5821" s="473"/>
      <c r="G5821" s="473"/>
      <c r="H5821" s="473"/>
      <c r="I5821" s="473"/>
      <c r="J5821" s="473"/>
      <c r="K5821" s="478"/>
      <c r="L5821" s="473"/>
      <c r="M5821" s="473"/>
    </row>
    <row r="5822" spans="5:13">
      <c r="E5822" s="473"/>
      <c r="F5822" s="473"/>
      <c r="G5822" s="473"/>
      <c r="H5822" s="473"/>
      <c r="I5822" s="473"/>
      <c r="J5822" s="473"/>
      <c r="K5822" s="478"/>
      <c r="L5822" s="473"/>
      <c r="M5822" s="473"/>
    </row>
    <row r="5823" spans="5:13">
      <c r="E5823" s="473"/>
      <c r="F5823" s="473"/>
      <c r="G5823" s="473"/>
      <c r="H5823" s="473"/>
      <c r="I5823" s="473"/>
      <c r="J5823" s="473"/>
      <c r="K5823" s="478"/>
      <c r="L5823" s="473"/>
      <c r="M5823" s="473"/>
    </row>
    <row r="5824" spans="5:13">
      <c r="E5824" s="473"/>
      <c r="F5824" s="473"/>
      <c r="G5824" s="473"/>
      <c r="H5824" s="473"/>
      <c r="I5824" s="473"/>
      <c r="J5824" s="473"/>
      <c r="K5824" s="478"/>
      <c r="L5824" s="473"/>
      <c r="M5824" s="473"/>
    </row>
    <row r="5825" spans="5:13">
      <c r="E5825" s="473"/>
      <c r="F5825" s="473"/>
      <c r="G5825" s="473"/>
      <c r="H5825" s="473"/>
      <c r="I5825" s="473"/>
      <c r="J5825" s="473"/>
      <c r="K5825" s="478"/>
      <c r="L5825" s="473"/>
      <c r="M5825" s="473"/>
    </row>
    <row r="5826" spans="5:13">
      <c r="E5826" s="473"/>
      <c r="F5826" s="473"/>
      <c r="G5826" s="473"/>
      <c r="H5826" s="473"/>
      <c r="I5826" s="473"/>
      <c r="J5826" s="473"/>
      <c r="K5826" s="478"/>
      <c r="L5826" s="473"/>
      <c r="M5826" s="473"/>
    </row>
    <row r="5827" spans="5:13">
      <c r="E5827" s="473"/>
      <c r="F5827" s="473"/>
      <c r="G5827" s="473"/>
      <c r="H5827" s="473"/>
      <c r="I5827" s="473"/>
      <c r="J5827" s="473"/>
      <c r="K5827" s="478"/>
      <c r="L5827" s="473"/>
      <c r="M5827" s="473"/>
    </row>
    <row r="5828" spans="5:13">
      <c r="E5828" s="473"/>
      <c r="F5828" s="473"/>
      <c r="G5828" s="473"/>
      <c r="H5828" s="473"/>
      <c r="I5828" s="473"/>
      <c r="J5828" s="473"/>
      <c r="K5828" s="478"/>
      <c r="L5828" s="473"/>
      <c r="M5828" s="473"/>
    </row>
    <row r="5829" spans="5:13">
      <c r="E5829" s="473"/>
      <c r="F5829" s="473"/>
      <c r="G5829" s="473"/>
      <c r="H5829" s="473"/>
      <c r="I5829" s="473"/>
      <c r="J5829" s="473"/>
      <c r="K5829" s="478"/>
      <c r="L5829" s="473"/>
      <c r="M5829" s="473"/>
    </row>
    <row r="5830" spans="5:13">
      <c r="E5830" s="473"/>
      <c r="F5830" s="473"/>
      <c r="G5830" s="473"/>
      <c r="H5830" s="473"/>
      <c r="I5830" s="473"/>
      <c r="J5830" s="473"/>
      <c r="K5830" s="478"/>
      <c r="L5830" s="473"/>
      <c r="M5830" s="473"/>
    </row>
    <row r="5831" spans="5:13">
      <c r="E5831" s="473"/>
      <c r="F5831" s="473"/>
      <c r="G5831" s="473"/>
      <c r="H5831" s="473"/>
      <c r="I5831" s="473"/>
      <c r="J5831" s="473"/>
      <c r="K5831" s="478"/>
      <c r="L5831" s="473"/>
      <c r="M5831" s="473"/>
    </row>
    <row r="5832" spans="5:13">
      <c r="E5832" s="473"/>
      <c r="F5832" s="473"/>
      <c r="G5832" s="473"/>
      <c r="H5832" s="473"/>
      <c r="I5832" s="473"/>
      <c r="J5832" s="473"/>
      <c r="K5832" s="478"/>
      <c r="L5832" s="473"/>
      <c r="M5832" s="473"/>
    </row>
    <row r="5833" spans="5:13">
      <c r="E5833" s="473"/>
      <c r="F5833" s="473"/>
      <c r="G5833" s="473"/>
      <c r="H5833" s="473"/>
      <c r="I5833" s="473"/>
      <c r="J5833" s="473"/>
      <c r="K5833" s="478"/>
      <c r="L5833" s="473"/>
      <c r="M5833" s="473"/>
    </row>
    <row r="5834" spans="5:13">
      <c r="E5834" s="473"/>
      <c r="F5834" s="473"/>
      <c r="G5834" s="473"/>
      <c r="H5834" s="473"/>
      <c r="I5834" s="473"/>
      <c r="J5834" s="473"/>
      <c r="K5834" s="478"/>
      <c r="L5834" s="473"/>
      <c r="M5834" s="473"/>
    </row>
    <row r="5835" spans="5:13">
      <c r="E5835" s="473"/>
      <c r="F5835" s="473"/>
      <c r="G5835" s="473"/>
      <c r="H5835" s="473"/>
      <c r="I5835" s="473"/>
      <c r="J5835" s="473"/>
      <c r="K5835" s="478"/>
      <c r="L5835" s="473"/>
      <c r="M5835" s="473"/>
    </row>
    <row r="5836" spans="5:13">
      <c r="E5836" s="473"/>
      <c r="F5836" s="473"/>
      <c r="G5836" s="473"/>
      <c r="H5836" s="473"/>
      <c r="I5836" s="473"/>
      <c r="J5836" s="473"/>
      <c r="K5836" s="478"/>
      <c r="L5836" s="473"/>
      <c r="M5836" s="473"/>
    </row>
    <row r="5837" spans="5:13">
      <c r="E5837" s="473"/>
      <c r="F5837" s="473"/>
      <c r="G5837" s="473"/>
      <c r="H5837" s="473"/>
      <c r="I5837" s="473"/>
      <c r="J5837" s="473"/>
      <c r="K5837" s="478"/>
      <c r="L5837" s="473"/>
      <c r="M5837" s="473"/>
    </row>
    <row r="5838" spans="5:13">
      <c r="E5838" s="473"/>
      <c r="F5838" s="473"/>
      <c r="G5838" s="473"/>
      <c r="H5838" s="473"/>
      <c r="I5838" s="473"/>
      <c r="J5838" s="473"/>
      <c r="K5838" s="478"/>
      <c r="L5838" s="473"/>
      <c r="M5838" s="473"/>
    </row>
    <row r="5839" spans="5:13">
      <c r="E5839" s="473"/>
      <c r="F5839" s="473"/>
      <c r="G5839" s="473"/>
      <c r="H5839" s="473"/>
      <c r="I5839" s="473"/>
      <c r="J5839" s="473"/>
      <c r="K5839" s="478"/>
      <c r="L5839" s="473"/>
      <c r="M5839" s="473"/>
    </row>
    <row r="5840" spans="5:13">
      <c r="E5840" s="473"/>
      <c r="F5840" s="473"/>
      <c r="G5840" s="473"/>
      <c r="H5840" s="473"/>
      <c r="I5840" s="473"/>
      <c r="J5840" s="473"/>
      <c r="K5840" s="478"/>
      <c r="L5840" s="473"/>
      <c r="M5840" s="473"/>
    </row>
    <row r="5841" spans="5:13">
      <c r="E5841" s="473"/>
      <c r="F5841" s="473"/>
      <c r="G5841" s="473"/>
      <c r="H5841" s="473"/>
      <c r="I5841" s="473"/>
      <c r="J5841" s="473"/>
      <c r="K5841" s="478"/>
      <c r="L5841" s="473"/>
      <c r="M5841" s="473"/>
    </row>
    <row r="5842" spans="5:13">
      <c r="E5842" s="473"/>
      <c r="F5842" s="473"/>
      <c r="G5842" s="473"/>
      <c r="H5842" s="473"/>
      <c r="I5842" s="473"/>
      <c r="J5842" s="473"/>
      <c r="K5842" s="478"/>
      <c r="L5842" s="473"/>
      <c r="M5842" s="473"/>
    </row>
    <row r="5843" spans="5:13">
      <c r="E5843" s="473"/>
      <c r="F5843" s="473"/>
      <c r="G5843" s="473"/>
      <c r="H5843" s="473"/>
      <c r="I5843" s="473"/>
      <c r="J5843" s="473"/>
      <c r="K5843" s="478"/>
      <c r="L5843" s="473"/>
      <c r="M5843" s="473"/>
    </row>
    <row r="5844" spans="5:13">
      <c r="E5844" s="473"/>
      <c r="F5844" s="473"/>
      <c r="G5844" s="473"/>
      <c r="H5844" s="473"/>
      <c r="I5844" s="473"/>
      <c r="J5844" s="473"/>
      <c r="K5844" s="478"/>
      <c r="L5844" s="473"/>
      <c r="M5844" s="473"/>
    </row>
    <row r="5845" spans="5:13">
      <c r="E5845" s="473"/>
      <c r="F5845" s="473"/>
      <c r="G5845" s="473"/>
      <c r="H5845" s="473"/>
      <c r="I5845" s="473"/>
      <c r="J5845" s="473"/>
      <c r="K5845" s="478"/>
      <c r="L5845" s="473"/>
      <c r="M5845" s="473"/>
    </row>
    <row r="5846" spans="5:13">
      <c r="E5846" s="473"/>
      <c r="F5846" s="473"/>
      <c r="G5846" s="473"/>
      <c r="H5846" s="473"/>
      <c r="I5846" s="473"/>
      <c r="J5846" s="473"/>
      <c r="K5846" s="478"/>
      <c r="L5846" s="473"/>
      <c r="M5846" s="473"/>
    </row>
    <row r="5847" spans="5:13">
      <c r="E5847" s="473"/>
      <c r="F5847" s="473"/>
      <c r="G5847" s="473"/>
      <c r="H5847" s="473"/>
      <c r="I5847" s="473"/>
      <c r="J5847" s="473"/>
      <c r="K5847" s="478"/>
      <c r="L5847" s="473"/>
      <c r="M5847" s="473"/>
    </row>
    <row r="5848" spans="5:13">
      <c r="E5848" s="473"/>
      <c r="F5848" s="473"/>
      <c r="G5848" s="473"/>
      <c r="H5848" s="473"/>
      <c r="I5848" s="473"/>
      <c r="J5848" s="473"/>
      <c r="K5848" s="478"/>
      <c r="L5848" s="473"/>
      <c r="M5848" s="473"/>
    </row>
    <row r="5849" spans="5:13">
      <c r="E5849" s="473"/>
      <c r="F5849" s="473"/>
      <c r="G5849" s="473"/>
      <c r="H5849" s="473"/>
      <c r="I5849" s="473"/>
      <c r="J5849" s="473"/>
      <c r="K5849" s="478"/>
      <c r="L5849" s="473"/>
      <c r="M5849" s="473"/>
    </row>
    <row r="5850" spans="5:13">
      <c r="E5850" s="473"/>
      <c r="F5850" s="473"/>
      <c r="G5850" s="473"/>
      <c r="H5850" s="473"/>
      <c r="I5850" s="473"/>
      <c r="J5850" s="473"/>
      <c r="K5850" s="478"/>
      <c r="L5850" s="473"/>
      <c r="M5850" s="473"/>
    </row>
    <row r="5851" spans="5:13">
      <c r="E5851" s="473"/>
      <c r="F5851" s="473"/>
      <c r="G5851" s="473"/>
      <c r="H5851" s="473"/>
      <c r="I5851" s="473"/>
      <c r="J5851" s="473"/>
      <c r="K5851" s="478"/>
      <c r="L5851" s="473"/>
      <c r="M5851" s="473"/>
    </row>
    <row r="5852" spans="5:13">
      <c r="E5852" s="473"/>
      <c r="F5852" s="473"/>
      <c r="G5852" s="473"/>
      <c r="H5852" s="473"/>
      <c r="I5852" s="473"/>
      <c r="J5852" s="473"/>
      <c r="K5852" s="478"/>
      <c r="L5852" s="473"/>
      <c r="M5852" s="473"/>
    </row>
    <row r="5853" spans="5:13">
      <c r="E5853" s="473"/>
      <c r="F5853" s="473"/>
      <c r="G5853" s="473"/>
      <c r="H5853" s="473"/>
      <c r="I5853" s="473"/>
      <c r="J5853" s="473"/>
      <c r="K5853" s="478"/>
      <c r="L5853" s="473"/>
      <c r="M5853" s="473"/>
    </row>
    <row r="5854" spans="5:13">
      <c r="E5854" s="473"/>
      <c r="F5854" s="473"/>
      <c r="G5854" s="473"/>
      <c r="H5854" s="473"/>
      <c r="I5854" s="473"/>
      <c r="J5854" s="473"/>
      <c r="K5854" s="478"/>
      <c r="L5854" s="473"/>
      <c r="M5854" s="473"/>
    </row>
    <row r="5855" spans="5:13">
      <c r="E5855" s="473"/>
      <c r="F5855" s="473"/>
      <c r="G5855" s="473"/>
      <c r="H5855" s="473"/>
      <c r="I5855" s="473"/>
      <c r="J5855" s="473"/>
      <c r="K5855" s="478"/>
      <c r="L5855" s="473"/>
      <c r="M5855" s="473"/>
    </row>
    <row r="5856" spans="5:13">
      <c r="E5856" s="473"/>
      <c r="F5856" s="473"/>
      <c r="G5856" s="473"/>
      <c r="H5856" s="473"/>
      <c r="I5856" s="473"/>
      <c r="J5856" s="473"/>
      <c r="K5856" s="478"/>
      <c r="L5856" s="473"/>
      <c r="M5856" s="473"/>
    </row>
    <row r="5857" spans="5:13">
      <c r="E5857" s="473"/>
      <c r="F5857" s="473"/>
      <c r="G5857" s="473"/>
      <c r="H5857" s="473"/>
      <c r="I5857" s="473"/>
      <c r="J5857" s="473"/>
      <c r="K5857" s="478"/>
      <c r="L5857" s="473"/>
      <c r="M5857" s="473"/>
    </row>
    <row r="5858" spans="5:13">
      <c r="E5858" s="473"/>
      <c r="F5858" s="473"/>
      <c r="G5858" s="473"/>
      <c r="H5858" s="473"/>
      <c r="I5858" s="473"/>
      <c r="J5858" s="473"/>
      <c r="K5858" s="478"/>
      <c r="L5858" s="473"/>
      <c r="M5858" s="473"/>
    </row>
    <row r="5859" spans="5:13">
      <c r="E5859" s="473"/>
      <c r="F5859" s="473"/>
      <c r="G5859" s="473"/>
      <c r="H5859" s="473"/>
      <c r="I5859" s="473"/>
      <c r="J5859" s="473"/>
      <c r="K5859" s="478"/>
      <c r="L5859" s="473"/>
      <c r="M5859" s="473"/>
    </row>
    <row r="5860" spans="5:13">
      <c r="E5860" s="473"/>
      <c r="F5860" s="473"/>
      <c r="G5860" s="473"/>
      <c r="H5860" s="473"/>
      <c r="I5860" s="473"/>
      <c r="J5860" s="473"/>
      <c r="K5860" s="478"/>
      <c r="L5860" s="473"/>
      <c r="M5860" s="473"/>
    </row>
    <row r="5861" spans="5:13">
      <c r="E5861" s="473"/>
      <c r="F5861" s="473"/>
      <c r="G5861" s="473"/>
      <c r="H5861" s="473"/>
      <c r="I5861" s="473"/>
      <c r="J5861" s="473"/>
      <c r="K5861" s="478"/>
      <c r="L5861" s="473"/>
      <c r="M5861" s="473"/>
    </row>
    <row r="5862" spans="5:13">
      <c r="E5862" s="473"/>
      <c r="F5862" s="473"/>
      <c r="G5862" s="473"/>
      <c r="H5862" s="473"/>
      <c r="I5862" s="473"/>
      <c r="J5862" s="473"/>
      <c r="K5862" s="478"/>
      <c r="L5862" s="473"/>
      <c r="M5862" s="473"/>
    </row>
    <row r="5863" spans="5:13">
      <c r="E5863" s="473"/>
      <c r="F5863" s="473"/>
      <c r="G5863" s="473"/>
      <c r="H5863" s="473"/>
      <c r="I5863" s="473"/>
      <c r="J5863" s="473"/>
      <c r="K5863" s="478"/>
      <c r="L5863" s="473"/>
      <c r="M5863" s="473"/>
    </row>
    <row r="5864" spans="5:13">
      <c r="E5864" s="473"/>
      <c r="F5864" s="473"/>
      <c r="G5864" s="473"/>
      <c r="H5864" s="473"/>
      <c r="I5864" s="473"/>
      <c r="J5864" s="473"/>
      <c r="K5864" s="478"/>
      <c r="L5864" s="473"/>
      <c r="M5864" s="473"/>
    </row>
    <row r="5865" spans="5:13">
      <c r="E5865" s="473"/>
      <c r="F5865" s="473"/>
      <c r="G5865" s="473"/>
      <c r="H5865" s="473"/>
      <c r="I5865" s="473"/>
      <c r="J5865" s="473"/>
      <c r="K5865" s="478"/>
      <c r="L5865" s="473"/>
      <c r="M5865" s="473"/>
    </row>
    <row r="5866" spans="5:13">
      <c r="E5866" s="473"/>
      <c r="F5866" s="473"/>
      <c r="G5866" s="473"/>
      <c r="H5866" s="473"/>
      <c r="I5866" s="473"/>
      <c r="J5866" s="473"/>
      <c r="K5866" s="478"/>
      <c r="L5866" s="473"/>
      <c r="M5866" s="473"/>
    </row>
    <row r="5867" spans="5:13">
      <c r="E5867" s="473"/>
      <c r="F5867" s="473"/>
      <c r="G5867" s="473"/>
      <c r="H5867" s="473"/>
      <c r="I5867" s="473"/>
      <c r="J5867" s="473"/>
      <c r="K5867" s="478"/>
      <c r="L5867" s="473"/>
      <c r="M5867" s="473"/>
    </row>
    <row r="5868" spans="5:13">
      <c r="E5868" s="473"/>
      <c r="F5868" s="473"/>
      <c r="G5868" s="473"/>
      <c r="H5868" s="473"/>
      <c r="I5868" s="473"/>
      <c r="J5868" s="473"/>
      <c r="K5868" s="478"/>
      <c r="L5868" s="473"/>
      <c r="M5868" s="473"/>
    </row>
    <row r="5869" spans="5:13">
      <c r="E5869" s="473"/>
      <c r="F5869" s="473"/>
      <c r="G5869" s="473"/>
      <c r="H5869" s="473"/>
      <c r="I5869" s="473"/>
      <c r="J5869" s="473"/>
      <c r="K5869" s="478"/>
      <c r="L5869" s="473"/>
      <c r="M5869" s="473"/>
    </row>
    <row r="5870" spans="5:13">
      <c r="E5870" s="473"/>
      <c r="F5870" s="473"/>
      <c r="G5870" s="473"/>
      <c r="H5870" s="473"/>
      <c r="I5870" s="473"/>
      <c r="J5870" s="473"/>
      <c r="K5870" s="478"/>
      <c r="L5870" s="473"/>
      <c r="M5870" s="473"/>
    </row>
    <row r="5871" spans="5:13">
      <c r="E5871" s="473"/>
      <c r="F5871" s="473"/>
      <c r="G5871" s="473"/>
      <c r="H5871" s="473"/>
      <c r="I5871" s="473"/>
      <c r="J5871" s="473"/>
      <c r="K5871" s="478"/>
      <c r="L5871" s="473"/>
      <c r="M5871" s="473"/>
    </row>
    <row r="5872" spans="5:13">
      <c r="E5872" s="473"/>
      <c r="F5872" s="473"/>
      <c r="G5872" s="473"/>
      <c r="H5872" s="473"/>
      <c r="I5872" s="473"/>
      <c r="J5872" s="473"/>
      <c r="K5872" s="478"/>
      <c r="L5872" s="473"/>
      <c r="M5872" s="473"/>
    </row>
    <row r="5873" spans="5:13">
      <c r="E5873" s="473"/>
      <c r="F5873" s="473"/>
      <c r="G5873" s="473"/>
      <c r="H5873" s="473"/>
      <c r="I5873" s="473"/>
      <c r="J5873" s="473"/>
      <c r="K5873" s="478"/>
      <c r="L5873" s="473"/>
      <c r="M5873" s="473"/>
    </row>
    <row r="5874" spans="5:13">
      <c r="E5874" s="473"/>
      <c r="F5874" s="473"/>
      <c r="G5874" s="473"/>
      <c r="H5874" s="473"/>
      <c r="I5874" s="473"/>
      <c r="J5874" s="473"/>
      <c r="K5874" s="478"/>
      <c r="L5874" s="473"/>
      <c r="M5874" s="473"/>
    </row>
    <row r="5875" spans="5:13">
      <c r="E5875" s="473"/>
      <c r="F5875" s="473"/>
      <c r="G5875" s="473"/>
      <c r="H5875" s="473"/>
      <c r="I5875" s="473"/>
      <c r="J5875" s="473"/>
      <c r="K5875" s="478"/>
      <c r="L5875" s="473"/>
      <c r="M5875" s="473"/>
    </row>
    <row r="5876" spans="5:13">
      <c r="E5876" s="473"/>
      <c r="F5876" s="473"/>
      <c r="G5876" s="473"/>
      <c r="H5876" s="473"/>
      <c r="I5876" s="473"/>
      <c r="J5876" s="473"/>
      <c r="K5876" s="478"/>
      <c r="L5876" s="473"/>
      <c r="M5876" s="473"/>
    </row>
    <row r="5877" spans="5:13">
      <c r="E5877" s="473"/>
      <c r="F5877" s="473"/>
      <c r="G5877" s="473"/>
      <c r="H5877" s="473"/>
      <c r="I5877" s="473"/>
      <c r="J5877" s="473"/>
      <c r="K5877" s="478"/>
      <c r="L5877" s="473"/>
      <c r="M5877" s="473"/>
    </row>
    <row r="5878" spans="5:13">
      <c r="E5878" s="473"/>
      <c r="F5878" s="473"/>
      <c r="G5878" s="473"/>
      <c r="H5878" s="473"/>
      <c r="I5878" s="473"/>
      <c r="J5878" s="473"/>
      <c r="K5878" s="478"/>
      <c r="L5878" s="473"/>
      <c r="M5878" s="473"/>
    </row>
    <row r="5879" spans="5:13">
      <c r="E5879" s="473"/>
      <c r="F5879" s="473"/>
      <c r="G5879" s="473"/>
      <c r="H5879" s="473"/>
      <c r="I5879" s="473"/>
      <c r="J5879" s="473"/>
      <c r="K5879" s="478"/>
      <c r="L5879" s="473"/>
      <c r="M5879" s="473"/>
    </row>
    <row r="5880" spans="5:13">
      <c r="E5880" s="473"/>
      <c r="F5880" s="473"/>
      <c r="G5880" s="473"/>
      <c r="H5880" s="473"/>
      <c r="I5880" s="473"/>
      <c r="J5880" s="473"/>
      <c r="K5880" s="478"/>
      <c r="L5880" s="473"/>
      <c r="M5880" s="473"/>
    </row>
    <row r="5881" spans="5:13">
      <c r="E5881" s="473"/>
      <c r="F5881" s="473"/>
      <c r="G5881" s="473"/>
      <c r="H5881" s="473"/>
      <c r="I5881" s="473"/>
      <c r="J5881" s="473"/>
      <c r="K5881" s="478"/>
      <c r="L5881" s="473"/>
      <c r="M5881" s="473"/>
    </row>
    <row r="5882" spans="5:13">
      <c r="E5882" s="473"/>
      <c r="F5882" s="473"/>
      <c r="G5882" s="473"/>
      <c r="H5882" s="473"/>
      <c r="I5882" s="473"/>
      <c r="J5882" s="473"/>
      <c r="K5882" s="478"/>
      <c r="L5882" s="473"/>
      <c r="M5882" s="473"/>
    </row>
    <row r="5883" spans="5:13">
      <c r="E5883" s="473"/>
      <c r="F5883" s="473"/>
      <c r="G5883" s="473"/>
      <c r="H5883" s="473"/>
      <c r="I5883" s="473"/>
      <c r="J5883" s="473"/>
      <c r="K5883" s="478"/>
      <c r="L5883" s="473"/>
      <c r="M5883" s="473"/>
    </row>
    <row r="5884" spans="5:13">
      <c r="E5884" s="473"/>
      <c r="F5884" s="473"/>
      <c r="G5884" s="473"/>
      <c r="H5884" s="473"/>
      <c r="I5884" s="473"/>
      <c r="J5884" s="473"/>
      <c r="K5884" s="478"/>
      <c r="L5884" s="473"/>
      <c r="M5884" s="473"/>
    </row>
    <row r="5885" spans="5:13">
      <c r="E5885" s="473"/>
      <c r="F5885" s="473"/>
      <c r="G5885" s="473"/>
      <c r="H5885" s="473"/>
      <c r="I5885" s="473"/>
      <c r="J5885" s="473"/>
      <c r="K5885" s="478"/>
      <c r="L5885" s="473"/>
      <c r="M5885" s="473"/>
    </row>
    <row r="5886" spans="5:13">
      <c r="E5886" s="473"/>
      <c r="F5886" s="473"/>
      <c r="G5886" s="473"/>
      <c r="H5886" s="473"/>
      <c r="I5886" s="473"/>
      <c r="J5886" s="473"/>
      <c r="K5886" s="478"/>
      <c r="L5886" s="473"/>
      <c r="M5886" s="473"/>
    </row>
    <row r="5887" spans="5:13">
      <c r="E5887" s="473"/>
      <c r="F5887" s="473"/>
      <c r="G5887" s="473"/>
      <c r="H5887" s="473"/>
      <c r="I5887" s="473"/>
      <c r="J5887" s="473"/>
      <c r="K5887" s="478"/>
      <c r="L5887" s="473"/>
      <c r="M5887" s="473"/>
    </row>
    <row r="5888" spans="5:13">
      <c r="E5888" s="473"/>
      <c r="F5888" s="473"/>
      <c r="G5888" s="473"/>
      <c r="H5888" s="473"/>
      <c r="I5888" s="473"/>
      <c r="J5888" s="473"/>
      <c r="K5888" s="478"/>
      <c r="L5888" s="473"/>
      <c r="M5888" s="473"/>
    </row>
    <row r="5889" spans="5:13">
      <c r="E5889" s="473"/>
      <c r="F5889" s="473"/>
      <c r="G5889" s="473"/>
      <c r="H5889" s="473"/>
      <c r="I5889" s="473"/>
      <c r="J5889" s="473"/>
      <c r="K5889" s="478"/>
      <c r="L5889" s="473"/>
      <c r="M5889" s="473"/>
    </row>
    <row r="5890" spans="5:13">
      <c r="E5890" s="473"/>
      <c r="F5890" s="473"/>
      <c r="G5890" s="473"/>
      <c r="H5890" s="473"/>
      <c r="I5890" s="473"/>
      <c r="J5890" s="473"/>
      <c r="K5890" s="478"/>
      <c r="L5890" s="473"/>
      <c r="M5890" s="473"/>
    </row>
    <row r="5891" spans="5:13">
      <c r="E5891" s="473"/>
      <c r="F5891" s="473"/>
      <c r="G5891" s="473"/>
      <c r="H5891" s="473"/>
      <c r="I5891" s="473"/>
      <c r="J5891" s="473"/>
      <c r="K5891" s="478"/>
      <c r="L5891" s="473"/>
      <c r="M5891" s="473"/>
    </row>
    <row r="5892" spans="5:13">
      <c r="E5892" s="473"/>
      <c r="F5892" s="473"/>
      <c r="G5892" s="473"/>
      <c r="H5892" s="473"/>
      <c r="I5892" s="473"/>
      <c r="J5892" s="473"/>
      <c r="K5892" s="478"/>
      <c r="L5892" s="473"/>
      <c r="M5892" s="473"/>
    </row>
    <row r="5893" spans="5:13">
      <c r="E5893" s="473"/>
      <c r="F5893" s="473"/>
      <c r="G5893" s="473"/>
      <c r="H5893" s="473"/>
      <c r="I5893" s="473"/>
      <c r="J5893" s="473"/>
      <c r="K5893" s="478"/>
      <c r="L5893" s="473"/>
      <c r="M5893" s="473"/>
    </row>
    <row r="5894" spans="5:13">
      <c r="E5894" s="473"/>
      <c r="F5894" s="473"/>
      <c r="G5894" s="473"/>
      <c r="H5894" s="473"/>
      <c r="I5894" s="473"/>
      <c r="J5894" s="473"/>
      <c r="K5894" s="478"/>
      <c r="L5894" s="473"/>
      <c r="M5894" s="473"/>
    </row>
    <row r="5895" spans="5:13">
      <c r="E5895" s="473"/>
      <c r="F5895" s="473"/>
      <c r="G5895" s="473"/>
      <c r="H5895" s="473"/>
      <c r="I5895" s="473"/>
      <c r="J5895" s="473"/>
      <c r="K5895" s="478"/>
      <c r="L5895" s="473"/>
      <c r="M5895" s="473"/>
    </row>
    <row r="5896" spans="5:13">
      <c r="E5896" s="473"/>
      <c r="F5896" s="473"/>
      <c r="G5896" s="473"/>
      <c r="H5896" s="473"/>
      <c r="I5896" s="473"/>
      <c r="J5896" s="473"/>
      <c r="K5896" s="478"/>
      <c r="L5896" s="473"/>
      <c r="M5896" s="473"/>
    </row>
    <row r="5897" spans="5:13">
      <c r="E5897" s="473"/>
      <c r="F5897" s="473"/>
      <c r="G5897" s="473"/>
      <c r="H5897" s="473"/>
      <c r="I5897" s="473"/>
      <c r="J5897" s="473"/>
      <c r="K5897" s="478"/>
      <c r="L5897" s="473"/>
      <c r="M5897" s="473"/>
    </row>
    <row r="5898" spans="5:13">
      <c r="E5898" s="473"/>
      <c r="F5898" s="473"/>
      <c r="G5898" s="473"/>
      <c r="H5898" s="473"/>
      <c r="I5898" s="473"/>
      <c r="J5898" s="473"/>
      <c r="K5898" s="478"/>
      <c r="L5898" s="473"/>
      <c r="M5898" s="473"/>
    </row>
    <row r="5899" spans="5:13">
      <c r="E5899" s="473"/>
      <c r="F5899" s="473"/>
      <c r="G5899" s="473"/>
      <c r="H5899" s="473"/>
      <c r="I5899" s="473"/>
      <c r="J5899" s="473"/>
      <c r="K5899" s="478"/>
      <c r="L5899" s="473"/>
      <c r="M5899" s="473"/>
    </row>
    <row r="5900" spans="5:13">
      <c r="E5900" s="473"/>
      <c r="F5900" s="473"/>
      <c r="G5900" s="473"/>
      <c r="H5900" s="473"/>
      <c r="I5900" s="473"/>
      <c r="J5900" s="473"/>
      <c r="K5900" s="478"/>
      <c r="L5900" s="473"/>
      <c r="M5900" s="473"/>
    </row>
    <row r="5901" spans="5:13">
      <c r="E5901" s="473"/>
      <c r="F5901" s="473"/>
      <c r="G5901" s="473"/>
      <c r="H5901" s="473"/>
      <c r="I5901" s="473"/>
      <c r="J5901" s="473"/>
      <c r="K5901" s="478"/>
      <c r="L5901" s="473"/>
      <c r="M5901" s="473"/>
    </row>
    <row r="5902" spans="5:13">
      <c r="E5902" s="473"/>
      <c r="F5902" s="473"/>
      <c r="G5902" s="473"/>
      <c r="H5902" s="473"/>
      <c r="I5902" s="473"/>
      <c r="J5902" s="473"/>
      <c r="K5902" s="478"/>
      <c r="L5902" s="473"/>
      <c r="M5902" s="473"/>
    </row>
    <row r="5903" spans="5:13">
      <c r="E5903" s="473"/>
      <c r="F5903" s="473"/>
      <c r="G5903" s="473"/>
      <c r="H5903" s="473"/>
      <c r="I5903" s="473"/>
      <c r="J5903" s="473"/>
      <c r="K5903" s="478"/>
      <c r="L5903" s="473"/>
      <c r="M5903" s="473"/>
    </row>
    <row r="5904" spans="5:13">
      <c r="E5904" s="473"/>
      <c r="F5904" s="473"/>
      <c r="G5904" s="473"/>
      <c r="H5904" s="473"/>
      <c r="I5904" s="473"/>
      <c r="J5904" s="473"/>
      <c r="K5904" s="478"/>
      <c r="L5904" s="473"/>
      <c r="M5904" s="473"/>
    </row>
    <row r="5905" spans="5:13">
      <c r="E5905" s="473"/>
      <c r="F5905" s="473"/>
      <c r="G5905" s="473"/>
      <c r="H5905" s="473"/>
      <c r="I5905" s="473"/>
      <c r="J5905" s="473"/>
      <c r="K5905" s="478"/>
      <c r="L5905" s="473"/>
      <c r="M5905" s="473"/>
    </row>
    <row r="5906" spans="5:13">
      <c r="E5906" s="473"/>
      <c r="F5906" s="473"/>
      <c r="G5906" s="473"/>
      <c r="H5906" s="473"/>
      <c r="I5906" s="473"/>
      <c r="J5906" s="473"/>
      <c r="K5906" s="478"/>
      <c r="L5906" s="473"/>
      <c r="M5906" s="473"/>
    </row>
    <row r="5907" spans="5:13">
      <c r="E5907" s="473"/>
      <c r="F5907" s="473"/>
      <c r="G5907" s="473"/>
      <c r="H5907" s="473"/>
      <c r="I5907" s="473"/>
      <c r="J5907" s="473"/>
      <c r="K5907" s="478"/>
      <c r="L5907" s="473"/>
      <c r="M5907" s="473"/>
    </row>
    <row r="5908" spans="5:13">
      <c r="E5908" s="473"/>
      <c r="F5908" s="473"/>
      <c r="G5908" s="473"/>
      <c r="H5908" s="473"/>
      <c r="I5908" s="473"/>
      <c r="J5908" s="473"/>
      <c r="K5908" s="478"/>
      <c r="L5908" s="473"/>
      <c r="M5908" s="473"/>
    </row>
    <row r="5909" spans="5:13">
      <c r="E5909" s="473"/>
      <c r="F5909" s="473"/>
      <c r="G5909" s="473"/>
      <c r="H5909" s="473"/>
      <c r="I5909" s="473"/>
      <c r="J5909" s="473"/>
      <c r="K5909" s="478"/>
      <c r="L5909" s="473"/>
      <c r="M5909" s="473"/>
    </row>
    <row r="5910" spans="5:13">
      <c r="E5910" s="473"/>
      <c r="F5910" s="473"/>
      <c r="G5910" s="473"/>
      <c r="H5910" s="473"/>
      <c r="I5910" s="473"/>
      <c r="J5910" s="473"/>
      <c r="K5910" s="478"/>
      <c r="L5910" s="473"/>
      <c r="M5910" s="473"/>
    </row>
    <row r="5911" spans="5:13">
      <c r="E5911" s="473"/>
      <c r="F5911" s="473"/>
      <c r="G5911" s="473"/>
      <c r="H5911" s="473"/>
      <c r="I5911" s="473"/>
      <c r="J5911" s="473"/>
      <c r="K5911" s="478"/>
      <c r="L5911" s="473"/>
      <c r="M5911" s="473"/>
    </row>
    <row r="5912" spans="5:13">
      <c r="E5912" s="473"/>
      <c r="F5912" s="473"/>
      <c r="G5912" s="473"/>
      <c r="H5912" s="473"/>
      <c r="I5912" s="473"/>
      <c r="J5912" s="473"/>
      <c r="K5912" s="478"/>
      <c r="L5912" s="473"/>
      <c r="M5912" s="473"/>
    </row>
    <row r="5913" spans="5:13">
      <c r="E5913" s="473"/>
      <c r="F5913" s="473"/>
      <c r="G5913" s="473"/>
      <c r="H5913" s="473"/>
      <c r="I5913" s="473"/>
      <c r="J5913" s="473"/>
      <c r="K5913" s="478"/>
      <c r="L5913" s="473"/>
      <c r="M5913" s="473"/>
    </row>
    <row r="5914" spans="5:13">
      <c r="E5914" s="473"/>
      <c r="F5914" s="473"/>
      <c r="G5914" s="473"/>
      <c r="H5914" s="473"/>
      <c r="I5914" s="473"/>
      <c r="J5914" s="473"/>
      <c r="K5914" s="478"/>
      <c r="L5914" s="473"/>
      <c r="M5914" s="473"/>
    </row>
    <row r="5915" spans="5:13">
      <c r="E5915" s="473"/>
      <c r="F5915" s="473"/>
      <c r="G5915" s="473"/>
      <c r="H5915" s="473"/>
      <c r="I5915" s="473"/>
      <c r="J5915" s="473"/>
      <c r="K5915" s="478"/>
      <c r="L5915" s="473"/>
      <c r="M5915" s="473"/>
    </row>
    <row r="5916" spans="5:13">
      <c r="E5916" s="473"/>
      <c r="F5916" s="473"/>
      <c r="G5916" s="473"/>
      <c r="H5916" s="473"/>
      <c r="I5916" s="473"/>
      <c r="J5916" s="473"/>
      <c r="K5916" s="478"/>
      <c r="L5916" s="473"/>
      <c r="M5916" s="473"/>
    </row>
    <row r="5917" spans="5:13">
      <c r="E5917" s="473"/>
      <c r="F5917" s="473"/>
      <c r="G5917" s="473"/>
      <c r="H5917" s="473"/>
      <c r="I5917" s="473"/>
      <c r="J5917" s="473"/>
      <c r="K5917" s="478"/>
      <c r="L5917" s="473"/>
      <c r="M5917" s="473"/>
    </row>
    <row r="5918" spans="5:13">
      <c r="E5918" s="473"/>
      <c r="F5918" s="473"/>
      <c r="G5918" s="473"/>
      <c r="H5918" s="473"/>
      <c r="I5918" s="473"/>
      <c r="J5918" s="473"/>
      <c r="K5918" s="478"/>
      <c r="L5918" s="473"/>
      <c r="M5918" s="473"/>
    </row>
    <row r="5919" spans="5:13">
      <c r="E5919" s="473"/>
      <c r="F5919" s="473"/>
      <c r="G5919" s="473"/>
      <c r="H5919" s="473"/>
      <c r="I5919" s="473"/>
      <c r="J5919" s="473"/>
      <c r="K5919" s="478"/>
      <c r="L5919" s="473"/>
      <c r="M5919" s="473"/>
    </row>
    <row r="5920" spans="5:13">
      <c r="E5920" s="473"/>
      <c r="F5920" s="473"/>
      <c r="G5920" s="473"/>
      <c r="H5920" s="473"/>
      <c r="I5920" s="473"/>
      <c r="J5920" s="473"/>
      <c r="K5920" s="478"/>
      <c r="L5920" s="473"/>
      <c r="M5920" s="473"/>
    </row>
    <row r="5921" spans="5:13">
      <c r="E5921" s="473"/>
      <c r="F5921" s="473"/>
      <c r="G5921" s="473"/>
      <c r="H5921" s="473"/>
      <c r="I5921" s="473"/>
      <c r="J5921" s="473"/>
      <c r="K5921" s="478"/>
      <c r="L5921" s="473"/>
      <c r="M5921" s="473"/>
    </row>
    <row r="5922" spans="5:13">
      <c r="E5922" s="473"/>
      <c r="F5922" s="473"/>
      <c r="G5922" s="473"/>
      <c r="H5922" s="473"/>
      <c r="I5922" s="473"/>
      <c r="J5922" s="473"/>
      <c r="K5922" s="478"/>
      <c r="L5922" s="473"/>
      <c r="M5922" s="473"/>
    </row>
    <row r="5923" spans="5:13">
      <c r="E5923" s="473"/>
      <c r="F5923" s="473"/>
      <c r="G5923" s="473"/>
      <c r="H5923" s="473"/>
      <c r="I5923" s="473"/>
      <c r="J5923" s="473"/>
      <c r="K5923" s="478"/>
      <c r="L5923" s="473"/>
      <c r="M5923" s="473"/>
    </row>
    <row r="5924" spans="5:13">
      <c r="E5924" s="473"/>
      <c r="F5924" s="473"/>
      <c r="G5924" s="473"/>
      <c r="H5924" s="473"/>
      <c r="I5924" s="473"/>
      <c r="J5924" s="473"/>
      <c r="K5924" s="478"/>
      <c r="L5924" s="473"/>
      <c r="M5924" s="473"/>
    </row>
    <row r="5925" spans="5:13">
      <c r="E5925" s="473"/>
      <c r="F5925" s="473"/>
      <c r="G5925" s="473"/>
      <c r="H5925" s="473"/>
      <c r="I5925" s="473"/>
      <c r="J5925" s="473"/>
      <c r="K5925" s="478"/>
      <c r="L5925" s="473"/>
      <c r="M5925" s="473"/>
    </row>
    <row r="5926" spans="5:13">
      <c r="E5926" s="473"/>
      <c r="F5926" s="473"/>
      <c r="G5926" s="473"/>
      <c r="H5926" s="473"/>
      <c r="I5926" s="473"/>
      <c r="J5926" s="473"/>
      <c r="K5926" s="478"/>
      <c r="L5926" s="473"/>
      <c r="M5926" s="473"/>
    </row>
    <row r="5927" spans="5:13">
      <c r="E5927" s="473"/>
      <c r="F5927" s="473"/>
      <c r="G5927" s="473"/>
      <c r="H5927" s="473"/>
      <c r="I5927" s="473"/>
      <c r="J5927" s="473"/>
      <c r="K5927" s="478"/>
      <c r="L5927" s="473"/>
      <c r="M5927" s="473"/>
    </row>
    <row r="5928" spans="5:13">
      <c r="E5928" s="473"/>
      <c r="F5928" s="473"/>
      <c r="G5928" s="473"/>
      <c r="H5928" s="473"/>
      <c r="I5928" s="473"/>
      <c r="J5928" s="473"/>
      <c r="K5928" s="478"/>
      <c r="L5928" s="473"/>
      <c r="M5928" s="473"/>
    </row>
    <row r="5929" spans="5:13">
      <c r="E5929" s="473"/>
      <c r="F5929" s="473"/>
      <c r="G5929" s="473"/>
      <c r="H5929" s="473"/>
      <c r="I5929" s="473"/>
      <c r="J5929" s="473"/>
      <c r="K5929" s="478"/>
      <c r="L5929" s="473"/>
      <c r="M5929" s="473"/>
    </row>
    <row r="5930" spans="5:13">
      <c r="E5930" s="473"/>
      <c r="F5930" s="473"/>
      <c r="G5930" s="473"/>
      <c r="H5930" s="473"/>
      <c r="I5930" s="473"/>
      <c r="J5930" s="473"/>
      <c r="K5930" s="478"/>
      <c r="L5930" s="473"/>
      <c r="M5930" s="473"/>
    </row>
    <row r="5931" spans="5:13">
      <c r="E5931" s="473"/>
      <c r="F5931" s="473"/>
      <c r="G5931" s="473"/>
      <c r="H5931" s="473"/>
      <c r="I5931" s="473"/>
      <c r="J5931" s="473"/>
      <c r="K5931" s="478"/>
      <c r="L5931" s="473"/>
      <c r="M5931" s="473"/>
    </row>
    <row r="5932" spans="5:13">
      <c r="E5932" s="473"/>
      <c r="F5932" s="473"/>
      <c r="G5932" s="473"/>
      <c r="H5932" s="473"/>
      <c r="I5932" s="473"/>
      <c r="J5932" s="473"/>
      <c r="K5932" s="478"/>
      <c r="L5932" s="473"/>
      <c r="M5932" s="473"/>
    </row>
    <row r="5933" spans="5:13">
      <c r="E5933" s="473"/>
      <c r="F5933" s="473"/>
      <c r="G5933" s="473"/>
      <c r="H5933" s="473"/>
      <c r="I5933" s="473"/>
      <c r="J5933" s="473"/>
      <c r="K5933" s="478"/>
      <c r="L5933" s="473"/>
      <c r="M5933" s="473"/>
    </row>
    <row r="5934" spans="5:13">
      <c r="E5934" s="473"/>
      <c r="F5934" s="473"/>
      <c r="G5934" s="473"/>
      <c r="H5934" s="473"/>
      <c r="I5934" s="473"/>
      <c r="J5934" s="473"/>
      <c r="K5934" s="478"/>
      <c r="L5934" s="473"/>
      <c r="M5934" s="473"/>
    </row>
    <row r="5935" spans="5:13">
      <c r="E5935" s="473"/>
      <c r="F5935" s="473"/>
      <c r="G5935" s="473"/>
      <c r="H5935" s="473"/>
      <c r="I5935" s="473"/>
      <c r="J5935" s="473"/>
      <c r="K5935" s="478"/>
      <c r="L5935" s="473"/>
      <c r="M5935" s="473"/>
    </row>
    <row r="5936" spans="5:13">
      <c r="E5936" s="473"/>
      <c r="F5936" s="473"/>
      <c r="G5936" s="473"/>
      <c r="H5936" s="473"/>
      <c r="I5936" s="473"/>
      <c r="J5936" s="473"/>
      <c r="K5936" s="478"/>
      <c r="L5936" s="473"/>
      <c r="M5936" s="473"/>
    </row>
    <row r="5937" spans="5:13">
      <c r="E5937" s="473"/>
      <c r="F5937" s="473"/>
      <c r="G5937" s="473"/>
      <c r="H5937" s="473"/>
      <c r="I5937" s="473"/>
      <c r="J5937" s="473"/>
      <c r="K5937" s="478"/>
      <c r="L5937" s="473"/>
      <c r="M5937" s="473"/>
    </row>
    <row r="5938" spans="5:13">
      <c r="E5938" s="473"/>
      <c r="F5938" s="473"/>
      <c r="G5938" s="473"/>
      <c r="H5938" s="473"/>
      <c r="I5938" s="473"/>
      <c r="J5938" s="473"/>
      <c r="K5938" s="478"/>
      <c r="L5938" s="473"/>
      <c r="M5938" s="473"/>
    </row>
    <row r="5939" spans="5:13">
      <c r="E5939" s="473"/>
      <c r="F5939" s="473"/>
      <c r="G5939" s="473"/>
      <c r="H5939" s="473"/>
      <c r="I5939" s="473"/>
      <c r="J5939" s="473"/>
      <c r="K5939" s="478"/>
      <c r="L5939" s="473"/>
      <c r="M5939" s="473"/>
    </row>
    <row r="5940" spans="5:13">
      <c r="E5940" s="473"/>
      <c r="F5940" s="473"/>
      <c r="G5940" s="473"/>
      <c r="H5940" s="473"/>
      <c r="I5940" s="473"/>
      <c r="J5940" s="473"/>
      <c r="K5940" s="478"/>
      <c r="L5940" s="473"/>
      <c r="M5940" s="473"/>
    </row>
    <row r="5941" spans="5:13">
      <c r="E5941" s="473"/>
      <c r="F5941" s="473"/>
      <c r="G5941" s="473"/>
      <c r="H5941" s="473"/>
      <c r="I5941" s="473"/>
      <c r="J5941" s="473"/>
      <c r="K5941" s="478"/>
      <c r="L5941" s="473"/>
      <c r="M5941" s="473"/>
    </row>
    <row r="5942" spans="5:13">
      <c r="E5942" s="473"/>
      <c r="F5942" s="473"/>
      <c r="G5942" s="473"/>
      <c r="H5942" s="473"/>
      <c r="I5942" s="473"/>
      <c r="J5942" s="473"/>
      <c r="K5942" s="478"/>
      <c r="L5942" s="473"/>
      <c r="M5942" s="473"/>
    </row>
    <row r="5943" spans="5:13">
      <c r="E5943" s="473"/>
      <c r="F5943" s="473"/>
      <c r="G5943" s="473"/>
      <c r="H5943" s="473"/>
      <c r="I5943" s="473"/>
      <c r="J5943" s="473"/>
      <c r="K5943" s="478"/>
      <c r="L5943" s="473"/>
      <c r="M5943" s="473"/>
    </row>
    <row r="5944" spans="5:13">
      <c r="E5944" s="473"/>
      <c r="F5944" s="473"/>
      <c r="G5944" s="473"/>
      <c r="H5944" s="473"/>
      <c r="I5944" s="473"/>
      <c r="J5944" s="473"/>
      <c r="K5944" s="478"/>
      <c r="L5944" s="473"/>
      <c r="M5944" s="473"/>
    </row>
    <row r="5945" spans="5:13">
      <c r="E5945" s="473"/>
      <c r="F5945" s="473"/>
      <c r="G5945" s="473"/>
      <c r="H5945" s="473"/>
      <c r="I5945" s="473"/>
      <c r="J5945" s="473"/>
      <c r="K5945" s="478"/>
      <c r="L5945" s="473"/>
      <c r="M5945" s="473"/>
    </row>
    <row r="5946" spans="5:13">
      <c r="E5946" s="473"/>
      <c r="F5946" s="473"/>
      <c r="G5946" s="473"/>
      <c r="H5946" s="473"/>
      <c r="I5946" s="473"/>
      <c r="J5946" s="473"/>
      <c r="K5946" s="478"/>
      <c r="L5946" s="473"/>
      <c r="M5946" s="473"/>
    </row>
    <row r="5947" spans="5:13">
      <c r="E5947" s="473"/>
      <c r="F5947" s="473"/>
      <c r="G5947" s="473"/>
      <c r="H5947" s="473"/>
      <c r="I5947" s="473"/>
      <c r="J5947" s="473"/>
      <c r="K5947" s="478"/>
      <c r="L5947" s="473"/>
      <c r="M5947" s="473"/>
    </row>
    <row r="5948" spans="5:13">
      <c r="E5948" s="473"/>
      <c r="F5948" s="473"/>
      <c r="G5948" s="473"/>
      <c r="H5948" s="473"/>
      <c r="I5948" s="473"/>
      <c r="J5948" s="473"/>
      <c r="K5948" s="478"/>
      <c r="L5948" s="473"/>
      <c r="M5948" s="473"/>
    </row>
    <row r="5949" spans="5:13">
      <c r="E5949" s="473"/>
      <c r="F5949" s="473"/>
      <c r="G5949" s="473"/>
      <c r="H5949" s="473"/>
      <c r="I5949" s="473"/>
      <c r="J5949" s="473"/>
      <c r="K5949" s="478"/>
      <c r="L5949" s="473"/>
      <c r="M5949" s="473"/>
    </row>
    <row r="5950" spans="5:13">
      <c r="E5950" s="473"/>
      <c r="F5950" s="473"/>
      <c r="G5950" s="473"/>
      <c r="H5950" s="473"/>
      <c r="I5950" s="473"/>
      <c r="J5950" s="473"/>
      <c r="K5950" s="478"/>
      <c r="L5950" s="473"/>
      <c r="M5950" s="473"/>
    </row>
    <row r="5951" spans="5:13">
      <c r="E5951" s="473"/>
      <c r="F5951" s="473"/>
      <c r="G5951" s="473"/>
      <c r="H5951" s="473"/>
      <c r="I5951" s="473"/>
      <c r="J5951" s="473"/>
      <c r="K5951" s="478"/>
      <c r="L5951" s="473"/>
      <c r="M5951" s="473"/>
    </row>
    <row r="5952" spans="5:13">
      <c r="E5952" s="473"/>
      <c r="F5952" s="473"/>
      <c r="G5952" s="473"/>
      <c r="H5952" s="473"/>
      <c r="I5952" s="473"/>
      <c r="J5952" s="473"/>
      <c r="K5952" s="478"/>
      <c r="L5952" s="473"/>
      <c r="M5952" s="473"/>
    </row>
    <row r="5953" spans="5:13">
      <c r="E5953" s="473"/>
      <c r="F5953" s="473"/>
      <c r="G5953" s="473"/>
      <c r="H5953" s="473"/>
      <c r="I5953" s="473"/>
      <c r="J5953" s="473"/>
      <c r="K5953" s="478"/>
      <c r="L5953" s="473"/>
      <c r="M5953" s="473"/>
    </row>
    <row r="5954" spans="5:13">
      <c r="E5954" s="473"/>
      <c r="F5954" s="473"/>
      <c r="G5954" s="473"/>
      <c r="H5954" s="473"/>
      <c r="I5954" s="473"/>
      <c r="J5954" s="473"/>
      <c r="K5954" s="478"/>
      <c r="L5954" s="473"/>
      <c r="M5954" s="473"/>
    </row>
    <row r="5955" spans="5:13">
      <c r="E5955" s="473"/>
      <c r="F5955" s="473"/>
      <c r="G5955" s="473"/>
      <c r="H5955" s="473"/>
      <c r="I5955" s="473"/>
      <c r="J5955" s="473"/>
      <c r="K5955" s="478"/>
      <c r="L5955" s="473"/>
      <c r="M5955" s="473"/>
    </row>
    <row r="5956" spans="5:13">
      <c r="E5956" s="473"/>
      <c r="F5956" s="473"/>
      <c r="G5956" s="473"/>
      <c r="H5956" s="473"/>
      <c r="I5956" s="473"/>
      <c r="J5956" s="473"/>
      <c r="K5956" s="478"/>
      <c r="L5956" s="473"/>
      <c r="M5956" s="473"/>
    </row>
    <row r="5957" spans="5:13">
      <c r="E5957" s="473"/>
      <c r="F5957" s="473"/>
      <c r="G5957" s="473"/>
      <c r="H5957" s="473"/>
      <c r="I5957" s="473"/>
      <c r="J5957" s="473"/>
      <c r="K5957" s="478"/>
      <c r="L5957" s="473"/>
      <c r="M5957" s="473"/>
    </row>
    <row r="5958" spans="5:13">
      <c r="E5958" s="473"/>
      <c r="F5958" s="473"/>
      <c r="G5958" s="473"/>
      <c r="H5958" s="473"/>
      <c r="I5958" s="473"/>
      <c r="J5958" s="473"/>
      <c r="K5958" s="478"/>
      <c r="L5958" s="473"/>
      <c r="M5958" s="473"/>
    </row>
    <row r="5959" spans="5:13">
      <c r="E5959" s="473"/>
      <c r="F5959" s="473"/>
      <c r="G5959" s="473"/>
      <c r="H5959" s="473"/>
      <c r="I5959" s="473"/>
      <c r="J5959" s="473"/>
      <c r="K5959" s="478"/>
      <c r="L5959" s="473"/>
      <c r="M5959" s="473"/>
    </row>
    <row r="5960" spans="5:13">
      <c r="E5960" s="473"/>
      <c r="F5960" s="473"/>
      <c r="G5960" s="473"/>
      <c r="H5960" s="473"/>
      <c r="I5960" s="473"/>
      <c r="J5960" s="473"/>
      <c r="K5960" s="478"/>
      <c r="L5960" s="473"/>
      <c r="M5960" s="473"/>
    </row>
    <row r="5961" spans="5:13">
      <c r="E5961" s="473"/>
      <c r="F5961" s="473"/>
      <c r="G5961" s="473"/>
      <c r="H5961" s="473"/>
      <c r="I5961" s="473"/>
      <c r="J5961" s="473"/>
      <c r="K5961" s="478"/>
      <c r="L5961" s="473"/>
      <c r="M5961" s="473"/>
    </row>
    <row r="5962" spans="5:13">
      <c r="E5962" s="473"/>
      <c r="F5962" s="473"/>
      <c r="G5962" s="473"/>
      <c r="H5962" s="473"/>
      <c r="I5962" s="473"/>
      <c r="J5962" s="473"/>
      <c r="K5962" s="478"/>
      <c r="L5962" s="473"/>
      <c r="M5962" s="473"/>
    </row>
    <row r="5963" spans="5:13">
      <c r="E5963" s="473"/>
      <c r="F5963" s="473"/>
      <c r="G5963" s="473"/>
      <c r="H5963" s="473"/>
      <c r="I5963" s="473"/>
      <c r="J5963" s="473"/>
      <c r="K5963" s="478"/>
      <c r="L5963" s="473"/>
      <c r="M5963" s="473"/>
    </row>
    <row r="5964" spans="5:13">
      <c r="E5964" s="473"/>
      <c r="F5964" s="473"/>
      <c r="G5964" s="473"/>
      <c r="H5964" s="473"/>
      <c r="I5964" s="473"/>
      <c r="J5964" s="473"/>
      <c r="K5964" s="478"/>
      <c r="L5964" s="473"/>
      <c r="M5964" s="473"/>
    </row>
    <row r="5965" spans="5:13">
      <c r="E5965" s="473"/>
      <c r="F5965" s="473"/>
      <c r="G5965" s="473"/>
      <c r="H5965" s="473"/>
      <c r="I5965" s="473"/>
      <c r="J5965" s="473"/>
      <c r="K5965" s="478"/>
      <c r="L5965" s="473"/>
      <c r="M5965" s="473"/>
    </row>
    <row r="5966" spans="5:13">
      <c r="E5966" s="473"/>
      <c r="F5966" s="473"/>
      <c r="G5966" s="473"/>
      <c r="H5966" s="473"/>
      <c r="I5966" s="473"/>
      <c r="J5966" s="473"/>
      <c r="K5966" s="478"/>
      <c r="L5966" s="473"/>
      <c r="M5966" s="473"/>
    </row>
    <row r="5967" spans="5:13">
      <c r="E5967" s="473"/>
      <c r="F5967" s="473"/>
      <c r="G5967" s="473"/>
      <c r="H5967" s="473"/>
      <c r="I5967" s="473"/>
      <c r="J5967" s="473"/>
      <c r="K5967" s="478"/>
      <c r="L5967" s="473"/>
      <c r="M5967" s="473"/>
    </row>
    <row r="5968" spans="5:13">
      <c r="E5968" s="473"/>
      <c r="F5968" s="473"/>
      <c r="G5968" s="473"/>
      <c r="H5968" s="473"/>
      <c r="I5968" s="473"/>
      <c r="J5968" s="473"/>
      <c r="K5968" s="478"/>
      <c r="L5968" s="473"/>
      <c r="M5968" s="473"/>
    </row>
    <row r="5969" spans="5:13">
      <c r="E5969" s="473"/>
      <c r="F5969" s="473"/>
      <c r="G5969" s="473"/>
      <c r="H5969" s="473"/>
      <c r="I5969" s="473"/>
      <c r="J5969" s="473"/>
      <c r="K5969" s="478"/>
      <c r="L5969" s="473"/>
      <c r="M5969" s="473"/>
    </row>
    <row r="5970" spans="5:13">
      <c r="E5970" s="473"/>
      <c r="F5970" s="473"/>
      <c r="G5970" s="473"/>
      <c r="H5970" s="473"/>
      <c r="I5970" s="473"/>
      <c r="J5970" s="473"/>
      <c r="K5970" s="478"/>
      <c r="L5970" s="473"/>
      <c r="M5970" s="473"/>
    </row>
    <row r="5971" spans="5:13">
      <c r="E5971" s="473"/>
      <c r="F5971" s="473"/>
      <c r="G5971" s="473"/>
      <c r="H5971" s="473"/>
      <c r="I5971" s="473"/>
      <c r="J5971" s="473"/>
      <c r="K5971" s="478"/>
      <c r="L5971" s="473"/>
      <c r="M5971" s="473"/>
    </row>
    <row r="5972" spans="5:13">
      <c r="E5972" s="473"/>
      <c r="F5972" s="473"/>
      <c r="G5972" s="473"/>
      <c r="H5972" s="473"/>
      <c r="I5972" s="473"/>
      <c r="J5972" s="473"/>
      <c r="K5972" s="478"/>
      <c r="L5972" s="473"/>
      <c r="M5972" s="473"/>
    </row>
    <row r="5973" spans="5:13">
      <c r="E5973" s="473"/>
      <c r="F5973" s="473"/>
      <c r="G5973" s="473"/>
      <c r="H5973" s="473"/>
      <c r="I5973" s="473"/>
      <c r="J5973" s="473"/>
      <c r="K5973" s="478"/>
      <c r="L5973" s="473"/>
      <c r="M5973" s="473"/>
    </row>
    <row r="5974" spans="5:13">
      <c r="E5974" s="473"/>
      <c r="F5974" s="473"/>
      <c r="G5974" s="473"/>
      <c r="H5974" s="473"/>
      <c r="I5974" s="473"/>
      <c r="J5974" s="473"/>
      <c r="K5974" s="478"/>
      <c r="L5974" s="473"/>
      <c r="M5974" s="473"/>
    </row>
    <row r="5975" spans="5:13">
      <c r="E5975" s="473"/>
      <c r="F5975" s="473"/>
      <c r="G5975" s="473"/>
      <c r="H5975" s="473"/>
      <c r="I5975" s="473"/>
      <c r="J5975" s="473"/>
      <c r="K5975" s="478"/>
      <c r="L5975" s="473"/>
      <c r="M5975" s="473"/>
    </row>
    <row r="5976" spans="5:13">
      <c r="E5976" s="473"/>
      <c r="F5976" s="473"/>
      <c r="G5976" s="473"/>
      <c r="H5976" s="473"/>
      <c r="I5976" s="473"/>
      <c r="J5976" s="473"/>
      <c r="K5976" s="478"/>
      <c r="L5976" s="473"/>
      <c r="M5976" s="473"/>
    </row>
    <row r="5977" spans="5:13">
      <c r="E5977" s="473"/>
      <c r="F5977" s="473"/>
      <c r="G5977" s="473"/>
      <c r="H5977" s="473"/>
      <c r="I5977" s="473"/>
      <c r="J5977" s="473"/>
      <c r="K5977" s="478"/>
      <c r="L5977" s="473"/>
      <c r="M5977" s="473"/>
    </row>
    <row r="5978" spans="5:13">
      <c r="E5978" s="473"/>
      <c r="F5978" s="473"/>
      <c r="G5978" s="473"/>
      <c r="H5978" s="473"/>
      <c r="I5978" s="473"/>
      <c r="J5978" s="473"/>
      <c r="K5978" s="478"/>
      <c r="L5978" s="473"/>
      <c r="M5978" s="473"/>
    </row>
    <row r="5979" spans="5:13">
      <c r="E5979" s="473"/>
      <c r="F5979" s="473"/>
      <c r="G5979" s="473"/>
      <c r="H5979" s="473"/>
      <c r="I5979" s="473"/>
      <c r="J5979" s="473"/>
      <c r="K5979" s="478"/>
      <c r="L5979" s="473"/>
      <c r="M5979" s="473"/>
    </row>
    <row r="5980" spans="5:13">
      <c r="E5980" s="473"/>
      <c r="F5980" s="473"/>
      <c r="G5980" s="473"/>
      <c r="H5980" s="473"/>
      <c r="I5980" s="473"/>
      <c r="J5980" s="473"/>
      <c r="K5980" s="478"/>
      <c r="L5980" s="473"/>
      <c r="M5980" s="473"/>
    </row>
    <row r="5981" spans="5:13">
      <c r="E5981" s="473"/>
      <c r="F5981" s="473"/>
      <c r="G5981" s="473"/>
      <c r="H5981" s="473"/>
      <c r="I5981" s="473"/>
      <c r="J5981" s="473"/>
      <c r="K5981" s="478"/>
      <c r="L5981" s="473"/>
      <c r="M5981" s="473"/>
    </row>
    <row r="5982" spans="5:13">
      <c r="E5982" s="473"/>
      <c r="F5982" s="473"/>
      <c r="G5982" s="473"/>
      <c r="H5982" s="473"/>
      <c r="I5982" s="473"/>
      <c r="J5982" s="473"/>
      <c r="K5982" s="478"/>
      <c r="L5982" s="473"/>
      <c r="M5982" s="473"/>
    </row>
    <row r="5983" spans="5:13">
      <c r="E5983" s="473"/>
      <c r="F5983" s="473"/>
      <c r="G5983" s="473"/>
      <c r="H5983" s="473"/>
      <c r="I5983" s="473"/>
      <c r="J5983" s="473"/>
      <c r="K5983" s="478"/>
      <c r="L5983" s="473"/>
      <c r="M5983" s="473"/>
    </row>
    <row r="5984" spans="5:13">
      <c r="E5984" s="473"/>
      <c r="F5984" s="473"/>
      <c r="G5984" s="473"/>
      <c r="H5984" s="473"/>
      <c r="I5984" s="473"/>
      <c r="J5984" s="473"/>
      <c r="K5984" s="478"/>
      <c r="L5984" s="473"/>
      <c r="M5984" s="473"/>
    </row>
    <row r="5985" spans="5:13">
      <c r="E5985" s="473"/>
      <c r="F5985" s="473"/>
      <c r="G5985" s="473"/>
      <c r="H5985" s="473"/>
      <c r="I5985" s="473"/>
      <c r="J5985" s="473"/>
      <c r="K5985" s="478"/>
      <c r="L5985" s="473"/>
      <c r="M5985" s="473"/>
    </row>
    <row r="5986" spans="5:13">
      <c r="E5986" s="473"/>
      <c r="F5986" s="473"/>
      <c r="G5986" s="473"/>
      <c r="H5986" s="473"/>
      <c r="I5986" s="473"/>
      <c r="J5986" s="473"/>
      <c r="K5986" s="478"/>
      <c r="L5986" s="473"/>
      <c r="M5986" s="473"/>
    </row>
    <row r="5987" spans="5:13">
      <c r="E5987" s="473"/>
      <c r="F5987" s="473"/>
      <c r="G5987" s="473"/>
      <c r="H5987" s="473"/>
      <c r="I5987" s="473"/>
      <c r="J5987" s="473"/>
      <c r="K5987" s="478"/>
      <c r="L5987" s="473"/>
      <c r="M5987" s="473"/>
    </row>
    <row r="5988" spans="5:13">
      <c r="E5988" s="473"/>
      <c r="F5988" s="473"/>
      <c r="G5988" s="473"/>
      <c r="H5988" s="473"/>
      <c r="I5988" s="473"/>
      <c r="J5988" s="473"/>
      <c r="K5988" s="478"/>
      <c r="L5988" s="473"/>
      <c r="M5988" s="473"/>
    </row>
    <row r="5989" spans="5:13">
      <c r="E5989" s="473"/>
      <c r="F5989" s="473"/>
      <c r="G5989" s="473"/>
      <c r="H5989" s="473"/>
      <c r="I5989" s="473"/>
      <c r="J5989" s="473"/>
      <c r="K5989" s="478"/>
      <c r="L5989" s="473"/>
      <c r="M5989" s="473"/>
    </row>
    <row r="5990" spans="5:13">
      <c r="E5990" s="473"/>
      <c r="F5990" s="473"/>
      <c r="G5990" s="473"/>
      <c r="H5990" s="473"/>
      <c r="I5990" s="473"/>
      <c r="J5990" s="473"/>
      <c r="K5990" s="478"/>
      <c r="L5990" s="473"/>
      <c r="M5990" s="473"/>
    </row>
    <row r="5991" spans="5:13">
      <c r="E5991" s="473"/>
      <c r="F5991" s="473"/>
      <c r="G5991" s="473"/>
      <c r="H5991" s="473"/>
      <c r="I5991" s="473"/>
      <c r="J5991" s="473"/>
      <c r="K5991" s="478"/>
      <c r="L5991" s="473"/>
      <c r="M5991" s="473"/>
    </row>
    <row r="5992" spans="5:13">
      <c r="E5992" s="473"/>
      <c r="F5992" s="473"/>
      <c r="G5992" s="473"/>
      <c r="H5992" s="473"/>
      <c r="I5992" s="473"/>
      <c r="J5992" s="473"/>
      <c r="K5992" s="478"/>
      <c r="L5992" s="473"/>
      <c r="M5992" s="473"/>
    </row>
    <row r="5993" spans="5:13">
      <c r="E5993" s="473"/>
      <c r="F5993" s="473"/>
      <c r="G5993" s="473"/>
      <c r="H5993" s="473"/>
      <c r="I5993" s="473"/>
      <c r="J5993" s="473"/>
      <c r="K5993" s="478"/>
      <c r="L5993" s="473"/>
      <c r="M5993" s="473"/>
    </row>
    <row r="5994" spans="5:13">
      <c r="E5994" s="473"/>
      <c r="F5994" s="473"/>
      <c r="G5994" s="473"/>
      <c r="H5994" s="473"/>
      <c r="I5994" s="473"/>
      <c r="J5994" s="473"/>
      <c r="K5994" s="478"/>
      <c r="L5994" s="473"/>
      <c r="M5994" s="473"/>
    </row>
    <row r="5995" spans="5:13">
      <c r="E5995" s="473"/>
      <c r="F5995" s="473"/>
      <c r="G5995" s="473"/>
      <c r="H5995" s="473"/>
      <c r="I5995" s="473"/>
      <c r="J5995" s="473"/>
      <c r="K5995" s="478"/>
      <c r="L5995" s="473"/>
      <c r="M5995" s="473"/>
    </row>
    <row r="5996" spans="5:13">
      <c r="E5996" s="473"/>
      <c r="F5996" s="473"/>
      <c r="G5996" s="473"/>
      <c r="H5996" s="473"/>
      <c r="I5996" s="473"/>
      <c r="J5996" s="473"/>
      <c r="K5996" s="478"/>
      <c r="L5996" s="473"/>
      <c r="M5996" s="473"/>
    </row>
    <row r="5997" spans="5:13">
      <c r="E5997" s="473"/>
      <c r="F5997" s="473"/>
      <c r="G5997" s="473"/>
      <c r="H5997" s="473"/>
      <c r="I5997" s="473"/>
      <c r="J5997" s="473"/>
      <c r="K5997" s="478"/>
      <c r="L5997" s="473"/>
      <c r="M5997" s="473"/>
    </row>
    <row r="5998" spans="5:13">
      <c r="E5998" s="473"/>
      <c r="F5998" s="473"/>
      <c r="G5998" s="473"/>
      <c r="H5998" s="473"/>
      <c r="I5998" s="473"/>
      <c r="J5998" s="473"/>
      <c r="K5998" s="478"/>
      <c r="L5998" s="473"/>
      <c r="M5998" s="473"/>
    </row>
    <row r="5999" spans="5:13">
      <c r="E5999" s="473"/>
      <c r="F5999" s="473"/>
      <c r="G5999" s="473"/>
      <c r="H5999" s="473"/>
      <c r="I5999" s="473"/>
      <c r="J5999" s="473"/>
      <c r="K5999" s="478"/>
      <c r="L5999" s="473"/>
      <c r="M5999" s="473"/>
    </row>
    <row r="6000" spans="5:13">
      <c r="E6000" s="473"/>
      <c r="F6000" s="473"/>
      <c r="G6000" s="473"/>
      <c r="H6000" s="473"/>
      <c r="I6000" s="473"/>
      <c r="J6000" s="473"/>
      <c r="K6000" s="478"/>
      <c r="L6000" s="473"/>
      <c r="M6000" s="473"/>
    </row>
    <row r="6001" spans="5:13">
      <c r="E6001" s="473"/>
      <c r="F6001" s="473"/>
      <c r="G6001" s="473"/>
      <c r="H6001" s="473"/>
      <c r="I6001" s="473"/>
      <c r="J6001" s="473"/>
      <c r="K6001" s="478"/>
      <c r="L6001" s="473"/>
      <c r="M6001" s="473"/>
    </row>
    <row r="6002" spans="5:13">
      <c r="E6002" s="473"/>
      <c r="F6002" s="473"/>
      <c r="G6002" s="473"/>
      <c r="H6002" s="473"/>
      <c r="I6002" s="473"/>
      <c r="J6002" s="473"/>
      <c r="K6002" s="478"/>
      <c r="L6002" s="473"/>
      <c r="M6002" s="473"/>
    </row>
    <row r="6003" spans="5:13">
      <c r="E6003" s="473"/>
      <c r="F6003" s="473"/>
      <c r="G6003" s="473"/>
      <c r="H6003" s="473"/>
      <c r="I6003" s="473"/>
      <c r="J6003" s="473"/>
      <c r="K6003" s="478"/>
      <c r="L6003" s="473"/>
      <c r="M6003" s="473"/>
    </row>
    <row r="6004" spans="5:13">
      <c r="E6004" s="473"/>
      <c r="F6004" s="473"/>
      <c r="G6004" s="473"/>
      <c r="H6004" s="473"/>
      <c r="I6004" s="473"/>
      <c r="J6004" s="473"/>
      <c r="K6004" s="478"/>
      <c r="L6004" s="473"/>
      <c r="M6004" s="473"/>
    </row>
    <row r="6005" spans="5:13">
      <c r="E6005" s="473"/>
      <c r="F6005" s="473"/>
      <c r="G6005" s="473"/>
      <c r="H6005" s="473"/>
      <c r="I6005" s="473"/>
      <c r="J6005" s="473"/>
      <c r="K6005" s="478"/>
      <c r="L6005" s="473"/>
      <c r="M6005" s="473"/>
    </row>
    <row r="6006" spans="5:13">
      <c r="E6006" s="473"/>
      <c r="F6006" s="473"/>
      <c r="G6006" s="473"/>
      <c r="H6006" s="473"/>
      <c r="I6006" s="473"/>
      <c r="J6006" s="473"/>
      <c r="K6006" s="478"/>
      <c r="L6006" s="473"/>
      <c r="M6006" s="473"/>
    </row>
    <row r="6007" spans="5:13">
      <c r="E6007" s="473"/>
      <c r="F6007" s="473"/>
      <c r="G6007" s="473"/>
      <c r="H6007" s="473"/>
      <c r="I6007" s="473"/>
      <c r="J6007" s="473"/>
      <c r="K6007" s="478"/>
      <c r="L6007" s="473"/>
      <c r="M6007" s="473"/>
    </row>
    <row r="6008" spans="5:13">
      <c r="E6008" s="473"/>
      <c r="F6008" s="473"/>
      <c r="G6008" s="473"/>
      <c r="H6008" s="473"/>
      <c r="I6008" s="473"/>
      <c r="J6008" s="473"/>
      <c r="K6008" s="478"/>
      <c r="L6008" s="473"/>
      <c r="M6008" s="473"/>
    </row>
    <row r="6009" spans="5:13">
      <c r="E6009" s="473"/>
      <c r="F6009" s="473"/>
      <c r="G6009" s="473"/>
      <c r="H6009" s="473"/>
      <c r="I6009" s="473"/>
      <c r="J6009" s="473"/>
      <c r="K6009" s="478"/>
      <c r="L6009" s="473"/>
      <c r="M6009" s="473"/>
    </row>
    <row r="6010" spans="5:13">
      <c r="E6010" s="473"/>
      <c r="F6010" s="473"/>
      <c r="G6010" s="473"/>
      <c r="H6010" s="473"/>
      <c r="I6010" s="473"/>
      <c r="J6010" s="473"/>
      <c r="K6010" s="478"/>
      <c r="L6010" s="473"/>
      <c r="M6010" s="473"/>
    </row>
    <row r="6011" spans="5:13">
      <c r="E6011" s="473"/>
      <c r="F6011" s="473"/>
      <c r="G6011" s="473"/>
      <c r="H6011" s="473"/>
      <c r="I6011" s="473"/>
      <c r="J6011" s="473"/>
      <c r="K6011" s="478"/>
      <c r="L6011" s="473"/>
      <c r="M6011" s="473"/>
    </row>
    <row r="6012" spans="5:13">
      <c r="E6012" s="473"/>
      <c r="F6012" s="473"/>
      <c r="G6012" s="473"/>
      <c r="H6012" s="473"/>
      <c r="I6012" s="473"/>
      <c r="J6012" s="473"/>
      <c r="K6012" s="478"/>
      <c r="L6012" s="473"/>
      <c r="M6012" s="473"/>
    </row>
    <row r="6013" spans="5:13">
      <c r="E6013" s="473"/>
      <c r="F6013" s="473"/>
      <c r="G6013" s="473"/>
      <c r="H6013" s="473"/>
      <c r="I6013" s="473"/>
      <c r="J6013" s="473"/>
      <c r="K6013" s="478"/>
      <c r="L6013" s="473"/>
      <c r="M6013" s="473"/>
    </row>
    <row r="6014" spans="5:13">
      <c r="E6014" s="473"/>
      <c r="F6014" s="473"/>
      <c r="G6014" s="473"/>
      <c r="H6014" s="473"/>
      <c r="I6014" s="473"/>
      <c r="J6014" s="473"/>
      <c r="K6014" s="478"/>
      <c r="L6014" s="473"/>
      <c r="M6014" s="473"/>
    </row>
    <row r="6015" spans="5:13">
      <c r="E6015" s="473"/>
      <c r="F6015" s="473"/>
      <c r="G6015" s="473"/>
      <c r="H6015" s="473"/>
      <c r="I6015" s="473"/>
      <c r="J6015" s="473"/>
      <c r="K6015" s="478"/>
      <c r="L6015" s="473"/>
      <c r="M6015" s="473"/>
    </row>
    <row r="6016" spans="5:13">
      <c r="E6016" s="473"/>
      <c r="F6016" s="473"/>
      <c r="G6016" s="473"/>
      <c r="H6016" s="473"/>
      <c r="I6016" s="473"/>
      <c r="J6016" s="473"/>
      <c r="K6016" s="478"/>
      <c r="L6016" s="473"/>
      <c r="M6016" s="473"/>
    </row>
    <row r="6017" spans="5:13">
      <c r="E6017" s="473"/>
      <c r="F6017" s="473"/>
      <c r="G6017" s="473"/>
      <c r="H6017" s="473"/>
      <c r="I6017" s="473"/>
      <c r="J6017" s="473"/>
      <c r="K6017" s="478"/>
      <c r="L6017" s="473"/>
      <c r="M6017" s="473"/>
    </row>
    <row r="6018" spans="5:13">
      <c r="E6018" s="473"/>
      <c r="F6018" s="473"/>
      <c r="G6018" s="473"/>
      <c r="H6018" s="473"/>
      <c r="I6018" s="473"/>
      <c r="J6018" s="473"/>
      <c r="K6018" s="478"/>
      <c r="L6018" s="473"/>
      <c r="M6018" s="473"/>
    </row>
    <row r="6019" spans="5:13">
      <c r="E6019" s="473"/>
      <c r="F6019" s="473"/>
      <c r="G6019" s="473"/>
      <c r="H6019" s="473"/>
      <c r="I6019" s="473"/>
      <c r="J6019" s="473"/>
      <c r="K6019" s="478"/>
      <c r="L6019" s="473"/>
      <c r="M6019" s="473"/>
    </row>
    <row r="6020" spans="5:13">
      <c r="E6020" s="473"/>
      <c r="F6020" s="473"/>
      <c r="G6020" s="473"/>
      <c r="H6020" s="473"/>
      <c r="I6020" s="473"/>
      <c r="J6020" s="473"/>
      <c r="K6020" s="478"/>
      <c r="L6020" s="473"/>
      <c r="M6020" s="473"/>
    </row>
    <row r="6021" spans="5:13">
      <c r="E6021" s="473"/>
      <c r="F6021" s="473"/>
      <c r="G6021" s="473"/>
      <c r="H6021" s="473"/>
      <c r="I6021" s="473"/>
      <c r="J6021" s="473"/>
      <c r="K6021" s="478"/>
      <c r="L6021" s="473"/>
      <c r="M6021" s="473"/>
    </row>
    <row r="6022" spans="5:13">
      <c r="E6022" s="473"/>
      <c r="F6022" s="473"/>
      <c r="G6022" s="473"/>
      <c r="H6022" s="473"/>
      <c r="I6022" s="473"/>
      <c r="J6022" s="473"/>
      <c r="K6022" s="478"/>
      <c r="L6022" s="473"/>
      <c r="M6022" s="473"/>
    </row>
    <row r="6023" spans="5:13">
      <c r="E6023" s="473"/>
      <c r="F6023" s="473"/>
      <c r="G6023" s="473"/>
      <c r="H6023" s="473"/>
      <c r="I6023" s="473"/>
      <c r="J6023" s="473"/>
      <c r="K6023" s="478"/>
      <c r="L6023" s="473"/>
      <c r="M6023" s="473"/>
    </row>
    <row r="6024" spans="5:13">
      <c r="E6024" s="473"/>
      <c r="F6024" s="473"/>
      <c r="G6024" s="473"/>
      <c r="H6024" s="473"/>
      <c r="I6024" s="473"/>
      <c r="J6024" s="473"/>
      <c r="K6024" s="478"/>
      <c r="L6024" s="473"/>
      <c r="M6024" s="473"/>
    </row>
    <row r="6025" spans="5:13">
      <c r="E6025" s="473"/>
      <c r="F6025" s="473"/>
      <c r="G6025" s="473"/>
      <c r="H6025" s="473"/>
      <c r="I6025" s="473"/>
      <c r="J6025" s="473"/>
      <c r="K6025" s="478"/>
      <c r="L6025" s="473"/>
      <c r="M6025" s="473"/>
    </row>
    <row r="6026" spans="5:13">
      <c r="E6026" s="473"/>
      <c r="F6026" s="473"/>
      <c r="G6026" s="473"/>
      <c r="H6026" s="473"/>
      <c r="I6026" s="473"/>
      <c r="J6026" s="473"/>
      <c r="K6026" s="478"/>
      <c r="L6026" s="473"/>
      <c r="M6026" s="473"/>
    </row>
    <row r="6027" spans="5:13">
      <c r="E6027" s="473"/>
      <c r="F6027" s="473"/>
      <c r="G6027" s="473"/>
      <c r="H6027" s="473"/>
      <c r="I6027" s="473"/>
      <c r="J6027" s="473"/>
      <c r="K6027" s="478"/>
      <c r="L6027" s="473"/>
      <c r="M6027" s="473"/>
    </row>
    <row r="6028" spans="5:13">
      <c r="E6028" s="473"/>
      <c r="F6028" s="473"/>
      <c r="G6028" s="473"/>
      <c r="H6028" s="473"/>
      <c r="I6028" s="473"/>
      <c r="J6028" s="473"/>
      <c r="K6028" s="478"/>
      <c r="L6028" s="473"/>
      <c r="M6028" s="473"/>
    </row>
    <row r="6029" spans="5:13">
      <c r="E6029" s="473"/>
      <c r="F6029" s="473"/>
      <c r="G6029" s="473"/>
      <c r="H6029" s="473"/>
      <c r="I6029" s="473"/>
      <c r="J6029" s="473"/>
      <c r="K6029" s="478"/>
      <c r="L6029" s="473"/>
      <c r="M6029" s="473"/>
    </row>
    <row r="6030" spans="5:13">
      <c r="E6030" s="473"/>
      <c r="F6030" s="473"/>
      <c r="G6030" s="473"/>
      <c r="H6030" s="473"/>
      <c r="I6030" s="473"/>
      <c r="J6030" s="473"/>
      <c r="K6030" s="478"/>
      <c r="L6030" s="473"/>
      <c r="M6030" s="473"/>
    </row>
    <row r="6031" spans="5:13">
      <c r="E6031" s="473"/>
      <c r="F6031" s="473"/>
      <c r="G6031" s="473"/>
      <c r="H6031" s="473"/>
      <c r="I6031" s="473"/>
      <c r="J6031" s="473"/>
      <c r="K6031" s="478"/>
      <c r="L6031" s="473"/>
      <c r="M6031" s="473"/>
    </row>
    <row r="6032" spans="5:13">
      <c r="E6032" s="473"/>
      <c r="F6032" s="473"/>
      <c r="G6032" s="473"/>
      <c r="H6032" s="473"/>
      <c r="I6032" s="473"/>
      <c r="J6032" s="473"/>
      <c r="K6032" s="478"/>
      <c r="L6032" s="473"/>
      <c r="M6032" s="473"/>
    </row>
    <row r="6033" spans="5:13">
      <c r="E6033" s="473"/>
      <c r="F6033" s="473"/>
      <c r="G6033" s="473"/>
      <c r="H6033" s="473"/>
      <c r="I6033" s="473"/>
      <c r="J6033" s="473"/>
      <c r="K6033" s="478"/>
      <c r="L6033" s="473"/>
      <c r="M6033" s="473"/>
    </row>
    <row r="6034" spans="5:13">
      <c r="E6034" s="473"/>
      <c r="F6034" s="473"/>
      <c r="G6034" s="473"/>
      <c r="H6034" s="473"/>
      <c r="I6034" s="473"/>
      <c r="J6034" s="473"/>
      <c r="K6034" s="478"/>
      <c r="L6034" s="473"/>
      <c r="M6034" s="473"/>
    </row>
    <row r="6035" spans="5:13">
      <c r="E6035" s="473"/>
      <c r="F6035" s="473"/>
      <c r="G6035" s="473"/>
      <c r="H6035" s="473"/>
      <c r="I6035" s="473"/>
      <c r="J6035" s="473"/>
      <c r="K6035" s="478"/>
      <c r="L6035" s="473"/>
      <c r="M6035" s="473"/>
    </row>
    <row r="6036" spans="5:13">
      <c r="E6036" s="473"/>
      <c r="F6036" s="473"/>
      <c r="G6036" s="473"/>
      <c r="H6036" s="473"/>
      <c r="I6036" s="473"/>
      <c r="J6036" s="473"/>
      <c r="K6036" s="478"/>
      <c r="L6036" s="473"/>
      <c r="M6036" s="473"/>
    </row>
    <row r="6037" spans="5:13">
      <c r="E6037" s="473"/>
      <c r="F6037" s="473"/>
      <c r="G6037" s="473"/>
      <c r="H6037" s="473"/>
      <c r="I6037" s="473"/>
      <c r="J6037" s="473"/>
      <c r="K6037" s="478"/>
      <c r="L6037" s="473"/>
      <c r="M6037" s="473"/>
    </row>
    <row r="6038" spans="5:13">
      <c r="E6038" s="473"/>
      <c r="F6038" s="473"/>
      <c r="G6038" s="473"/>
      <c r="H6038" s="473"/>
      <c r="I6038" s="473"/>
      <c r="J6038" s="473"/>
      <c r="K6038" s="478"/>
      <c r="L6038" s="473"/>
      <c r="M6038" s="473"/>
    </row>
    <row r="6039" spans="5:13">
      <c r="E6039" s="473"/>
      <c r="F6039" s="473"/>
      <c r="G6039" s="473"/>
      <c r="H6039" s="473"/>
      <c r="I6039" s="473"/>
      <c r="J6039" s="473"/>
      <c r="K6039" s="478"/>
      <c r="L6039" s="473"/>
      <c r="M6039" s="473"/>
    </row>
    <row r="6040" spans="5:13">
      <c r="E6040" s="473"/>
      <c r="F6040" s="473"/>
      <c r="G6040" s="473"/>
      <c r="H6040" s="473"/>
      <c r="I6040" s="473"/>
      <c r="J6040" s="473"/>
      <c r="K6040" s="478"/>
      <c r="L6040" s="473"/>
      <c r="M6040" s="473"/>
    </row>
    <row r="6041" spans="5:13">
      <c r="E6041" s="473"/>
      <c r="F6041" s="473"/>
      <c r="G6041" s="473"/>
      <c r="H6041" s="473"/>
      <c r="I6041" s="473"/>
      <c r="J6041" s="473"/>
      <c r="K6041" s="478"/>
      <c r="L6041" s="473"/>
      <c r="M6041" s="473"/>
    </row>
    <row r="6042" spans="5:13">
      <c r="E6042" s="473"/>
      <c r="F6042" s="473"/>
      <c r="G6042" s="473"/>
      <c r="H6042" s="473"/>
      <c r="I6042" s="473"/>
      <c r="J6042" s="473"/>
      <c r="K6042" s="478"/>
      <c r="L6042" s="473"/>
      <c r="M6042" s="473"/>
    </row>
    <row r="6043" spans="5:13">
      <c r="E6043" s="473"/>
      <c r="F6043" s="473"/>
      <c r="G6043" s="473"/>
      <c r="H6043" s="473"/>
      <c r="I6043" s="473"/>
      <c r="J6043" s="473"/>
      <c r="K6043" s="478"/>
      <c r="L6043" s="473"/>
      <c r="M6043" s="473"/>
    </row>
    <row r="6044" spans="5:13">
      <c r="E6044" s="473"/>
      <c r="F6044" s="473"/>
      <c r="G6044" s="473"/>
      <c r="H6044" s="473"/>
      <c r="I6044" s="473"/>
      <c r="J6044" s="473"/>
      <c r="K6044" s="478"/>
      <c r="L6044" s="473"/>
      <c r="M6044" s="473"/>
    </row>
    <row r="6045" spans="5:13">
      <c r="E6045" s="473"/>
      <c r="F6045" s="473"/>
      <c r="G6045" s="473"/>
      <c r="H6045" s="473"/>
      <c r="I6045" s="473"/>
      <c r="J6045" s="473"/>
      <c r="K6045" s="478"/>
      <c r="L6045" s="473"/>
      <c r="M6045" s="473"/>
    </row>
    <row r="6046" spans="5:13">
      <c r="E6046" s="473"/>
      <c r="F6046" s="473"/>
      <c r="G6046" s="473"/>
      <c r="H6046" s="473"/>
      <c r="I6046" s="473"/>
      <c r="J6046" s="473"/>
      <c r="K6046" s="478"/>
      <c r="L6046" s="473"/>
      <c r="M6046" s="473"/>
    </row>
    <row r="6047" spans="5:13">
      <c r="E6047" s="473"/>
      <c r="F6047" s="473"/>
      <c r="G6047" s="473"/>
      <c r="H6047" s="473"/>
      <c r="I6047" s="473"/>
      <c r="J6047" s="473"/>
      <c r="K6047" s="478"/>
      <c r="L6047" s="473"/>
      <c r="M6047" s="473"/>
    </row>
    <row r="6048" spans="5:13">
      <c r="E6048" s="473"/>
      <c r="F6048" s="473"/>
      <c r="G6048" s="473"/>
      <c r="H6048" s="473"/>
      <c r="I6048" s="473"/>
      <c r="J6048" s="473"/>
      <c r="K6048" s="478"/>
      <c r="L6048" s="473"/>
      <c r="M6048" s="473"/>
    </row>
    <row r="6049" spans="5:13">
      <c r="E6049" s="473"/>
      <c r="F6049" s="473"/>
      <c r="G6049" s="473"/>
      <c r="H6049" s="473"/>
      <c r="I6049" s="473"/>
      <c r="J6049" s="473"/>
      <c r="K6049" s="478"/>
      <c r="L6049" s="473"/>
      <c r="M6049" s="473"/>
    </row>
    <row r="6050" spans="5:13">
      <c r="E6050" s="473"/>
      <c r="F6050" s="473"/>
      <c r="G6050" s="473"/>
      <c r="H6050" s="473"/>
      <c r="I6050" s="473"/>
      <c r="J6050" s="473"/>
      <c r="K6050" s="478"/>
      <c r="L6050" s="473"/>
      <c r="M6050" s="473"/>
    </row>
    <row r="6051" spans="5:13">
      <c r="E6051" s="473"/>
      <c r="F6051" s="473"/>
      <c r="G6051" s="473"/>
      <c r="H6051" s="473"/>
      <c r="I6051" s="473"/>
      <c r="J6051" s="473"/>
      <c r="K6051" s="478"/>
      <c r="L6051" s="473"/>
      <c r="M6051" s="473"/>
    </row>
    <row r="6052" spans="5:13">
      <c r="E6052" s="473"/>
      <c r="F6052" s="473"/>
      <c r="G6052" s="473"/>
      <c r="H6052" s="473"/>
      <c r="I6052" s="473"/>
      <c r="J6052" s="473"/>
      <c r="K6052" s="478"/>
      <c r="L6052" s="473"/>
      <c r="M6052" s="473"/>
    </row>
    <row r="6053" spans="5:13">
      <c r="E6053" s="473"/>
      <c r="F6053" s="473"/>
      <c r="G6053" s="473"/>
      <c r="H6053" s="473"/>
      <c r="I6053" s="473"/>
      <c r="J6053" s="473"/>
      <c r="K6053" s="478"/>
      <c r="L6053" s="473"/>
      <c r="M6053" s="473"/>
    </row>
    <row r="6054" spans="5:13">
      <c r="E6054" s="473"/>
      <c r="F6054" s="473"/>
      <c r="G6054" s="473"/>
      <c r="H6054" s="473"/>
      <c r="I6054" s="473"/>
      <c r="J6054" s="473"/>
      <c r="K6054" s="478"/>
      <c r="L6054" s="473"/>
      <c r="M6054" s="473"/>
    </row>
    <row r="6055" spans="5:13">
      <c r="E6055" s="473"/>
      <c r="F6055" s="473"/>
      <c r="G6055" s="473"/>
      <c r="H6055" s="473"/>
      <c r="I6055" s="473"/>
      <c r="J6055" s="473"/>
      <c r="K6055" s="478"/>
      <c r="L6055" s="473"/>
      <c r="M6055" s="473"/>
    </row>
    <row r="6056" spans="5:13">
      <c r="E6056" s="473"/>
      <c r="F6056" s="473"/>
      <c r="G6056" s="473"/>
      <c r="H6056" s="473"/>
      <c r="I6056" s="473"/>
      <c r="J6056" s="473"/>
      <c r="K6056" s="478"/>
      <c r="L6056" s="473"/>
      <c r="M6056" s="473"/>
    </row>
    <row r="6057" spans="5:13">
      <c r="E6057" s="473"/>
      <c r="F6057" s="473"/>
      <c r="G6057" s="473"/>
      <c r="H6057" s="473"/>
      <c r="I6057" s="473"/>
      <c r="J6057" s="473"/>
      <c r="K6057" s="478"/>
      <c r="L6057" s="473"/>
      <c r="M6057" s="473"/>
    </row>
    <row r="6058" spans="5:13">
      <c r="E6058" s="473"/>
      <c r="F6058" s="473"/>
      <c r="G6058" s="473"/>
      <c r="H6058" s="473"/>
      <c r="I6058" s="473"/>
      <c r="J6058" s="473"/>
      <c r="K6058" s="478"/>
      <c r="L6058" s="473"/>
      <c r="M6058" s="473"/>
    </row>
    <row r="6059" spans="5:13">
      <c r="E6059" s="473"/>
      <c r="F6059" s="473"/>
      <c r="G6059" s="473"/>
      <c r="H6059" s="473"/>
      <c r="I6059" s="473"/>
      <c r="J6059" s="473"/>
      <c r="K6059" s="478"/>
      <c r="L6059" s="473"/>
      <c r="M6059" s="473"/>
    </row>
    <row r="6060" spans="5:13">
      <c r="E6060" s="473"/>
      <c r="F6060" s="473"/>
      <c r="G6060" s="473"/>
      <c r="H6060" s="473"/>
      <c r="I6060" s="473"/>
      <c r="J6060" s="473"/>
      <c r="K6060" s="478"/>
      <c r="L6060" s="473"/>
      <c r="M6060" s="473"/>
    </row>
    <row r="6061" spans="5:13">
      <c r="E6061" s="473"/>
      <c r="F6061" s="473"/>
      <c r="G6061" s="473"/>
      <c r="H6061" s="473"/>
      <c r="I6061" s="473"/>
      <c r="J6061" s="473"/>
      <c r="K6061" s="478"/>
      <c r="L6061" s="473"/>
      <c r="M6061" s="473"/>
    </row>
    <row r="6062" spans="5:13">
      <c r="E6062" s="473"/>
      <c r="F6062" s="473"/>
      <c r="G6062" s="473"/>
      <c r="H6062" s="473"/>
      <c r="I6062" s="473"/>
      <c r="J6062" s="473"/>
      <c r="K6062" s="478"/>
      <c r="L6062" s="473"/>
      <c r="M6062" s="473"/>
    </row>
    <row r="6063" spans="5:13">
      <c r="E6063" s="473"/>
      <c r="F6063" s="473"/>
      <c r="G6063" s="473"/>
      <c r="H6063" s="473"/>
      <c r="I6063" s="473"/>
      <c r="J6063" s="473"/>
      <c r="K6063" s="478"/>
      <c r="L6063" s="473"/>
      <c r="M6063" s="473"/>
    </row>
    <row r="6064" spans="5:13">
      <c r="E6064" s="473"/>
      <c r="F6064" s="473"/>
      <c r="G6064" s="473"/>
      <c r="H6064" s="473"/>
      <c r="I6064" s="473"/>
      <c r="J6064" s="473"/>
      <c r="K6064" s="478"/>
      <c r="L6064" s="473"/>
      <c r="M6064" s="473"/>
    </row>
    <row r="6065" spans="5:13">
      <c r="E6065" s="473"/>
      <c r="F6065" s="473"/>
      <c r="G6065" s="473"/>
      <c r="H6065" s="473"/>
      <c r="I6065" s="473"/>
      <c r="J6065" s="473"/>
      <c r="K6065" s="478"/>
      <c r="L6065" s="473"/>
      <c r="M6065" s="473"/>
    </row>
    <row r="6066" spans="5:13">
      <c r="E6066" s="473"/>
      <c r="F6066" s="473"/>
      <c r="G6066" s="473"/>
      <c r="H6066" s="473"/>
      <c r="I6066" s="473"/>
      <c r="J6066" s="473"/>
      <c r="K6066" s="478"/>
      <c r="L6066" s="473"/>
      <c r="M6066" s="473"/>
    </row>
    <row r="6067" spans="5:13">
      <c r="E6067" s="473"/>
      <c r="F6067" s="473"/>
      <c r="G6067" s="473"/>
      <c r="H6067" s="473"/>
      <c r="I6067" s="473"/>
      <c r="J6067" s="473"/>
      <c r="K6067" s="478"/>
      <c r="L6067" s="473"/>
      <c r="M6067" s="473"/>
    </row>
    <row r="6068" spans="5:13">
      <c r="E6068" s="473"/>
      <c r="F6068" s="473"/>
      <c r="G6068" s="473"/>
      <c r="H6068" s="473"/>
      <c r="I6068" s="473"/>
      <c r="J6068" s="473"/>
      <c r="K6068" s="478"/>
      <c r="L6068" s="473"/>
      <c r="M6068" s="473"/>
    </row>
    <row r="6069" spans="5:13">
      <c r="E6069" s="473"/>
      <c r="F6069" s="473"/>
      <c r="G6069" s="473"/>
      <c r="H6069" s="473"/>
      <c r="I6069" s="473"/>
      <c r="J6069" s="473"/>
      <c r="K6069" s="478"/>
      <c r="L6069" s="473"/>
      <c r="M6069" s="473"/>
    </row>
    <row r="6070" spans="5:13">
      <c r="E6070" s="473"/>
      <c r="F6070" s="473"/>
      <c r="G6070" s="473"/>
      <c r="H6070" s="473"/>
      <c r="I6070" s="473"/>
      <c r="J6070" s="473"/>
      <c r="K6070" s="478"/>
      <c r="L6070" s="473"/>
      <c r="M6070" s="473"/>
    </row>
    <row r="6071" spans="5:13">
      <c r="E6071" s="473"/>
      <c r="F6071" s="473"/>
      <c r="G6071" s="473"/>
      <c r="H6071" s="473"/>
      <c r="I6071" s="473"/>
      <c r="J6071" s="473"/>
      <c r="K6071" s="478"/>
      <c r="L6071" s="473"/>
      <c r="M6071" s="473"/>
    </row>
    <row r="6072" spans="5:13">
      <c r="E6072" s="473"/>
      <c r="F6072" s="473"/>
      <c r="G6072" s="473"/>
      <c r="H6072" s="473"/>
      <c r="I6072" s="473"/>
      <c r="J6072" s="473"/>
      <c r="K6072" s="478"/>
      <c r="L6072" s="473"/>
      <c r="M6072" s="473"/>
    </row>
    <row r="6073" spans="5:13">
      <c r="E6073" s="473"/>
      <c r="F6073" s="473"/>
      <c r="G6073" s="473"/>
      <c r="H6073" s="473"/>
      <c r="I6073" s="473"/>
      <c r="J6073" s="473"/>
      <c r="K6073" s="478"/>
      <c r="L6073" s="473"/>
      <c r="M6073" s="473"/>
    </row>
    <row r="6074" spans="5:13">
      <c r="E6074" s="473"/>
      <c r="F6074" s="473"/>
      <c r="G6074" s="473"/>
      <c r="H6074" s="473"/>
      <c r="I6074" s="473"/>
      <c r="J6074" s="473"/>
      <c r="K6074" s="478"/>
      <c r="L6074" s="473"/>
      <c r="M6074" s="473"/>
    </row>
    <row r="6075" spans="5:13">
      <c r="E6075" s="473"/>
      <c r="F6075" s="473"/>
      <c r="G6075" s="473"/>
      <c r="H6075" s="473"/>
      <c r="I6075" s="473"/>
      <c r="J6075" s="473"/>
      <c r="K6075" s="478"/>
      <c r="L6075" s="473"/>
      <c r="M6075" s="473"/>
    </row>
    <row r="6076" spans="5:13">
      <c r="E6076" s="473"/>
      <c r="F6076" s="473"/>
      <c r="G6076" s="473"/>
      <c r="H6076" s="473"/>
      <c r="I6076" s="473"/>
      <c r="J6076" s="473"/>
      <c r="K6076" s="478"/>
      <c r="L6076" s="473"/>
      <c r="M6076" s="473"/>
    </row>
    <row r="6077" spans="5:13">
      <c r="E6077" s="473"/>
      <c r="F6077" s="473"/>
      <c r="G6077" s="473"/>
      <c r="H6077" s="473"/>
      <c r="I6077" s="473"/>
      <c r="J6077" s="473"/>
      <c r="K6077" s="478"/>
      <c r="L6077" s="473"/>
      <c r="M6077" s="473"/>
    </row>
    <row r="6078" spans="5:13">
      <c r="E6078" s="473"/>
      <c r="F6078" s="473"/>
      <c r="G6078" s="473"/>
      <c r="H6078" s="473"/>
      <c r="I6078" s="473"/>
      <c r="J6078" s="473"/>
      <c r="K6078" s="478"/>
      <c r="L6078" s="473"/>
      <c r="M6078" s="473"/>
    </row>
    <row r="6079" spans="5:13">
      <c r="E6079" s="473"/>
      <c r="F6079" s="473"/>
      <c r="G6079" s="473"/>
      <c r="H6079" s="473"/>
      <c r="I6079" s="473"/>
      <c r="J6079" s="473"/>
      <c r="K6079" s="478"/>
      <c r="L6079" s="473"/>
      <c r="M6079" s="473"/>
    </row>
    <row r="6080" spans="5:13">
      <c r="E6080" s="473"/>
      <c r="F6080" s="473"/>
      <c r="G6080" s="473"/>
      <c r="H6080" s="473"/>
      <c r="I6080" s="473"/>
      <c r="J6080" s="473"/>
      <c r="K6080" s="478"/>
      <c r="L6080" s="473"/>
      <c r="M6080" s="473"/>
    </row>
    <row r="6081" spans="5:13">
      <c r="E6081" s="473"/>
      <c r="F6081" s="473"/>
      <c r="G6081" s="473"/>
      <c r="H6081" s="473"/>
      <c r="I6081" s="473"/>
      <c r="J6081" s="473"/>
      <c r="K6081" s="478"/>
      <c r="L6081" s="473"/>
      <c r="M6081" s="473"/>
    </row>
    <row r="6082" spans="5:13">
      <c r="E6082" s="473"/>
      <c r="F6082" s="473"/>
      <c r="G6082" s="473"/>
      <c r="H6082" s="473"/>
      <c r="I6082" s="473"/>
      <c r="J6082" s="473"/>
      <c r="K6082" s="478"/>
      <c r="L6082" s="473"/>
      <c r="M6082" s="473"/>
    </row>
    <row r="6083" spans="5:13">
      <c r="E6083" s="473"/>
      <c r="F6083" s="473"/>
      <c r="G6083" s="473"/>
      <c r="H6083" s="473"/>
      <c r="I6083" s="473"/>
      <c r="J6083" s="473"/>
      <c r="K6083" s="478"/>
      <c r="L6083" s="473"/>
      <c r="M6083" s="473"/>
    </row>
    <row r="6084" spans="5:13">
      <c r="E6084" s="473"/>
      <c r="F6084" s="473"/>
      <c r="G6084" s="473"/>
      <c r="H6084" s="473"/>
      <c r="I6084" s="473"/>
      <c r="J6084" s="473"/>
      <c r="K6084" s="478"/>
      <c r="L6084" s="473"/>
      <c r="M6084" s="473"/>
    </row>
    <row r="6085" spans="5:13">
      <c r="E6085" s="473"/>
      <c r="F6085" s="473"/>
      <c r="G6085" s="473"/>
      <c r="H6085" s="473"/>
      <c r="I6085" s="473"/>
      <c r="J6085" s="473"/>
      <c r="K6085" s="478"/>
      <c r="L6085" s="473"/>
      <c r="M6085" s="473"/>
    </row>
    <row r="6086" spans="5:13">
      <c r="E6086" s="473"/>
      <c r="F6086" s="473"/>
      <c r="G6086" s="473"/>
      <c r="H6086" s="473"/>
      <c r="I6086" s="473"/>
      <c r="J6086" s="473"/>
      <c r="K6086" s="478"/>
      <c r="L6086" s="473"/>
      <c r="M6086" s="473"/>
    </row>
    <row r="6087" spans="5:13">
      <c r="E6087" s="473"/>
      <c r="F6087" s="473"/>
      <c r="G6087" s="473"/>
      <c r="H6087" s="473"/>
      <c r="I6087" s="473"/>
      <c r="J6087" s="473"/>
      <c r="K6087" s="478"/>
      <c r="L6087" s="473"/>
      <c r="M6087" s="473"/>
    </row>
    <row r="6088" spans="5:13">
      <c r="E6088" s="473"/>
      <c r="F6088" s="473"/>
      <c r="G6088" s="473"/>
      <c r="H6088" s="473"/>
      <c r="I6088" s="473"/>
      <c r="J6088" s="473"/>
      <c r="K6088" s="478"/>
      <c r="L6088" s="473"/>
      <c r="M6088" s="473"/>
    </row>
    <row r="6089" spans="5:13">
      <c r="E6089" s="473"/>
      <c r="F6089" s="473"/>
      <c r="G6089" s="473"/>
      <c r="H6089" s="473"/>
      <c r="I6089" s="473"/>
      <c r="J6089" s="473"/>
      <c r="K6089" s="478"/>
      <c r="L6089" s="473"/>
      <c r="M6089" s="473"/>
    </row>
    <row r="6090" spans="5:13">
      <c r="E6090" s="473"/>
      <c r="F6090" s="473"/>
      <c r="G6090" s="473"/>
      <c r="H6090" s="473"/>
      <c r="I6090" s="473"/>
      <c r="J6090" s="473"/>
      <c r="K6090" s="478"/>
      <c r="L6090" s="473"/>
      <c r="M6090" s="473"/>
    </row>
    <row r="6091" spans="5:13">
      <c r="E6091" s="473"/>
      <c r="F6091" s="473"/>
      <c r="G6091" s="473"/>
      <c r="H6091" s="473"/>
      <c r="I6091" s="473"/>
      <c r="J6091" s="473"/>
      <c r="K6091" s="478"/>
      <c r="L6091" s="473"/>
      <c r="M6091" s="473"/>
    </row>
    <row r="6092" spans="5:13">
      <c r="E6092" s="473"/>
      <c r="F6092" s="473"/>
      <c r="G6092" s="473"/>
      <c r="H6092" s="473"/>
      <c r="I6092" s="473"/>
      <c r="J6092" s="473"/>
      <c r="K6092" s="478"/>
      <c r="L6092" s="473"/>
      <c r="M6092" s="473"/>
    </row>
    <row r="6093" spans="5:13">
      <c r="E6093" s="473"/>
      <c r="F6093" s="473"/>
      <c r="G6093" s="473"/>
      <c r="H6093" s="473"/>
      <c r="I6093" s="473"/>
      <c r="J6093" s="473"/>
      <c r="K6093" s="478"/>
      <c r="L6093" s="473"/>
      <c r="M6093" s="473"/>
    </row>
    <row r="6094" spans="5:13">
      <c r="E6094" s="473"/>
      <c r="F6094" s="473"/>
      <c r="G6094" s="473"/>
      <c r="H6094" s="473"/>
      <c r="I6094" s="473"/>
      <c r="J6094" s="473"/>
      <c r="K6094" s="478"/>
      <c r="L6094" s="473"/>
      <c r="M6094" s="473"/>
    </row>
    <row r="6095" spans="5:13">
      <c r="E6095" s="473"/>
      <c r="F6095" s="473"/>
      <c r="G6095" s="473"/>
      <c r="H6095" s="473"/>
      <c r="I6095" s="473"/>
      <c r="J6095" s="473"/>
      <c r="K6095" s="478"/>
      <c r="L6095" s="473"/>
      <c r="M6095" s="473"/>
    </row>
    <row r="6096" spans="5:13">
      <c r="E6096" s="473"/>
      <c r="F6096" s="473"/>
      <c r="G6096" s="473"/>
      <c r="H6096" s="473"/>
      <c r="I6096" s="473"/>
      <c r="J6096" s="473"/>
      <c r="K6096" s="478"/>
      <c r="L6096" s="473"/>
      <c r="M6096" s="473"/>
    </row>
    <row r="6097" spans="5:13">
      <c r="E6097" s="473"/>
      <c r="F6097" s="473"/>
      <c r="G6097" s="473"/>
      <c r="H6097" s="473"/>
      <c r="I6097" s="473"/>
      <c r="J6097" s="473"/>
      <c r="K6097" s="478"/>
      <c r="L6097" s="473"/>
      <c r="M6097" s="473"/>
    </row>
    <row r="6098" spans="5:13">
      <c r="E6098" s="473"/>
      <c r="F6098" s="473"/>
      <c r="G6098" s="473"/>
      <c r="H6098" s="473"/>
      <c r="I6098" s="473"/>
      <c r="J6098" s="473"/>
      <c r="K6098" s="478"/>
      <c r="L6098" s="473"/>
      <c r="M6098" s="473"/>
    </row>
    <row r="6099" spans="5:13">
      <c r="E6099" s="473"/>
      <c r="F6099" s="473"/>
      <c r="G6099" s="473"/>
      <c r="H6099" s="473"/>
      <c r="I6099" s="473"/>
      <c r="J6099" s="473"/>
      <c r="K6099" s="478"/>
      <c r="L6099" s="473"/>
      <c r="M6099" s="473"/>
    </row>
    <row r="6100" spans="5:13">
      <c r="E6100" s="473"/>
      <c r="F6100" s="473"/>
      <c r="G6100" s="473"/>
      <c r="H6100" s="473"/>
      <c r="I6100" s="473"/>
      <c r="J6100" s="473"/>
      <c r="K6100" s="478"/>
      <c r="L6100" s="473"/>
      <c r="M6100" s="473"/>
    </row>
    <row r="6101" spans="5:13">
      <c r="E6101" s="473"/>
      <c r="F6101" s="473"/>
      <c r="G6101" s="473"/>
      <c r="H6101" s="473"/>
      <c r="I6101" s="473"/>
      <c r="J6101" s="473"/>
      <c r="K6101" s="478"/>
      <c r="L6101" s="473"/>
      <c r="M6101" s="473"/>
    </row>
    <row r="6102" spans="5:13">
      <c r="E6102" s="473"/>
      <c r="F6102" s="473"/>
      <c r="G6102" s="473"/>
      <c r="H6102" s="473"/>
      <c r="I6102" s="473"/>
      <c r="J6102" s="473"/>
      <c r="K6102" s="478"/>
      <c r="L6102" s="473"/>
      <c r="M6102" s="473"/>
    </row>
    <row r="6103" spans="5:13">
      <c r="E6103" s="473"/>
      <c r="F6103" s="473"/>
      <c r="G6103" s="473"/>
      <c r="H6103" s="473"/>
      <c r="I6103" s="473"/>
      <c r="J6103" s="473"/>
      <c r="K6103" s="478"/>
      <c r="L6103" s="473"/>
      <c r="M6103" s="473"/>
    </row>
    <row r="6104" spans="5:13">
      <c r="E6104" s="473"/>
      <c r="F6104" s="473"/>
      <c r="G6104" s="473"/>
      <c r="H6104" s="473"/>
      <c r="I6104" s="473"/>
      <c r="J6104" s="473"/>
      <c r="K6104" s="478"/>
      <c r="L6104" s="473"/>
      <c r="M6104" s="473"/>
    </row>
    <row r="6105" spans="5:13">
      <c r="E6105" s="473"/>
      <c r="F6105" s="473"/>
      <c r="G6105" s="473"/>
      <c r="H6105" s="473"/>
      <c r="I6105" s="473"/>
      <c r="J6105" s="473"/>
      <c r="K6105" s="478"/>
      <c r="L6105" s="473"/>
      <c r="M6105" s="473"/>
    </row>
    <row r="6106" spans="5:13">
      <c r="E6106" s="473"/>
      <c r="F6106" s="473"/>
      <c r="G6106" s="473"/>
      <c r="H6106" s="473"/>
      <c r="I6106" s="473"/>
      <c r="J6106" s="473"/>
      <c r="K6106" s="478"/>
      <c r="L6106" s="473"/>
      <c r="M6106" s="473"/>
    </row>
    <row r="6107" spans="5:13">
      <c r="E6107" s="473"/>
      <c r="F6107" s="473"/>
      <c r="G6107" s="473"/>
      <c r="H6107" s="473"/>
      <c r="I6107" s="473"/>
      <c r="J6107" s="473"/>
      <c r="K6107" s="478"/>
      <c r="L6107" s="473"/>
      <c r="M6107" s="473"/>
    </row>
    <row r="6108" spans="5:13">
      <c r="E6108" s="473"/>
      <c r="F6108" s="473"/>
      <c r="G6108" s="473"/>
      <c r="H6108" s="473"/>
      <c r="I6108" s="473"/>
      <c r="J6108" s="473"/>
      <c r="K6108" s="478"/>
      <c r="L6108" s="473"/>
      <c r="M6108" s="473"/>
    </row>
    <row r="6109" spans="5:13">
      <c r="E6109" s="473"/>
      <c r="F6109" s="473"/>
      <c r="G6109" s="473"/>
      <c r="H6109" s="473"/>
      <c r="I6109" s="473"/>
      <c r="J6109" s="473"/>
      <c r="K6109" s="478"/>
      <c r="L6109" s="473"/>
      <c r="M6109" s="473"/>
    </row>
    <row r="6110" spans="5:13">
      <c r="E6110" s="473"/>
      <c r="F6110" s="473"/>
      <c r="G6110" s="473"/>
      <c r="H6110" s="473"/>
      <c r="I6110" s="473"/>
      <c r="J6110" s="473"/>
      <c r="K6110" s="478"/>
      <c r="L6110" s="473"/>
      <c r="M6110" s="473"/>
    </row>
    <row r="6111" spans="5:13">
      <c r="E6111" s="473"/>
      <c r="F6111" s="473"/>
      <c r="G6111" s="473"/>
      <c r="H6111" s="473"/>
      <c r="I6111" s="473"/>
      <c r="J6111" s="473"/>
      <c r="K6111" s="478"/>
      <c r="L6111" s="473"/>
      <c r="M6111" s="473"/>
    </row>
    <row r="6112" spans="5:13">
      <c r="E6112" s="473"/>
      <c r="F6112" s="473"/>
      <c r="G6112" s="473"/>
      <c r="H6112" s="473"/>
      <c r="I6112" s="473"/>
      <c r="J6112" s="473"/>
      <c r="K6112" s="478"/>
      <c r="L6112" s="473"/>
      <c r="M6112" s="473"/>
    </row>
    <row r="6113" spans="5:13">
      <c r="E6113" s="473"/>
      <c r="F6113" s="473"/>
      <c r="G6113" s="473"/>
      <c r="H6113" s="473"/>
      <c r="I6113" s="473"/>
      <c r="J6113" s="473"/>
      <c r="K6113" s="478"/>
      <c r="L6113" s="473"/>
      <c r="M6113" s="473"/>
    </row>
    <row r="6114" spans="5:13">
      <c r="E6114" s="473"/>
      <c r="F6114" s="473"/>
      <c r="G6114" s="473"/>
      <c r="H6114" s="473"/>
      <c r="I6114" s="473"/>
      <c r="J6114" s="473"/>
      <c r="K6114" s="478"/>
      <c r="L6114" s="473"/>
      <c r="M6114" s="473"/>
    </row>
    <row r="6115" spans="5:13">
      <c r="E6115" s="473"/>
      <c r="F6115" s="473"/>
      <c r="G6115" s="473"/>
      <c r="H6115" s="473"/>
      <c r="I6115" s="473"/>
      <c r="J6115" s="473"/>
      <c r="K6115" s="478"/>
      <c r="L6115" s="473"/>
      <c r="M6115" s="473"/>
    </row>
    <row r="6116" spans="5:13">
      <c r="E6116" s="473"/>
      <c r="F6116" s="473"/>
      <c r="G6116" s="473"/>
      <c r="H6116" s="473"/>
      <c r="I6116" s="473"/>
      <c r="J6116" s="473"/>
      <c r="K6116" s="478"/>
      <c r="L6116" s="473"/>
      <c r="M6116" s="473"/>
    </row>
    <row r="6117" spans="5:13">
      <c r="E6117" s="473"/>
      <c r="F6117" s="473"/>
      <c r="G6117" s="473"/>
      <c r="H6117" s="473"/>
      <c r="I6117" s="473"/>
      <c r="J6117" s="473"/>
      <c r="K6117" s="478"/>
      <c r="L6117" s="473"/>
      <c r="M6117" s="473"/>
    </row>
    <row r="6118" spans="5:13">
      <c r="E6118" s="473"/>
      <c r="F6118" s="473"/>
      <c r="G6118" s="473"/>
      <c r="H6118" s="473"/>
      <c r="I6118" s="473"/>
      <c r="J6118" s="473"/>
      <c r="K6118" s="478"/>
      <c r="L6118" s="473"/>
      <c r="M6118" s="473"/>
    </row>
    <row r="6119" spans="5:13">
      <c r="E6119" s="473"/>
      <c r="F6119" s="473"/>
      <c r="G6119" s="473"/>
      <c r="H6119" s="473"/>
      <c r="I6119" s="473"/>
      <c r="J6119" s="473"/>
      <c r="K6119" s="478"/>
      <c r="L6119" s="473"/>
      <c r="M6119" s="473"/>
    </row>
    <row r="6120" spans="5:13">
      <c r="E6120" s="473"/>
      <c r="F6120" s="473"/>
      <c r="G6120" s="473"/>
      <c r="H6120" s="473"/>
      <c r="I6120" s="473"/>
      <c r="J6120" s="473"/>
      <c r="K6120" s="478"/>
      <c r="L6120" s="473"/>
      <c r="M6120" s="473"/>
    </row>
    <row r="6121" spans="5:13">
      <c r="E6121" s="473"/>
      <c r="F6121" s="473"/>
      <c r="G6121" s="473"/>
      <c r="H6121" s="473"/>
      <c r="I6121" s="473"/>
      <c r="J6121" s="473"/>
      <c r="K6121" s="478"/>
      <c r="L6121" s="473"/>
      <c r="M6121" s="473"/>
    </row>
    <row r="6122" spans="5:13">
      <c r="E6122" s="473"/>
      <c r="F6122" s="473"/>
      <c r="G6122" s="473"/>
      <c r="H6122" s="473"/>
      <c r="I6122" s="473"/>
      <c r="J6122" s="473"/>
      <c r="K6122" s="478"/>
      <c r="L6122" s="473"/>
      <c r="M6122" s="473"/>
    </row>
    <row r="6123" spans="5:13">
      <c r="E6123" s="473"/>
      <c r="F6123" s="473"/>
      <c r="G6123" s="473"/>
      <c r="H6123" s="473"/>
      <c r="I6123" s="473"/>
      <c r="J6123" s="473"/>
      <c r="K6123" s="478"/>
      <c r="L6123" s="473"/>
      <c r="M6123" s="473"/>
    </row>
    <row r="6124" spans="5:13">
      <c r="E6124" s="473"/>
      <c r="F6124" s="473"/>
      <c r="G6124" s="473"/>
      <c r="H6124" s="473"/>
      <c r="I6124" s="473"/>
      <c r="J6124" s="473"/>
      <c r="K6124" s="478"/>
      <c r="L6124" s="473"/>
      <c r="M6124" s="473"/>
    </row>
    <row r="6125" spans="5:13">
      <c r="E6125" s="473"/>
      <c r="F6125" s="473"/>
      <c r="G6125" s="473"/>
      <c r="H6125" s="473"/>
      <c r="I6125" s="473"/>
      <c r="J6125" s="473"/>
      <c r="K6125" s="478"/>
      <c r="L6125" s="473"/>
      <c r="M6125" s="473"/>
    </row>
    <row r="6126" spans="5:13">
      <c r="E6126" s="473"/>
      <c r="F6126" s="473"/>
      <c r="G6126" s="473"/>
      <c r="H6126" s="473"/>
      <c r="I6126" s="473"/>
      <c r="J6126" s="473"/>
      <c r="K6126" s="478"/>
      <c r="L6126" s="473"/>
      <c r="M6126" s="473"/>
    </row>
    <row r="6127" spans="5:13">
      <c r="E6127" s="473"/>
      <c r="F6127" s="473"/>
      <c r="G6127" s="473"/>
      <c r="H6127" s="473"/>
      <c r="I6127" s="473"/>
      <c r="J6127" s="473"/>
      <c r="K6127" s="478"/>
      <c r="L6127" s="473"/>
      <c r="M6127" s="473"/>
    </row>
    <row r="6128" spans="5:13">
      <c r="E6128" s="473"/>
      <c r="F6128" s="473"/>
      <c r="G6128" s="473"/>
      <c r="H6128" s="473"/>
      <c r="I6128" s="473"/>
      <c r="J6128" s="473"/>
      <c r="K6128" s="478"/>
      <c r="L6128" s="473"/>
      <c r="M6128" s="473"/>
    </row>
    <row r="6129" spans="5:13">
      <c r="E6129" s="473"/>
      <c r="F6129" s="473"/>
      <c r="G6129" s="473"/>
      <c r="H6129" s="473"/>
      <c r="I6129" s="473"/>
      <c r="J6129" s="473"/>
      <c r="K6129" s="478"/>
      <c r="L6129" s="473"/>
      <c r="M6129" s="473"/>
    </row>
    <row r="6130" spans="5:13">
      <c r="E6130" s="473"/>
      <c r="F6130" s="473"/>
      <c r="G6130" s="473"/>
      <c r="H6130" s="473"/>
      <c r="I6130" s="473"/>
      <c r="J6130" s="473"/>
      <c r="K6130" s="478"/>
      <c r="L6130" s="473"/>
      <c r="M6130" s="473"/>
    </row>
    <row r="6131" spans="5:13">
      <c r="E6131" s="473"/>
      <c r="F6131" s="473"/>
      <c r="G6131" s="473"/>
      <c r="H6131" s="473"/>
      <c r="I6131" s="473"/>
      <c r="J6131" s="473"/>
      <c r="K6131" s="478"/>
      <c r="L6131" s="473"/>
      <c r="M6131" s="473"/>
    </row>
    <row r="6132" spans="5:13">
      <c r="E6132" s="473"/>
      <c r="F6132" s="473"/>
      <c r="G6132" s="473"/>
      <c r="H6132" s="473"/>
      <c r="I6132" s="473"/>
      <c r="J6132" s="473"/>
      <c r="K6132" s="478"/>
      <c r="L6132" s="473"/>
      <c r="M6132" s="473"/>
    </row>
    <row r="6133" spans="5:13">
      <c r="E6133" s="473"/>
      <c r="F6133" s="473"/>
      <c r="G6133" s="473"/>
      <c r="H6133" s="473"/>
      <c r="I6133" s="473"/>
      <c r="J6133" s="473"/>
      <c r="K6133" s="478"/>
      <c r="L6133" s="473"/>
      <c r="M6133" s="473"/>
    </row>
    <row r="6134" spans="5:13">
      <c r="E6134" s="473"/>
      <c r="F6134" s="473"/>
      <c r="G6134" s="473"/>
      <c r="H6134" s="473"/>
      <c r="I6134" s="473"/>
      <c r="J6134" s="473"/>
      <c r="K6134" s="478"/>
      <c r="L6134" s="473"/>
      <c r="M6134" s="473"/>
    </row>
    <row r="6135" spans="5:13">
      <c r="E6135" s="473"/>
      <c r="F6135" s="473"/>
      <c r="G6135" s="473"/>
      <c r="H6135" s="473"/>
      <c r="I6135" s="473"/>
      <c r="J6135" s="473"/>
      <c r="K6135" s="478"/>
      <c r="L6135" s="473"/>
      <c r="M6135" s="473"/>
    </row>
    <row r="6136" spans="5:13">
      <c r="E6136" s="473"/>
      <c r="F6136" s="473"/>
      <c r="G6136" s="473"/>
      <c r="H6136" s="473"/>
      <c r="I6136" s="473"/>
      <c r="J6136" s="473"/>
      <c r="K6136" s="478"/>
      <c r="L6136" s="473"/>
      <c r="M6136" s="473"/>
    </row>
    <row r="6137" spans="5:13">
      <c r="E6137" s="473"/>
      <c r="F6137" s="473"/>
      <c r="G6137" s="473"/>
      <c r="H6137" s="473"/>
      <c r="I6137" s="473"/>
      <c r="J6137" s="473"/>
      <c r="K6137" s="478"/>
      <c r="L6137" s="473"/>
      <c r="M6137" s="473"/>
    </row>
    <row r="6138" spans="5:13">
      <c r="E6138" s="473"/>
      <c r="F6138" s="473"/>
      <c r="G6138" s="473"/>
      <c r="H6138" s="473"/>
      <c r="I6138" s="473"/>
      <c r="J6138" s="473"/>
      <c r="K6138" s="478"/>
      <c r="L6138" s="473"/>
      <c r="M6138" s="473"/>
    </row>
    <row r="6139" spans="5:13">
      <c r="E6139" s="473"/>
      <c r="F6139" s="473"/>
      <c r="G6139" s="473"/>
      <c r="H6139" s="473"/>
      <c r="I6139" s="473"/>
      <c r="J6139" s="473"/>
      <c r="K6139" s="478"/>
      <c r="L6139" s="473"/>
      <c r="M6139" s="473"/>
    </row>
    <row r="6140" spans="5:13">
      <c r="E6140" s="473"/>
      <c r="F6140" s="473"/>
      <c r="G6140" s="473"/>
      <c r="H6140" s="473"/>
      <c r="I6140" s="473"/>
      <c r="J6140" s="473"/>
      <c r="K6140" s="478"/>
      <c r="L6140" s="473"/>
      <c r="M6140" s="473"/>
    </row>
    <row r="6141" spans="5:13">
      <c r="E6141" s="473"/>
      <c r="F6141" s="473"/>
      <c r="G6141" s="473"/>
      <c r="H6141" s="473"/>
      <c r="I6141" s="473"/>
      <c r="J6141" s="473"/>
      <c r="K6141" s="478"/>
      <c r="L6141" s="473"/>
      <c r="M6141" s="473"/>
    </row>
    <row r="6142" spans="5:13">
      <c r="E6142" s="473"/>
      <c r="F6142" s="473"/>
      <c r="G6142" s="473"/>
      <c r="H6142" s="473"/>
      <c r="I6142" s="473"/>
      <c r="J6142" s="473"/>
      <c r="K6142" s="478"/>
      <c r="L6142" s="473"/>
      <c r="M6142" s="473"/>
    </row>
    <row r="6143" spans="5:13">
      <c r="E6143" s="473"/>
      <c r="F6143" s="473"/>
      <c r="G6143" s="473"/>
      <c r="H6143" s="473"/>
      <c r="I6143" s="473"/>
      <c r="J6143" s="473"/>
      <c r="K6143" s="478"/>
      <c r="L6143" s="473"/>
      <c r="M6143" s="473"/>
    </row>
    <row r="6144" spans="5:13">
      <c r="E6144" s="473"/>
      <c r="F6144" s="473"/>
      <c r="G6144" s="473"/>
      <c r="H6144" s="473"/>
      <c r="I6144" s="473"/>
      <c r="J6144" s="473"/>
      <c r="K6144" s="478"/>
      <c r="L6144" s="473"/>
      <c r="M6144" s="473"/>
    </row>
    <row r="6145" spans="5:13">
      <c r="E6145" s="473"/>
      <c r="F6145" s="473"/>
      <c r="G6145" s="473"/>
      <c r="H6145" s="473"/>
      <c r="I6145" s="473"/>
      <c r="J6145" s="473"/>
      <c r="K6145" s="478"/>
      <c r="L6145" s="473"/>
      <c r="M6145" s="473"/>
    </row>
    <row r="6146" spans="5:13">
      <c r="E6146" s="473"/>
      <c r="F6146" s="473"/>
      <c r="G6146" s="473"/>
      <c r="H6146" s="473"/>
      <c r="I6146" s="473"/>
      <c r="J6146" s="473"/>
      <c r="K6146" s="478"/>
      <c r="L6146" s="473"/>
      <c r="M6146" s="473"/>
    </row>
    <row r="6147" spans="5:13">
      <c r="E6147" s="473"/>
      <c r="F6147" s="473"/>
      <c r="G6147" s="473"/>
      <c r="H6147" s="473"/>
      <c r="I6147" s="473"/>
      <c r="J6147" s="473"/>
      <c r="K6147" s="478"/>
      <c r="L6147" s="473"/>
      <c r="M6147" s="473"/>
    </row>
    <row r="6148" spans="5:13">
      <c r="E6148" s="473"/>
      <c r="F6148" s="473"/>
      <c r="G6148" s="473"/>
      <c r="H6148" s="473"/>
      <c r="I6148" s="473"/>
      <c r="J6148" s="473"/>
      <c r="K6148" s="478"/>
      <c r="L6148" s="473"/>
      <c r="M6148" s="473"/>
    </row>
    <row r="6149" spans="5:13">
      <c r="E6149" s="473"/>
      <c r="F6149" s="473"/>
      <c r="G6149" s="473"/>
      <c r="H6149" s="473"/>
      <c r="I6149" s="473"/>
      <c r="J6149" s="473"/>
      <c r="K6149" s="478"/>
      <c r="L6149" s="473"/>
      <c r="M6149" s="473"/>
    </row>
    <row r="6150" spans="5:13">
      <c r="E6150" s="473"/>
      <c r="F6150" s="473"/>
      <c r="G6150" s="473"/>
      <c r="H6150" s="473"/>
      <c r="I6150" s="473"/>
      <c r="J6150" s="473"/>
      <c r="K6150" s="478"/>
      <c r="L6150" s="473"/>
      <c r="M6150" s="473"/>
    </row>
    <row r="6151" spans="5:13">
      <c r="E6151" s="473"/>
      <c r="F6151" s="473"/>
      <c r="G6151" s="473"/>
      <c r="H6151" s="473"/>
      <c r="I6151" s="473"/>
      <c r="J6151" s="473"/>
      <c r="K6151" s="478"/>
      <c r="L6151" s="473"/>
      <c r="M6151" s="473"/>
    </row>
    <row r="6152" spans="5:13">
      <c r="E6152" s="473"/>
      <c r="F6152" s="473"/>
      <c r="G6152" s="473"/>
      <c r="H6152" s="473"/>
      <c r="I6152" s="473"/>
      <c r="J6152" s="473"/>
      <c r="K6152" s="478"/>
      <c r="L6152" s="473"/>
      <c r="M6152" s="473"/>
    </row>
    <row r="6153" spans="5:13">
      <c r="E6153" s="473"/>
      <c r="F6153" s="473"/>
      <c r="G6153" s="473"/>
      <c r="H6153" s="473"/>
      <c r="I6153" s="473"/>
      <c r="J6153" s="473"/>
      <c r="K6153" s="478"/>
      <c r="L6153" s="473"/>
      <c r="M6153" s="473"/>
    </row>
    <row r="6154" spans="5:13">
      <c r="E6154" s="473"/>
      <c r="F6154" s="473"/>
      <c r="G6154" s="473"/>
      <c r="H6154" s="473"/>
      <c r="I6154" s="473"/>
      <c r="J6154" s="473"/>
      <c r="K6154" s="478"/>
      <c r="L6154" s="473"/>
      <c r="M6154" s="473"/>
    </row>
    <row r="6155" spans="5:13">
      <c r="E6155" s="473"/>
      <c r="F6155" s="473"/>
      <c r="G6155" s="473"/>
      <c r="H6155" s="473"/>
      <c r="I6155" s="473"/>
      <c r="J6155" s="473"/>
      <c r="K6155" s="478"/>
      <c r="L6155" s="473"/>
      <c r="M6155" s="473"/>
    </row>
    <row r="6156" spans="5:13">
      <c r="E6156" s="473"/>
      <c r="F6156" s="473"/>
      <c r="G6156" s="473"/>
      <c r="H6156" s="473"/>
      <c r="I6156" s="473"/>
      <c r="J6156" s="473"/>
      <c r="K6156" s="478"/>
      <c r="L6156" s="473"/>
      <c r="M6156" s="473"/>
    </row>
    <row r="6157" spans="5:13">
      <c r="E6157" s="473"/>
      <c r="F6157" s="473"/>
      <c r="G6157" s="473"/>
      <c r="H6157" s="473"/>
      <c r="I6157" s="473"/>
      <c r="J6157" s="473"/>
      <c r="K6157" s="478"/>
      <c r="L6157" s="473"/>
      <c r="M6157" s="473"/>
    </row>
    <row r="6158" spans="5:13">
      <c r="E6158" s="473"/>
      <c r="F6158" s="473"/>
      <c r="G6158" s="473"/>
      <c r="H6158" s="473"/>
      <c r="I6158" s="473"/>
      <c r="J6158" s="473"/>
      <c r="K6158" s="478"/>
      <c r="L6158" s="473"/>
      <c r="M6158" s="473"/>
    </row>
    <row r="6159" spans="5:13">
      <c r="E6159" s="473"/>
      <c r="F6159" s="473"/>
      <c r="G6159" s="473"/>
      <c r="H6159" s="473"/>
      <c r="I6159" s="473"/>
      <c r="J6159" s="473"/>
      <c r="K6159" s="478"/>
      <c r="L6159" s="473"/>
      <c r="M6159" s="473"/>
    </row>
    <row r="6160" spans="5:13">
      <c r="E6160" s="473"/>
      <c r="F6160" s="473"/>
      <c r="G6160" s="473"/>
      <c r="H6160" s="473"/>
      <c r="I6160" s="473"/>
      <c r="J6160" s="473"/>
      <c r="K6160" s="478"/>
      <c r="L6160" s="473"/>
      <c r="M6160" s="473"/>
    </row>
    <row r="6161" spans="5:13">
      <c r="E6161" s="473"/>
      <c r="F6161" s="473"/>
      <c r="G6161" s="473"/>
      <c r="H6161" s="473"/>
      <c r="I6161" s="473"/>
      <c r="J6161" s="473"/>
      <c r="K6161" s="478"/>
      <c r="L6161" s="473"/>
      <c r="M6161" s="473"/>
    </row>
    <row r="6162" spans="5:13">
      <c r="E6162" s="473"/>
      <c r="F6162" s="473"/>
      <c r="G6162" s="473"/>
      <c r="H6162" s="473"/>
      <c r="I6162" s="473"/>
      <c r="J6162" s="473"/>
      <c r="K6162" s="478"/>
      <c r="L6162" s="473"/>
      <c r="M6162" s="473"/>
    </row>
    <row r="6163" spans="5:13">
      <c r="E6163" s="473"/>
      <c r="F6163" s="473"/>
      <c r="G6163" s="473"/>
      <c r="H6163" s="473"/>
      <c r="I6163" s="473"/>
      <c r="J6163" s="473"/>
      <c r="K6163" s="478"/>
      <c r="L6163" s="473"/>
      <c r="M6163" s="473"/>
    </row>
    <row r="6164" spans="5:13">
      <c r="E6164" s="473"/>
      <c r="F6164" s="473"/>
      <c r="G6164" s="473"/>
      <c r="H6164" s="473"/>
      <c r="I6164" s="473"/>
      <c r="J6164" s="473"/>
      <c r="K6164" s="478"/>
      <c r="L6164" s="473"/>
      <c r="M6164" s="473"/>
    </row>
    <row r="6165" spans="5:13">
      <c r="E6165" s="473"/>
      <c r="F6165" s="473"/>
      <c r="G6165" s="473"/>
      <c r="H6165" s="473"/>
      <c r="I6165" s="473"/>
      <c r="J6165" s="473"/>
      <c r="K6165" s="478"/>
      <c r="L6165" s="473"/>
      <c r="M6165" s="473"/>
    </row>
    <row r="6166" spans="5:13">
      <c r="E6166" s="473"/>
      <c r="F6166" s="473"/>
      <c r="G6166" s="473"/>
      <c r="H6166" s="473"/>
      <c r="I6166" s="473"/>
      <c r="J6166" s="473"/>
      <c r="K6166" s="478"/>
      <c r="L6166" s="473"/>
      <c r="M6166" s="473"/>
    </row>
    <row r="6167" spans="5:13">
      <c r="E6167" s="473"/>
      <c r="F6167" s="473"/>
      <c r="G6167" s="473"/>
      <c r="H6167" s="473"/>
      <c r="I6167" s="473"/>
      <c r="J6167" s="473"/>
      <c r="K6167" s="478"/>
      <c r="L6167" s="473"/>
      <c r="M6167" s="473"/>
    </row>
    <row r="6168" spans="5:13">
      <c r="E6168" s="473"/>
      <c r="F6168" s="473"/>
      <c r="G6168" s="473"/>
      <c r="H6168" s="473"/>
      <c r="I6168" s="473"/>
      <c r="J6168" s="473"/>
      <c r="K6168" s="478"/>
      <c r="L6168" s="473"/>
      <c r="M6168" s="473"/>
    </row>
    <row r="6169" spans="5:13">
      <c r="E6169" s="473"/>
      <c r="F6169" s="473"/>
      <c r="G6169" s="473"/>
      <c r="H6169" s="473"/>
      <c r="I6169" s="473"/>
      <c r="J6169" s="473"/>
      <c r="K6169" s="478"/>
      <c r="L6169" s="473"/>
      <c r="M6169" s="473"/>
    </row>
    <row r="6170" spans="5:13">
      <c r="E6170" s="473"/>
      <c r="F6170" s="473"/>
      <c r="G6170" s="473"/>
      <c r="H6170" s="473"/>
      <c r="I6170" s="473"/>
      <c r="J6170" s="473"/>
      <c r="K6170" s="478"/>
      <c r="L6170" s="473"/>
      <c r="M6170" s="473"/>
    </row>
    <row r="6171" spans="5:13">
      <c r="E6171" s="473"/>
      <c r="F6171" s="473"/>
      <c r="G6171" s="473"/>
      <c r="H6171" s="473"/>
      <c r="I6171" s="473"/>
      <c r="J6171" s="473"/>
      <c r="K6171" s="478"/>
      <c r="L6171" s="473"/>
      <c r="M6171" s="473"/>
    </row>
    <row r="6172" spans="5:13">
      <c r="E6172" s="473"/>
      <c r="F6172" s="473"/>
      <c r="G6172" s="473"/>
      <c r="H6172" s="473"/>
      <c r="I6172" s="473"/>
      <c r="J6172" s="473"/>
      <c r="K6172" s="478"/>
      <c r="L6172" s="473"/>
      <c r="M6172" s="473"/>
    </row>
    <row r="6173" spans="5:13">
      <c r="E6173" s="473"/>
      <c r="F6173" s="473"/>
      <c r="G6173" s="473"/>
      <c r="H6173" s="473"/>
      <c r="I6173" s="473"/>
      <c r="J6173" s="473"/>
      <c r="K6173" s="478"/>
      <c r="L6173" s="473"/>
      <c r="M6173" s="473"/>
    </row>
    <row r="6174" spans="5:13">
      <c r="E6174" s="473"/>
      <c r="F6174" s="473"/>
      <c r="G6174" s="473"/>
      <c r="H6174" s="473"/>
      <c r="I6174" s="473"/>
      <c r="J6174" s="473"/>
      <c r="K6174" s="478"/>
      <c r="L6174" s="473"/>
      <c r="M6174" s="473"/>
    </row>
    <row r="6175" spans="5:13">
      <c r="E6175" s="473"/>
      <c r="F6175" s="473"/>
      <c r="G6175" s="473"/>
      <c r="H6175" s="473"/>
      <c r="I6175" s="473"/>
      <c r="J6175" s="473"/>
      <c r="K6175" s="478"/>
      <c r="L6175" s="473"/>
      <c r="M6175" s="473"/>
    </row>
    <row r="6176" spans="5:13">
      <c r="E6176" s="473"/>
      <c r="F6176" s="473"/>
      <c r="G6176" s="473"/>
      <c r="H6176" s="473"/>
      <c r="I6176" s="473"/>
      <c r="J6176" s="473"/>
      <c r="K6176" s="478"/>
      <c r="L6176" s="473"/>
      <c r="M6176" s="473"/>
    </row>
    <row r="6177" spans="5:13">
      <c r="E6177" s="473"/>
      <c r="F6177" s="473"/>
      <c r="G6177" s="473"/>
      <c r="H6177" s="473"/>
      <c r="I6177" s="473"/>
      <c r="J6177" s="473"/>
      <c r="K6177" s="478"/>
      <c r="L6177" s="473"/>
      <c r="M6177" s="473"/>
    </row>
    <row r="6178" spans="5:13">
      <c r="E6178" s="473"/>
      <c r="F6178" s="473"/>
      <c r="G6178" s="473"/>
      <c r="H6178" s="473"/>
      <c r="I6178" s="473"/>
      <c r="J6178" s="473"/>
      <c r="K6178" s="478"/>
      <c r="L6178" s="473"/>
      <c r="M6178" s="473"/>
    </row>
    <row r="6179" spans="5:13">
      <c r="E6179" s="473"/>
      <c r="F6179" s="473"/>
      <c r="G6179" s="473"/>
      <c r="H6179" s="473"/>
      <c r="I6179" s="473"/>
      <c r="J6179" s="473"/>
      <c r="K6179" s="478"/>
      <c r="L6179" s="473"/>
      <c r="M6179" s="473"/>
    </row>
    <row r="6180" spans="5:13">
      <c r="E6180" s="473"/>
      <c r="F6180" s="473"/>
      <c r="G6180" s="473"/>
      <c r="H6180" s="473"/>
      <c r="I6180" s="473"/>
      <c r="J6180" s="473"/>
      <c r="K6180" s="478"/>
      <c r="L6180" s="473"/>
      <c r="M6180" s="473"/>
    </row>
    <row r="6181" spans="5:13">
      <c r="E6181" s="473"/>
      <c r="F6181" s="473"/>
      <c r="G6181" s="473"/>
      <c r="H6181" s="473"/>
      <c r="I6181" s="473"/>
      <c r="J6181" s="473"/>
      <c r="K6181" s="478"/>
      <c r="L6181" s="473"/>
      <c r="M6181" s="473"/>
    </row>
    <row r="6182" spans="5:13">
      <c r="E6182" s="473"/>
      <c r="F6182" s="473"/>
      <c r="G6182" s="473"/>
      <c r="H6182" s="473"/>
      <c r="I6182" s="473"/>
      <c r="J6182" s="473"/>
      <c r="K6182" s="478"/>
      <c r="L6182" s="473"/>
      <c r="M6182" s="473"/>
    </row>
    <row r="6183" spans="5:13">
      <c r="E6183" s="473"/>
      <c r="F6183" s="473"/>
      <c r="G6183" s="473"/>
      <c r="H6183" s="473"/>
      <c r="I6183" s="473"/>
      <c r="J6183" s="473"/>
      <c r="K6183" s="478"/>
      <c r="L6183" s="473"/>
      <c r="M6183" s="473"/>
    </row>
    <row r="6184" spans="5:13">
      <c r="E6184" s="473"/>
      <c r="F6184" s="473"/>
      <c r="G6184" s="473"/>
      <c r="H6184" s="473"/>
      <c r="I6184" s="473"/>
      <c r="J6184" s="473"/>
      <c r="K6184" s="478"/>
      <c r="L6184" s="473"/>
      <c r="M6184" s="473"/>
    </row>
    <row r="6185" spans="5:13">
      <c r="E6185" s="473"/>
      <c r="F6185" s="473"/>
      <c r="G6185" s="473"/>
      <c r="H6185" s="473"/>
      <c r="I6185" s="473"/>
      <c r="J6185" s="473"/>
      <c r="K6185" s="478"/>
      <c r="L6185" s="473"/>
      <c r="M6185" s="473"/>
    </row>
    <row r="6186" spans="5:13">
      <c r="E6186" s="473"/>
      <c r="F6186" s="473"/>
      <c r="G6186" s="473"/>
      <c r="H6186" s="473"/>
      <c r="I6186" s="473"/>
      <c r="J6186" s="473"/>
      <c r="K6186" s="478"/>
      <c r="L6186" s="473"/>
      <c r="M6186" s="473"/>
    </row>
    <row r="6187" spans="5:13">
      <c r="E6187" s="473"/>
      <c r="F6187" s="473"/>
      <c r="G6187" s="473"/>
      <c r="H6187" s="473"/>
      <c r="I6187" s="473"/>
      <c r="J6187" s="473"/>
      <c r="K6187" s="478"/>
      <c r="L6187" s="473"/>
      <c r="M6187" s="473"/>
    </row>
    <row r="6188" spans="5:13">
      <c r="E6188" s="473"/>
      <c r="F6188" s="473"/>
      <c r="G6188" s="473"/>
      <c r="H6188" s="473"/>
      <c r="I6188" s="473"/>
      <c r="J6188" s="473"/>
      <c r="K6188" s="478"/>
      <c r="L6188" s="473"/>
      <c r="M6188" s="473"/>
    </row>
    <row r="6189" spans="5:13">
      <c r="E6189" s="473"/>
      <c r="F6189" s="473"/>
      <c r="G6189" s="473"/>
      <c r="H6189" s="473"/>
      <c r="I6189" s="473"/>
      <c r="J6189" s="473"/>
      <c r="K6189" s="478"/>
      <c r="L6189" s="473"/>
      <c r="M6189" s="473"/>
    </row>
    <row r="6190" spans="5:13">
      <c r="E6190" s="473"/>
      <c r="F6190" s="473"/>
      <c r="G6190" s="473"/>
      <c r="H6190" s="473"/>
      <c r="I6190" s="473"/>
      <c r="J6190" s="473"/>
      <c r="K6190" s="478"/>
      <c r="L6190" s="473"/>
      <c r="M6190" s="473"/>
    </row>
    <row r="6191" spans="5:13">
      <c r="E6191" s="473"/>
      <c r="F6191" s="473"/>
      <c r="G6191" s="473"/>
      <c r="H6191" s="473"/>
      <c r="I6191" s="473"/>
      <c r="J6191" s="473"/>
      <c r="K6191" s="478"/>
      <c r="L6191" s="473"/>
      <c r="M6191" s="473"/>
    </row>
    <row r="6192" spans="5:13">
      <c r="E6192" s="473"/>
      <c r="F6192" s="473"/>
      <c r="G6192" s="473"/>
      <c r="H6192" s="473"/>
      <c r="I6192" s="473"/>
      <c r="J6192" s="473"/>
      <c r="K6192" s="478"/>
      <c r="L6192" s="473"/>
      <c r="M6192" s="473"/>
    </row>
    <row r="6193" spans="5:13">
      <c r="E6193" s="473"/>
      <c r="F6193" s="473"/>
      <c r="G6193" s="473"/>
      <c r="H6193" s="473"/>
      <c r="I6193" s="473"/>
      <c r="J6193" s="473"/>
      <c r="K6193" s="478"/>
      <c r="L6193" s="473"/>
      <c r="M6193" s="473"/>
    </row>
    <row r="6194" spans="5:13">
      <c r="E6194" s="473"/>
      <c r="F6194" s="473"/>
      <c r="G6194" s="473"/>
      <c r="H6194" s="473"/>
      <c r="I6194" s="473"/>
      <c r="J6194" s="473"/>
      <c r="K6194" s="478"/>
      <c r="L6194" s="473"/>
      <c r="M6194" s="473"/>
    </row>
    <row r="6195" spans="5:13">
      <c r="E6195" s="473"/>
      <c r="F6195" s="473"/>
      <c r="G6195" s="473"/>
      <c r="H6195" s="473"/>
      <c r="I6195" s="473"/>
      <c r="J6195" s="473"/>
      <c r="K6195" s="478"/>
      <c r="L6195" s="473"/>
      <c r="M6195" s="473"/>
    </row>
    <row r="6196" spans="5:13">
      <c r="E6196" s="473"/>
      <c r="F6196" s="473"/>
      <c r="G6196" s="473"/>
      <c r="H6196" s="473"/>
      <c r="I6196" s="473"/>
      <c r="J6196" s="473"/>
      <c r="K6196" s="478"/>
      <c r="L6196" s="473"/>
      <c r="M6196" s="473"/>
    </row>
    <row r="6197" spans="5:13">
      <c r="E6197" s="473"/>
      <c r="F6197" s="473"/>
      <c r="G6197" s="473"/>
      <c r="H6197" s="473"/>
      <c r="I6197" s="473"/>
      <c r="J6197" s="473"/>
      <c r="K6197" s="478"/>
      <c r="L6197" s="473"/>
      <c r="M6197" s="473"/>
    </row>
    <row r="6198" spans="5:13">
      <c r="E6198" s="473"/>
      <c r="F6198" s="473"/>
      <c r="G6198" s="473"/>
      <c r="H6198" s="473"/>
      <c r="I6198" s="473"/>
      <c r="J6198" s="473"/>
      <c r="K6198" s="478"/>
      <c r="L6198" s="473"/>
      <c r="M6198" s="473"/>
    </row>
    <row r="6199" spans="5:13">
      <c r="E6199" s="473"/>
      <c r="F6199" s="473"/>
      <c r="G6199" s="473"/>
      <c r="H6199" s="473"/>
      <c r="I6199" s="473"/>
      <c r="J6199" s="473"/>
      <c r="K6199" s="478"/>
      <c r="L6199" s="473"/>
      <c r="M6199" s="473"/>
    </row>
    <row r="6200" spans="5:13">
      <c r="E6200" s="473"/>
      <c r="F6200" s="473"/>
      <c r="G6200" s="473"/>
      <c r="H6200" s="473"/>
      <c r="I6200" s="473"/>
      <c r="J6200" s="473"/>
      <c r="K6200" s="478"/>
      <c r="L6200" s="473"/>
      <c r="M6200" s="473"/>
    </row>
    <row r="6201" spans="5:13">
      <c r="E6201" s="473"/>
      <c r="F6201" s="473"/>
      <c r="G6201" s="473"/>
      <c r="H6201" s="473"/>
      <c r="I6201" s="473"/>
      <c r="J6201" s="473"/>
      <c r="K6201" s="478"/>
      <c r="L6201" s="473"/>
      <c r="M6201" s="473"/>
    </row>
    <row r="6202" spans="5:13">
      <c r="E6202" s="473"/>
      <c r="F6202" s="473"/>
      <c r="G6202" s="473"/>
      <c r="H6202" s="473"/>
      <c r="I6202" s="473"/>
      <c r="J6202" s="473"/>
      <c r="K6202" s="478"/>
      <c r="L6202" s="473"/>
      <c r="M6202" s="473"/>
    </row>
    <row r="6203" spans="5:13">
      <c r="E6203" s="473"/>
      <c r="F6203" s="473"/>
      <c r="G6203" s="473"/>
      <c r="H6203" s="473"/>
      <c r="I6203" s="473"/>
      <c r="J6203" s="473"/>
      <c r="K6203" s="478"/>
      <c r="L6203" s="473"/>
      <c r="M6203" s="473"/>
    </row>
    <row r="6204" spans="5:13">
      <c r="E6204" s="473"/>
      <c r="F6204" s="473"/>
      <c r="G6204" s="473"/>
      <c r="H6204" s="473"/>
      <c r="I6204" s="473"/>
      <c r="J6204" s="473"/>
      <c r="K6204" s="478"/>
      <c r="L6204" s="473"/>
      <c r="M6204" s="473"/>
    </row>
    <row r="6205" spans="5:13">
      <c r="E6205" s="473"/>
      <c r="F6205" s="473"/>
      <c r="G6205" s="473"/>
      <c r="H6205" s="473"/>
      <c r="I6205" s="473"/>
      <c r="J6205" s="473"/>
      <c r="K6205" s="478"/>
      <c r="L6205" s="473"/>
      <c r="M6205" s="473"/>
    </row>
    <row r="6206" spans="5:13">
      <c r="E6206" s="473"/>
      <c r="F6206" s="473"/>
      <c r="G6206" s="473"/>
      <c r="H6206" s="473"/>
      <c r="I6206" s="473"/>
      <c r="J6206" s="473"/>
      <c r="K6206" s="478"/>
      <c r="L6206" s="473"/>
      <c r="M6206" s="473"/>
    </row>
    <row r="6207" spans="5:13">
      <c r="E6207" s="473"/>
      <c r="F6207" s="473"/>
      <c r="G6207" s="473"/>
      <c r="H6207" s="473"/>
      <c r="I6207" s="473"/>
      <c r="J6207" s="473"/>
      <c r="K6207" s="478"/>
      <c r="L6207" s="473"/>
      <c r="M6207" s="473"/>
    </row>
    <row r="6208" spans="5:13">
      <c r="E6208" s="473"/>
      <c r="F6208" s="473"/>
      <c r="G6208" s="473"/>
      <c r="H6208" s="473"/>
      <c r="I6208" s="473"/>
      <c r="J6208" s="473"/>
      <c r="K6208" s="478"/>
      <c r="L6208" s="473"/>
      <c r="M6208" s="473"/>
    </row>
    <row r="6209" spans="5:13">
      <c r="E6209" s="473"/>
      <c r="F6209" s="473"/>
      <c r="G6209" s="473"/>
      <c r="H6209" s="473"/>
      <c r="I6209" s="473"/>
      <c r="J6209" s="473"/>
      <c r="K6209" s="478"/>
      <c r="L6209" s="473"/>
      <c r="M6209" s="473"/>
    </row>
    <row r="6210" spans="5:13">
      <c r="E6210" s="473"/>
      <c r="F6210" s="473"/>
      <c r="G6210" s="473"/>
      <c r="H6210" s="473"/>
      <c r="I6210" s="473"/>
      <c r="J6210" s="473"/>
      <c r="K6210" s="478"/>
      <c r="L6210" s="473"/>
      <c r="M6210" s="473"/>
    </row>
    <row r="6211" spans="5:13">
      <c r="E6211" s="473"/>
      <c r="F6211" s="473"/>
      <c r="G6211" s="473"/>
      <c r="H6211" s="473"/>
      <c r="I6211" s="473"/>
      <c r="J6211" s="473"/>
      <c r="K6211" s="478"/>
      <c r="L6211" s="473"/>
      <c r="M6211" s="473"/>
    </row>
    <row r="6212" spans="5:13">
      <c r="E6212" s="473"/>
      <c r="F6212" s="473"/>
      <c r="G6212" s="473"/>
      <c r="H6212" s="473"/>
      <c r="I6212" s="473"/>
      <c r="J6212" s="473"/>
      <c r="K6212" s="478"/>
      <c r="L6212" s="473"/>
      <c r="M6212" s="473"/>
    </row>
    <row r="6213" spans="5:13">
      <c r="E6213" s="473"/>
      <c r="F6213" s="473"/>
      <c r="G6213" s="473"/>
      <c r="H6213" s="473"/>
      <c r="I6213" s="473"/>
      <c r="J6213" s="473"/>
      <c r="K6213" s="478"/>
      <c r="L6213" s="473"/>
      <c r="M6213" s="473"/>
    </row>
    <row r="6214" spans="5:13">
      <c r="E6214" s="473"/>
      <c r="F6214" s="473"/>
      <c r="G6214" s="473"/>
      <c r="H6214" s="473"/>
      <c r="I6214" s="473"/>
      <c r="J6214" s="473"/>
      <c r="K6214" s="478"/>
      <c r="L6214" s="473"/>
      <c r="M6214" s="473"/>
    </row>
    <row r="6215" spans="5:13">
      <c r="E6215" s="473"/>
      <c r="F6215" s="473"/>
      <c r="G6215" s="473"/>
      <c r="H6215" s="473"/>
      <c r="I6215" s="473"/>
      <c r="J6215" s="473"/>
      <c r="K6215" s="478"/>
      <c r="L6215" s="473"/>
      <c r="M6215" s="473"/>
    </row>
    <row r="6216" spans="5:13">
      <c r="E6216" s="473"/>
      <c r="F6216" s="473"/>
      <c r="G6216" s="473"/>
      <c r="H6216" s="473"/>
      <c r="I6216" s="473"/>
      <c r="J6216" s="473"/>
      <c r="K6216" s="478"/>
      <c r="L6216" s="473"/>
      <c r="M6216" s="473"/>
    </row>
    <row r="6217" spans="5:13">
      <c r="E6217" s="473"/>
      <c r="F6217" s="473"/>
      <c r="G6217" s="473"/>
      <c r="H6217" s="473"/>
      <c r="I6217" s="473"/>
      <c r="J6217" s="473"/>
      <c r="K6217" s="478"/>
      <c r="L6217" s="473"/>
      <c r="M6217" s="473"/>
    </row>
    <row r="6218" spans="5:13">
      <c r="E6218" s="473"/>
      <c r="F6218" s="473"/>
      <c r="G6218" s="473"/>
      <c r="H6218" s="473"/>
      <c r="I6218" s="473"/>
      <c r="J6218" s="473"/>
      <c r="K6218" s="478"/>
      <c r="L6218" s="473"/>
      <c r="M6218" s="473"/>
    </row>
    <row r="6219" spans="5:13">
      <c r="E6219" s="473"/>
      <c r="F6219" s="473"/>
      <c r="G6219" s="473"/>
      <c r="H6219" s="473"/>
      <c r="I6219" s="473"/>
      <c r="J6219" s="473"/>
      <c r="K6219" s="478"/>
      <c r="L6219" s="473"/>
      <c r="M6219" s="473"/>
    </row>
    <row r="6220" spans="5:13">
      <c r="E6220" s="473"/>
      <c r="F6220" s="473"/>
      <c r="G6220" s="473"/>
      <c r="H6220" s="473"/>
      <c r="I6220" s="473"/>
      <c r="J6220" s="473"/>
      <c r="K6220" s="478"/>
      <c r="L6220" s="473"/>
      <c r="M6220" s="473"/>
    </row>
    <row r="6221" spans="5:13">
      <c r="E6221" s="473"/>
      <c r="F6221" s="473"/>
      <c r="G6221" s="473"/>
      <c r="H6221" s="473"/>
      <c r="I6221" s="473"/>
      <c r="J6221" s="473"/>
      <c r="K6221" s="478"/>
      <c r="L6221" s="473"/>
      <c r="M6221" s="473"/>
    </row>
    <row r="6222" spans="5:13">
      <c r="E6222" s="473"/>
      <c r="F6222" s="473"/>
      <c r="G6222" s="473"/>
      <c r="H6222" s="473"/>
      <c r="I6222" s="473"/>
      <c r="J6222" s="473"/>
      <c r="K6222" s="478"/>
      <c r="L6222" s="473"/>
      <c r="M6222" s="473"/>
    </row>
    <row r="6223" spans="5:13">
      <c r="E6223" s="473"/>
      <c r="F6223" s="473"/>
      <c r="G6223" s="473"/>
      <c r="H6223" s="473"/>
      <c r="I6223" s="473"/>
      <c r="J6223" s="473"/>
      <c r="K6223" s="478"/>
      <c r="L6223" s="473"/>
      <c r="M6223" s="473"/>
    </row>
    <row r="6224" spans="5:13">
      <c r="E6224" s="473"/>
      <c r="F6224" s="473"/>
      <c r="G6224" s="473"/>
      <c r="H6224" s="473"/>
      <c r="I6224" s="473"/>
      <c r="J6224" s="473"/>
      <c r="K6224" s="478"/>
      <c r="L6224" s="473"/>
      <c r="M6224" s="473"/>
    </row>
    <row r="6225" spans="5:13">
      <c r="E6225" s="473"/>
      <c r="F6225" s="473"/>
      <c r="G6225" s="473"/>
      <c r="H6225" s="473"/>
      <c r="I6225" s="473"/>
      <c r="J6225" s="473"/>
      <c r="K6225" s="478"/>
      <c r="L6225" s="473"/>
      <c r="M6225" s="473"/>
    </row>
    <row r="6226" spans="5:13">
      <c r="E6226" s="473"/>
      <c r="F6226" s="473"/>
      <c r="G6226" s="473"/>
      <c r="H6226" s="473"/>
      <c r="I6226" s="473"/>
      <c r="J6226" s="473"/>
      <c r="K6226" s="478"/>
      <c r="L6226" s="473"/>
      <c r="M6226" s="473"/>
    </row>
    <row r="6227" spans="5:13">
      <c r="E6227" s="473"/>
      <c r="F6227" s="473"/>
      <c r="G6227" s="473"/>
      <c r="H6227" s="473"/>
      <c r="I6227" s="473"/>
      <c r="J6227" s="473"/>
      <c r="K6227" s="478"/>
      <c r="L6227" s="473"/>
      <c r="M6227" s="473"/>
    </row>
    <row r="6228" spans="5:13">
      <c r="E6228" s="473"/>
      <c r="F6228" s="473"/>
      <c r="G6228" s="473"/>
      <c r="H6228" s="473"/>
      <c r="I6228" s="473"/>
      <c r="J6228" s="473"/>
      <c r="K6228" s="478"/>
      <c r="L6228" s="473"/>
      <c r="M6228" s="473"/>
    </row>
    <row r="6229" spans="5:13">
      <c r="E6229" s="473"/>
      <c r="F6229" s="473"/>
      <c r="G6229" s="473"/>
      <c r="H6229" s="473"/>
      <c r="I6229" s="473"/>
      <c r="J6229" s="473"/>
      <c r="K6229" s="478"/>
      <c r="L6229" s="473"/>
      <c r="M6229" s="473"/>
    </row>
    <row r="6230" spans="5:13">
      <c r="E6230" s="473"/>
      <c r="F6230" s="473"/>
      <c r="G6230" s="473"/>
      <c r="H6230" s="473"/>
      <c r="I6230" s="473"/>
      <c r="J6230" s="473"/>
      <c r="K6230" s="478"/>
      <c r="L6230" s="473"/>
      <c r="M6230" s="473"/>
    </row>
    <row r="6231" spans="5:13">
      <c r="E6231" s="473"/>
      <c r="F6231" s="473"/>
      <c r="G6231" s="473"/>
      <c r="H6231" s="473"/>
      <c r="I6231" s="473"/>
      <c r="J6231" s="473"/>
      <c r="K6231" s="478"/>
      <c r="L6231" s="473"/>
      <c r="M6231" s="473"/>
    </row>
    <row r="6232" spans="5:13">
      <c r="E6232" s="473"/>
      <c r="F6232" s="473"/>
      <c r="G6232" s="473"/>
      <c r="H6232" s="473"/>
      <c r="I6232" s="473"/>
      <c r="J6232" s="473"/>
      <c r="K6232" s="478"/>
      <c r="L6232" s="473"/>
      <c r="M6232" s="473"/>
    </row>
    <row r="6233" spans="5:13">
      <c r="E6233" s="473"/>
      <c r="F6233" s="473"/>
      <c r="G6233" s="473"/>
      <c r="H6233" s="473"/>
      <c r="I6233" s="473"/>
      <c r="J6233" s="473"/>
      <c r="K6233" s="478"/>
      <c r="L6233" s="473"/>
      <c r="M6233" s="473"/>
    </row>
    <row r="6234" spans="5:13">
      <c r="E6234" s="473"/>
      <c r="F6234" s="473"/>
      <c r="G6234" s="473"/>
      <c r="H6234" s="473"/>
      <c r="I6234" s="473"/>
      <c r="J6234" s="473"/>
      <c r="K6234" s="478"/>
      <c r="L6234" s="473"/>
      <c r="M6234" s="473"/>
    </row>
    <row r="6235" spans="5:13">
      <c r="E6235" s="473"/>
      <c r="F6235" s="473"/>
      <c r="G6235" s="473"/>
      <c r="H6235" s="473"/>
      <c r="I6235" s="473"/>
      <c r="J6235" s="473"/>
      <c r="K6235" s="478"/>
      <c r="L6235" s="473"/>
      <c r="M6235" s="473"/>
    </row>
    <row r="6236" spans="5:13">
      <c r="E6236" s="473"/>
      <c r="F6236" s="473"/>
      <c r="G6236" s="473"/>
      <c r="H6236" s="473"/>
      <c r="I6236" s="473"/>
      <c r="J6236" s="473"/>
      <c r="K6236" s="478"/>
      <c r="L6236" s="473"/>
      <c r="M6236" s="473"/>
    </row>
    <row r="6237" spans="5:13">
      <c r="E6237" s="473"/>
      <c r="F6237" s="473"/>
      <c r="G6237" s="473"/>
      <c r="H6237" s="473"/>
      <c r="I6237" s="473"/>
      <c r="J6237" s="473"/>
      <c r="K6237" s="478"/>
      <c r="L6237" s="473"/>
      <c r="M6237" s="473"/>
    </row>
    <row r="6238" spans="5:13">
      <c r="E6238" s="473"/>
      <c r="F6238" s="473"/>
      <c r="G6238" s="473"/>
      <c r="H6238" s="473"/>
      <c r="I6238" s="473"/>
      <c r="J6238" s="473"/>
      <c r="K6238" s="478"/>
      <c r="L6238" s="473"/>
      <c r="M6238" s="473"/>
    </row>
    <row r="6239" spans="5:13">
      <c r="E6239" s="473"/>
      <c r="F6239" s="473"/>
      <c r="G6239" s="473"/>
      <c r="H6239" s="473"/>
      <c r="I6239" s="473"/>
      <c r="J6239" s="473"/>
      <c r="K6239" s="478"/>
      <c r="L6239" s="473"/>
      <c r="M6239" s="473"/>
    </row>
    <row r="6240" spans="5:13">
      <c r="E6240" s="473"/>
      <c r="F6240" s="473"/>
      <c r="G6240" s="473"/>
      <c r="H6240" s="473"/>
      <c r="I6240" s="473"/>
      <c r="J6240" s="473"/>
      <c r="K6240" s="478"/>
      <c r="L6240" s="473"/>
      <c r="M6240" s="473"/>
    </row>
    <row r="6241" spans="5:13">
      <c r="E6241" s="473"/>
      <c r="F6241" s="473"/>
      <c r="G6241" s="473"/>
      <c r="H6241" s="473"/>
      <c r="I6241" s="473"/>
      <c r="J6241" s="473"/>
      <c r="K6241" s="478"/>
      <c r="L6241" s="473"/>
      <c r="M6241" s="473"/>
    </row>
    <row r="6242" spans="5:13">
      <c r="E6242" s="473"/>
      <c r="F6242" s="473"/>
      <c r="G6242" s="473"/>
      <c r="H6242" s="473"/>
      <c r="I6242" s="473"/>
      <c r="J6242" s="473"/>
      <c r="K6242" s="478"/>
      <c r="L6242" s="473"/>
      <c r="M6242" s="473"/>
    </row>
    <row r="6243" spans="5:13">
      <c r="E6243" s="473"/>
      <c r="F6243" s="473"/>
      <c r="G6243" s="473"/>
      <c r="H6243" s="473"/>
      <c r="I6243" s="473"/>
      <c r="J6243" s="473"/>
      <c r="K6243" s="478"/>
      <c r="L6243" s="473"/>
      <c r="M6243" s="473"/>
    </row>
    <row r="6244" spans="5:13">
      <c r="E6244" s="473"/>
      <c r="F6244" s="473"/>
      <c r="G6244" s="473"/>
      <c r="H6244" s="473"/>
      <c r="I6244" s="473"/>
      <c r="J6244" s="473"/>
      <c r="K6244" s="478"/>
      <c r="L6244" s="473"/>
      <c r="M6244" s="473"/>
    </row>
    <row r="6245" spans="5:13">
      <c r="E6245" s="473"/>
      <c r="F6245" s="473"/>
      <c r="G6245" s="473"/>
      <c r="H6245" s="473"/>
      <c r="I6245" s="473"/>
      <c r="J6245" s="473"/>
      <c r="K6245" s="478"/>
      <c r="L6245" s="473"/>
      <c r="M6245" s="473"/>
    </row>
    <row r="6246" spans="5:13">
      <c r="E6246" s="473"/>
      <c r="F6246" s="473"/>
      <c r="G6246" s="473"/>
      <c r="H6246" s="473"/>
      <c r="I6246" s="473"/>
      <c r="J6246" s="473"/>
      <c r="K6246" s="478"/>
      <c r="L6246" s="473"/>
      <c r="M6246" s="473"/>
    </row>
    <row r="6247" spans="5:13">
      <c r="E6247" s="473"/>
      <c r="F6247" s="473"/>
      <c r="G6247" s="473"/>
      <c r="H6247" s="473"/>
      <c r="I6247" s="473"/>
      <c r="J6247" s="473"/>
      <c r="K6247" s="478"/>
      <c r="L6247" s="473"/>
      <c r="M6247" s="473"/>
    </row>
    <row r="6248" spans="5:13">
      <c r="E6248" s="473"/>
      <c r="F6248" s="473"/>
      <c r="G6248" s="473"/>
      <c r="H6248" s="473"/>
      <c r="I6248" s="473"/>
      <c r="J6248" s="473"/>
      <c r="K6248" s="478"/>
      <c r="L6248" s="473"/>
      <c r="M6248" s="473"/>
    </row>
    <row r="6249" spans="5:13">
      <c r="E6249" s="473"/>
      <c r="F6249" s="473"/>
      <c r="G6249" s="473"/>
      <c r="H6249" s="473"/>
      <c r="I6249" s="473"/>
      <c r="J6249" s="473"/>
      <c r="K6249" s="478"/>
      <c r="L6249" s="473"/>
      <c r="M6249" s="473"/>
    </row>
    <row r="6250" spans="5:13">
      <c r="E6250" s="473"/>
      <c r="F6250" s="473"/>
      <c r="G6250" s="473"/>
      <c r="H6250" s="473"/>
      <c r="I6250" s="473"/>
      <c r="J6250" s="473"/>
      <c r="K6250" s="478"/>
      <c r="L6250" s="473"/>
      <c r="M6250" s="473"/>
    </row>
    <row r="6251" spans="5:13">
      <c r="E6251" s="473"/>
      <c r="F6251" s="473"/>
      <c r="G6251" s="473"/>
      <c r="H6251" s="473"/>
      <c r="I6251" s="473"/>
      <c r="J6251" s="473"/>
      <c r="K6251" s="478"/>
      <c r="L6251" s="473"/>
      <c r="M6251" s="473"/>
    </row>
    <row r="6252" spans="5:13">
      <c r="E6252" s="473"/>
      <c r="F6252" s="473"/>
      <c r="G6252" s="473"/>
      <c r="H6252" s="473"/>
      <c r="I6252" s="473"/>
      <c r="J6252" s="473"/>
      <c r="K6252" s="478"/>
      <c r="L6252" s="473"/>
      <c r="M6252" s="473"/>
    </row>
    <row r="6253" spans="5:13">
      <c r="E6253" s="473"/>
      <c r="F6253" s="473"/>
      <c r="G6253" s="473"/>
      <c r="H6253" s="473"/>
      <c r="I6253" s="473"/>
      <c r="J6253" s="473"/>
      <c r="K6253" s="478"/>
      <c r="L6253" s="473"/>
      <c r="M6253" s="473"/>
    </row>
    <row r="6254" spans="5:13">
      <c r="E6254" s="473"/>
      <c r="F6254" s="473"/>
      <c r="G6254" s="473"/>
      <c r="H6254" s="473"/>
      <c r="I6254" s="473"/>
      <c r="J6254" s="473"/>
      <c r="K6254" s="478"/>
      <c r="L6254" s="473"/>
      <c r="M6254" s="473"/>
    </row>
    <row r="6255" spans="5:13">
      <c r="E6255" s="473"/>
      <c r="F6255" s="473"/>
      <c r="G6255" s="473"/>
      <c r="H6255" s="473"/>
      <c r="I6255" s="473"/>
      <c r="J6255" s="473"/>
      <c r="K6255" s="478"/>
      <c r="L6255" s="473"/>
      <c r="M6255" s="473"/>
    </row>
    <row r="6256" spans="5:13">
      <c r="E6256" s="473"/>
      <c r="F6256" s="473"/>
      <c r="G6256" s="473"/>
      <c r="H6256" s="473"/>
      <c r="I6256" s="473"/>
      <c r="J6256" s="473"/>
      <c r="K6256" s="478"/>
      <c r="L6256" s="473"/>
      <c r="M6256" s="473"/>
    </row>
    <row r="6257" spans="5:13">
      <c r="E6257" s="473"/>
      <c r="F6257" s="473"/>
      <c r="G6257" s="473"/>
      <c r="H6257" s="473"/>
      <c r="I6257" s="473"/>
      <c r="J6257" s="473"/>
      <c r="K6257" s="478"/>
      <c r="L6257" s="473"/>
      <c r="M6257" s="473"/>
    </row>
    <row r="6258" spans="5:13">
      <c r="E6258" s="473"/>
      <c r="F6258" s="473"/>
      <c r="G6258" s="473"/>
      <c r="H6258" s="473"/>
      <c r="I6258" s="473"/>
      <c r="J6258" s="473"/>
      <c r="K6258" s="478"/>
      <c r="L6258" s="473"/>
      <c r="M6258" s="473"/>
    </row>
    <row r="6259" spans="5:13">
      <c r="E6259" s="473"/>
      <c r="F6259" s="473"/>
      <c r="G6259" s="473"/>
      <c r="H6259" s="473"/>
      <c r="I6259" s="473"/>
      <c r="J6259" s="473"/>
      <c r="K6259" s="478"/>
      <c r="L6259" s="473"/>
      <c r="M6259" s="473"/>
    </row>
    <row r="6260" spans="5:13">
      <c r="E6260" s="473"/>
      <c r="F6260" s="473"/>
      <c r="G6260" s="473"/>
      <c r="H6260" s="473"/>
      <c r="I6260" s="473"/>
      <c r="J6260" s="473"/>
      <c r="K6260" s="478"/>
      <c r="L6260" s="473"/>
      <c r="M6260" s="473"/>
    </row>
    <row r="6261" spans="5:13">
      <c r="E6261" s="473"/>
      <c r="F6261" s="473"/>
      <c r="G6261" s="473"/>
      <c r="H6261" s="473"/>
      <c r="I6261" s="473"/>
      <c r="J6261" s="473"/>
      <c r="K6261" s="478"/>
      <c r="L6261" s="473"/>
      <c r="M6261" s="473"/>
    </row>
    <row r="6262" spans="5:13">
      <c r="E6262" s="473"/>
      <c r="F6262" s="473"/>
      <c r="G6262" s="473"/>
      <c r="H6262" s="473"/>
      <c r="I6262" s="473"/>
      <c r="J6262" s="473"/>
      <c r="K6262" s="478"/>
      <c r="L6262" s="473"/>
      <c r="M6262" s="473"/>
    </row>
    <row r="6263" spans="5:13">
      <c r="E6263" s="473"/>
      <c r="F6263" s="473"/>
      <c r="G6263" s="473"/>
      <c r="H6263" s="473"/>
      <c r="I6263" s="473"/>
      <c r="J6263" s="473"/>
      <c r="K6263" s="478"/>
      <c r="L6263" s="473"/>
      <c r="M6263" s="473"/>
    </row>
    <row r="6264" spans="5:13">
      <c r="E6264" s="473"/>
      <c r="F6264" s="473"/>
      <c r="G6264" s="473"/>
      <c r="H6264" s="473"/>
      <c r="I6264" s="473"/>
      <c r="J6264" s="473"/>
      <c r="K6264" s="478"/>
      <c r="L6264" s="473"/>
      <c r="M6264" s="473"/>
    </row>
    <row r="6265" spans="5:13">
      <c r="E6265" s="473"/>
      <c r="F6265" s="473"/>
      <c r="G6265" s="473"/>
      <c r="H6265" s="473"/>
      <c r="I6265" s="473"/>
      <c r="J6265" s="473"/>
      <c r="K6265" s="478"/>
      <c r="L6265" s="473"/>
      <c r="M6265" s="473"/>
    </row>
    <row r="6266" spans="5:13">
      <c r="E6266" s="473"/>
      <c r="F6266" s="473"/>
      <c r="G6266" s="473"/>
      <c r="H6266" s="473"/>
      <c r="I6266" s="473"/>
      <c r="J6266" s="473"/>
      <c r="K6266" s="478"/>
      <c r="L6266" s="473"/>
      <c r="M6266" s="473"/>
    </row>
    <row r="6267" spans="5:13">
      <c r="E6267" s="473"/>
      <c r="F6267" s="473"/>
      <c r="G6267" s="473"/>
      <c r="H6267" s="473"/>
      <c r="I6267" s="473"/>
      <c r="J6267" s="473"/>
      <c r="K6267" s="478"/>
      <c r="L6267" s="473"/>
      <c r="M6267" s="473"/>
    </row>
    <row r="6268" spans="5:13">
      <c r="E6268" s="473"/>
      <c r="F6268" s="473"/>
      <c r="G6268" s="473"/>
      <c r="H6268" s="473"/>
      <c r="I6268" s="473"/>
      <c r="J6268" s="473"/>
      <c r="K6268" s="478"/>
      <c r="L6268" s="473"/>
      <c r="M6268" s="473"/>
    </row>
    <row r="6269" spans="5:13">
      <c r="E6269" s="473"/>
      <c r="F6269" s="473"/>
      <c r="G6269" s="473"/>
      <c r="H6269" s="473"/>
      <c r="I6269" s="473"/>
      <c r="J6269" s="473"/>
      <c r="K6269" s="478"/>
      <c r="L6269" s="473"/>
      <c r="M6269" s="473"/>
    </row>
    <row r="6270" spans="5:13">
      <c r="E6270" s="473"/>
      <c r="F6270" s="473"/>
      <c r="G6270" s="473"/>
      <c r="H6270" s="473"/>
      <c r="I6270" s="473"/>
      <c r="J6270" s="473"/>
      <c r="K6270" s="478"/>
      <c r="L6270" s="473"/>
      <c r="M6270" s="473"/>
    </row>
    <row r="6271" spans="5:13">
      <c r="E6271" s="473"/>
      <c r="F6271" s="473"/>
      <c r="G6271" s="473"/>
      <c r="H6271" s="473"/>
      <c r="I6271" s="473"/>
      <c r="J6271" s="473"/>
      <c r="K6271" s="478"/>
      <c r="L6271" s="473"/>
      <c r="M6271" s="473"/>
    </row>
    <row r="6272" spans="5:13">
      <c r="E6272" s="473"/>
      <c r="F6272" s="473"/>
      <c r="G6272" s="473"/>
      <c r="H6272" s="473"/>
      <c r="I6272" s="473"/>
      <c r="J6272" s="473"/>
      <c r="K6272" s="478"/>
      <c r="L6272" s="473"/>
      <c r="M6272" s="473"/>
    </row>
    <row r="6273" spans="5:13">
      <c r="E6273" s="473"/>
      <c r="F6273" s="473"/>
      <c r="G6273" s="473"/>
      <c r="H6273" s="473"/>
      <c r="I6273" s="473"/>
      <c r="J6273" s="473"/>
      <c r="K6273" s="478"/>
      <c r="L6273" s="473"/>
      <c r="M6273" s="473"/>
    </row>
    <row r="6274" spans="5:13">
      <c r="E6274" s="473"/>
      <c r="F6274" s="473"/>
      <c r="G6274" s="473"/>
      <c r="H6274" s="473"/>
      <c r="I6274" s="473"/>
      <c r="J6274" s="473"/>
      <c r="K6274" s="478"/>
      <c r="L6274" s="473"/>
      <c r="M6274" s="473"/>
    </row>
    <row r="6275" spans="5:13">
      <c r="E6275" s="473"/>
      <c r="F6275" s="473"/>
      <c r="G6275" s="473"/>
      <c r="H6275" s="473"/>
      <c r="I6275" s="473"/>
      <c r="J6275" s="473"/>
      <c r="K6275" s="478"/>
      <c r="L6275" s="473"/>
      <c r="M6275" s="473"/>
    </row>
    <row r="6276" spans="5:13">
      <c r="E6276" s="473"/>
      <c r="F6276" s="473"/>
      <c r="G6276" s="473"/>
      <c r="H6276" s="473"/>
      <c r="I6276" s="473"/>
      <c r="J6276" s="473"/>
      <c r="K6276" s="478"/>
      <c r="L6276" s="473"/>
      <c r="M6276" s="473"/>
    </row>
    <row r="6277" spans="5:13">
      <c r="E6277" s="473"/>
      <c r="F6277" s="473"/>
      <c r="G6277" s="473"/>
      <c r="H6277" s="473"/>
      <c r="I6277" s="473"/>
      <c r="J6277" s="473"/>
      <c r="K6277" s="478"/>
      <c r="L6277" s="473"/>
      <c r="M6277" s="473"/>
    </row>
    <row r="6278" spans="5:13">
      <c r="E6278" s="473"/>
      <c r="F6278" s="473"/>
      <c r="G6278" s="473"/>
      <c r="H6278" s="473"/>
      <c r="I6278" s="473"/>
      <c r="J6278" s="473"/>
      <c r="K6278" s="478"/>
      <c r="L6278" s="473"/>
      <c r="M6278" s="473"/>
    </row>
    <row r="6279" spans="5:13">
      <c r="E6279" s="473"/>
      <c r="F6279" s="473"/>
      <c r="G6279" s="473"/>
      <c r="H6279" s="473"/>
      <c r="I6279" s="473"/>
      <c r="J6279" s="473"/>
      <c r="K6279" s="478"/>
      <c r="L6279" s="473"/>
      <c r="M6279" s="473"/>
    </row>
    <row r="6280" spans="5:13">
      <c r="E6280" s="473"/>
      <c r="F6280" s="473"/>
      <c r="G6280" s="473"/>
      <c r="H6280" s="473"/>
      <c r="I6280" s="473"/>
      <c r="J6280" s="473"/>
      <c r="K6280" s="478"/>
      <c r="L6280" s="473"/>
      <c r="M6280" s="473"/>
    </row>
    <row r="6281" spans="5:13">
      <c r="E6281" s="473"/>
      <c r="F6281" s="473"/>
      <c r="G6281" s="473"/>
      <c r="H6281" s="473"/>
      <c r="I6281" s="473"/>
      <c r="J6281" s="473"/>
      <c r="K6281" s="478"/>
      <c r="L6281" s="473"/>
      <c r="M6281" s="473"/>
    </row>
    <row r="6282" spans="5:13">
      <c r="E6282" s="473"/>
      <c r="F6282" s="473"/>
      <c r="G6282" s="473"/>
      <c r="H6282" s="473"/>
      <c r="I6282" s="473"/>
      <c r="J6282" s="473"/>
      <c r="K6282" s="478"/>
      <c r="L6282" s="473"/>
      <c r="M6282" s="473"/>
    </row>
    <row r="6283" spans="5:13">
      <c r="E6283" s="473"/>
      <c r="F6283" s="473"/>
      <c r="G6283" s="473"/>
      <c r="H6283" s="473"/>
      <c r="I6283" s="473"/>
      <c r="J6283" s="473"/>
      <c r="K6283" s="478"/>
      <c r="L6283" s="473"/>
      <c r="M6283" s="473"/>
    </row>
    <row r="6284" spans="5:13">
      <c r="E6284" s="473"/>
      <c r="F6284" s="473"/>
      <c r="G6284" s="473"/>
      <c r="H6284" s="473"/>
      <c r="I6284" s="473"/>
      <c r="J6284" s="473"/>
      <c r="K6284" s="478"/>
      <c r="L6284" s="473"/>
      <c r="M6284" s="473"/>
    </row>
    <row r="6285" spans="5:13">
      <c r="E6285" s="473"/>
      <c r="F6285" s="473"/>
      <c r="G6285" s="473"/>
      <c r="H6285" s="473"/>
      <c r="I6285" s="473"/>
      <c r="J6285" s="473"/>
      <c r="K6285" s="478"/>
      <c r="L6285" s="473"/>
      <c r="M6285" s="473"/>
    </row>
    <row r="6286" spans="5:13">
      <c r="E6286" s="473"/>
      <c r="F6286" s="473"/>
      <c r="G6286" s="473"/>
      <c r="H6286" s="473"/>
      <c r="I6286" s="473"/>
      <c r="J6286" s="473"/>
      <c r="K6286" s="478"/>
      <c r="L6286" s="473"/>
      <c r="M6286" s="473"/>
    </row>
    <row r="6287" spans="5:13">
      <c r="E6287" s="473"/>
      <c r="F6287" s="473"/>
      <c r="G6287" s="473"/>
      <c r="H6287" s="473"/>
      <c r="I6287" s="473"/>
      <c r="J6287" s="473"/>
      <c r="K6287" s="478"/>
      <c r="L6287" s="473"/>
      <c r="M6287" s="473"/>
    </row>
    <row r="6288" spans="5:13">
      <c r="E6288" s="473"/>
      <c r="F6288" s="473"/>
      <c r="G6288" s="473"/>
      <c r="H6288" s="473"/>
      <c r="I6288" s="473"/>
      <c r="J6288" s="473"/>
      <c r="K6288" s="478"/>
      <c r="L6288" s="473"/>
      <c r="M6288" s="473"/>
    </row>
    <row r="6289" spans="5:13">
      <c r="E6289" s="473"/>
      <c r="F6289" s="473"/>
      <c r="G6289" s="473"/>
      <c r="H6289" s="473"/>
      <c r="I6289" s="473"/>
      <c r="J6289" s="473"/>
      <c r="K6289" s="478"/>
      <c r="L6289" s="473"/>
      <c r="M6289" s="473"/>
    </row>
    <row r="6290" spans="5:13">
      <c r="E6290" s="473"/>
      <c r="F6290" s="473"/>
      <c r="G6290" s="473"/>
      <c r="H6290" s="473"/>
      <c r="I6290" s="473"/>
      <c r="J6290" s="473"/>
      <c r="K6290" s="478"/>
      <c r="L6290" s="473"/>
      <c r="M6290" s="473"/>
    </row>
    <row r="6291" spans="5:13">
      <c r="E6291" s="473"/>
      <c r="F6291" s="473"/>
      <c r="G6291" s="473"/>
      <c r="H6291" s="473"/>
      <c r="I6291" s="473"/>
      <c r="J6291" s="473"/>
      <c r="K6291" s="478"/>
      <c r="L6291" s="473"/>
      <c r="M6291" s="473"/>
    </row>
    <row r="6292" spans="5:13">
      <c r="E6292" s="473"/>
      <c r="F6292" s="473"/>
      <c r="G6292" s="473"/>
      <c r="H6292" s="473"/>
      <c r="I6292" s="473"/>
      <c r="J6292" s="473"/>
      <c r="K6292" s="478"/>
      <c r="L6292" s="473"/>
      <c r="M6292" s="473"/>
    </row>
    <row r="6293" spans="5:13">
      <c r="E6293" s="473"/>
      <c r="F6293" s="473"/>
      <c r="G6293" s="473"/>
      <c r="H6293" s="473"/>
      <c r="I6293" s="473"/>
      <c r="J6293" s="473"/>
      <c r="K6293" s="478"/>
      <c r="L6293" s="473"/>
      <c r="M6293" s="473"/>
    </row>
    <row r="6294" spans="5:13">
      <c r="E6294" s="473"/>
      <c r="F6294" s="473"/>
      <c r="G6294" s="473"/>
      <c r="H6294" s="473"/>
      <c r="I6294" s="473"/>
      <c r="J6294" s="473"/>
      <c r="K6294" s="478"/>
      <c r="L6294" s="473"/>
      <c r="M6294" s="473"/>
    </row>
    <row r="6295" spans="5:13">
      <c r="E6295" s="473"/>
      <c r="F6295" s="473"/>
      <c r="G6295" s="473"/>
      <c r="H6295" s="473"/>
      <c r="I6295" s="473"/>
      <c r="J6295" s="473"/>
      <c r="K6295" s="478"/>
      <c r="L6295" s="473"/>
      <c r="M6295" s="473"/>
    </row>
    <row r="6296" spans="5:13">
      <c r="E6296" s="473"/>
      <c r="F6296" s="473"/>
      <c r="G6296" s="473"/>
      <c r="H6296" s="473"/>
      <c r="I6296" s="473"/>
      <c r="J6296" s="473"/>
      <c r="K6296" s="478"/>
      <c r="L6296" s="473"/>
      <c r="M6296" s="473"/>
    </row>
    <row r="6297" spans="5:13">
      <c r="E6297" s="473"/>
      <c r="F6297" s="473"/>
      <c r="G6297" s="473"/>
      <c r="H6297" s="473"/>
      <c r="I6297" s="473"/>
      <c r="J6297" s="473"/>
      <c r="K6297" s="478"/>
      <c r="L6297" s="473"/>
      <c r="M6297" s="473"/>
    </row>
    <row r="6298" spans="5:13">
      <c r="E6298" s="473"/>
      <c r="F6298" s="473"/>
      <c r="G6298" s="473"/>
      <c r="H6298" s="473"/>
      <c r="I6298" s="473"/>
      <c r="J6298" s="473"/>
      <c r="K6298" s="478"/>
      <c r="L6298" s="473"/>
      <c r="M6298" s="473"/>
    </row>
    <row r="6299" spans="5:13">
      <c r="E6299" s="473"/>
      <c r="F6299" s="473"/>
      <c r="G6299" s="473"/>
      <c r="H6299" s="473"/>
      <c r="I6299" s="473"/>
      <c r="J6299" s="473"/>
      <c r="K6299" s="478"/>
      <c r="L6299" s="473"/>
      <c r="M6299" s="473"/>
    </row>
    <row r="6300" spans="5:13">
      <c r="E6300" s="473"/>
      <c r="F6300" s="473"/>
      <c r="G6300" s="473"/>
      <c r="H6300" s="473"/>
      <c r="I6300" s="473"/>
      <c r="J6300" s="473"/>
      <c r="K6300" s="478"/>
      <c r="L6300" s="473"/>
      <c r="M6300" s="473"/>
    </row>
    <row r="6301" spans="5:13">
      <c r="E6301" s="473"/>
      <c r="F6301" s="473"/>
      <c r="G6301" s="473"/>
      <c r="H6301" s="473"/>
      <c r="I6301" s="473"/>
      <c r="J6301" s="473"/>
      <c r="K6301" s="478"/>
      <c r="L6301" s="473"/>
      <c r="M6301" s="473"/>
    </row>
    <row r="6302" spans="5:13">
      <c r="E6302" s="473"/>
      <c r="F6302" s="473"/>
      <c r="G6302" s="473"/>
      <c r="H6302" s="473"/>
      <c r="I6302" s="473"/>
      <c r="J6302" s="473"/>
      <c r="K6302" s="478"/>
      <c r="L6302" s="473"/>
      <c r="M6302" s="473"/>
    </row>
    <row r="6303" spans="5:13">
      <c r="E6303" s="473"/>
      <c r="F6303" s="473"/>
      <c r="G6303" s="473"/>
      <c r="H6303" s="473"/>
      <c r="I6303" s="473"/>
      <c r="J6303" s="473"/>
      <c r="K6303" s="478"/>
      <c r="L6303" s="473"/>
      <c r="M6303" s="473"/>
    </row>
    <row r="6304" spans="5:13">
      <c r="E6304" s="473"/>
      <c r="F6304" s="473"/>
      <c r="G6304" s="473"/>
      <c r="H6304" s="473"/>
      <c r="I6304" s="473"/>
      <c r="J6304" s="473"/>
      <c r="K6304" s="478"/>
      <c r="L6304" s="473"/>
      <c r="M6304" s="473"/>
    </row>
    <row r="6305" spans="5:13">
      <c r="E6305" s="473"/>
      <c r="F6305" s="473"/>
      <c r="G6305" s="473"/>
      <c r="H6305" s="473"/>
      <c r="I6305" s="473"/>
      <c r="J6305" s="473"/>
      <c r="K6305" s="478"/>
      <c r="L6305" s="473"/>
      <c r="M6305" s="473"/>
    </row>
    <row r="6306" spans="5:13">
      <c r="E6306" s="473"/>
      <c r="F6306" s="473"/>
      <c r="G6306" s="473"/>
      <c r="H6306" s="473"/>
      <c r="I6306" s="473"/>
      <c r="J6306" s="473"/>
      <c r="K6306" s="478"/>
      <c r="L6306" s="473"/>
      <c r="M6306" s="473"/>
    </row>
    <row r="6307" spans="5:13">
      <c r="E6307" s="473"/>
      <c r="F6307" s="473"/>
      <c r="G6307" s="473"/>
      <c r="H6307" s="473"/>
      <c r="I6307" s="473"/>
      <c r="J6307" s="473"/>
      <c r="K6307" s="478"/>
      <c r="L6307" s="473"/>
      <c r="M6307" s="473"/>
    </row>
    <row r="6308" spans="5:13">
      <c r="E6308" s="473"/>
      <c r="F6308" s="473"/>
      <c r="G6308" s="473"/>
      <c r="H6308" s="473"/>
      <c r="I6308" s="473"/>
      <c r="J6308" s="473"/>
      <c r="K6308" s="478"/>
      <c r="L6308" s="473"/>
      <c r="M6308" s="473"/>
    </row>
    <row r="6309" spans="5:13">
      <c r="E6309" s="473"/>
      <c r="F6309" s="473"/>
      <c r="G6309" s="473"/>
      <c r="H6309" s="473"/>
      <c r="I6309" s="473"/>
      <c r="J6309" s="473"/>
      <c r="K6309" s="478"/>
      <c r="L6309" s="473"/>
      <c r="M6309" s="473"/>
    </row>
    <row r="6310" spans="5:13">
      <c r="E6310" s="473"/>
      <c r="F6310" s="473"/>
      <c r="G6310" s="473"/>
      <c r="H6310" s="473"/>
      <c r="I6310" s="473"/>
      <c r="J6310" s="473"/>
      <c r="K6310" s="478"/>
      <c r="L6310" s="473"/>
      <c r="M6310" s="473"/>
    </row>
    <row r="6311" spans="5:13">
      <c r="E6311" s="473"/>
      <c r="F6311" s="473"/>
      <c r="G6311" s="473"/>
      <c r="H6311" s="473"/>
      <c r="I6311" s="473"/>
      <c r="J6311" s="473"/>
      <c r="K6311" s="478"/>
      <c r="L6311" s="473"/>
      <c r="M6311" s="473"/>
    </row>
    <row r="6312" spans="5:13">
      <c r="E6312" s="473"/>
      <c r="F6312" s="473"/>
      <c r="G6312" s="473"/>
      <c r="H6312" s="473"/>
      <c r="I6312" s="473"/>
      <c r="J6312" s="473"/>
      <c r="K6312" s="478"/>
      <c r="L6312" s="473"/>
      <c r="M6312" s="473"/>
    </row>
    <row r="6313" spans="5:13">
      <c r="E6313" s="473"/>
      <c r="F6313" s="473"/>
      <c r="G6313" s="473"/>
      <c r="H6313" s="473"/>
      <c r="I6313" s="473"/>
      <c r="J6313" s="473"/>
      <c r="K6313" s="478"/>
      <c r="L6313" s="473"/>
      <c r="M6313" s="473"/>
    </row>
    <row r="6314" spans="5:13">
      <c r="E6314" s="473"/>
      <c r="F6314" s="473"/>
      <c r="G6314" s="473"/>
      <c r="H6314" s="473"/>
      <c r="I6314" s="473"/>
      <c r="J6314" s="473"/>
      <c r="K6314" s="478"/>
      <c r="L6314" s="473"/>
      <c r="M6314" s="473"/>
    </row>
    <row r="6315" spans="5:13">
      <c r="E6315" s="473"/>
      <c r="F6315" s="473"/>
      <c r="G6315" s="473"/>
      <c r="H6315" s="473"/>
      <c r="I6315" s="473"/>
      <c r="J6315" s="473"/>
      <c r="K6315" s="478"/>
      <c r="L6315" s="473"/>
      <c r="M6315" s="473"/>
    </row>
    <row r="6316" spans="5:13">
      <c r="E6316" s="473"/>
      <c r="F6316" s="473"/>
      <c r="G6316" s="473"/>
      <c r="H6316" s="473"/>
      <c r="I6316" s="473"/>
      <c r="J6316" s="473"/>
      <c r="K6316" s="478"/>
      <c r="L6316" s="473"/>
      <c r="M6316" s="473"/>
    </row>
    <row r="6317" spans="5:13">
      <c r="E6317" s="473"/>
      <c r="F6317" s="473"/>
      <c r="G6317" s="473"/>
      <c r="H6317" s="473"/>
      <c r="I6317" s="473"/>
      <c r="J6317" s="473"/>
      <c r="K6317" s="478"/>
      <c r="L6317" s="473"/>
      <c r="M6317" s="473"/>
    </row>
    <row r="6318" spans="5:13">
      <c r="E6318" s="473"/>
      <c r="F6318" s="473"/>
      <c r="G6318" s="473"/>
      <c r="H6318" s="473"/>
      <c r="I6318" s="473"/>
      <c r="J6318" s="473"/>
      <c r="K6318" s="478"/>
      <c r="L6318" s="473"/>
      <c r="M6318" s="473"/>
    </row>
    <row r="6319" spans="5:13">
      <c r="E6319" s="473"/>
      <c r="F6319" s="473"/>
      <c r="G6319" s="473"/>
      <c r="H6319" s="473"/>
      <c r="I6319" s="473"/>
      <c r="J6319" s="473"/>
      <c r="K6319" s="478"/>
      <c r="L6319" s="473"/>
      <c r="M6319" s="473"/>
    </row>
    <row r="6320" spans="5:13">
      <c r="E6320" s="473"/>
      <c r="F6320" s="473"/>
      <c r="G6320" s="473"/>
      <c r="H6320" s="473"/>
      <c r="I6320" s="473"/>
      <c r="J6320" s="473"/>
      <c r="K6320" s="478"/>
      <c r="L6320" s="473"/>
      <c r="M6320" s="473"/>
    </row>
    <row r="6321" spans="5:13">
      <c r="E6321" s="473"/>
      <c r="F6321" s="473"/>
      <c r="G6321" s="473"/>
      <c r="H6321" s="473"/>
      <c r="I6321" s="473"/>
      <c r="J6321" s="473"/>
      <c r="K6321" s="478"/>
      <c r="L6321" s="473"/>
      <c r="M6321" s="473"/>
    </row>
    <row r="6322" spans="5:13">
      <c r="E6322" s="473"/>
      <c r="F6322" s="473"/>
      <c r="G6322" s="473"/>
      <c r="H6322" s="473"/>
      <c r="I6322" s="473"/>
      <c r="J6322" s="473"/>
      <c r="K6322" s="478"/>
      <c r="L6322" s="473"/>
      <c r="M6322" s="473"/>
    </row>
    <row r="6323" spans="5:13">
      <c r="E6323" s="473"/>
      <c r="F6323" s="473"/>
      <c r="G6323" s="473"/>
      <c r="H6323" s="473"/>
      <c r="I6323" s="473"/>
      <c r="J6323" s="473"/>
      <c r="K6323" s="478"/>
      <c r="L6323" s="473"/>
      <c r="M6323" s="473"/>
    </row>
    <row r="6324" spans="5:13">
      <c r="E6324" s="473"/>
      <c r="F6324" s="473"/>
      <c r="G6324" s="473"/>
      <c r="H6324" s="473"/>
      <c r="I6324" s="473"/>
      <c r="J6324" s="473"/>
      <c r="K6324" s="478"/>
      <c r="L6324" s="473"/>
      <c r="M6324" s="473"/>
    </row>
    <row r="6325" spans="5:13">
      <c r="E6325" s="473"/>
      <c r="F6325" s="473"/>
      <c r="G6325" s="473"/>
      <c r="H6325" s="473"/>
      <c r="I6325" s="473"/>
      <c r="J6325" s="473"/>
      <c r="K6325" s="478"/>
      <c r="L6325" s="473"/>
      <c r="M6325" s="473"/>
    </row>
    <row r="6326" spans="5:13">
      <c r="E6326" s="473"/>
      <c r="F6326" s="473"/>
      <c r="G6326" s="473"/>
      <c r="H6326" s="473"/>
      <c r="I6326" s="473"/>
      <c r="J6326" s="473"/>
      <c r="K6326" s="478"/>
      <c r="L6326" s="473"/>
      <c r="M6326" s="473"/>
    </row>
    <row r="6327" spans="5:13">
      <c r="E6327" s="473"/>
      <c r="F6327" s="473"/>
      <c r="G6327" s="473"/>
      <c r="H6327" s="473"/>
      <c r="I6327" s="473"/>
      <c r="J6327" s="473"/>
      <c r="K6327" s="478"/>
      <c r="L6327" s="473"/>
      <c r="M6327" s="473"/>
    </row>
    <row r="6328" spans="5:13">
      <c r="E6328" s="473"/>
      <c r="F6328" s="473"/>
      <c r="G6328" s="473"/>
      <c r="H6328" s="473"/>
      <c r="I6328" s="473"/>
      <c r="J6328" s="473"/>
      <c r="K6328" s="478"/>
      <c r="L6328" s="473"/>
      <c r="M6328" s="473"/>
    </row>
    <row r="6329" spans="5:13">
      <c r="E6329" s="473"/>
      <c r="F6329" s="473"/>
      <c r="G6329" s="473"/>
      <c r="H6329" s="473"/>
      <c r="I6329" s="473"/>
      <c r="J6329" s="473"/>
      <c r="K6329" s="478"/>
      <c r="L6329" s="473"/>
      <c r="M6329" s="473"/>
    </row>
    <row r="6330" spans="5:13">
      <c r="E6330" s="473"/>
      <c r="F6330" s="473"/>
      <c r="G6330" s="473"/>
      <c r="H6330" s="473"/>
      <c r="I6330" s="473"/>
      <c r="J6330" s="473"/>
      <c r="K6330" s="478"/>
      <c r="L6330" s="473"/>
      <c r="M6330" s="473"/>
    </row>
    <row r="6331" spans="5:13">
      <c r="E6331" s="473"/>
      <c r="F6331" s="473"/>
      <c r="G6331" s="473"/>
      <c r="H6331" s="473"/>
      <c r="I6331" s="473"/>
      <c r="J6331" s="473"/>
      <c r="K6331" s="478"/>
      <c r="L6331" s="473"/>
      <c r="M6331" s="473"/>
    </row>
    <row r="6332" spans="5:13">
      <c r="E6332" s="473"/>
      <c r="F6332" s="473"/>
      <c r="G6332" s="473"/>
      <c r="H6332" s="473"/>
      <c r="I6332" s="473"/>
      <c r="J6332" s="473"/>
      <c r="K6332" s="478"/>
      <c r="L6332" s="473"/>
      <c r="M6332" s="473"/>
    </row>
    <row r="6333" spans="5:13">
      <c r="E6333" s="473"/>
      <c r="F6333" s="473"/>
      <c r="G6333" s="473"/>
      <c r="H6333" s="473"/>
      <c r="I6333" s="473"/>
      <c r="J6333" s="473"/>
      <c r="K6333" s="478"/>
      <c r="L6333" s="473"/>
      <c r="M6333" s="473"/>
    </row>
    <row r="6334" spans="5:13">
      <c r="E6334" s="473"/>
      <c r="F6334" s="473"/>
      <c r="G6334" s="473"/>
      <c r="H6334" s="473"/>
      <c r="I6334" s="473"/>
      <c r="J6334" s="473"/>
      <c r="K6334" s="478"/>
      <c r="L6334" s="473"/>
      <c r="M6334" s="473"/>
    </row>
    <row r="6335" spans="5:13">
      <c r="E6335" s="473"/>
      <c r="F6335" s="473"/>
      <c r="G6335" s="473"/>
      <c r="H6335" s="473"/>
      <c r="I6335" s="473"/>
      <c r="J6335" s="473"/>
      <c r="K6335" s="478"/>
      <c r="L6335" s="473"/>
      <c r="M6335" s="473"/>
    </row>
    <row r="6336" spans="5:13">
      <c r="E6336" s="473"/>
      <c r="F6336" s="473"/>
      <c r="G6336" s="473"/>
      <c r="H6336" s="473"/>
      <c r="I6336" s="473"/>
      <c r="J6336" s="473"/>
      <c r="K6336" s="478"/>
      <c r="L6336" s="473"/>
      <c r="M6336" s="473"/>
    </row>
    <row r="6337" spans="5:13">
      <c r="E6337" s="473"/>
      <c r="F6337" s="473"/>
      <c r="G6337" s="473"/>
      <c r="H6337" s="473"/>
      <c r="I6337" s="473"/>
      <c r="J6337" s="473"/>
      <c r="K6337" s="478"/>
      <c r="L6337" s="473"/>
      <c r="M6337" s="473"/>
    </row>
    <row r="6338" spans="5:13">
      <c r="E6338" s="473"/>
      <c r="F6338" s="473"/>
      <c r="G6338" s="473"/>
      <c r="H6338" s="473"/>
      <c r="I6338" s="473"/>
      <c r="J6338" s="473"/>
      <c r="K6338" s="478"/>
      <c r="L6338" s="473"/>
      <c r="M6338" s="473"/>
    </row>
    <row r="6339" spans="5:13">
      <c r="E6339" s="473"/>
      <c r="F6339" s="473"/>
      <c r="G6339" s="473"/>
      <c r="H6339" s="473"/>
      <c r="I6339" s="473"/>
      <c r="J6339" s="473"/>
      <c r="K6339" s="478"/>
      <c r="L6339" s="473"/>
      <c r="M6339" s="473"/>
    </row>
    <row r="6340" spans="5:13">
      <c r="E6340" s="473"/>
      <c r="F6340" s="473"/>
      <c r="G6340" s="473"/>
      <c r="H6340" s="473"/>
      <c r="I6340" s="473"/>
      <c r="J6340" s="473"/>
      <c r="K6340" s="478"/>
      <c r="L6340" s="473"/>
      <c r="M6340" s="473"/>
    </row>
    <row r="6341" spans="5:13">
      <c r="E6341" s="473"/>
      <c r="F6341" s="473"/>
      <c r="G6341" s="473"/>
      <c r="H6341" s="473"/>
      <c r="I6341" s="473"/>
      <c r="J6341" s="473"/>
      <c r="K6341" s="478"/>
      <c r="L6341" s="473"/>
      <c r="M6341" s="473"/>
    </row>
    <row r="6342" spans="5:13">
      <c r="E6342" s="473"/>
      <c r="F6342" s="473"/>
      <c r="G6342" s="473"/>
      <c r="H6342" s="473"/>
      <c r="I6342" s="473"/>
      <c r="J6342" s="473"/>
      <c r="K6342" s="478"/>
      <c r="L6342" s="473"/>
      <c r="M6342" s="473"/>
    </row>
    <row r="6343" spans="5:13">
      <c r="E6343" s="473"/>
      <c r="F6343" s="473"/>
      <c r="G6343" s="473"/>
      <c r="H6343" s="473"/>
      <c r="I6343" s="473"/>
      <c r="J6343" s="473"/>
      <c r="K6343" s="478"/>
      <c r="L6343" s="473"/>
      <c r="M6343" s="473"/>
    </row>
    <row r="6344" spans="5:13">
      <c r="E6344" s="473"/>
      <c r="F6344" s="473"/>
      <c r="G6344" s="473"/>
      <c r="H6344" s="473"/>
      <c r="I6344" s="473"/>
      <c r="J6344" s="473"/>
      <c r="K6344" s="478"/>
      <c r="L6344" s="473"/>
      <c r="M6344" s="473"/>
    </row>
    <row r="6345" spans="5:13">
      <c r="E6345" s="473"/>
      <c r="F6345" s="473"/>
      <c r="G6345" s="473"/>
      <c r="H6345" s="473"/>
      <c r="I6345" s="473"/>
      <c r="J6345" s="473"/>
      <c r="K6345" s="478"/>
      <c r="L6345" s="473"/>
      <c r="M6345" s="473"/>
    </row>
    <row r="6346" spans="5:13">
      <c r="E6346" s="473"/>
      <c r="F6346" s="473"/>
      <c r="G6346" s="473"/>
      <c r="H6346" s="473"/>
      <c r="I6346" s="473"/>
      <c r="J6346" s="473"/>
      <c r="K6346" s="478"/>
      <c r="L6346" s="473"/>
      <c r="M6346" s="473"/>
    </row>
    <row r="6347" spans="5:13">
      <c r="E6347" s="473"/>
      <c r="F6347" s="473"/>
      <c r="G6347" s="473"/>
      <c r="H6347" s="473"/>
      <c r="I6347" s="473"/>
      <c r="J6347" s="473"/>
      <c r="K6347" s="478"/>
      <c r="L6347" s="473"/>
      <c r="M6347" s="473"/>
    </row>
    <row r="6348" spans="5:13">
      <c r="E6348" s="473"/>
      <c r="F6348" s="473"/>
      <c r="G6348" s="473"/>
      <c r="H6348" s="473"/>
      <c r="I6348" s="473"/>
      <c r="J6348" s="473"/>
      <c r="K6348" s="478"/>
      <c r="L6348" s="473"/>
      <c r="M6348" s="473"/>
    </row>
    <row r="6349" spans="5:13">
      <c r="E6349" s="473"/>
      <c r="F6349" s="473"/>
      <c r="G6349" s="473"/>
      <c r="H6349" s="473"/>
      <c r="I6349" s="473"/>
      <c r="J6349" s="473"/>
      <c r="K6349" s="478"/>
      <c r="L6349" s="473"/>
      <c r="M6349" s="473"/>
    </row>
    <row r="6350" spans="5:13">
      <c r="E6350" s="473"/>
      <c r="F6350" s="473"/>
      <c r="G6350" s="473"/>
      <c r="H6350" s="473"/>
      <c r="I6350" s="473"/>
      <c r="J6350" s="473"/>
      <c r="K6350" s="478"/>
      <c r="L6350" s="473"/>
      <c r="M6350" s="473"/>
    </row>
    <row r="6351" spans="5:13">
      <c r="E6351" s="473"/>
      <c r="F6351" s="473"/>
      <c r="G6351" s="473"/>
      <c r="H6351" s="473"/>
      <c r="I6351" s="473"/>
      <c r="J6351" s="473"/>
      <c r="K6351" s="478"/>
      <c r="L6351" s="473"/>
      <c r="M6351" s="473"/>
    </row>
    <row r="6352" spans="5:13">
      <c r="E6352" s="473"/>
      <c r="F6352" s="473"/>
      <c r="G6352" s="473"/>
      <c r="H6352" s="473"/>
      <c r="I6352" s="473"/>
      <c r="J6352" s="473"/>
      <c r="K6352" s="478"/>
      <c r="L6352" s="473"/>
      <c r="M6352" s="473"/>
    </row>
    <row r="6353" spans="5:13">
      <c r="E6353" s="473"/>
      <c r="F6353" s="473"/>
      <c r="G6353" s="473"/>
      <c r="H6353" s="473"/>
      <c r="I6353" s="473"/>
      <c r="J6353" s="473"/>
      <c r="K6353" s="478"/>
      <c r="L6353" s="473"/>
      <c r="M6353" s="473"/>
    </row>
    <row r="6354" spans="5:13">
      <c r="E6354" s="473"/>
      <c r="F6354" s="473"/>
      <c r="G6354" s="473"/>
      <c r="H6354" s="473"/>
      <c r="I6354" s="473"/>
      <c r="J6354" s="473"/>
      <c r="K6354" s="478"/>
      <c r="L6354" s="473"/>
      <c r="M6354" s="473"/>
    </row>
    <row r="6355" spans="5:13">
      <c r="E6355" s="473"/>
      <c r="F6355" s="473"/>
      <c r="G6355" s="473"/>
      <c r="H6355" s="473"/>
      <c r="I6355" s="473"/>
      <c r="J6355" s="473"/>
      <c r="K6355" s="478"/>
      <c r="L6355" s="473"/>
      <c r="M6355" s="473"/>
    </row>
    <row r="6356" spans="5:13">
      <c r="E6356" s="473"/>
      <c r="F6356" s="473"/>
      <c r="G6356" s="473"/>
      <c r="H6356" s="473"/>
      <c r="I6356" s="473"/>
      <c r="J6356" s="473"/>
      <c r="K6356" s="478"/>
      <c r="L6356" s="473"/>
      <c r="M6356" s="473"/>
    </row>
    <row r="6357" spans="5:13">
      <c r="E6357" s="473"/>
      <c r="F6357" s="473"/>
      <c r="G6357" s="473"/>
      <c r="H6357" s="473"/>
      <c r="I6357" s="473"/>
      <c r="J6357" s="473"/>
      <c r="K6357" s="478"/>
      <c r="L6357" s="473"/>
      <c r="M6357" s="473"/>
    </row>
    <row r="6358" spans="5:13">
      <c r="E6358" s="473"/>
      <c r="F6358" s="473"/>
      <c r="G6358" s="473"/>
      <c r="H6358" s="473"/>
      <c r="I6358" s="473"/>
      <c r="J6358" s="473"/>
      <c r="K6358" s="478"/>
      <c r="L6358" s="473"/>
      <c r="M6358" s="473"/>
    </row>
    <row r="6359" spans="5:13">
      <c r="E6359" s="473"/>
      <c r="F6359" s="473"/>
      <c r="G6359" s="473"/>
      <c r="H6359" s="473"/>
      <c r="I6359" s="473"/>
      <c r="J6359" s="473"/>
      <c r="K6359" s="478"/>
      <c r="L6359" s="473"/>
      <c r="M6359" s="473"/>
    </row>
    <row r="6360" spans="5:13">
      <c r="E6360" s="473"/>
      <c r="F6360" s="473"/>
      <c r="G6360" s="473"/>
      <c r="H6360" s="473"/>
      <c r="I6360" s="473"/>
      <c r="J6360" s="473"/>
      <c r="K6360" s="478"/>
      <c r="L6360" s="473"/>
      <c r="M6360" s="473"/>
    </row>
    <row r="6361" spans="5:13">
      <c r="E6361" s="473"/>
      <c r="F6361" s="473"/>
      <c r="G6361" s="473"/>
      <c r="H6361" s="473"/>
      <c r="I6361" s="473"/>
      <c r="J6361" s="473"/>
      <c r="K6361" s="478"/>
      <c r="L6361" s="473"/>
      <c r="M6361" s="473"/>
    </row>
    <row r="6362" spans="5:13">
      <c r="E6362" s="473"/>
      <c r="F6362" s="473"/>
      <c r="G6362" s="473"/>
      <c r="H6362" s="473"/>
      <c r="I6362" s="473"/>
      <c r="J6362" s="473"/>
      <c r="K6362" s="478"/>
      <c r="L6362" s="473"/>
      <c r="M6362" s="473"/>
    </row>
    <row r="6363" spans="5:13">
      <c r="E6363" s="473"/>
      <c r="F6363" s="473"/>
      <c r="G6363" s="473"/>
      <c r="H6363" s="473"/>
      <c r="I6363" s="473"/>
      <c r="J6363" s="473"/>
      <c r="K6363" s="478"/>
      <c r="L6363" s="473"/>
      <c r="M6363" s="473"/>
    </row>
    <row r="6364" spans="5:13">
      <c r="E6364" s="473"/>
      <c r="F6364" s="473"/>
      <c r="G6364" s="473"/>
      <c r="H6364" s="473"/>
      <c r="I6364" s="473"/>
      <c r="J6364" s="473"/>
      <c r="K6364" s="478"/>
      <c r="L6364" s="473"/>
      <c r="M6364" s="473"/>
    </row>
    <row r="6365" spans="5:13">
      <c r="E6365" s="473"/>
      <c r="F6365" s="473"/>
      <c r="G6365" s="473"/>
      <c r="H6365" s="473"/>
      <c r="I6365" s="473"/>
      <c r="J6365" s="473"/>
      <c r="K6365" s="478"/>
      <c r="L6365" s="473"/>
      <c r="M6365" s="473"/>
    </row>
    <row r="6366" spans="5:13">
      <c r="E6366" s="473"/>
      <c r="F6366" s="473"/>
      <c r="G6366" s="473"/>
      <c r="H6366" s="473"/>
      <c r="I6366" s="473"/>
      <c r="J6366" s="473"/>
      <c r="K6366" s="478"/>
      <c r="L6366" s="473"/>
      <c r="M6366" s="473"/>
    </row>
    <row r="6367" spans="5:13">
      <c r="E6367" s="473"/>
      <c r="F6367" s="473"/>
      <c r="G6367" s="473"/>
      <c r="H6367" s="473"/>
      <c r="I6367" s="473"/>
      <c r="J6367" s="473"/>
      <c r="K6367" s="478"/>
      <c r="L6367" s="473"/>
      <c r="M6367" s="473"/>
    </row>
    <row r="6368" spans="5:13">
      <c r="E6368" s="473"/>
      <c r="F6368" s="473"/>
      <c r="G6368" s="473"/>
      <c r="H6368" s="473"/>
      <c r="I6368" s="473"/>
      <c r="J6368" s="473"/>
      <c r="K6368" s="478"/>
      <c r="L6368" s="473"/>
      <c r="M6368" s="473"/>
    </row>
    <row r="6369" spans="5:13">
      <c r="E6369" s="473"/>
      <c r="F6369" s="473"/>
      <c r="G6369" s="473"/>
      <c r="H6369" s="473"/>
      <c r="I6369" s="473"/>
      <c r="J6369" s="473"/>
      <c r="K6369" s="478"/>
      <c r="L6369" s="473"/>
      <c r="M6369" s="473"/>
    </row>
    <row r="6370" spans="5:13">
      <c r="E6370" s="473"/>
      <c r="F6370" s="473"/>
      <c r="G6370" s="473"/>
      <c r="H6370" s="473"/>
      <c r="I6370" s="473"/>
      <c r="J6370" s="473"/>
      <c r="K6370" s="478"/>
      <c r="L6370" s="473"/>
      <c r="M6370" s="473"/>
    </row>
    <row r="6371" spans="5:13">
      <c r="E6371" s="473"/>
      <c r="F6371" s="473"/>
      <c r="G6371" s="473"/>
      <c r="H6371" s="473"/>
      <c r="I6371" s="473"/>
      <c r="J6371" s="473"/>
      <c r="K6371" s="478"/>
      <c r="L6371" s="473"/>
      <c r="M6371" s="473"/>
    </row>
    <row r="6372" spans="5:13">
      <c r="E6372" s="473"/>
      <c r="F6372" s="473"/>
      <c r="G6372" s="473"/>
      <c r="H6372" s="473"/>
      <c r="I6372" s="473"/>
      <c r="J6372" s="473"/>
      <c r="K6372" s="478"/>
      <c r="L6372" s="473"/>
      <c r="M6372" s="473"/>
    </row>
    <row r="6373" spans="5:13">
      <c r="E6373" s="473"/>
      <c r="F6373" s="473"/>
      <c r="G6373" s="473"/>
      <c r="H6373" s="473"/>
      <c r="I6373" s="473"/>
      <c r="J6373" s="473"/>
      <c r="K6373" s="478"/>
      <c r="L6373" s="473"/>
      <c r="M6373" s="473"/>
    </row>
    <row r="6374" spans="5:13">
      <c r="E6374" s="473"/>
      <c r="F6374" s="473"/>
      <c r="G6374" s="473"/>
      <c r="H6374" s="473"/>
      <c r="I6374" s="473"/>
      <c r="J6374" s="473"/>
      <c r="K6374" s="478"/>
      <c r="L6374" s="473"/>
      <c r="M6374" s="473"/>
    </row>
    <row r="6375" spans="5:13">
      <c r="E6375" s="473"/>
      <c r="F6375" s="473"/>
      <c r="G6375" s="473"/>
      <c r="H6375" s="473"/>
      <c r="I6375" s="473"/>
      <c r="J6375" s="473"/>
      <c r="K6375" s="478"/>
      <c r="L6375" s="473"/>
      <c r="M6375" s="473"/>
    </row>
    <row r="6376" spans="5:13">
      <c r="E6376" s="473"/>
      <c r="F6376" s="473"/>
      <c r="G6376" s="473"/>
      <c r="H6376" s="473"/>
      <c r="I6376" s="473"/>
      <c r="J6376" s="473"/>
      <c r="K6376" s="478"/>
      <c r="L6376" s="473"/>
      <c r="M6376" s="473"/>
    </row>
    <row r="6377" spans="5:13">
      <c r="E6377" s="473"/>
      <c r="F6377" s="473"/>
      <c r="G6377" s="473"/>
      <c r="H6377" s="473"/>
      <c r="I6377" s="473"/>
      <c r="J6377" s="473"/>
      <c r="K6377" s="478"/>
      <c r="L6377" s="473"/>
      <c r="M6377" s="473"/>
    </row>
    <row r="6378" spans="5:13">
      <c r="E6378" s="473"/>
      <c r="F6378" s="473"/>
      <c r="G6378" s="473"/>
      <c r="H6378" s="473"/>
      <c r="I6378" s="473"/>
      <c r="J6378" s="473"/>
      <c r="K6378" s="478"/>
      <c r="L6378" s="473"/>
      <c r="M6378" s="473"/>
    </row>
    <row r="6379" spans="5:13">
      <c r="E6379" s="473"/>
      <c r="F6379" s="473"/>
      <c r="G6379" s="473"/>
      <c r="H6379" s="473"/>
      <c r="I6379" s="473"/>
      <c r="J6379" s="473"/>
      <c r="K6379" s="478"/>
      <c r="L6379" s="473"/>
      <c r="M6379" s="473"/>
    </row>
    <row r="6380" spans="5:13">
      <c r="E6380" s="473"/>
      <c r="F6380" s="473"/>
      <c r="G6380" s="473"/>
      <c r="H6380" s="473"/>
      <c r="I6380" s="473"/>
      <c r="J6380" s="473"/>
      <c r="K6380" s="478"/>
      <c r="L6380" s="473"/>
      <c r="M6380" s="473"/>
    </row>
    <row r="6381" spans="5:13">
      <c r="E6381" s="473"/>
      <c r="F6381" s="473"/>
      <c r="G6381" s="473"/>
      <c r="H6381" s="473"/>
      <c r="I6381" s="473"/>
      <c r="J6381" s="473"/>
      <c r="K6381" s="478"/>
      <c r="L6381" s="473"/>
      <c r="M6381" s="473"/>
    </row>
    <row r="6382" spans="5:13">
      <c r="E6382" s="473"/>
      <c r="F6382" s="473"/>
      <c r="G6382" s="473"/>
      <c r="H6382" s="473"/>
      <c r="I6382" s="473"/>
      <c r="J6382" s="473"/>
      <c r="K6382" s="478"/>
      <c r="L6382" s="473"/>
      <c r="M6382" s="473"/>
    </row>
    <row r="6383" spans="5:13">
      <c r="E6383" s="473"/>
      <c r="F6383" s="473"/>
      <c r="G6383" s="473"/>
      <c r="H6383" s="473"/>
      <c r="I6383" s="473"/>
      <c r="J6383" s="473"/>
      <c r="K6383" s="478"/>
      <c r="L6383" s="473"/>
      <c r="M6383" s="473"/>
    </row>
    <row r="6384" spans="5:13">
      <c r="E6384" s="473"/>
      <c r="F6384" s="473"/>
      <c r="G6384" s="473"/>
      <c r="H6384" s="473"/>
      <c r="I6384" s="473"/>
      <c r="J6384" s="473"/>
      <c r="K6384" s="478"/>
      <c r="L6384" s="473"/>
      <c r="M6384" s="473"/>
    </row>
    <row r="6385" spans="5:13">
      <c r="E6385" s="473"/>
      <c r="F6385" s="473"/>
      <c r="G6385" s="473"/>
      <c r="H6385" s="473"/>
      <c r="I6385" s="473"/>
      <c r="J6385" s="473"/>
      <c r="K6385" s="478"/>
      <c r="L6385" s="473"/>
      <c r="M6385" s="473"/>
    </row>
    <row r="6386" spans="5:13">
      <c r="E6386" s="473"/>
      <c r="F6386" s="473"/>
      <c r="G6386" s="473"/>
      <c r="H6386" s="473"/>
      <c r="I6386" s="473"/>
      <c r="J6386" s="473"/>
      <c r="K6386" s="478"/>
      <c r="L6386" s="473"/>
      <c r="M6386" s="473"/>
    </row>
    <row r="6387" spans="5:13">
      <c r="E6387" s="473"/>
      <c r="F6387" s="473"/>
      <c r="G6387" s="473"/>
      <c r="H6387" s="473"/>
      <c r="I6387" s="473"/>
      <c r="J6387" s="473"/>
      <c r="K6387" s="478"/>
      <c r="L6387" s="473"/>
      <c r="M6387" s="473"/>
    </row>
    <row r="6388" spans="5:13">
      <c r="E6388" s="473"/>
      <c r="F6388" s="473"/>
      <c r="G6388" s="473"/>
      <c r="H6388" s="473"/>
      <c r="I6388" s="473"/>
      <c r="J6388" s="473"/>
      <c r="K6388" s="478"/>
      <c r="L6388" s="473"/>
      <c r="M6388" s="473"/>
    </row>
    <row r="6389" spans="5:13">
      <c r="E6389" s="473"/>
      <c r="F6389" s="473"/>
      <c r="G6389" s="473"/>
      <c r="H6389" s="473"/>
      <c r="I6389" s="473"/>
      <c r="J6389" s="473"/>
      <c r="K6389" s="478"/>
      <c r="L6389" s="473"/>
      <c r="M6389" s="473"/>
    </row>
    <row r="6390" spans="5:13">
      <c r="E6390" s="473"/>
      <c r="F6390" s="473"/>
      <c r="G6390" s="473"/>
      <c r="H6390" s="473"/>
      <c r="I6390" s="473"/>
      <c r="J6390" s="473"/>
      <c r="K6390" s="478"/>
      <c r="L6390" s="473"/>
      <c r="M6390" s="473"/>
    </row>
    <row r="6391" spans="5:13">
      <c r="E6391" s="473"/>
      <c r="F6391" s="473"/>
      <c r="G6391" s="473"/>
      <c r="H6391" s="473"/>
      <c r="I6391" s="473"/>
      <c r="J6391" s="473"/>
      <c r="K6391" s="478"/>
      <c r="L6391" s="473"/>
      <c r="M6391" s="473"/>
    </row>
    <row r="6392" spans="5:13">
      <c r="E6392" s="473"/>
      <c r="F6392" s="473"/>
      <c r="G6392" s="473"/>
      <c r="H6392" s="473"/>
      <c r="I6392" s="473"/>
      <c r="J6392" s="473"/>
      <c r="K6392" s="478"/>
      <c r="L6392" s="473"/>
      <c r="M6392" s="473"/>
    </row>
    <row r="6393" spans="5:13">
      <c r="E6393" s="473"/>
      <c r="F6393" s="473"/>
      <c r="G6393" s="473"/>
      <c r="H6393" s="473"/>
      <c r="I6393" s="473"/>
      <c r="J6393" s="473"/>
      <c r="K6393" s="478"/>
      <c r="L6393" s="473"/>
      <c r="M6393" s="473"/>
    </row>
    <row r="6394" spans="5:13">
      <c r="E6394" s="473"/>
      <c r="F6394" s="473"/>
      <c r="G6394" s="473"/>
      <c r="H6394" s="473"/>
      <c r="I6394" s="473"/>
      <c r="J6394" s="473"/>
      <c r="K6394" s="478"/>
      <c r="L6394" s="473"/>
      <c r="M6394" s="473"/>
    </row>
    <row r="6395" spans="5:13">
      <c r="E6395" s="473"/>
      <c r="F6395" s="473"/>
      <c r="G6395" s="473"/>
      <c r="H6395" s="473"/>
      <c r="I6395" s="473"/>
      <c r="J6395" s="473"/>
      <c r="K6395" s="478"/>
      <c r="L6395" s="473"/>
      <c r="M6395" s="473"/>
    </row>
    <row r="6396" spans="5:13">
      <c r="E6396" s="473"/>
      <c r="F6396" s="473"/>
      <c r="G6396" s="473"/>
      <c r="H6396" s="473"/>
      <c r="I6396" s="473"/>
      <c r="J6396" s="473"/>
      <c r="K6396" s="478"/>
      <c r="L6396" s="473"/>
      <c r="M6396" s="473"/>
    </row>
    <row r="6397" spans="5:13">
      <c r="E6397" s="473"/>
      <c r="F6397" s="473"/>
      <c r="G6397" s="473"/>
      <c r="H6397" s="473"/>
      <c r="I6397" s="473"/>
      <c r="J6397" s="473"/>
      <c r="K6397" s="478"/>
      <c r="L6397" s="473"/>
      <c r="M6397" s="473"/>
    </row>
    <row r="6398" spans="5:13">
      <c r="E6398" s="473"/>
      <c r="F6398" s="473"/>
      <c r="G6398" s="473"/>
      <c r="H6398" s="473"/>
      <c r="I6398" s="473"/>
      <c r="J6398" s="473"/>
      <c r="K6398" s="478"/>
      <c r="L6398" s="473"/>
      <c r="M6398" s="473"/>
    </row>
    <row r="6399" spans="5:13">
      <c r="E6399" s="473"/>
      <c r="F6399" s="473"/>
      <c r="G6399" s="473"/>
      <c r="H6399" s="473"/>
      <c r="I6399" s="473"/>
      <c r="J6399" s="473"/>
      <c r="K6399" s="478"/>
      <c r="L6399" s="473"/>
      <c r="M6399" s="473"/>
    </row>
    <row r="6400" spans="5:13">
      <c r="E6400" s="473"/>
      <c r="F6400" s="473"/>
      <c r="G6400" s="473"/>
      <c r="H6400" s="473"/>
      <c r="I6400" s="473"/>
      <c r="J6400" s="473"/>
      <c r="K6400" s="478"/>
      <c r="L6400" s="473"/>
      <c r="M6400" s="473"/>
    </row>
    <row r="6401" spans="5:13">
      <c r="E6401" s="473"/>
      <c r="F6401" s="473"/>
      <c r="G6401" s="473"/>
      <c r="H6401" s="473"/>
      <c r="I6401" s="473"/>
      <c r="J6401" s="473"/>
      <c r="K6401" s="478"/>
      <c r="L6401" s="473"/>
      <c r="M6401" s="473"/>
    </row>
    <row r="6402" spans="5:13">
      <c r="E6402" s="473"/>
      <c r="F6402" s="473"/>
      <c r="G6402" s="473"/>
      <c r="H6402" s="473"/>
      <c r="I6402" s="473"/>
      <c r="J6402" s="473"/>
      <c r="K6402" s="478"/>
      <c r="L6402" s="473"/>
      <c r="M6402" s="473"/>
    </row>
    <row r="6403" spans="5:13">
      <c r="E6403" s="473"/>
      <c r="F6403" s="473"/>
      <c r="G6403" s="473"/>
      <c r="H6403" s="473"/>
      <c r="I6403" s="473"/>
      <c r="J6403" s="473"/>
      <c r="K6403" s="478"/>
      <c r="L6403" s="473"/>
      <c r="M6403" s="473"/>
    </row>
    <row r="6404" spans="5:13">
      <c r="E6404" s="473"/>
      <c r="F6404" s="473"/>
      <c r="G6404" s="473"/>
      <c r="H6404" s="473"/>
      <c r="I6404" s="473"/>
      <c r="J6404" s="473"/>
      <c r="K6404" s="478"/>
      <c r="L6404" s="473"/>
      <c r="M6404" s="473"/>
    </row>
    <row r="6405" spans="5:13">
      <c r="E6405" s="473"/>
      <c r="F6405" s="473"/>
      <c r="G6405" s="473"/>
      <c r="H6405" s="473"/>
      <c r="I6405" s="473"/>
      <c r="J6405" s="473"/>
      <c r="K6405" s="478"/>
      <c r="L6405" s="473"/>
      <c r="M6405" s="473"/>
    </row>
    <row r="6406" spans="5:13">
      <c r="E6406" s="473"/>
      <c r="F6406" s="473"/>
      <c r="G6406" s="473"/>
      <c r="H6406" s="473"/>
      <c r="I6406" s="473"/>
      <c r="J6406" s="473"/>
      <c r="K6406" s="478"/>
      <c r="L6406" s="473"/>
      <c r="M6406" s="473"/>
    </row>
    <row r="6407" spans="5:13">
      <c r="E6407" s="473"/>
      <c r="F6407" s="473"/>
      <c r="G6407" s="473"/>
      <c r="H6407" s="473"/>
      <c r="I6407" s="473"/>
      <c r="J6407" s="473"/>
      <c r="K6407" s="478"/>
      <c r="L6407" s="473"/>
      <c r="M6407" s="473"/>
    </row>
    <row r="6408" spans="5:13">
      <c r="E6408" s="473"/>
      <c r="F6408" s="473"/>
      <c r="G6408" s="473"/>
      <c r="H6408" s="473"/>
      <c r="I6408" s="473"/>
      <c r="J6408" s="473"/>
      <c r="K6408" s="478"/>
      <c r="L6408" s="473"/>
      <c r="M6408" s="473"/>
    </row>
    <row r="6409" spans="5:13">
      <c r="E6409" s="473"/>
      <c r="F6409" s="473"/>
      <c r="G6409" s="473"/>
      <c r="H6409" s="473"/>
      <c r="I6409" s="473"/>
      <c r="J6409" s="473"/>
      <c r="K6409" s="478"/>
      <c r="L6409" s="473"/>
      <c r="M6409" s="473"/>
    </row>
    <row r="6410" spans="5:13">
      <c r="E6410" s="473"/>
      <c r="F6410" s="473"/>
      <c r="G6410" s="473"/>
      <c r="H6410" s="473"/>
      <c r="I6410" s="473"/>
      <c r="J6410" s="473"/>
      <c r="K6410" s="478"/>
      <c r="L6410" s="473"/>
      <c r="M6410" s="473"/>
    </row>
    <row r="6411" spans="5:13">
      <c r="E6411" s="473"/>
      <c r="F6411" s="473"/>
      <c r="G6411" s="473"/>
      <c r="H6411" s="473"/>
      <c r="I6411" s="473"/>
      <c r="J6411" s="473"/>
      <c r="K6411" s="478"/>
      <c r="L6411" s="473"/>
      <c r="M6411" s="473"/>
    </row>
    <row r="6412" spans="5:13">
      <c r="E6412" s="473"/>
      <c r="F6412" s="473"/>
      <c r="G6412" s="473"/>
      <c r="H6412" s="473"/>
      <c r="I6412" s="473"/>
      <c r="J6412" s="473"/>
      <c r="K6412" s="478"/>
      <c r="L6412" s="473"/>
      <c r="M6412" s="473"/>
    </row>
    <row r="6413" spans="5:13">
      <c r="E6413" s="473"/>
      <c r="F6413" s="473"/>
      <c r="G6413" s="473"/>
      <c r="H6413" s="473"/>
      <c r="I6413" s="473"/>
      <c r="J6413" s="473"/>
      <c r="K6413" s="478"/>
      <c r="L6413" s="473"/>
      <c r="M6413" s="473"/>
    </row>
    <row r="6414" spans="5:13">
      <c r="E6414" s="473"/>
      <c r="F6414" s="473"/>
      <c r="G6414" s="473"/>
      <c r="H6414" s="473"/>
      <c r="I6414" s="473"/>
      <c r="J6414" s="473"/>
      <c r="K6414" s="478"/>
      <c r="L6414" s="473"/>
      <c r="M6414" s="473"/>
    </row>
    <row r="6415" spans="5:13">
      <c r="E6415" s="473"/>
      <c r="F6415" s="473"/>
      <c r="G6415" s="473"/>
      <c r="H6415" s="473"/>
      <c r="I6415" s="473"/>
      <c r="J6415" s="473"/>
      <c r="K6415" s="478"/>
      <c r="L6415" s="473"/>
      <c r="M6415" s="473"/>
    </row>
    <row r="6416" spans="5:13">
      <c r="E6416" s="473"/>
      <c r="F6416" s="473"/>
      <c r="G6416" s="473"/>
      <c r="H6416" s="473"/>
      <c r="I6416" s="473"/>
      <c r="J6416" s="473"/>
      <c r="K6416" s="478"/>
      <c r="L6416" s="473"/>
      <c r="M6416" s="473"/>
    </row>
    <row r="6417" spans="5:13">
      <c r="E6417" s="473"/>
      <c r="F6417" s="473"/>
      <c r="G6417" s="473"/>
      <c r="H6417" s="473"/>
      <c r="I6417" s="473"/>
      <c r="J6417" s="473"/>
      <c r="K6417" s="478"/>
      <c r="L6417" s="473"/>
      <c r="M6417" s="473"/>
    </row>
    <row r="6418" spans="5:13">
      <c r="E6418" s="473"/>
      <c r="F6418" s="473"/>
      <c r="G6418" s="473"/>
      <c r="H6418" s="473"/>
      <c r="I6418" s="473"/>
      <c r="J6418" s="473"/>
      <c r="K6418" s="478"/>
      <c r="L6418" s="473"/>
      <c r="M6418" s="473"/>
    </row>
    <row r="6419" spans="5:13">
      <c r="E6419" s="473"/>
      <c r="F6419" s="473"/>
      <c r="G6419" s="473"/>
      <c r="H6419" s="473"/>
      <c r="I6419" s="473"/>
      <c r="J6419" s="473"/>
      <c r="K6419" s="478"/>
      <c r="L6419" s="473"/>
      <c r="M6419" s="473"/>
    </row>
    <row r="6420" spans="5:13">
      <c r="E6420" s="473"/>
      <c r="F6420" s="473"/>
      <c r="G6420" s="473"/>
      <c r="H6420" s="473"/>
      <c r="I6420" s="473"/>
      <c r="J6420" s="473"/>
      <c r="K6420" s="478"/>
      <c r="L6420" s="473"/>
      <c r="M6420" s="473"/>
    </row>
    <row r="6421" spans="5:13">
      <c r="E6421" s="473"/>
      <c r="F6421" s="473"/>
      <c r="G6421" s="473"/>
      <c r="H6421" s="473"/>
      <c r="I6421" s="473"/>
      <c r="J6421" s="473"/>
      <c r="K6421" s="478"/>
      <c r="L6421" s="473"/>
      <c r="M6421" s="473"/>
    </row>
    <row r="6422" spans="5:13">
      <c r="E6422" s="473"/>
      <c r="F6422" s="473"/>
      <c r="G6422" s="473"/>
      <c r="H6422" s="473"/>
      <c r="I6422" s="473"/>
      <c r="J6422" s="473"/>
      <c r="K6422" s="478"/>
      <c r="L6422" s="473"/>
      <c r="M6422" s="473"/>
    </row>
    <row r="6423" spans="5:13">
      <c r="E6423" s="473"/>
      <c r="F6423" s="473"/>
      <c r="G6423" s="473"/>
      <c r="H6423" s="473"/>
      <c r="I6423" s="473"/>
      <c r="J6423" s="473"/>
      <c r="K6423" s="478"/>
      <c r="L6423" s="473"/>
      <c r="M6423" s="473"/>
    </row>
    <row r="6424" spans="5:13">
      <c r="E6424" s="473"/>
      <c r="F6424" s="473"/>
      <c r="G6424" s="473"/>
      <c r="H6424" s="473"/>
      <c r="I6424" s="473"/>
      <c r="J6424" s="473"/>
      <c r="K6424" s="478"/>
      <c r="L6424" s="473"/>
      <c r="M6424" s="473"/>
    </row>
    <row r="6425" spans="5:13">
      <c r="E6425" s="473"/>
      <c r="F6425" s="473"/>
      <c r="G6425" s="473"/>
      <c r="H6425" s="473"/>
      <c r="I6425" s="473"/>
      <c r="J6425" s="473"/>
      <c r="K6425" s="478"/>
      <c r="L6425" s="473"/>
      <c r="M6425" s="473"/>
    </row>
    <row r="6426" spans="5:13">
      <c r="E6426" s="473"/>
      <c r="F6426" s="473"/>
      <c r="G6426" s="473"/>
      <c r="H6426" s="473"/>
      <c r="I6426" s="473"/>
      <c r="J6426" s="473"/>
      <c r="K6426" s="478"/>
      <c r="L6426" s="473"/>
      <c r="M6426" s="473"/>
    </row>
    <row r="6427" spans="5:13">
      <c r="E6427" s="473"/>
      <c r="F6427" s="473"/>
      <c r="G6427" s="473"/>
      <c r="H6427" s="473"/>
      <c r="I6427" s="473"/>
      <c r="J6427" s="473"/>
      <c r="K6427" s="478"/>
      <c r="L6427" s="473"/>
      <c r="M6427" s="473"/>
    </row>
    <row r="6428" spans="5:13">
      <c r="E6428" s="473"/>
      <c r="F6428" s="473"/>
      <c r="G6428" s="473"/>
      <c r="H6428" s="473"/>
      <c r="I6428" s="473"/>
      <c r="J6428" s="473"/>
      <c r="K6428" s="478"/>
      <c r="L6428" s="473"/>
      <c r="M6428" s="473"/>
    </row>
    <row r="6429" spans="5:13">
      <c r="E6429" s="473"/>
      <c r="F6429" s="473"/>
      <c r="G6429" s="473"/>
      <c r="H6429" s="473"/>
      <c r="I6429" s="473"/>
      <c r="J6429" s="473"/>
      <c r="K6429" s="478"/>
      <c r="L6429" s="473"/>
      <c r="M6429" s="473"/>
    </row>
    <row r="6430" spans="5:13">
      <c r="E6430" s="473"/>
      <c r="F6430" s="473"/>
      <c r="G6430" s="473"/>
      <c r="H6430" s="473"/>
      <c r="I6430" s="473"/>
      <c r="J6430" s="473"/>
      <c r="K6430" s="478"/>
      <c r="L6430" s="473"/>
      <c r="M6430" s="473"/>
    </row>
    <row r="6431" spans="5:13">
      <c r="E6431" s="473"/>
      <c r="F6431" s="473"/>
      <c r="G6431" s="473"/>
      <c r="H6431" s="473"/>
      <c r="I6431" s="473"/>
      <c r="J6431" s="473"/>
      <c r="K6431" s="478"/>
      <c r="L6431" s="473"/>
      <c r="M6431" s="473"/>
    </row>
    <row r="6432" spans="5:13">
      <c r="E6432" s="473"/>
      <c r="F6432" s="473"/>
      <c r="G6432" s="473"/>
      <c r="H6432" s="473"/>
      <c r="I6432" s="473"/>
      <c r="J6432" s="473"/>
      <c r="K6432" s="478"/>
      <c r="L6432" s="473"/>
      <c r="M6432" s="473"/>
    </row>
    <row r="6433" spans="5:13">
      <c r="E6433" s="473"/>
      <c r="F6433" s="473"/>
      <c r="G6433" s="473"/>
      <c r="H6433" s="473"/>
      <c r="I6433" s="473"/>
      <c r="J6433" s="473"/>
      <c r="K6433" s="478"/>
      <c r="L6433" s="473"/>
      <c r="M6433" s="473"/>
    </row>
    <row r="6434" spans="5:13">
      <c r="E6434" s="473"/>
      <c r="F6434" s="473"/>
      <c r="G6434" s="473"/>
      <c r="H6434" s="473"/>
      <c r="I6434" s="473"/>
      <c r="J6434" s="473"/>
      <c r="K6434" s="478"/>
      <c r="L6434" s="473"/>
      <c r="M6434" s="473"/>
    </row>
    <row r="6435" spans="5:13">
      <c r="E6435" s="473"/>
      <c r="F6435" s="473"/>
      <c r="G6435" s="473"/>
      <c r="H6435" s="473"/>
      <c r="I6435" s="473"/>
      <c r="J6435" s="473"/>
      <c r="K6435" s="478"/>
      <c r="L6435" s="473"/>
      <c r="M6435" s="473"/>
    </row>
    <row r="6436" spans="5:13">
      <c r="E6436" s="473"/>
      <c r="F6436" s="473"/>
      <c r="G6436" s="473"/>
      <c r="H6436" s="473"/>
      <c r="I6436" s="473"/>
      <c r="J6436" s="473"/>
      <c r="K6436" s="478"/>
      <c r="L6436" s="473"/>
      <c r="M6436" s="473"/>
    </row>
    <row r="6437" spans="5:13">
      <c r="E6437" s="473"/>
      <c r="F6437" s="473"/>
      <c r="G6437" s="473"/>
      <c r="H6437" s="473"/>
      <c r="I6437" s="473"/>
      <c r="J6437" s="473"/>
      <c r="K6437" s="478"/>
      <c r="L6437" s="473"/>
      <c r="M6437" s="473"/>
    </row>
    <row r="6438" spans="5:13">
      <c r="E6438" s="473"/>
      <c r="F6438" s="473"/>
      <c r="G6438" s="473"/>
      <c r="H6438" s="473"/>
      <c r="I6438" s="473"/>
      <c r="J6438" s="473"/>
      <c r="K6438" s="478"/>
      <c r="L6438" s="473"/>
      <c r="M6438" s="473"/>
    </row>
    <row r="6439" spans="5:13">
      <c r="E6439" s="473"/>
      <c r="F6439" s="473"/>
      <c r="G6439" s="473"/>
      <c r="H6439" s="473"/>
      <c r="I6439" s="473"/>
      <c r="J6439" s="473"/>
      <c r="K6439" s="478"/>
      <c r="L6439" s="473"/>
      <c r="M6439" s="473"/>
    </row>
    <row r="6440" spans="5:13">
      <c r="E6440" s="473"/>
      <c r="F6440" s="473"/>
      <c r="G6440" s="473"/>
      <c r="H6440" s="473"/>
      <c r="I6440" s="473"/>
      <c r="J6440" s="473"/>
      <c r="K6440" s="478"/>
      <c r="L6440" s="473"/>
      <c r="M6440" s="473"/>
    </row>
    <row r="6441" spans="5:13">
      <c r="E6441" s="473"/>
      <c r="F6441" s="473"/>
      <c r="G6441" s="473"/>
      <c r="H6441" s="473"/>
      <c r="I6441" s="473"/>
      <c r="J6441" s="473"/>
      <c r="K6441" s="478"/>
      <c r="L6441" s="473"/>
      <c r="M6441" s="473"/>
    </row>
    <row r="6442" spans="5:13">
      <c r="E6442" s="473"/>
      <c r="F6442" s="473"/>
      <c r="G6442" s="473"/>
      <c r="H6442" s="473"/>
      <c r="I6442" s="473"/>
      <c r="J6442" s="473"/>
      <c r="K6442" s="478"/>
      <c r="L6442" s="473"/>
      <c r="M6442" s="473"/>
    </row>
    <row r="6443" spans="5:13">
      <c r="E6443" s="473"/>
      <c r="F6443" s="473"/>
      <c r="G6443" s="473"/>
      <c r="H6443" s="473"/>
      <c r="I6443" s="473"/>
      <c r="J6443" s="473"/>
      <c r="K6443" s="478"/>
      <c r="L6443" s="473"/>
      <c r="M6443" s="473"/>
    </row>
    <row r="6444" spans="5:13">
      <c r="E6444" s="473"/>
      <c r="F6444" s="473"/>
      <c r="G6444" s="473"/>
      <c r="H6444" s="473"/>
      <c r="I6444" s="473"/>
      <c r="J6444" s="473"/>
      <c r="K6444" s="478"/>
      <c r="L6444" s="473"/>
      <c r="M6444" s="473"/>
    </row>
    <row r="6445" spans="5:13">
      <c r="E6445" s="473"/>
      <c r="F6445" s="473"/>
      <c r="G6445" s="473"/>
      <c r="H6445" s="473"/>
      <c r="I6445" s="473"/>
      <c r="J6445" s="473"/>
      <c r="K6445" s="478"/>
      <c r="L6445" s="473"/>
      <c r="M6445" s="473"/>
    </row>
    <row r="6446" spans="5:13">
      <c r="E6446" s="473"/>
      <c r="F6446" s="473"/>
      <c r="G6446" s="473"/>
      <c r="H6446" s="473"/>
      <c r="I6446" s="473"/>
      <c r="J6446" s="473"/>
      <c r="K6446" s="478"/>
      <c r="L6446" s="473"/>
      <c r="M6446" s="473"/>
    </row>
    <row r="6447" spans="5:13">
      <c r="E6447" s="473"/>
      <c r="F6447" s="473"/>
      <c r="G6447" s="473"/>
      <c r="H6447" s="473"/>
      <c r="I6447" s="473"/>
      <c r="J6447" s="473"/>
      <c r="K6447" s="478"/>
      <c r="L6447" s="473"/>
      <c r="M6447" s="473"/>
    </row>
    <row r="6448" spans="5:13">
      <c r="E6448" s="473"/>
      <c r="F6448" s="473"/>
      <c r="G6448" s="473"/>
      <c r="H6448" s="473"/>
      <c r="I6448" s="473"/>
      <c r="J6448" s="473"/>
      <c r="K6448" s="478"/>
      <c r="L6448" s="473"/>
      <c r="M6448" s="473"/>
    </row>
    <row r="6449" spans="5:13">
      <c r="E6449" s="473"/>
      <c r="F6449" s="473"/>
      <c r="G6449" s="473"/>
      <c r="H6449" s="473"/>
      <c r="I6449" s="473"/>
      <c r="J6449" s="473"/>
      <c r="K6449" s="478"/>
      <c r="L6449" s="473"/>
      <c r="M6449" s="473"/>
    </row>
    <row r="6450" spans="5:13">
      <c r="E6450" s="473"/>
      <c r="F6450" s="473"/>
      <c r="G6450" s="473"/>
      <c r="H6450" s="473"/>
      <c r="I6450" s="473"/>
      <c r="J6450" s="473"/>
      <c r="K6450" s="478"/>
      <c r="L6450" s="473"/>
      <c r="M6450" s="473"/>
    </row>
    <row r="6451" spans="5:13">
      <c r="E6451" s="473"/>
      <c r="F6451" s="473"/>
      <c r="G6451" s="473"/>
      <c r="H6451" s="473"/>
      <c r="I6451" s="473"/>
      <c r="J6451" s="473"/>
      <c r="K6451" s="478"/>
      <c r="L6451" s="473"/>
      <c r="M6451" s="473"/>
    </row>
    <row r="6452" spans="5:13">
      <c r="E6452" s="473"/>
      <c r="F6452" s="473"/>
      <c r="G6452" s="473"/>
      <c r="H6452" s="473"/>
      <c r="I6452" s="473"/>
      <c r="J6452" s="473"/>
      <c r="K6452" s="478"/>
      <c r="L6452" s="473"/>
      <c r="M6452" s="473"/>
    </row>
    <row r="6453" spans="5:13">
      <c r="E6453" s="473"/>
      <c r="F6453" s="473"/>
      <c r="G6453" s="473"/>
      <c r="H6453" s="473"/>
      <c r="I6453" s="473"/>
      <c r="J6453" s="473"/>
      <c r="K6453" s="478"/>
      <c r="L6453" s="473"/>
      <c r="M6453" s="473"/>
    </row>
    <row r="6454" spans="5:13">
      <c r="E6454" s="473"/>
      <c r="F6454" s="473"/>
      <c r="G6454" s="473"/>
      <c r="H6454" s="473"/>
      <c r="I6454" s="473"/>
      <c r="J6454" s="473"/>
      <c r="K6454" s="478"/>
      <c r="L6454" s="473"/>
      <c r="M6454" s="473"/>
    </row>
    <row r="6455" spans="5:13">
      <c r="E6455" s="473"/>
      <c r="F6455" s="473"/>
      <c r="G6455" s="473"/>
      <c r="H6455" s="473"/>
      <c r="I6455" s="473"/>
      <c r="J6455" s="473"/>
      <c r="K6455" s="478"/>
      <c r="L6455" s="473"/>
      <c r="M6455" s="473"/>
    </row>
    <row r="6456" spans="5:13">
      <c r="E6456" s="473"/>
      <c r="F6456" s="473"/>
      <c r="G6456" s="473"/>
      <c r="H6456" s="473"/>
      <c r="I6456" s="473"/>
      <c r="J6456" s="473"/>
      <c r="K6456" s="478"/>
      <c r="L6456" s="473"/>
      <c r="M6456" s="473"/>
    </row>
    <row r="6457" spans="5:13">
      <c r="E6457" s="473"/>
      <c r="F6457" s="473"/>
      <c r="G6457" s="473"/>
      <c r="H6457" s="473"/>
      <c r="I6457" s="473"/>
      <c r="J6457" s="473"/>
      <c r="K6457" s="478"/>
      <c r="L6457" s="473"/>
      <c r="M6457" s="473"/>
    </row>
    <row r="6458" spans="5:13">
      <c r="E6458" s="473"/>
      <c r="F6458" s="473"/>
      <c r="G6458" s="473"/>
      <c r="H6458" s="473"/>
      <c r="I6458" s="473"/>
      <c r="J6458" s="473"/>
      <c r="K6458" s="478"/>
      <c r="L6458" s="473"/>
      <c r="M6458" s="473"/>
    </row>
    <row r="6459" spans="5:13">
      <c r="E6459" s="473"/>
      <c r="F6459" s="473"/>
      <c r="G6459" s="473"/>
      <c r="H6459" s="473"/>
      <c r="I6459" s="473"/>
      <c r="J6459" s="473"/>
      <c r="K6459" s="478"/>
      <c r="L6459" s="473"/>
      <c r="M6459" s="473"/>
    </row>
    <row r="6460" spans="5:13">
      <c r="E6460" s="473"/>
      <c r="F6460" s="473"/>
      <c r="G6460" s="473"/>
      <c r="H6460" s="473"/>
      <c r="I6460" s="473"/>
      <c r="J6460" s="473"/>
      <c r="K6460" s="478"/>
      <c r="L6460" s="473"/>
      <c r="M6460" s="473"/>
    </row>
    <row r="6461" spans="5:13">
      <c r="E6461" s="473"/>
      <c r="F6461" s="473"/>
      <c r="G6461" s="473"/>
      <c r="H6461" s="473"/>
      <c r="I6461" s="473"/>
      <c r="J6461" s="473"/>
      <c r="K6461" s="478"/>
      <c r="L6461" s="473"/>
      <c r="M6461" s="473"/>
    </row>
    <row r="6462" spans="5:13">
      <c r="E6462" s="473"/>
      <c r="F6462" s="473"/>
      <c r="G6462" s="473"/>
      <c r="H6462" s="473"/>
      <c r="I6462" s="473"/>
      <c r="J6462" s="473"/>
      <c r="K6462" s="478"/>
      <c r="L6462" s="473"/>
      <c r="M6462" s="473"/>
    </row>
    <row r="6463" spans="5:13">
      <c r="E6463" s="473"/>
      <c r="F6463" s="473"/>
      <c r="G6463" s="473"/>
      <c r="H6463" s="473"/>
      <c r="I6463" s="473"/>
      <c r="J6463" s="473"/>
      <c r="K6463" s="478"/>
      <c r="L6463" s="473"/>
      <c r="M6463" s="473"/>
    </row>
    <row r="6464" spans="5:13">
      <c r="E6464" s="473"/>
      <c r="F6464" s="473"/>
      <c r="G6464" s="473"/>
      <c r="H6464" s="473"/>
      <c r="I6464" s="473"/>
      <c r="J6464" s="473"/>
      <c r="K6464" s="478"/>
      <c r="L6464" s="473"/>
      <c r="M6464" s="473"/>
    </row>
    <row r="6465" spans="5:13">
      <c r="E6465" s="473"/>
      <c r="F6465" s="473"/>
      <c r="G6465" s="473"/>
      <c r="H6465" s="473"/>
      <c r="I6465" s="473"/>
      <c r="J6465" s="473"/>
      <c r="K6465" s="478"/>
      <c r="L6465" s="473"/>
      <c r="M6465" s="473"/>
    </row>
    <row r="6466" spans="5:13">
      <c r="E6466" s="473"/>
      <c r="F6466" s="473"/>
      <c r="G6466" s="473"/>
      <c r="H6466" s="473"/>
      <c r="I6466" s="473"/>
      <c r="J6466" s="473"/>
      <c r="K6466" s="478"/>
      <c r="L6466" s="473"/>
      <c r="M6466" s="473"/>
    </row>
    <row r="6467" spans="5:13">
      <c r="E6467" s="473"/>
      <c r="F6467" s="473"/>
      <c r="G6467" s="473"/>
      <c r="H6467" s="473"/>
      <c r="I6467" s="473"/>
      <c r="J6467" s="473"/>
      <c r="K6467" s="478"/>
      <c r="L6467" s="473"/>
      <c r="M6467" s="473"/>
    </row>
    <row r="6468" spans="5:13">
      <c r="E6468" s="473"/>
      <c r="F6468" s="473"/>
      <c r="G6468" s="473"/>
      <c r="H6468" s="473"/>
      <c r="I6468" s="473"/>
      <c r="J6468" s="473"/>
      <c r="K6468" s="478"/>
      <c r="L6468" s="473"/>
      <c r="M6468" s="473"/>
    </row>
    <row r="6469" spans="5:13">
      <c r="E6469" s="473"/>
      <c r="F6469" s="473"/>
      <c r="G6469" s="473"/>
      <c r="H6469" s="473"/>
      <c r="I6469" s="473"/>
      <c r="J6469" s="473"/>
      <c r="K6469" s="478"/>
      <c r="L6469" s="473"/>
      <c r="M6469" s="473"/>
    </row>
    <row r="6470" spans="5:13">
      <c r="E6470" s="473"/>
      <c r="F6470" s="473"/>
      <c r="G6470" s="473"/>
      <c r="H6470" s="473"/>
      <c r="I6470" s="473"/>
      <c r="J6470" s="473"/>
      <c r="K6470" s="478"/>
      <c r="L6470" s="473"/>
      <c r="M6470" s="473"/>
    </row>
    <row r="6471" spans="5:13">
      <c r="E6471" s="473"/>
      <c r="F6471" s="473"/>
      <c r="G6471" s="473"/>
      <c r="H6471" s="473"/>
      <c r="I6471" s="473"/>
      <c r="J6471" s="473"/>
      <c r="K6471" s="478"/>
      <c r="L6471" s="473"/>
      <c r="M6471" s="473"/>
    </row>
    <row r="6472" spans="5:13">
      <c r="E6472" s="473"/>
      <c r="F6472" s="473"/>
      <c r="G6472" s="473"/>
      <c r="H6472" s="473"/>
      <c r="I6472" s="473"/>
      <c r="J6472" s="473"/>
      <c r="K6472" s="478"/>
      <c r="L6472" s="473"/>
      <c r="M6472" s="473"/>
    </row>
    <row r="6473" spans="5:13">
      <c r="E6473" s="473"/>
      <c r="F6473" s="473"/>
      <c r="G6473" s="473"/>
      <c r="H6473" s="473"/>
      <c r="I6473" s="473"/>
      <c r="J6473" s="473"/>
      <c r="K6473" s="478"/>
      <c r="L6473" s="473"/>
      <c r="M6473" s="473"/>
    </row>
    <row r="6474" spans="5:13">
      <c r="E6474" s="473"/>
      <c r="F6474" s="473"/>
      <c r="G6474" s="473"/>
      <c r="H6474" s="473"/>
      <c r="I6474" s="473"/>
      <c r="J6474" s="473"/>
      <c r="K6474" s="478"/>
      <c r="L6474" s="473"/>
      <c r="M6474" s="473"/>
    </row>
    <row r="6475" spans="5:13">
      <c r="E6475" s="473"/>
      <c r="F6475" s="473"/>
      <c r="G6475" s="473"/>
      <c r="H6475" s="473"/>
      <c r="I6475" s="473"/>
      <c r="J6475" s="473"/>
      <c r="K6475" s="478"/>
      <c r="L6475" s="473"/>
      <c r="M6475" s="473"/>
    </row>
    <row r="6476" spans="5:13">
      <c r="E6476" s="473"/>
      <c r="F6476" s="473"/>
      <c r="G6476" s="473"/>
      <c r="H6476" s="473"/>
      <c r="I6476" s="473"/>
      <c r="J6476" s="473"/>
      <c r="K6476" s="478"/>
      <c r="L6476" s="473"/>
      <c r="M6476" s="473"/>
    </row>
    <row r="6477" spans="5:13">
      <c r="E6477" s="473"/>
      <c r="F6477" s="473"/>
      <c r="G6477" s="473"/>
      <c r="H6477" s="473"/>
      <c r="I6477" s="473"/>
      <c r="J6477" s="473"/>
      <c r="K6477" s="478"/>
      <c r="L6477" s="473"/>
      <c r="M6477" s="473"/>
    </row>
    <row r="6478" spans="5:13">
      <c r="E6478" s="473"/>
      <c r="F6478" s="473"/>
      <c r="G6478" s="473"/>
      <c r="H6478" s="473"/>
      <c r="I6478" s="473"/>
      <c r="J6478" s="473"/>
      <c r="K6478" s="478"/>
      <c r="L6478" s="473"/>
      <c r="M6478" s="473"/>
    </row>
    <row r="6479" spans="5:13">
      <c r="E6479" s="473"/>
      <c r="F6479" s="473"/>
      <c r="G6479" s="473"/>
      <c r="H6479" s="473"/>
      <c r="I6479" s="473"/>
      <c r="J6479" s="473"/>
      <c r="K6479" s="478"/>
      <c r="L6479" s="473"/>
      <c r="M6479" s="473"/>
    </row>
    <row r="6480" spans="5:13">
      <c r="E6480" s="473"/>
      <c r="F6480" s="473"/>
      <c r="G6480" s="473"/>
      <c r="H6480" s="473"/>
      <c r="I6480" s="473"/>
      <c r="J6480" s="473"/>
      <c r="K6480" s="478"/>
      <c r="L6480" s="473"/>
      <c r="M6480" s="473"/>
    </row>
    <row r="6481" spans="5:13">
      <c r="E6481" s="473"/>
      <c r="F6481" s="473"/>
      <c r="G6481" s="473"/>
      <c r="H6481" s="473"/>
      <c r="I6481" s="473"/>
      <c r="J6481" s="473"/>
      <c r="K6481" s="478"/>
      <c r="L6481" s="473"/>
      <c r="M6481" s="473"/>
    </row>
    <row r="6482" spans="5:13">
      <c r="E6482" s="473"/>
      <c r="F6482" s="473"/>
      <c r="G6482" s="473"/>
      <c r="H6482" s="473"/>
      <c r="I6482" s="473"/>
      <c r="J6482" s="473"/>
      <c r="K6482" s="478"/>
      <c r="L6482" s="473"/>
      <c r="M6482" s="473"/>
    </row>
    <row r="6483" spans="5:13">
      <c r="E6483" s="473"/>
      <c r="F6483" s="473"/>
      <c r="G6483" s="473"/>
      <c r="H6483" s="473"/>
      <c r="I6483" s="473"/>
      <c r="J6483" s="473"/>
      <c r="K6483" s="478"/>
      <c r="L6483" s="473"/>
      <c r="M6483" s="473"/>
    </row>
    <row r="6484" spans="5:13">
      <c r="E6484" s="473"/>
      <c r="F6484" s="473"/>
      <c r="G6484" s="473"/>
      <c r="H6484" s="473"/>
      <c r="I6484" s="473"/>
      <c r="J6484" s="473"/>
      <c r="K6484" s="478"/>
      <c r="L6484" s="473"/>
      <c r="M6484" s="473"/>
    </row>
    <row r="6485" spans="5:13">
      <c r="E6485" s="473"/>
      <c r="F6485" s="473"/>
      <c r="G6485" s="473"/>
      <c r="H6485" s="473"/>
      <c r="I6485" s="473"/>
      <c r="J6485" s="473"/>
      <c r="K6485" s="478"/>
      <c r="L6485" s="473"/>
      <c r="M6485" s="473"/>
    </row>
    <row r="6486" spans="5:13">
      <c r="E6486" s="473"/>
      <c r="F6486" s="473"/>
      <c r="G6486" s="473"/>
      <c r="H6486" s="473"/>
      <c r="I6486" s="473"/>
      <c r="J6486" s="473"/>
      <c r="K6486" s="478"/>
      <c r="L6486" s="473"/>
      <c r="M6486" s="473"/>
    </row>
    <row r="6487" spans="5:13">
      <c r="E6487" s="473"/>
      <c r="F6487" s="473"/>
      <c r="G6487" s="473"/>
      <c r="H6487" s="473"/>
      <c r="I6487" s="473"/>
      <c r="J6487" s="473"/>
      <c r="K6487" s="478"/>
      <c r="L6487" s="473"/>
      <c r="M6487" s="473"/>
    </row>
    <row r="6488" spans="5:13">
      <c r="E6488" s="473"/>
      <c r="F6488" s="473"/>
      <c r="G6488" s="473"/>
      <c r="H6488" s="473"/>
      <c r="I6488" s="473"/>
      <c r="J6488" s="473"/>
      <c r="K6488" s="478"/>
      <c r="L6488" s="473"/>
      <c r="M6488" s="473"/>
    </row>
    <row r="6489" spans="5:13">
      <c r="E6489" s="473"/>
      <c r="F6489" s="473"/>
      <c r="G6489" s="473"/>
      <c r="H6489" s="473"/>
      <c r="I6489" s="473"/>
      <c r="J6489" s="473"/>
      <c r="K6489" s="478"/>
      <c r="L6489" s="473"/>
      <c r="M6489" s="473"/>
    </row>
    <row r="6490" spans="5:13">
      <c r="E6490" s="473"/>
      <c r="F6490" s="473"/>
      <c r="G6490" s="473"/>
      <c r="H6490" s="473"/>
      <c r="I6490" s="473"/>
      <c r="J6490" s="473"/>
      <c r="K6490" s="478"/>
      <c r="L6490" s="473"/>
      <c r="M6490" s="473"/>
    </row>
    <row r="6491" spans="5:13">
      <c r="E6491" s="473"/>
      <c r="F6491" s="473"/>
      <c r="G6491" s="473"/>
      <c r="H6491" s="473"/>
      <c r="I6491" s="473"/>
      <c r="J6491" s="473"/>
      <c r="K6491" s="478"/>
      <c r="L6491" s="473"/>
      <c r="M6491" s="473"/>
    </row>
    <row r="6492" spans="5:13">
      <c r="E6492" s="473"/>
      <c r="F6492" s="473"/>
      <c r="G6492" s="473"/>
      <c r="H6492" s="473"/>
      <c r="I6492" s="473"/>
      <c r="J6492" s="473"/>
      <c r="K6492" s="478"/>
      <c r="L6492" s="473"/>
      <c r="M6492" s="473"/>
    </row>
    <row r="6493" spans="5:13">
      <c r="E6493" s="473"/>
      <c r="F6493" s="473"/>
      <c r="G6493" s="473"/>
      <c r="H6493" s="473"/>
      <c r="I6493" s="473"/>
      <c r="J6493" s="473"/>
      <c r="K6493" s="478"/>
      <c r="L6493" s="473"/>
      <c r="M6493" s="473"/>
    </row>
    <row r="6494" spans="5:13">
      <c r="E6494" s="473"/>
      <c r="F6494" s="473"/>
      <c r="G6494" s="473"/>
      <c r="H6494" s="473"/>
      <c r="I6494" s="473"/>
      <c r="J6494" s="473"/>
      <c r="K6494" s="478"/>
      <c r="L6494" s="473"/>
      <c r="M6494" s="473"/>
    </row>
    <row r="6495" spans="5:13">
      <c r="E6495" s="473"/>
      <c r="F6495" s="473"/>
      <c r="G6495" s="473"/>
      <c r="H6495" s="473"/>
      <c r="I6495" s="473"/>
      <c r="J6495" s="473"/>
      <c r="K6495" s="478"/>
      <c r="L6495" s="473"/>
      <c r="M6495" s="473"/>
    </row>
    <row r="6496" spans="5:13">
      <c r="E6496" s="473"/>
      <c r="F6496" s="473"/>
      <c r="G6496" s="473"/>
      <c r="H6496" s="473"/>
      <c r="I6496" s="473"/>
      <c r="J6496" s="473"/>
      <c r="K6496" s="478"/>
      <c r="L6496" s="473"/>
      <c r="M6496" s="473"/>
    </row>
    <row r="6497" spans="5:13">
      <c r="E6497" s="473"/>
      <c r="F6497" s="473"/>
      <c r="G6497" s="473"/>
      <c r="H6497" s="473"/>
      <c r="I6497" s="473"/>
      <c r="J6497" s="473"/>
      <c r="K6497" s="478"/>
      <c r="L6497" s="473"/>
      <c r="M6497" s="473"/>
    </row>
    <row r="6498" spans="5:13">
      <c r="E6498" s="473"/>
      <c r="F6498" s="473"/>
      <c r="G6498" s="473"/>
      <c r="H6498" s="473"/>
      <c r="I6498" s="473"/>
      <c r="J6498" s="473"/>
      <c r="K6498" s="478"/>
      <c r="L6498" s="473"/>
      <c r="M6498" s="473"/>
    </row>
    <row r="6499" spans="5:13">
      <c r="E6499" s="473"/>
      <c r="F6499" s="473"/>
      <c r="G6499" s="473"/>
      <c r="H6499" s="473"/>
      <c r="I6499" s="473"/>
      <c r="J6499" s="473"/>
      <c r="K6499" s="478"/>
      <c r="L6499" s="473"/>
      <c r="M6499" s="473"/>
    </row>
    <row r="6500" spans="5:13">
      <c r="E6500" s="473"/>
      <c r="F6500" s="473"/>
      <c r="G6500" s="473"/>
      <c r="H6500" s="473"/>
      <c r="I6500" s="473"/>
      <c r="J6500" s="473"/>
      <c r="K6500" s="478"/>
      <c r="L6500" s="473"/>
      <c r="M6500" s="473"/>
    </row>
    <row r="6501" spans="5:13">
      <c r="E6501" s="473"/>
      <c r="F6501" s="473"/>
      <c r="G6501" s="473"/>
      <c r="H6501" s="473"/>
      <c r="I6501" s="473"/>
      <c r="J6501" s="473"/>
      <c r="K6501" s="478"/>
      <c r="L6501" s="473"/>
      <c r="M6501" s="473"/>
    </row>
    <row r="6502" spans="5:13">
      <c r="E6502" s="473"/>
      <c r="F6502" s="473"/>
      <c r="G6502" s="473"/>
      <c r="H6502" s="473"/>
      <c r="I6502" s="473"/>
      <c r="J6502" s="473"/>
      <c r="K6502" s="478"/>
      <c r="L6502" s="473"/>
      <c r="M6502" s="473"/>
    </row>
    <row r="6503" spans="5:13">
      <c r="E6503" s="473"/>
      <c r="F6503" s="473"/>
      <c r="G6503" s="473"/>
      <c r="H6503" s="473"/>
      <c r="I6503" s="473"/>
      <c r="J6503" s="473"/>
      <c r="K6503" s="478"/>
      <c r="L6503" s="473"/>
      <c r="M6503" s="473"/>
    </row>
    <row r="6504" spans="5:13">
      <c r="E6504" s="473"/>
      <c r="F6504" s="473"/>
      <c r="G6504" s="473"/>
      <c r="H6504" s="473"/>
      <c r="I6504" s="473"/>
      <c r="J6504" s="473"/>
      <c r="K6504" s="478"/>
      <c r="L6504" s="473"/>
      <c r="M6504" s="473"/>
    </row>
    <row r="6505" spans="5:13">
      <c r="E6505" s="473"/>
      <c r="F6505" s="473"/>
      <c r="G6505" s="473"/>
      <c r="H6505" s="473"/>
      <c r="I6505" s="473"/>
      <c r="J6505" s="473"/>
      <c r="K6505" s="478"/>
      <c r="L6505" s="473"/>
      <c r="M6505" s="473"/>
    </row>
    <row r="6506" spans="5:13">
      <c r="E6506" s="473"/>
      <c r="F6506" s="473"/>
      <c r="G6506" s="473"/>
      <c r="H6506" s="473"/>
      <c r="I6506" s="473"/>
      <c r="J6506" s="473"/>
      <c r="K6506" s="478"/>
      <c r="L6506" s="473"/>
      <c r="M6506" s="473"/>
    </row>
    <row r="6507" spans="5:13">
      <c r="E6507" s="473"/>
      <c r="F6507" s="473"/>
      <c r="G6507" s="473"/>
      <c r="H6507" s="473"/>
      <c r="I6507" s="473"/>
      <c r="J6507" s="473"/>
      <c r="K6507" s="478"/>
      <c r="L6507" s="473"/>
      <c r="M6507" s="473"/>
    </row>
    <row r="6508" spans="5:13">
      <c r="E6508" s="473"/>
      <c r="F6508" s="473"/>
      <c r="G6508" s="473"/>
      <c r="H6508" s="473"/>
      <c r="I6508" s="473"/>
      <c r="J6508" s="473"/>
      <c r="K6508" s="478"/>
      <c r="L6508" s="473"/>
      <c r="M6508" s="473"/>
    </row>
    <row r="6509" spans="5:13">
      <c r="E6509" s="473"/>
      <c r="F6509" s="473"/>
      <c r="G6509" s="473"/>
      <c r="H6509" s="473"/>
      <c r="I6509" s="473"/>
      <c r="J6509" s="473"/>
      <c r="K6509" s="478"/>
      <c r="L6509" s="473"/>
      <c r="M6509" s="473"/>
    </row>
    <row r="6510" spans="5:13">
      <c r="E6510" s="473"/>
      <c r="F6510" s="473"/>
      <c r="G6510" s="473"/>
      <c r="H6510" s="473"/>
      <c r="I6510" s="473"/>
      <c r="J6510" s="473"/>
      <c r="K6510" s="478"/>
      <c r="L6510" s="473"/>
      <c r="M6510" s="473"/>
    </row>
    <row r="6511" spans="5:13">
      <c r="E6511" s="473"/>
      <c r="F6511" s="473"/>
      <c r="G6511" s="473"/>
      <c r="H6511" s="473"/>
      <c r="I6511" s="473"/>
      <c r="J6511" s="473"/>
      <c r="K6511" s="478"/>
      <c r="L6511" s="473"/>
      <c r="M6511" s="473"/>
    </row>
    <row r="6512" spans="5:13">
      <c r="E6512" s="473"/>
      <c r="F6512" s="473"/>
      <c r="G6512" s="473"/>
      <c r="H6512" s="473"/>
      <c r="I6512" s="473"/>
      <c r="J6512" s="473"/>
      <c r="K6512" s="478"/>
      <c r="L6512" s="473"/>
      <c r="M6512" s="473"/>
    </row>
    <row r="6513" spans="5:13">
      <c r="E6513" s="473"/>
      <c r="F6513" s="473"/>
      <c r="G6513" s="473"/>
      <c r="H6513" s="473"/>
      <c r="I6513" s="473"/>
      <c r="J6513" s="473"/>
      <c r="K6513" s="478"/>
      <c r="L6513" s="473"/>
      <c r="M6513" s="473"/>
    </row>
    <row r="6514" spans="5:13">
      <c r="E6514" s="473"/>
      <c r="F6514" s="473"/>
      <c r="G6514" s="473"/>
      <c r="H6514" s="473"/>
      <c r="I6514" s="473"/>
      <c r="J6514" s="473"/>
      <c r="K6514" s="478"/>
      <c r="L6514" s="473"/>
      <c r="M6514" s="473"/>
    </row>
    <row r="6515" spans="5:13">
      <c r="E6515" s="473"/>
      <c r="F6515" s="473"/>
      <c r="G6515" s="473"/>
      <c r="H6515" s="473"/>
      <c r="I6515" s="473"/>
      <c r="J6515" s="473"/>
      <c r="K6515" s="478"/>
      <c r="L6515" s="473"/>
      <c r="M6515" s="473"/>
    </row>
    <row r="6516" spans="5:13">
      <c r="E6516" s="473"/>
      <c r="F6516" s="473"/>
      <c r="G6516" s="473"/>
      <c r="H6516" s="473"/>
      <c r="I6516" s="473"/>
      <c r="J6516" s="473"/>
      <c r="K6516" s="478"/>
      <c r="L6516" s="473"/>
      <c r="M6516" s="473"/>
    </row>
    <row r="6517" spans="5:13">
      <c r="E6517" s="473"/>
      <c r="F6517" s="473"/>
      <c r="G6517" s="473"/>
      <c r="H6517" s="473"/>
      <c r="I6517" s="473"/>
      <c r="J6517" s="473"/>
      <c r="K6517" s="478"/>
      <c r="L6517" s="473"/>
      <c r="M6517" s="473"/>
    </row>
    <row r="6518" spans="5:13">
      <c r="E6518" s="473"/>
      <c r="F6518" s="473"/>
      <c r="G6518" s="473"/>
      <c r="H6518" s="473"/>
      <c r="I6518" s="473"/>
      <c r="J6518" s="473"/>
      <c r="K6518" s="478"/>
      <c r="L6518" s="473"/>
      <c r="M6518" s="473"/>
    </row>
    <row r="6519" spans="5:13">
      <c r="E6519" s="473"/>
      <c r="F6519" s="473"/>
      <c r="G6519" s="473"/>
      <c r="H6519" s="473"/>
      <c r="I6519" s="473"/>
      <c r="J6519" s="473"/>
      <c r="K6519" s="478"/>
      <c r="L6519" s="473"/>
      <c r="M6519" s="473"/>
    </row>
    <row r="6520" spans="5:13">
      <c r="E6520" s="473"/>
      <c r="F6520" s="473"/>
      <c r="G6520" s="473"/>
      <c r="H6520" s="473"/>
      <c r="I6520" s="473"/>
      <c r="J6520" s="473"/>
      <c r="K6520" s="478"/>
      <c r="L6520" s="473"/>
      <c r="M6520" s="473"/>
    </row>
    <row r="6521" spans="5:13">
      <c r="E6521" s="473"/>
      <c r="F6521" s="473"/>
      <c r="G6521" s="473"/>
      <c r="H6521" s="473"/>
      <c r="I6521" s="473"/>
      <c r="J6521" s="473"/>
      <c r="K6521" s="478"/>
      <c r="L6521" s="473"/>
      <c r="M6521" s="473"/>
    </row>
    <row r="6522" spans="5:13">
      <c r="E6522" s="473"/>
      <c r="F6522" s="473"/>
      <c r="G6522" s="473"/>
      <c r="H6522" s="473"/>
      <c r="I6522" s="473"/>
      <c r="J6522" s="473"/>
      <c r="K6522" s="478"/>
      <c r="L6522" s="473"/>
      <c r="M6522" s="473"/>
    </row>
    <row r="6523" spans="5:13">
      <c r="E6523" s="473"/>
      <c r="F6523" s="473"/>
      <c r="G6523" s="473"/>
      <c r="H6523" s="473"/>
      <c r="I6523" s="473"/>
      <c r="J6523" s="473"/>
      <c r="K6523" s="478"/>
      <c r="L6523" s="473"/>
      <c r="M6523" s="473"/>
    </row>
    <row r="6524" spans="5:13">
      <c r="E6524" s="473"/>
      <c r="F6524" s="473"/>
      <c r="G6524" s="473"/>
      <c r="H6524" s="473"/>
      <c r="I6524" s="473"/>
      <c r="J6524" s="473"/>
      <c r="K6524" s="478"/>
      <c r="L6524" s="473"/>
      <c r="M6524" s="473"/>
    </row>
    <row r="6525" spans="5:13">
      <c r="E6525" s="473"/>
      <c r="F6525" s="473"/>
      <c r="G6525" s="473"/>
      <c r="H6525" s="473"/>
      <c r="I6525" s="473"/>
      <c r="J6525" s="473"/>
      <c r="K6525" s="478"/>
      <c r="L6525" s="473"/>
      <c r="M6525" s="473"/>
    </row>
    <row r="6526" spans="5:13">
      <c r="E6526" s="473"/>
      <c r="F6526" s="473"/>
      <c r="G6526" s="473"/>
      <c r="H6526" s="473"/>
      <c r="I6526" s="473"/>
      <c r="J6526" s="473"/>
      <c r="K6526" s="478"/>
      <c r="L6526" s="473"/>
      <c r="M6526" s="473"/>
    </row>
    <row r="6527" spans="5:13">
      <c r="E6527" s="473"/>
      <c r="F6527" s="473"/>
      <c r="G6527" s="473"/>
      <c r="H6527" s="473"/>
      <c r="I6527" s="473"/>
      <c r="J6527" s="473"/>
      <c r="K6527" s="478"/>
      <c r="L6527" s="473"/>
      <c r="M6527" s="473"/>
    </row>
    <row r="6528" spans="5:13">
      <c r="E6528" s="473"/>
      <c r="F6528" s="473"/>
      <c r="G6528" s="473"/>
      <c r="H6528" s="473"/>
      <c r="I6528" s="473"/>
      <c r="J6528" s="473"/>
      <c r="K6528" s="478"/>
      <c r="L6528" s="473"/>
      <c r="M6528" s="473"/>
    </row>
    <row r="6529" spans="5:13">
      <c r="E6529" s="473"/>
      <c r="F6529" s="473"/>
      <c r="G6529" s="473"/>
      <c r="H6529" s="473"/>
      <c r="I6529" s="473"/>
      <c r="J6529" s="473"/>
      <c r="K6529" s="478"/>
      <c r="L6529" s="473"/>
      <c r="M6529" s="473"/>
    </row>
    <row r="6530" spans="5:13">
      <c r="E6530" s="473"/>
      <c r="F6530" s="473"/>
      <c r="G6530" s="473"/>
      <c r="H6530" s="473"/>
      <c r="I6530" s="473"/>
      <c r="J6530" s="473"/>
      <c r="K6530" s="478"/>
      <c r="L6530" s="473"/>
      <c r="M6530" s="473"/>
    </row>
    <row r="6531" spans="5:13">
      <c r="E6531" s="473"/>
      <c r="F6531" s="473"/>
      <c r="G6531" s="473"/>
      <c r="H6531" s="473"/>
      <c r="I6531" s="473"/>
      <c r="J6531" s="473"/>
      <c r="K6531" s="478"/>
      <c r="L6531" s="473"/>
      <c r="M6531" s="473"/>
    </row>
    <row r="6532" spans="5:13">
      <c r="E6532" s="473"/>
      <c r="F6532" s="473"/>
      <c r="G6532" s="473"/>
      <c r="H6532" s="473"/>
      <c r="I6532" s="473"/>
      <c r="J6532" s="473"/>
      <c r="K6532" s="478"/>
      <c r="L6532" s="473"/>
      <c r="M6532" s="473"/>
    </row>
    <row r="6533" spans="5:13">
      <c r="E6533" s="473"/>
      <c r="F6533" s="473"/>
      <c r="G6533" s="473"/>
      <c r="H6533" s="473"/>
      <c r="I6533" s="473"/>
      <c r="J6533" s="473"/>
      <c r="K6533" s="478"/>
      <c r="L6533" s="473"/>
      <c r="M6533" s="473"/>
    </row>
    <row r="6534" spans="5:13">
      <c r="E6534" s="473"/>
      <c r="F6534" s="473"/>
      <c r="G6534" s="473"/>
      <c r="H6534" s="473"/>
      <c r="I6534" s="473"/>
      <c r="J6534" s="473"/>
      <c r="K6534" s="478"/>
      <c r="L6534" s="473"/>
      <c r="M6534" s="473"/>
    </row>
    <row r="6535" spans="5:13">
      <c r="E6535" s="473"/>
      <c r="F6535" s="473"/>
      <c r="G6535" s="473"/>
      <c r="H6535" s="473"/>
      <c r="I6535" s="473"/>
      <c r="J6535" s="473"/>
      <c r="K6535" s="478"/>
      <c r="L6535" s="473"/>
      <c r="M6535" s="473"/>
    </row>
    <row r="6536" spans="5:13">
      <c r="E6536" s="473"/>
      <c r="F6536" s="473"/>
      <c r="G6536" s="473"/>
      <c r="H6536" s="473"/>
      <c r="I6536" s="473"/>
      <c r="J6536" s="473"/>
      <c r="K6536" s="478"/>
      <c r="L6536" s="473"/>
      <c r="M6536" s="473"/>
    </row>
    <row r="6537" spans="5:13">
      <c r="E6537" s="473"/>
      <c r="F6537" s="473"/>
      <c r="G6537" s="473"/>
      <c r="H6537" s="473"/>
      <c r="I6537" s="473"/>
      <c r="J6537" s="473"/>
      <c r="K6537" s="478"/>
      <c r="L6537" s="473"/>
      <c r="M6537" s="473"/>
    </row>
    <row r="6538" spans="5:13">
      <c r="E6538" s="473"/>
      <c r="F6538" s="473"/>
      <c r="G6538" s="473"/>
      <c r="H6538" s="473"/>
      <c r="I6538" s="473"/>
      <c r="J6538" s="473"/>
      <c r="K6538" s="478"/>
      <c r="L6538" s="473"/>
      <c r="M6538" s="473"/>
    </row>
    <row r="6539" spans="5:13">
      <c r="E6539" s="473"/>
      <c r="F6539" s="473"/>
      <c r="G6539" s="473"/>
      <c r="H6539" s="473"/>
      <c r="I6539" s="473"/>
      <c r="J6539" s="473"/>
      <c r="K6539" s="478"/>
      <c r="L6539" s="473"/>
      <c r="M6539" s="473"/>
    </row>
    <row r="6540" spans="5:13">
      <c r="E6540" s="473"/>
      <c r="F6540" s="473"/>
      <c r="G6540" s="473"/>
      <c r="H6540" s="473"/>
      <c r="I6540" s="473"/>
      <c r="J6540" s="473"/>
      <c r="K6540" s="478"/>
      <c r="L6540" s="473"/>
      <c r="M6540" s="473"/>
    </row>
    <row r="6541" spans="5:13">
      <c r="E6541" s="473"/>
      <c r="F6541" s="473"/>
      <c r="G6541" s="473"/>
      <c r="H6541" s="473"/>
      <c r="I6541" s="473"/>
      <c r="J6541" s="473"/>
      <c r="K6541" s="478"/>
      <c r="L6541" s="473"/>
      <c r="M6541" s="473"/>
    </row>
    <row r="6542" spans="5:13">
      <c r="E6542" s="473"/>
      <c r="F6542" s="473"/>
      <c r="G6542" s="473"/>
      <c r="H6542" s="473"/>
      <c r="I6542" s="473"/>
      <c r="J6542" s="473"/>
      <c r="K6542" s="478"/>
      <c r="L6542" s="473"/>
      <c r="M6542" s="473"/>
    </row>
    <row r="6543" spans="5:13">
      <c r="E6543" s="473"/>
      <c r="F6543" s="473"/>
      <c r="G6543" s="473"/>
      <c r="H6543" s="473"/>
      <c r="I6543" s="473"/>
      <c r="J6543" s="473"/>
      <c r="K6543" s="478"/>
      <c r="L6543" s="473"/>
      <c r="M6543" s="473"/>
    </row>
    <row r="6544" spans="5:13">
      <c r="E6544" s="473"/>
      <c r="F6544" s="473"/>
      <c r="G6544" s="473"/>
      <c r="H6544" s="473"/>
      <c r="I6544" s="473"/>
      <c r="J6544" s="473"/>
      <c r="K6544" s="478"/>
      <c r="L6544" s="473"/>
      <c r="M6544" s="473"/>
    </row>
    <row r="6545" spans="5:13">
      <c r="E6545" s="473"/>
      <c r="F6545" s="473"/>
      <c r="G6545" s="473"/>
      <c r="H6545" s="473"/>
      <c r="I6545" s="473"/>
      <c r="J6545" s="473"/>
      <c r="K6545" s="478"/>
      <c r="L6545" s="473"/>
      <c r="M6545" s="473"/>
    </row>
    <row r="6546" spans="5:13">
      <c r="E6546" s="473"/>
      <c r="F6546" s="473"/>
      <c r="G6546" s="473"/>
      <c r="H6546" s="473"/>
      <c r="I6546" s="473"/>
      <c r="J6546" s="473"/>
      <c r="K6546" s="478"/>
      <c r="L6546" s="473"/>
      <c r="M6546" s="473"/>
    </row>
    <row r="6547" spans="5:13">
      <c r="E6547" s="473"/>
      <c r="F6547" s="473"/>
      <c r="G6547" s="473"/>
      <c r="H6547" s="473"/>
      <c r="I6547" s="473"/>
      <c r="J6547" s="473"/>
      <c r="K6547" s="478"/>
      <c r="L6547" s="473"/>
      <c r="M6547" s="473"/>
    </row>
    <row r="6548" spans="5:13">
      <c r="E6548" s="473"/>
      <c r="F6548" s="473"/>
      <c r="G6548" s="473"/>
      <c r="H6548" s="473"/>
      <c r="I6548" s="473"/>
      <c r="J6548" s="473"/>
      <c r="K6548" s="478"/>
      <c r="L6548" s="473"/>
      <c r="M6548" s="473"/>
    </row>
    <row r="6549" spans="5:13">
      <c r="E6549" s="473"/>
      <c r="F6549" s="473"/>
      <c r="G6549" s="473"/>
      <c r="H6549" s="473"/>
      <c r="I6549" s="473"/>
      <c r="J6549" s="473"/>
      <c r="K6549" s="478"/>
      <c r="L6549" s="473"/>
      <c r="M6549" s="473"/>
    </row>
    <row r="6550" spans="5:13">
      <c r="E6550" s="473"/>
      <c r="F6550" s="473"/>
      <c r="G6550" s="473"/>
      <c r="H6550" s="473"/>
      <c r="I6550" s="473"/>
      <c r="J6550" s="473"/>
      <c r="K6550" s="478"/>
      <c r="L6550" s="473"/>
      <c r="M6550" s="473"/>
    </row>
    <row r="6551" spans="5:13">
      <c r="E6551" s="473"/>
      <c r="F6551" s="473"/>
      <c r="G6551" s="473"/>
      <c r="H6551" s="473"/>
      <c r="I6551" s="473"/>
      <c r="J6551" s="473"/>
      <c r="K6551" s="478"/>
      <c r="L6551" s="473"/>
      <c r="M6551" s="473"/>
    </row>
    <row r="6552" spans="5:13">
      <c r="E6552" s="473"/>
      <c r="F6552" s="473"/>
      <c r="G6552" s="473"/>
      <c r="H6552" s="473"/>
      <c r="I6552" s="473"/>
      <c r="J6552" s="473"/>
      <c r="K6552" s="478"/>
      <c r="L6552" s="473"/>
      <c r="M6552" s="473"/>
    </row>
    <row r="6553" spans="5:13">
      <c r="E6553" s="473"/>
      <c r="F6553" s="473"/>
      <c r="G6553" s="473"/>
      <c r="H6553" s="473"/>
      <c r="I6553" s="473"/>
      <c r="J6553" s="473"/>
      <c r="K6553" s="478"/>
      <c r="L6553" s="473"/>
      <c r="M6553" s="473"/>
    </row>
    <row r="6554" spans="5:13">
      <c r="E6554" s="473"/>
      <c r="F6554" s="473"/>
      <c r="G6554" s="473"/>
      <c r="H6554" s="473"/>
      <c r="I6554" s="473"/>
      <c r="J6554" s="473"/>
      <c r="K6554" s="478"/>
      <c r="L6554" s="473"/>
      <c r="M6554" s="473"/>
    </row>
    <row r="6555" spans="5:13">
      <c r="E6555" s="473"/>
      <c r="F6555" s="473"/>
      <c r="G6555" s="473"/>
      <c r="H6555" s="473"/>
      <c r="I6555" s="473"/>
      <c r="J6555" s="473"/>
      <c r="K6555" s="478"/>
      <c r="L6555" s="473"/>
      <c r="M6555" s="473"/>
    </row>
    <row r="6556" spans="5:13">
      <c r="E6556" s="473"/>
      <c r="F6556" s="473"/>
      <c r="G6556" s="473"/>
      <c r="H6556" s="473"/>
      <c r="I6556" s="473"/>
      <c r="J6556" s="473"/>
      <c r="K6556" s="478"/>
      <c r="L6556" s="473"/>
      <c r="M6556" s="473"/>
    </row>
    <row r="6557" spans="5:13">
      <c r="E6557" s="473"/>
      <c r="F6557" s="473"/>
      <c r="G6557" s="473"/>
      <c r="H6557" s="473"/>
      <c r="I6557" s="473"/>
      <c r="J6557" s="473"/>
      <c r="K6557" s="478"/>
      <c r="L6557" s="473"/>
      <c r="M6557" s="473"/>
    </row>
    <row r="6558" spans="5:13">
      <c r="E6558" s="473"/>
      <c r="F6558" s="473"/>
      <c r="G6558" s="473"/>
      <c r="H6558" s="473"/>
      <c r="I6558" s="473"/>
      <c r="J6558" s="473"/>
      <c r="K6558" s="478"/>
      <c r="L6558" s="473"/>
      <c r="M6558" s="473"/>
    </row>
    <row r="6559" spans="5:13">
      <c r="E6559" s="473"/>
      <c r="F6559" s="473"/>
      <c r="G6559" s="473"/>
      <c r="H6559" s="473"/>
      <c r="I6559" s="473"/>
      <c r="J6559" s="473"/>
      <c r="K6559" s="478"/>
      <c r="L6559" s="473"/>
      <c r="M6559" s="473"/>
    </row>
    <row r="6560" spans="5:13">
      <c r="E6560" s="473"/>
      <c r="F6560" s="473"/>
      <c r="G6560" s="473"/>
      <c r="H6560" s="473"/>
      <c r="I6560" s="473"/>
      <c r="J6560" s="473"/>
      <c r="K6560" s="478"/>
      <c r="L6560" s="473"/>
      <c r="M6560" s="473"/>
    </row>
    <row r="6561" spans="5:13">
      <c r="E6561" s="473"/>
      <c r="F6561" s="473"/>
      <c r="G6561" s="473"/>
      <c r="H6561" s="473"/>
      <c r="I6561" s="473"/>
      <c r="J6561" s="473"/>
      <c r="K6561" s="478"/>
      <c r="L6561" s="473"/>
      <c r="M6561" s="473"/>
    </row>
    <row r="6562" spans="5:13">
      <c r="E6562" s="473"/>
      <c r="F6562" s="473"/>
      <c r="G6562" s="473"/>
      <c r="H6562" s="473"/>
      <c r="I6562" s="473"/>
      <c r="J6562" s="473"/>
      <c r="K6562" s="478"/>
      <c r="L6562" s="473"/>
      <c r="M6562" s="473"/>
    </row>
    <row r="6563" spans="5:13">
      <c r="E6563" s="473"/>
      <c r="F6563" s="473"/>
      <c r="G6563" s="473"/>
      <c r="H6563" s="473"/>
      <c r="I6563" s="473"/>
      <c r="J6563" s="473"/>
      <c r="K6563" s="478"/>
      <c r="L6563" s="473"/>
      <c r="M6563" s="473"/>
    </row>
    <row r="6564" spans="5:13">
      <c r="E6564" s="473"/>
      <c r="F6564" s="473"/>
      <c r="G6564" s="473"/>
      <c r="H6564" s="473"/>
      <c r="I6564" s="473"/>
      <c r="J6564" s="473"/>
      <c r="K6564" s="478"/>
      <c r="L6564" s="473"/>
      <c r="M6564" s="473"/>
    </row>
    <row r="6565" spans="5:13">
      <c r="E6565" s="473"/>
      <c r="F6565" s="473"/>
      <c r="G6565" s="473"/>
      <c r="H6565" s="473"/>
      <c r="I6565" s="473"/>
      <c r="J6565" s="473"/>
      <c r="K6565" s="478"/>
      <c r="L6565" s="473"/>
      <c r="M6565" s="473"/>
    </row>
    <row r="6566" spans="5:13">
      <c r="E6566" s="473"/>
      <c r="F6566" s="473"/>
      <c r="G6566" s="473"/>
      <c r="H6566" s="473"/>
      <c r="I6566" s="473"/>
      <c r="J6566" s="473"/>
      <c r="K6566" s="478"/>
      <c r="L6566" s="473"/>
      <c r="M6566" s="473"/>
    </row>
    <row r="6567" spans="5:13">
      <c r="E6567" s="473"/>
      <c r="F6567" s="473"/>
      <c r="G6567" s="473"/>
      <c r="H6567" s="473"/>
      <c r="I6567" s="473"/>
      <c r="J6567" s="473"/>
      <c r="K6567" s="478"/>
      <c r="L6567" s="473"/>
      <c r="M6567" s="473"/>
    </row>
    <row r="6568" spans="5:13">
      <c r="E6568" s="473"/>
      <c r="F6568" s="473"/>
      <c r="G6568" s="473"/>
      <c r="H6568" s="473"/>
      <c r="I6568" s="473"/>
      <c r="J6568" s="473"/>
      <c r="K6568" s="478"/>
      <c r="L6568" s="473"/>
      <c r="M6568" s="473"/>
    </row>
    <row r="6569" spans="5:13">
      <c r="E6569" s="473"/>
      <c r="F6569" s="473"/>
      <c r="G6569" s="473"/>
      <c r="H6569" s="473"/>
      <c r="I6569" s="473"/>
      <c r="J6569" s="473"/>
      <c r="K6569" s="478"/>
      <c r="L6569" s="473"/>
      <c r="M6569" s="473"/>
    </row>
    <row r="6570" spans="5:13">
      <c r="E6570" s="473"/>
      <c r="F6570" s="473"/>
      <c r="G6570" s="473"/>
      <c r="H6570" s="473"/>
      <c r="I6570" s="473"/>
      <c r="J6570" s="473"/>
      <c r="K6570" s="478"/>
      <c r="L6570" s="473"/>
      <c r="M6570" s="473"/>
    </row>
    <row r="6571" spans="5:13">
      <c r="E6571" s="473"/>
      <c r="F6571" s="473"/>
      <c r="G6571" s="473"/>
      <c r="H6571" s="473"/>
      <c r="I6571" s="473"/>
      <c r="J6571" s="473"/>
      <c r="K6571" s="478"/>
      <c r="L6571" s="473"/>
      <c r="M6571" s="473"/>
    </row>
    <row r="6572" spans="5:13">
      <c r="E6572" s="473"/>
      <c r="F6572" s="473"/>
      <c r="G6572" s="473"/>
      <c r="H6572" s="473"/>
      <c r="I6572" s="473"/>
      <c r="J6572" s="473"/>
      <c r="K6572" s="478"/>
      <c r="L6572" s="473"/>
      <c r="M6572" s="473"/>
    </row>
    <row r="6573" spans="5:13">
      <c r="E6573" s="473"/>
      <c r="F6573" s="473"/>
      <c r="G6573" s="473"/>
      <c r="H6573" s="473"/>
      <c r="I6573" s="473"/>
      <c r="J6573" s="473"/>
      <c r="K6573" s="478"/>
      <c r="L6573" s="473"/>
      <c r="M6573" s="473"/>
    </row>
    <row r="6574" spans="5:13">
      <c r="E6574" s="473"/>
      <c r="F6574" s="473"/>
      <c r="G6574" s="473"/>
      <c r="H6574" s="473"/>
      <c r="I6574" s="473"/>
      <c r="J6574" s="473"/>
      <c r="K6574" s="478"/>
      <c r="L6574" s="473"/>
      <c r="M6574" s="473"/>
    </row>
    <row r="6575" spans="5:13">
      <c r="E6575" s="473"/>
      <c r="F6575" s="473"/>
      <c r="G6575" s="473"/>
      <c r="H6575" s="473"/>
      <c r="I6575" s="473"/>
      <c r="J6575" s="473"/>
      <c r="K6575" s="478"/>
      <c r="L6575" s="473"/>
      <c r="M6575" s="473"/>
    </row>
    <row r="6576" spans="5:13">
      <c r="E6576" s="473"/>
      <c r="F6576" s="473"/>
      <c r="G6576" s="473"/>
      <c r="H6576" s="473"/>
      <c r="I6576" s="473"/>
      <c r="J6576" s="473"/>
      <c r="K6576" s="478"/>
      <c r="L6576" s="473"/>
      <c r="M6576" s="473"/>
    </row>
    <row r="6577" spans="5:13">
      <c r="E6577" s="473"/>
      <c r="F6577" s="473"/>
      <c r="G6577" s="473"/>
      <c r="H6577" s="473"/>
      <c r="I6577" s="473"/>
      <c r="J6577" s="473"/>
      <c r="K6577" s="478"/>
      <c r="L6577" s="473"/>
      <c r="M6577" s="473"/>
    </row>
    <row r="6578" spans="5:13">
      <c r="E6578" s="473"/>
      <c r="F6578" s="473"/>
      <c r="G6578" s="473"/>
      <c r="H6578" s="473"/>
      <c r="I6578" s="473"/>
      <c r="J6578" s="473"/>
      <c r="K6578" s="478"/>
      <c r="L6578" s="473"/>
      <c r="M6578" s="473"/>
    </row>
    <row r="6579" spans="5:13">
      <c r="E6579" s="473"/>
      <c r="F6579" s="473"/>
      <c r="G6579" s="473"/>
      <c r="H6579" s="473"/>
      <c r="I6579" s="473"/>
      <c r="J6579" s="473"/>
      <c r="K6579" s="478"/>
      <c r="L6579" s="473"/>
      <c r="M6579" s="473"/>
    </row>
    <row r="6580" spans="5:13">
      <c r="E6580" s="473"/>
      <c r="F6580" s="473"/>
      <c r="G6580" s="473"/>
      <c r="H6580" s="473"/>
      <c r="I6580" s="473"/>
      <c r="J6580" s="473"/>
      <c r="K6580" s="478"/>
      <c r="L6580" s="473"/>
      <c r="M6580" s="473"/>
    </row>
    <row r="6581" spans="5:13">
      <c r="E6581" s="473"/>
      <c r="F6581" s="473"/>
      <c r="G6581" s="473"/>
      <c r="H6581" s="473"/>
      <c r="I6581" s="473"/>
      <c r="J6581" s="473"/>
      <c r="K6581" s="478"/>
      <c r="L6581" s="473"/>
      <c r="M6581" s="473"/>
    </row>
    <row r="6582" spans="5:13">
      <c r="E6582" s="473"/>
      <c r="F6582" s="473"/>
      <c r="G6582" s="473"/>
      <c r="H6582" s="473"/>
      <c r="I6582" s="473"/>
      <c r="J6582" s="473"/>
      <c r="K6582" s="478"/>
      <c r="L6582" s="473"/>
      <c r="M6582" s="473"/>
    </row>
    <row r="6583" spans="5:13">
      <c r="E6583" s="473"/>
      <c r="F6583" s="473"/>
      <c r="G6583" s="473"/>
      <c r="H6583" s="473"/>
      <c r="I6583" s="473"/>
      <c r="J6583" s="473"/>
      <c r="K6583" s="478"/>
      <c r="L6583" s="473"/>
      <c r="M6583" s="473"/>
    </row>
    <row r="6584" spans="5:13">
      <c r="E6584" s="473"/>
      <c r="F6584" s="473"/>
      <c r="G6584" s="473"/>
      <c r="H6584" s="473"/>
      <c r="I6584" s="473"/>
      <c r="J6584" s="473"/>
      <c r="K6584" s="478"/>
      <c r="L6584" s="473"/>
      <c r="M6584" s="473"/>
    </row>
    <row r="6585" spans="5:13">
      <c r="E6585" s="473"/>
      <c r="F6585" s="473"/>
      <c r="G6585" s="473"/>
      <c r="H6585" s="473"/>
      <c r="I6585" s="473"/>
      <c r="J6585" s="473"/>
      <c r="K6585" s="478"/>
      <c r="L6585" s="473"/>
      <c r="M6585" s="473"/>
    </row>
    <row r="6586" spans="5:13">
      <c r="E6586" s="473"/>
      <c r="F6586" s="473"/>
      <c r="G6586" s="473"/>
      <c r="H6586" s="473"/>
      <c r="I6586" s="473"/>
      <c r="J6586" s="473"/>
      <c r="K6586" s="478"/>
      <c r="L6586" s="473"/>
      <c r="M6586" s="473"/>
    </row>
    <row r="6587" spans="5:13">
      <c r="E6587" s="473"/>
      <c r="F6587" s="473"/>
      <c r="G6587" s="473"/>
      <c r="H6587" s="473"/>
      <c r="I6587" s="473"/>
      <c r="J6587" s="473"/>
      <c r="K6587" s="478"/>
      <c r="L6587" s="473"/>
      <c r="M6587" s="473"/>
    </row>
    <row r="6588" spans="5:13">
      <c r="E6588" s="473"/>
      <c r="F6588" s="473"/>
      <c r="G6588" s="473"/>
      <c r="H6588" s="473"/>
      <c r="I6588" s="473"/>
      <c r="J6588" s="473"/>
      <c r="K6588" s="478"/>
      <c r="L6588" s="473"/>
      <c r="M6588" s="473"/>
    </row>
    <row r="6589" spans="5:13">
      <c r="E6589" s="473"/>
      <c r="F6589" s="473"/>
      <c r="G6589" s="473"/>
      <c r="H6589" s="473"/>
      <c r="I6589" s="473"/>
      <c r="J6589" s="473"/>
      <c r="K6589" s="478"/>
      <c r="L6589" s="473"/>
      <c r="M6589" s="473"/>
    </row>
    <row r="6590" spans="5:13">
      <c r="E6590" s="473"/>
      <c r="F6590" s="473"/>
      <c r="G6590" s="473"/>
      <c r="H6590" s="473"/>
      <c r="I6590" s="473"/>
      <c r="J6590" s="473"/>
      <c r="K6590" s="478"/>
      <c r="L6590" s="473"/>
      <c r="M6590" s="473"/>
    </row>
    <row r="6591" spans="5:13">
      <c r="E6591" s="473"/>
      <c r="F6591" s="473"/>
      <c r="G6591" s="473"/>
      <c r="H6591" s="473"/>
      <c r="I6591" s="473"/>
      <c r="J6591" s="473"/>
      <c r="K6591" s="478"/>
      <c r="L6591" s="473"/>
      <c r="M6591" s="473"/>
    </row>
    <row r="6592" spans="5:13">
      <c r="E6592" s="473"/>
      <c r="F6592" s="473"/>
      <c r="G6592" s="473"/>
      <c r="H6592" s="473"/>
      <c r="I6592" s="473"/>
      <c r="J6592" s="473"/>
      <c r="K6592" s="478"/>
      <c r="L6592" s="473"/>
      <c r="M6592" s="473"/>
    </row>
    <row r="6593" spans="5:13">
      <c r="E6593" s="473"/>
      <c r="F6593" s="473"/>
      <c r="G6593" s="473"/>
      <c r="H6593" s="473"/>
      <c r="I6593" s="473"/>
      <c r="J6593" s="473"/>
      <c r="K6593" s="478"/>
      <c r="L6593" s="473"/>
      <c r="M6593" s="473"/>
    </row>
    <row r="6594" spans="5:13">
      <c r="E6594" s="473"/>
      <c r="F6594" s="473"/>
      <c r="G6594" s="473"/>
      <c r="H6594" s="473"/>
      <c r="I6594" s="473"/>
      <c r="J6594" s="473"/>
      <c r="K6594" s="478"/>
      <c r="L6594" s="473"/>
      <c r="M6594" s="473"/>
    </row>
    <row r="6595" spans="5:13">
      <c r="E6595" s="473"/>
      <c r="F6595" s="473"/>
      <c r="G6595" s="473"/>
      <c r="H6595" s="473"/>
      <c r="I6595" s="473"/>
      <c r="J6595" s="473"/>
      <c r="K6595" s="478"/>
      <c r="L6595" s="473"/>
      <c r="M6595" s="473"/>
    </row>
    <row r="6596" spans="5:13">
      <c r="E6596" s="473"/>
      <c r="F6596" s="473"/>
      <c r="G6596" s="473"/>
      <c r="H6596" s="473"/>
      <c r="I6596" s="473"/>
      <c r="J6596" s="473"/>
      <c r="K6596" s="478"/>
      <c r="L6596" s="473"/>
      <c r="M6596" s="473"/>
    </row>
    <row r="6597" spans="5:13">
      <c r="E6597" s="473"/>
      <c r="F6597" s="473"/>
      <c r="G6597" s="473"/>
      <c r="H6597" s="473"/>
      <c r="I6597" s="473"/>
      <c r="J6597" s="473"/>
      <c r="K6597" s="478"/>
      <c r="L6597" s="473"/>
      <c r="M6597" s="473"/>
    </row>
    <row r="6598" spans="5:13">
      <c r="E6598" s="473"/>
      <c r="F6598" s="473"/>
      <c r="G6598" s="473"/>
      <c r="H6598" s="473"/>
      <c r="I6598" s="473"/>
      <c r="J6598" s="473"/>
      <c r="K6598" s="478"/>
      <c r="L6598" s="473"/>
      <c r="M6598" s="473"/>
    </row>
    <row r="6599" spans="5:13">
      <c r="E6599" s="473"/>
      <c r="F6599" s="473"/>
      <c r="G6599" s="473"/>
      <c r="H6599" s="473"/>
      <c r="I6599" s="473"/>
      <c r="J6599" s="473"/>
      <c r="K6599" s="478"/>
      <c r="L6599" s="473"/>
      <c r="M6599" s="473"/>
    </row>
    <row r="6600" spans="5:13">
      <c r="E6600" s="473"/>
      <c r="F6600" s="473"/>
      <c r="G6600" s="473"/>
      <c r="H6600" s="473"/>
      <c r="I6600" s="473"/>
      <c r="J6600" s="473"/>
      <c r="K6600" s="478"/>
      <c r="L6600" s="473"/>
      <c r="M6600" s="473"/>
    </row>
    <row r="6601" spans="5:13">
      <c r="E6601" s="473"/>
      <c r="F6601" s="473"/>
      <c r="G6601" s="473"/>
      <c r="H6601" s="473"/>
      <c r="I6601" s="473"/>
      <c r="J6601" s="473"/>
      <c r="K6601" s="478"/>
      <c r="L6601" s="473"/>
      <c r="M6601" s="473"/>
    </row>
    <row r="6602" spans="5:13">
      <c r="E6602" s="473"/>
      <c r="F6602" s="473"/>
      <c r="G6602" s="473"/>
      <c r="H6602" s="473"/>
      <c r="I6602" s="473"/>
      <c r="J6602" s="473"/>
      <c r="K6602" s="478"/>
      <c r="L6602" s="473"/>
      <c r="M6602" s="473"/>
    </row>
    <row r="6603" spans="5:13">
      <c r="E6603" s="473"/>
      <c r="F6603" s="473"/>
      <c r="G6603" s="473"/>
      <c r="H6603" s="473"/>
      <c r="I6603" s="473"/>
      <c r="J6603" s="473"/>
      <c r="K6603" s="478"/>
      <c r="L6603" s="473"/>
      <c r="M6603" s="473"/>
    </row>
    <row r="6604" spans="5:13">
      <c r="E6604" s="473"/>
      <c r="F6604" s="473"/>
      <c r="G6604" s="473"/>
      <c r="H6604" s="473"/>
      <c r="I6604" s="473"/>
      <c r="J6604" s="473"/>
      <c r="K6604" s="478"/>
      <c r="L6604" s="473"/>
      <c r="M6604" s="473"/>
    </row>
    <row r="6605" spans="5:13">
      <c r="E6605" s="473"/>
      <c r="F6605" s="473"/>
      <c r="G6605" s="473"/>
      <c r="H6605" s="473"/>
      <c r="I6605" s="473"/>
      <c r="J6605" s="473"/>
      <c r="K6605" s="478"/>
      <c r="L6605" s="473"/>
      <c r="M6605" s="473"/>
    </row>
    <row r="6606" spans="5:13">
      <c r="E6606" s="473"/>
      <c r="F6606" s="473"/>
      <c r="G6606" s="473"/>
      <c r="H6606" s="473"/>
      <c r="I6606" s="473"/>
      <c r="J6606" s="473"/>
      <c r="K6606" s="478"/>
      <c r="L6606" s="473"/>
      <c r="M6606" s="473"/>
    </row>
    <row r="6607" spans="5:13">
      <c r="E6607" s="473"/>
      <c r="F6607" s="473"/>
      <c r="G6607" s="473"/>
      <c r="H6607" s="473"/>
      <c r="I6607" s="473"/>
      <c r="J6607" s="473"/>
      <c r="K6607" s="478"/>
      <c r="L6607" s="473"/>
      <c r="M6607" s="473"/>
    </row>
    <row r="6608" spans="5:13">
      <c r="E6608" s="473"/>
      <c r="F6608" s="473"/>
      <c r="G6608" s="473"/>
      <c r="H6608" s="473"/>
      <c r="I6608" s="473"/>
      <c r="J6608" s="473"/>
      <c r="K6608" s="478"/>
      <c r="L6608" s="473"/>
      <c r="M6608" s="473"/>
    </row>
    <row r="6609" spans="5:13">
      <c r="E6609" s="473"/>
      <c r="F6609" s="473"/>
      <c r="G6609" s="473"/>
      <c r="H6609" s="473"/>
      <c r="I6609" s="473"/>
      <c r="J6609" s="473"/>
      <c r="K6609" s="478"/>
      <c r="L6609" s="473"/>
      <c r="M6609" s="473"/>
    </row>
    <row r="6610" spans="5:13">
      <c r="E6610" s="473"/>
      <c r="F6610" s="473"/>
      <c r="G6610" s="473"/>
      <c r="H6610" s="473"/>
      <c r="I6610" s="473"/>
      <c r="J6610" s="473"/>
      <c r="K6610" s="478"/>
      <c r="L6610" s="473"/>
      <c r="M6610" s="473"/>
    </row>
    <row r="6611" spans="5:13">
      <c r="E6611" s="473"/>
      <c r="F6611" s="473"/>
      <c r="G6611" s="473"/>
      <c r="H6611" s="473"/>
      <c r="I6611" s="473"/>
      <c r="J6611" s="473"/>
      <c r="K6611" s="478"/>
      <c r="L6611" s="473"/>
      <c r="M6611" s="473"/>
    </row>
    <row r="6612" spans="5:13">
      <c r="E6612" s="473"/>
      <c r="F6612" s="473"/>
      <c r="G6612" s="473"/>
      <c r="H6612" s="473"/>
      <c r="I6612" s="473"/>
      <c r="J6612" s="473"/>
      <c r="K6612" s="478"/>
      <c r="L6612" s="473"/>
      <c r="M6612" s="473"/>
    </row>
    <row r="6613" spans="5:13">
      <c r="E6613" s="473"/>
      <c r="F6613" s="473"/>
      <c r="G6613" s="473"/>
      <c r="H6613" s="473"/>
      <c r="I6613" s="473"/>
      <c r="J6613" s="473"/>
      <c r="K6613" s="478"/>
      <c r="L6613" s="473"/>
      <c r="M6613" s="473"/>
    </row>
    <row r="6614" spans="5:13">
      <c r="E6614" s="473"/>
      <c r="F6614" s="473"/>
      <c r="G6614" s="473"/>
      <c r="H6614" s="473"/>
      <c r="I6614" s="473"/>
      <c r="J6614" s="473"/>
      <c r="K6614" s="478"/>
      <c r="L6614" s="473"/>
      <c r="M6614" s="473"/>
    </row>
    <row r="6615" spans="5:13">
      <c r="E6615" s="473"/>
      <c r="F6615" s="473"/>
      <c r="G6615" s="473"/>
      <c r="H6615" s="473"/>
      <c r="I6615" s="473"/>
      <c r="J6615" s="473"/>
      <c r="K6615" s="478"/>
      <c r="L6615" s="473"/>
      <c r="M6615" s="473"/>
    </row>
    <row r="6616" spans="5:13">
      <c r="E6616" s="473"/>
      <c r="F6616" s="473"/>
      <c r="G6616" s="473"/>
      <c r="H6616" s="473"/>
      <c r="I6616" s="473"/>
      <c r="J6616" s="473"/>
      <c r="K6616" s="478"/>
      <c r="L6616" s="473"/>
      <c r="M6616" s="473"/>
    </row>
    <row r="6617" spans="5:13">
      <c r="E6617" s="473"/>
      <c r="F6617" s="473"/>
      <c r="G6617" s="473"/>
      <c r="H6617" s="473"/>
      <c r="I6617" s="473"/>
      <c r="J6617" s="473"/>
      <c r="K6617" s="478"/>
      <c r="L6617" s="473"/>
      <c r="M6617" s="473"/>
    </row>
    <row r="6618" spans="5:13">
      <c r="E6618" s="473"/>
      <c r="F6618" s="473"/>
      <c r="G6618" s="473"/>
      <c r="H6618" s="473"/>
      <c r="I6618" s="473"/>
      <c r="J6618" s="473"/>
      <c r="K6618" s="478"/>
      <c r="L6618" s="473"/>
      <c r="M6618" s="473"/>
    </row>
    <row r="6619" spans="5:13">
      <c r="E6619" s="473"/>
      <c r="F6619" s="473"/>
      <c r="G6619" s="473"/>
      <c r="H6619" s="473"/>
      <c r="I6619" s="473"/>
      <c r="J6619" s="473"/>
      <c r="K6619" s="478"/>
      <c r="L6619" s="473"/>
      <c r="M6619" s="473"/>
    </row>
    <row r="6620" spans="5:13">
      <c r="E6620" s="473"/>
      <c r="F6620" s="473"/>
      <c r="G6620" s="473"/>
      <c r="H6620" s="473"/>
      <c r="I6620" s="473"/>
      <c r="J6620" s="473"/>
      <c r="K6620" s="478"/>
      <c r="L6620" s="473"/>
      <c r="M6620" s="473"/>
    </row>
    <row r="6621" spans="5:13">
      <c r="E6621" s="473"/>
      <c r="F6621" s="473"/>
      <c r="G6621" s="473"/>
      <c r="H6621" s="473"/>
      <c r="I6621" s="473"/>
      <c r="J6621" s="473"/>
      <c r="K6621" s="478"/>
      <c r="L6621" s="473"/>
      <c r="M6621" s="473"/>
    </row>
    <row r="6622" spans="5:13">
      <c r="E6622" s="473"/>
      <c r="F6622" s="473"/>
      <c r="G6622" s="473"/>
      <c r="H6622" s="473"/>
      <c r="I6622" s="473"/>
      <c r="J6622" s="473"/>
      <c r="K6622" s="478"/>
      <c r="L6622" s="473"/>
      <c r="M6622" s="473"/>
    </row>
    <row r="6623" spans="5:13">
      <c r="E6623" s="473"/>
      <c r="F6623" s="473"/>
      <c r="G6623" s="473"/>
      <c r="H6623" s="473"/>
      <c r="I6623" s="473"/>
      <c r="J6623" s="473"/>
      <c r="K6623" s="478"/>
      <c r="L6623" s="473"/>
      <c r="M6623" s="473"/>
    </row>
    <row r="6624" spans="5:13">
      <c r="E6624" s="473"/>
      <c r="F6624" s="473"/>
      <c r="G6624" s="473"/>
      <c r="H6624" s="473"/>
      <c r="I6624" s="473"/>
      <c r="J6624" s="473"/>
      <c r="K6624" s="478"/>
      <c r="L6624" s="473"/>
      <c r="M6624" s="473"/>
    </row>
    <row r="6625" spans="5:13">
      <c r="E6625" s="473"/>
      <c r="F6625" s="473"/>
      <c r="G6625" s="473"/>
      <c r="H6625" s="473"/>
      <c r="I6625" s="473"/>
      <c r="J6625" s="473"/>
      <c r="K6625" s="478"/>
      <c r="L6625" s="473"/>
      <c r="M6625" s="473"/>
    </row>
    <row r="6626" spans="5:13">
      <c r="E6626" s="473"/>
      <c r="F6626" s="473"/>
      <c r="G6626" s="473"/>
      <c r="H6626" s="473"/>
      <c r="I6626" s="473"/>
      <c r="J6626" s="473"/>
      <c r="K6626" s="478"/>
      <c r="L6626" s="473"/>
      <c r="M6626" s="473"/>
    </row>
    <row r="6627" spans="5:13">
      <c r="E6627" s="473"/>
      <c r="F6627" s="473"/>
      <c r="G6627" s="473"/>
      <c r="H6627" s="473"/>
      <c r="I6627" s="473"/>
      <c r="J6627" s="473"/>
      <c r="K6627" s="478"/>
      <c r="L6627" s="473"/>
      <c r="M6627" s="473"/>
    </row>
    <row r="6628" spans="5:13">
      <c r="E6628" s="473"/>
      <c r="F6628" s="473"/>
      <c r="G6628" s="473"/>
      <c r="H6628" s="473"/>
      <c r="I6628" s="473"/>
      <c r="J6628" s="473"/>
      <c r="K6628" s="478"/>
      <c r="L6628" s="473"/>
      <c r="M6628" s="473"/>
    </row>
    <row r="6629" spans="5:13">
      <c r="E6629" s="473"/>
      <c r="F6629" s="473"/>
      <c r="G6629" s="473"/>
      <c r="H6629" s="473"/>
      <c r="I6629" s="473"/>
      <c r="J6629" s="473"/>
      <c r="K6629" s="478"/>
      <c r="L6629" s="473"/>
      <c r="M6629" s="473"/>
    </row>
    <row r="6630" spans="5:13">
      <c r="E6630" s="473"/>
      <c r="F6630" s="473"/>
      <c r="G6630" s="473"/>
      <c r="H6630" s="473"/>
      <c r="I6630" s="473"/>
      <c r="J6630" s="473"/>
      <c r="K6630" s="478"/>
      <c r="L6630" s="473"/>
      <c r="M6630" s="473"/>
    </row>
    <row r="6631" spans="5:13">
      <c r="E6631" s="473"/>
      <c r="F6631" s="473"/>
      <c r="G6631" s="473"/>
      <c r="H6631" s="473"/>
      <c r="I6631" s="473"/>
      <c r="J6631" s="473"/>
      <c r="K6631" s="478"/>
      <c r="L6631" s="473"/>
      <c r="M6631" s="473"/>
    </row>
    <row r="6632" spans="5:13">
      <c r="E6632" s="473"/>
      <c r="F6632" s="473"/>
      <c r="G6632" s="473"/>
      <c r="H6632" s="473"/>
      <c r="I6632" s="473"/>
      <c r="J6632" s="473"/>
      <c r="K6632" s="478"/>
      <c r="L6632" s="473"/>
      <c r="M6632" s="473"/>
    </row>
    <row r="6633" spans="5:13">
      <c r="E6633" s="473"/>
      <c r="F6633" s="473"/>
      <c r="G6633" s="473"/>
      <c r="H6633" s="473"/>
      <c r="I6633" s="473"/>
      <c r="J6633" s="473"/>
      <c r="K6633" s="478"/>
      <c r="L6633" s="473"/>
      <c r="M6633" s="473"/>
    </row>
    <row r="6634" spans="5:13">
      <c r="E6634" s="473"/>
      <c r="F6634" s="473"/>
      <c r="G6634" s="473"/>
      <c r="H6634" s="473"/>
      <c r="I6634" s="473"/>
      <c r="J6634" s="473"/>
      <c r="K6634" s="478"/>
      <c r="L6634" s="473"/>
      <c r="M6634" s="473"/>
    </row>
    <row r="6635" spans="5:13">
      <c r="E6635" s="473"/>
      <c r="F6635" s="473"/>
      <c r="G6635" s="473"/>
      <c r="H6635" s="473"/>
      <c r="I6635" s="473"/>
      <c r="J6635" s="473"/>
      <c r="K6635" s="478"/>
      <c r="L6635" s="473"/>
      <c r="M6635" s="473"/>
    </row>
    <row r="6636" spans="5:13">
      <c r="E6636" s="473"/>
      <c r="F6636" s="473"/>
      <c r="G6636" s="473"/>
      <c r="H6636" s="473"/>
      <c r="I6636" s="473"/>
      <c r="J6636" s="473"/>
      <c r="K6636" s="478"/>
      <c r="L6636" s="473"/>
      <c r="M6636" s="473"/>
    </row>
    <row r="6637" spans="5:13">
      <c r="E6637" s="473"/>
      <c r="F6637" s="473"/>
      <c r="G6637" s="473"/>
      <c r="H6637" s="473"/>
      <c r="I6637" s="473"/>
      <c r="J6637" s="473"/>
      <c r="K6637" s="478"/>
      <c r="L6637" s="473"/>
      <c r="M6637" s="473"/>
    </row>
    <row r="6638" spans="5:13">
      <c r="E6638" s="473"/>
      <c r="F6638" s="473"/>
      <c r="G6638" s="473"/>
      <c r="H6638" s="473"/>
      <c r="I6638" s="473"/>
      <c r="J6638" s="473"/>
      <c r="K6638" s="478"/>
      <c r="L6638" s="473"/>
      <c r="M6638" s="473"/>
    </row>
    <row r="6639" spans="5:13">
      <c r="E6639" s="473"/>
      <c r="F6639" s="473"/>
      <c r="G6639" s="473"/>
      <c r="H6639" s="473"/>
      <c r="I6639" s="473"/>
      <c r="J6639" s="473"/>
      <c r="K6639" s="478"/>
      <c r="L6639" s="473"/>
      <c r="M6639" s="473"/>
    </row>
    <row r="6640" spans="5:13">
      <c r="E6640" s="473"/>
      <c r="F6640" s="473"/>
      <c r="G6640" s="473"/>
      <c r="H6640" s="473"/>
      <c r="I6640" s="473"/>
      <c r="J6640" s="473"/>
      <c r="K6640" s="478"/>
      <c r="L6640" s="473"/>
      <c r="M6640" s="473"/>
    </row>
    <row r="6641" spans="5:13">
      <c r="E6641" s="473"/>
      <c r="F6641" s="473"/>
      <c r="G6641" s="473"/>
      <c r="H6641" s="473"/>
      <c r="I6641" s="473"/>
      <c r="J6641" s="473"/>
      <c r="K6641" s="478"/>
      <c r="L6641" s="473"/>
      <c r="M6641" s="473"/>
    </row>
    <row r="6642" spans="5:13">
      <c r="E6642" s="473"/>
      <c r="F6642" s="473"/>
      <c r="G6642" s="473"/>
      <c r="H6642" s="473"/>
      <c r="I6642" s="473"/>
      <c r="J6642" s="473"/>
      <c r="K6642" s="478"/>
      <c r="L6642" s="473"/>
      <c r="M6642" s="473"/>
    </row>
    <row r="6643" spans="5:13">
      <c r="E6643" s="473"/>
      <c r="F6643" s="473"/>
      <c r="G6643" s="473"/>
      <c r="H6643" s="473"/>
      <c r="I6643" s="473"/>
      <c r="J6643" s="473"/>
      <c r="K6643" s="478"/>
      <c r="L6643" s="473"/>
      <c r="M6643" s="473"/>
    </row>
    <row r="6644" spans="5:13">
      <c r="E6644" s="473"/>
      <c r="F6644" s="473"/>
      <c r="G6644" s="473"/>
      <c r="H6644" s="473"/>
      <c r="I6644" s="473"/>
      <c r="J6644" s="473"/>
      <c r="K6644" s="478"/>
      <c r="L6644" s="473"/>
      <c r="M6644" s="473"/>
    </row>
    <row r="6645" spans="5:13">
      <c r="E6645" s="473"/>
      <c r="F6645" s="473"/>
      <c r="G6645" s="473"/>
      <c r="H6645" s="473"/>
      <c r="I6645" s="473"/>
      <c r="J6645" s="473"/>
      <c r="K6645" s="478"/>
      <c r="L6645" s="473"/>
      <c r="M6645" s="473"/>
    </row>
    <row r="6646" spans="5:13">
      <c r="E6646" s="473"/>
      <c r="F6646" s="473"/>
      <c r="G6646" s="473"/>
      <c r="H6646" s="473"/>
      <c r="I6646" s="473"/>
      <c r="J6646" s="473"/>
      <c r="K6646" s="478"/>
      <c r="L6646" s="473"/>
      <c r="M6646" s="473"/>
    </row>
    <row r="6647" spans="5:13">
      <c r="E6647" s="473"/>
      <c r="F6647" s="473"/>
      <c r="G6647" s="473"/>
      <c r="H6647" s="473"/>
      <c r="I6647" s="473"/>
      <c r="J6647" s="473"/>
      <c r="K6647" s="478"/>
      <c r="L6647" s="473"/>
      <c r="M6647" s="473"/>
    </row>
    <row r="6648" spans="5:13">
      <c r="E6648" s="473"/>
      <c r="F6648" s="473"/>
      <c r="G6648" s="473"/>
      <c r="H6648" s="473"/>
      <c r="I6648" s="473"/>
      <c r="J6648" s="473"/>
      <c r="K6648" s="478"/>
      <c r="L6648" s="473"/>
      <c r="M6648" s="473"/>
    </row>
    <row r="6649" spans="5:13">
      <c r="E6649" s="473"/>
      <c r="F6649" s="473"/>
      <c r="G6649" s="473"/>
      <c r="H6649" s="473"/>
      <c r="I6649" s="473"/>
      <c r="J6649" s="473"/>
      <c r="K6649" s="478"/>
      <c r="L6649" s="473"/>
      <c r="M6649" s="473"/>
    </row>
    <row r="6650" spans="5:13">
      <c r="E6650" s="473"/>
      <c r="F6650" s="473"/>
      <c r="G6650" s="473"/>
      <c r="H6650" s="473"/>
      <c r="I6650" s="473"/>
      <c r="J6650" s="473"/>
      <c r="K6650" s="478"/>
      <c r="L6650" s="473"/>
      <c r="M6650" s="473"/>
    </row>
    <row r="6651" spans="5:13">
      <c r="E6651" s="473"/>
      <c r="F6651" s="473"/>
      <c r="G6651" s="473"/>
      <c r="H6651" s="473"/>
      <c r="I6651" s="473"/>
      <c r="J6651" s="473"/>
      <c r="K6651" s="478"/>
      <c r="L6651" s="473"/>
      <c r="M6651" s="473"/>
    </row>
    <row r="6652" spans="5:13">
      <c r="E6652" s="473"/>
      <c r="F6652" s="473"/>
      <c r="G6652" s="473"/>
      <c r="H6652" s="473"/>
      <c r="I6652" s="473"/>
      <c r="J6652" s="473"/>
      <c r="K6652" s="478"/>
      <c r="L6652" s="473"/>
      <c r="M6652" s="473"/>
    </row>
    <row r="6653" spans="5:13">
      <c r="E6653" s="473"/>
      <c r="F6653" s="473"/>
      <c r="G6653" s="473"/>
      <c r="H6653" s="473"/>
      <c r="I6653" s="473"/>
      <c r="J6653" s="473"/>
      <c r="K6653" s="478"/>
      <c r="L6653" s="473"/>
      <c r="M6653" s="473"/>
    </row>
    <row r="6654" spans="5:13">
      <c r="E6654" s="473"/>
      <c r="F6654" s="473"/>
      <c r="G6654" s="473"/>
      <c r="H6654" s="473"/>
      <c r="I6654" s="473"/>
      <c r="J6654" s="473"/>
      <c r="K6654" s="478"/>
      <c r="L6654" s="473"/>
      <c r="M6654" s="473"/>
    </row>
    <row r="6655" spans="5:13">
      <c r="E6655" s="473"/>
      <c r="F6655" s="473"/>
      <c r="G6655" s="473"/>
      <c r="H6655" s="473"/>
      <c r="I6655" s="473"/>
      <c r="J6655" s="473"/>
      <c r="K6655" s="478"/>
      <c r="L6655" s="473"/>
      <c r="M6655" s="473"/>
    </row>
    <row r="6656" spans="5:13">
      <c r="E6656" s="473"/>
      <c r="F6656" s="473"/>
      <c r="G6656" s="473"/>
      <c r="H6656" s="473"/>
      <c r="I6656" s="473"/>
      <c r="J6656" s="473"/>
      <c r="K6656" s="478"/>
      <c r="L6656" s="473"/>
      <c r="M6656" s="473"/>
    </row>
    <row r="6657" spans="5:13">
      <c r="E6657" s="473"/>
      <c r="F6657" s="473"/>
      <c r="G6657" s="473"/>
      <c r="H6657" s="473"/>
      <c r="I6657" s="473"/>
      <c r="J6657" s="473"/>
      <c r="K6657" s="478"/>
      <c r="L6657" s="473"/>
      <c r="M6657" s="473"/>
    </row>
    <row r="6658" spans="5:13">
      <c r="E6658" s="473"/>
      <c r="F6658" s="473"/>
      <c r="G6658" s="473"/>
      <c r="H6658" s="473"/>
      <c r="I6658" s="473"/>
      <c r="J6658" s="473"/>
      <c r="K6658" s="478"/>
      <c r="L6658" s="473"/>
      <c r="M6658" s="473"/>
    </row>
    <row r="6659" spans="5:13">
      <c r="E6659" s="473"/>
      <c r="F6659" s="473"/>
      <c r="G6659" s="473"/>
      <c r="H6659" s="473"/>
      <c r="I6659" s="473"/>
      <c r="J6659" s="473"/>
      <c r="K6659" s="478"/>
      <c r="L6659" s="473"/>
      <c r="M6659" s="473"/>
    </row>
    <row r="6660" spans="5:13">
      <c r="E6660" s="473"/>
      <c r="F6660" s="473"/>
      <c r="G6660" s="473"/>
      <c r="H6660" s="473"/>
      <c r="I6660" s="473"/>
      <c r="J6660" s="473"/>
      <c r="K6660" s="478"/>
      <c r="L6660" s="473"/>
      <c r="M6660" s="473"/>
    </row>
    <row r="6661" spans="5:13">
      <c r="E6661" s="473"/>
      <c r="F6661" s="473"/>
      <c r="G6661" s="473"/>
      <c r="H6661" s="473"/>
      <c r="I6661" s="473"/>
      <c r="J6661" s="473"/>
      <c r="K6661" s="478"/>
      <c r="L6661" s="473"/>
      <c r="M6661" s="473"/>
    </row>
    <row r="6662" spans="5:13">
      <c r="E6662" s="473"/>
      <c r="F6662" s="473"/>
      <c r="G6662" s="473"/>
      <c r="H6662" s="473"/>
      <c r="I6662" s="473"/>
      <c r="J6662" s="473"/>
      <c r="K6662" s="478"/>
      <c r="L6662" s="473"/>
      <c r="M6662" s="473"/>
    </row>
    <row r="6663" spans="5:13">
      <c r="E6663" s="473"/>
      <c r="F6663" s="473"/>
      <c r="G6663" s="473"/>
      <c r="H6663" s="473"/>
      <c r="I6663" s="473"/>
      <c r="J6663" s="473"/>
      <c r="K6663" s="478"/>
      <c r="L6663" s="473"/>
      <c r="M6663" s="473"/>
    </row>
    <row r="6664" spans="5:13">
      <c r="E6664" s="473"/>
      <c r="F6664" s="473"/>
      <c r="G6664" s="473"/>
      <c r="H6664" s="473"/>
      <c r="I6664" s="473"/>
      <c r="J6664" s="473"/>
      <c r="K6664" s="478"/>
      <c r="L6664" s="473"/>
      <c r="M6664" s="473"/>
    </row>
    <row r="6665" spans="5:13">
      <c r="E6665" s="473"/>
      <c r="F6665" s="473"/>
      <c r="G6665" s="473"/>
      <c r="H6665" s="473"/>
      <c r="I6665" s="473"/>
      <c r="J6665" s="473"/>
      <c r="K6665" s="478"/>
      <c r="L6665" s="473"/>
      <c r="M6665" s="473"/>
    </row>
    <row r="6666" spans="5:13">
      <c r="E6666" s="473"/>
      <c r="F6666" s="473"/>
      <c r="G6666" s="473"/>
      <c r="H6666" s="473"/>
      <c r="I6666" s="473"/>
      <c r="J6666" s="473"/>
      <c r="K6666" s="478"/>
      <c r="L6666" s="473"/>
      <c r="M6666" s="473"/>
    </row>
    <row r="6667" spans="5:13">
      <c r="E6667" s="473"/>
      <c r="F6667" s="473"/>
      <c r="G6667" s="473"/>
      <c r="H6667" s="473"/>
      <c r="I6667" s="473"/>
      <c r="J6667" s="473"/>
      <c r="K6667" s="478"/>
      <c r="L6667" s="473"/>
      <c r="M6667" s="473"/>
    </row>
    <row r="6668" spans="5:13">
      <c r="E6668" s="473"/>
      <c r="F6668" s="473"/>
      <c r="G6668" s="473"/>
      <c r="H6668" s="473"/>
      <c r="I6668" s="473"/>
      <c r="J6668" s="473"/>
      <c r="K6668" s="478"/>
      <c r="L6668" s="473"/>
      <c r="M6668" s="473"/>
    </row>
    <row r="6669" spans="5:13">
      <c r="E6669" s="473"/>
      <c r="F6669" s="473"/>
      <c r="G6669" s="473"/>
      <c r="H6669" s="473"/>
      <c r="I6669" s="473"/>
      <c r="J6669" s="473"/>
      <c r="K6669" s="478"/>
      <c r="L6669" s="473"/>
      <c r="M6669" s="473"/>
    </row>
    <row r="6670" spans="5:13">
      <c r="E6670" s="473"/>
      <c r="F6670" s="473"/>
      <c r="G6670" s="473"/>
      <c r="H6670" s="473"/>
      <c r="I6670" s="473"/>
      <c r="J6670" s="473"/>
      <c r="K6670" s="478"/>
      <c r="L6670" s="473"/>
      <c r="M6670" s="473"/>
    </row>
    <row r="6671" spans="5:13">
      <c r="E6671" s="473"/>
      <c r="F6671" s="473"/>
      <c r="G6671" s="473"/>
      <c r="H6671" s="473"/>
      <c r="I6671" s="473"/>
      <c r="J6671" s="473"/>
      <c r="K6671" s="478"/>
      <c r="L6671" s="473"/>
      <c r="M6671" s="473"/>
    </row>
    <row r="6672" spans="5:13">
      <c r="E6672" s="473"/>
      <c r="F6672" s="473"/>
      <c r="G6672" s="473"/>
      <c r="H6672" s="473"/>
      <c r="I6672" s="473"/>
      <c r="J6672" s="473"/>
      <c r="K6672" s="478"/>
      <c r="L6672" s="473"/>
      <c r="M6672" s="473"/>
    </row>
    <row r="6673" spans="5:13">
      <c r="E6673" s="473"/>
      <c r="F6673" s="473"/>
      <c r="G6673" s="473"/>
      <c r="H6673" s="473"/>
      <c r="I6673" s="473"/>
      <c r="J6673" s="473"/>
      <c r="K6673" s="478"/>
      <c r="L6673" s="473"/>
      <c r="M6673" s="473"/>
    </row>
    <row r="6674" spans="5:13">
      <c r="E6674" s="473"/>
      <c r="F6674" s="473"/>
      <c r="G6674" s="473"/>
      <c r="H6674" s="473"/>
      <c r="I6674" s="473"/>
      <c r="J6674" s="473"/>
      <c r="K6674" s="478"/>
      <c r="L6674" s="473"/>
      <c r="M6674" s="473"/>
    </row>
    <row r="6675" spans="5:13">
      <c r="E6675" s="473"/>
      <c r="F6675" s="473"/>
      <c r="G6675" s="473"/>
      <c r="H6675" s="473"/>
      <c r="I6675" s="473"/>
      <c r="J6675" s="473"/>
      <c r="K6675" s="478"/>
      <c r="L6675" s="473"/>
      <c r="M6675" s="473"/>
    </row>
    <row r="6676" spans="5:13">
      <c r="E6676" s="473"/>
      <c r="F6676" s="473"/>
      <c r="G6676" s="473"/>
      <c r="H6676" s="473"/>
      <c r="I6676" s="473"/>
      <c r="J6676" s="473"/>
      <c r="K6676" s="478"/>
      <c r="L6676" s="473"/>
      <c r="M6676" s="473"/>
    </row>
    <row r="6677" spans="5:13">
      <c r="E6677" s="473"/>
      <c r="F6677" s="473"/>
      <c r="G6677" s="473"/>
      <c r="H6677" s="473"/>
      <c r="I6677" s="473"/>
      <c r="J6677" s="473"/>
      <c r="K6677" s="478"/>
      <c r="L6677" s="473"/>
      <c r="M6677" s="473"/>
    </row>
    <row r="6678" spans="5:13">
      <c r="E6678" s="473"/>
      <c r="F6678" s="473"/>
      <c r="G6678" s="473"/>
      <c r="H6678" s="473"/>
      <c r="I6678" s="473"/>
      <c r="J6678" s="473"/>
      <c r="K6678" s="478"/>
      <c r="L6678" s="473"/>
      <c r="M6678" s="473"/>
    </row>
    <row r="6679" spans="5:13">
      <c r="E6679" s="473"/>
      <c r="F6679" s="473"/>
      <c r="G6679" s="473"/>
      <c r="H6679" s="473"/>
      <c r="I6679" s="473"/>
      <c r="J6679" s="473"/>
      <c r="K6679" s="478"/>
      <c r="L6679" s="473"/>
      <c r="M6679" s="473"/>
    </row>
    <row r="6680" spans="5:13">
      <c r="E6680" s="473"/>
      <c r="F6680" s="473"/>
      <c r="G6680" s="473"/>
      <c r="H6680" s="473"/>
      <c r="I6680" s="473"/>
      <c r="J6680" s="473"/>
      <c r="K6680" s="478"/>
      <c r="L6680" s="473"/>
      <c r="M6680" s="473"/>
    </row>
    <row r="6681" spans="5:13">
      <c r="E6681" s="473"/>
      <c r="F6681" s="473"/>
      <c r="G6681" s="473"/>
      <c r="H6681" s="473"/>
      <c r="I6681" s="473"/>
      <c r="J6681" s="473"/>
      <c r="K6681" s="478"/>
      <c r="L6681" s="473"/>
      <c r="M6681" s="473"/>
    </row>
    <row r="6682" spans="5:13">
      <c r="E6682" s="473"/>
      <c r="F6682" s="473"/>
      <c r="G6682" s="473"/>
      <c r="H6682" s="473"/>
      <c r="I6682" s="473"/>
      <c r="J6682" s="473"/>
      <c r="K6682" s="478"/>
      <c r="L6682" s="473"/>
      <c r="M6682" s="473"/>
    </row>
    <row r="6683" spans="5:13">
      <c r="E6683" s="473"/>
      <c r="F6683" s="473"/>
      <c r="G6683" s="473"/>
      <c r="H6683" s="473"/>
      <c r="I6683" s="473"/>
      <c r="J6683" s="473"/>
      <c r="K6683" s="478"/>
      <c r="L6683" s="473"/>
      <c r="M6683" s="473"/>
    </row>
    <row r="6684" spans="5:13">
      <c r="E6684" s="473"/>
      <c r="F6684" s="473"/>
      <c r="G6684" s="473"/>
      <c r="H6684" s="473"/>
      <c r="I6684" s="473"/>
      <c r="J6684" s="473"/>
      <c r="K6684" s="478"/>
      <c r="L6684" s="473"/>
      <c r="M6684" s="473"/>
    </row>
    <row r="6685" spans="5:13">
      <c r="E6685" s="473"/>
      <c r="F6685" s="473"/>
      <c r="G6685" s="473"/>
      <c r="H6685" s="473"/>
      <c r="I6685" s="473"/>
      <c r="J6685" s="473"/>
      <c r="K6685" s="478"/>
      <c r="L6685" s="473"/>
      <c r="M6685" s="473"/>
    </row>
    <row r="6686" spans="5:13">
      <c r="E6686" s="473"/>
      <c r="F6686" s="473"/>
      <c r="G6686" s="473"/>
      <c r="H6686" s="473"/>
      <c r="I6686" s="473"/>
      <c r="J6686" s="473"/>
      <c r="K6686" s="478"/>
      <c r="L6686" s="473"/>
      <c r="M6686" s="473"/>
    </row>
    <row r="6687" spans="5:13">
      <c r="E6687" s="473"/>
      <c r="F6687" s="473"/>
      <c r="G6687" s="473"/>
      <c r="H6687" s="473"/>
      <c r="I6687" s="473"/>
      <c r="J6687" s="473"/>
      <c r="K6687" s="478"/>
      <c r="L6687" s="473"/>
      <c r="M6687" s="473"/>
    </row>
    <row r="6688" spans="5:13">
      <c r="E6688" s="473"/>
      <c r="F6688" s="473"/>
      <c r="G6688" s="473"/>
      <c r="H6688" s="473"/>
      <c r="I6688" s="473"/>
      <c r="J6688" s="473"/>
      <c r="K6688" s="478"/>
      <c r="L6688" s="473"/>
      <c r="M6688" s="473"/>
    </row>
    <row r="6689" spans="5:13">
      <c r="E6689" s="473"/>
      <c r="F6689" s="473"/>
      <c r="G6689" s="473"/>
      <c r="H6689" s="473"/>
      <c r="I6689" s="473"/>
      <c r="J6689" s="473"/>
      <c r="K6689" s="478"/>
      <c r="L6689" s="473"/>
      <c r="M6689" s="473"/>
    </row>
    <row r="6690" spans="5:13">
      <c r="E6690" s="473"/>
      <c r="F6690" s="473"/>
      <c r="G6690" s="473"/>
      <c r="H6690" s="473"/>
      <c r="I6690" s="473"/>
      <c r="J6690" s="473"/>
      <c r="K6690" s="478"/>
      <c r="L6690" s="473"/>
      <c r="M6690" s="473"/>
    </row>
    <row r="6691" spans="5:13">
      <c r="E6691" s="473"/>
      <c r="F6691" s="473"/>
      <c r="G6691" s="473"/>
      <c r="H6691" s="473"/>
      <c r="I6691" s="473"/>
      <c r="J6691" s="473"/>
      <c r="K6691" s="478"/>
      <c r="L6691" s="473"/>
      <c r="M6691" s="473"/>
    </row>
    <row r="6692" spans="5:13">
      <c r="E6692" s="473"/>
      <c r="F6692" s="473"/>
      <c r="G6692" s="473"/>
      <c r="H6692" s="473"/>
      <c r="I6692" s="473"/>
      <c r="J6692" s="473"/>
      <c r="K6692" s="478"/>
      <c r="L6692" s="473"/>
      <c r="M6692" s="473"/>
    </row>
    <row r="6693" spans="5:13">
      <c r="E6693" s="473"/>
      <c r="F6693" s="473"/>
      <c r="G6693" s="473"/>
      <c r="H6693" s="473"/>
      <c r="I6693" s="473"/>
      <c r="J6693" s="473"/>
      <c r="K6693" s="478"/>
      <c r="L6693" s="473"/>
      <c r="M6693" s="473"/>
    </row>
    <row r="6694" spans="5:13">
      <c r="E6694" s="473"/>
      <c r="F6694" s="473"/>
      <c r="G6694" s="473"/>
      <c r="H6694" s="473"/>
      <c r="I6694" s="473"/>
      <c r="J6694" s="473"/>
      <c r="K6694" s="478"/>
      <c r="L6694" s="473"/>
      <c r="M6694" s="473"/>
    </row>
    <row r="6695" spans="5:13">
      <c r="E6695" s="473"/>
      <c r="F6695" s="473"/>
      <c r="G6695" s="473"/>
      <c r="H6695" s="473"/>
      <c r="I6695" s="473"/>
      <c r="J6695" s="473"/>
      <c r="K6695" s="478"/>
      <c r="L6695" s="473"/>
      <c r="M6695" s="473"/>
    </row>
    <row r="6696" spans="5:13">
      <c r="E6696" s="473"/>
      <c r="F6696" s="473"/>
      <c r="G6696" s="473"/>
      <c r="H6696" s="473"/>
      <c r="I6696" s="473"/>
      <c r="J6696" s="473"/>
      <c r="K6696" s="478"/>
      <c r="L6696" s="473"/>
      <c r="M6696" s="473"/>
    </row>
    <row r="6697" spans="5:13">
      <c r="E6697" s="473"/>
      <c r="F6697" s="473"/>
      <c r="G6697" s="473"/>
      <c r="H6697" s="473"/>
      <c r="I6697" s="473"/>
      <c r="J6697" s="473"/>
      <c r="K6697" s="478"/>
      <c r="L6697" s="473"/>
      <c r="M6697" s="473"/>
    </row>
    <row r="6698" spans="5:13">
      <c r="E6698" s="473"/>
      <c r="F6698" s="473"/>
      <c r="G6698" s="473"/>
      <c r="H6698" s="473"/>
      <c r="I6698" s="473"/>
      <c r="J6698" s="473"/>
      <c r="K6698" s="478"/>
      <c r="L6698" s="473"/>
      <c r="M6698" s="473"/>
    </row>
    <row r="6699" spans="5:13">
      <c r="E6699" s="473"/>
      <c r="F6699" s="473"/>
      <c r="G6699" s="473"/>
      <c r="H6699" s="473"/>
      <c r="I6699" s="473"/>
      <c r="J6699" s="473"/>
      <c r="K6699" s="478"/>
      <c r="L6699" s="473"/>
      <c r="M6699" s="473"/>
    </row>
    <row r="6700" spans="5:13">
      <c r="E6700" s="473"/>
      <c r="F6700" s="473"/>
      <c r="G6700" s="473"/>
      <c r="H6700" s="473"/>
      <c r="I6700" s="473"/>
      <c r="J6700" s="473"/>
      <c r="K6700" s="478"/>
      <c r="L6700" s="473"/>
      <c r="M6700" s="473"/>
    </row>
    <row r="6701" spans="5:13">
      <c r="E6701" s="473"/>
      <c r="F6701" s="473"/>
      <c r="G6701" s="473"/>
      <c r="H6701" s="473"/>
      <c r="I6701" s="473"/>
      <c r="J6701" s="473"/>
      <c r="K6701" s="478"/>
      <c r="L6701" s="473"/>
      <c r="M6701" s="473"/>
    </row>
    <row r="6702" spans="5:13">
      <c r="E6702" s="473"/>
      <c r="F6702" s="473"/>
      <c r="G6702" s="473"/>
      <c r="H6702" s="473"/>
      <c r="I6702" s="473"/>
      <c r="J6702" s="473"/>
      <c r="K6702" s="478"/>
      <c r="L6702" s="473"/>
      <c r="M6702" s="473"/>
    </row>
    <row r="6703" spans="5:13">
      <c r="E6703" s="473"/>
      <c r="F6703" s="473"/>
      <c r="G6703" s="473"/>
      <c r="H6703" s="473"/>
      <c r="I6703" s="473"/>
      <c r="J6703" s="473"/>
      <c r="K6703" s="478"/>
      <c r="L6703" s="473"/>
      <c r="M6703" s="473"/>
    </row>
    <row r="6704" spans="5:13">
      <c r="E6704" s="473"/>
      <c r="F6704" s="473"/>
      <c r="G6704" s="473"/>
      <c r="H6704" s="473"/>
      <c r="I6704" s="473"/>
      <c r="J6704" s="473"/>
      <c r="K6704" s="478"/>
      <c r="L6704" s="473"/>
      <c r="M6704" s="473"/>
    </row>
    <row r="6705" spans="5:13">
      <c r="E6705" s="473"/>
      <c r="F6705" s="473"/>
      <c r="G6705" s="473"/>
      <c r="H6705" s="473"/>
      <c r="I6705" s="473"/>
      <c r="J6705" s="473"/>
      <c r="K6705" s="478"/>
      <c r="L6705" s="473"/>
      <c r="M6705" s="473"/>
    </row>
    <row r="6706" spans="5:13">
      <c r="E6706" s="473"/>
      <c r="F6706" s="473"/>
      <c r="G6706" s="473"/>
      <c r="H6706" s="473"/>
      <c r="I6706" s="473"/>
      <c r="J6706" s="473"/>
      <c r="K6706" s="478"/>
      <c r="L6706" s="473"/>
      <c r="M6706" s="473"/>
    </row>
    <row r="6707" spans="5:13">
      <c r="E6707" s="473"/>
      <c r="F6707" s="473"/>
      <c r="G6707" s="473"/>
      <c r="H6707" s="473"/>
      <c r="I6707" s="473"/>
      <c r="J6707" s="473"/>
      <c r="K6707" s="478"/>
      <c r="L6707" s="473"/>
      <c r="M6707" s="473"/>
    </row>
    <row r="6708" spans="5:13">
      <c r="E6708" s="473"/>
      <c r="F6708" s="473"/>
      <c r="G6708" s="473"/>
      <c r="H6708" s="473"/>
      <c r="I6708" s="473"/>
      <c r="J6708" s="473"/>
      <c r="K6708" s="478"/>
      <c r="L6708" s="473"/>
      <c r="M6708" s="473"/>
    </row>
    <row r="6709" spans="5:13">
      <c r="E6709" s="473"/>
      <c r="F6709" s="473"/>
      <c r="G6709" s="473"/>
      <c r="H6709" s="473"/>
      <c r="I6709" s="473"/>
      <c r="J6709" s="473"/>
      <c r="K6709" s="478"/>
      <c r="L6709" s="473"/>
      <c r="M6709" s="473"/>
    </row>
    <row r="6710" spans="5:13">
      <c r="E6710" s="473"/>
      <c r="F6710" s="473"/>
      <c r="G6710" s="473"/>
      <c r="H6710" s="473"/>
      <c r="I6710" s="473"/>
      <c r="J6710" s="473"/>
      <c r="K6710" s="478"/>
      <c r="L6710" s="473"/>
      <c r="M6710" s="473"/>
    </row>
    <row r="6711" spans="5:13">
      <c r="E6711" s="473"/>
      <c r="F6711" s="473"/>
      <c r="G6711" s="473"/>
      <c r="H6711" s="473"/>
      <c r="I6711" s="473"/>
      <c r="J6711" s="473"/>
      <c r="K6711" s="478"/>
      <c r="L6711" s="473"/>
      <c r="M6711" s="473"/>
    </row>
    <row r="6712" spans="5:13">
      <c r="E6712" s="473"/>
      <c r="F6712" s="473"/>
      <c r="G6712" s="473"/>
      <c r="H6712" s="473"/>
      <c r="I6712" s="473"/>
      <c r="J6712" s="473"/>
      <c r="K6712" s="478"/>
      <c r="L6712" s="473"/>
      <c r="M6712" s="473"/>
    </row>
    <row r="6713" spans="5:13">
      <c r="E6713" s="473"/>
      <c r="F6713" s="473"/>
      <c r="G6713" s="473"/>
      <c r="H6713" s="473"/>
      <c r="I6713" s="473"/>
      <c r="J6713" s="473"/>
      <c r="K6713" s="478"/>
      <c r="L6713" s="473"/>
      <c r="M6713" s="473"/>
    </row>
    <row r="6714" spans="5:13">
      <c r="E6714" s="473"/>
      <c r="F6714" s="473"/>
      <c r="G6714" s="473"/>
      <c r="H6714" s="473"/>
      <c r="I6714" s="473"/>
      <c r="J6714" s="473"/>
      <c r="K6714" s="478"/>
      <c r="L6714" s="473"/>
      <c r="M6714" s="473"/>
    </row>
    <row r="6715" spans="5:13">
      <c r="E6715" s="473"/>
      <c r="F6715" s="473"/>
      <c r="G6715" s="473"/>
      <c r="H6715" s="473"/>
      <c r="I6715" s="473"/>
      <c r="J6715" s="473"/>
      <c r="K6715" s="478"/>
      <c r="L6715" s="473"/>
      <c r="M6715" s="473"/>
    </row>
    <row r="6716" spans="5:13">
      <c r="E6716" s="473"/>
      <c r="F6716" s="473"/>
      <c r="G6716" s="473"/>
      <c r="H6716" s="473"/>
      <c r="I6716" s="473"/>
      <c r="J6716" s="473"/>
      <c r="K6716" s="478"/>
      <c r="L6716" s="473"/>
      <c r="M6716" s="473"/>
    </row>
    <row r="6717" spans="5:13">
      <c r="E6717" s="473"/>
      <c r="F6717" s="473"/>
      <c r="G6717" s="473"/>
      <c r="H6717" s="473"/>
      <c r="I6717" s="473"/>
      <c r="J6717" s="473"/>
      <c r="K6717" s="478"/>
      <c r="L6717" s="473"/>
      <c r="M6717" s="473"/>
    </row>
    <row r="6718" spans="5:13">
      <c r="E6718" s="473"/>
      <c r="F6718" s="473"/>
      <c r="G6718" s="473"/>
      <c r="H6718" s="473"/>
      <c r="I6718" s="473"/>
      <c r="J6718" s="473"/>
      <c r="K6718" s="478"/>
      <c r="L6718" s="473"/>
      <c r="M6718" s="473"/>
    </row>
    <row r="6719" spans="5:13">
      <c r="E6719" s="473"/>
      <c r="F6719" s="473"/>
      <c r="G6719" s="473"/>
      <c r="H6719" s="473"/>
      <c r="I6719" s="473"/>
      <c r="J6719" s="473"/>
      <c r="K6719" s="478"/>
      <c r="L6719" s="473"/>
      <c r="M6719" s="473"/>
    </row>
    <row r="6720" spans="5:13">
      <c r="E6720" s="473"/>
      <c r="F6720" s="473"/>
      <c r="G6720" s="473"/>
      <c r="H6720" s="473"/>
      <c r="I6720" s="473"/>
      <c r="J6720" s="473"/>
      <c r="K6720" s="478"/>
      <c r="L6720" s="473"/>
      <c r="M6720" s="473"/>
    </row>
    <row r="6721" spans="5:13">
      <c r="E6721" s="473"/>
      <c r="F6721" s="473"/>
      <c r="G6721" s="473"/>
      <c r="H6721" s="473"/>
      <c r="I6721" s="473"/>
      <c r="J6721" s="473"/>
      <c r="K6721" s="478"/>
      <c r="L6721" s="473"/>
      <c r="M6721" s="473"/>
    </row>
    <row r="6722" spans="5:13">
      <c r="E6722" s="473"/>
      <c r="F6722" s="473"/>
      <c r="G6722" s="473"/>
      <c r="H6722" s="473"/>
      <c r="I6722" s="473"/>
      <c r="J6722" s="473"/>
      <c r="K6722" s="478"/>
      <c r="L6722" s="473"/>
      <c r="M6722" s="473"/>
    </row>
    <row r="6723" spans="5:13">
      <c r="E6723" s="473"/>
      <c r="F6723" s="473"/>
      <c r="G6723" s="473"/>
      <c r="H6723" s="473"/>
      <c r="I6723" s="473"/>
      <c r="J6723" s="473"/>
      <c r="K6723" s="478"/>
      <c r="L6723" s="473"/>
      <c r="M6723" s="473"/>
    </row>
    <row r="6724" spans="5:13">
      <c r="E6724" s="473"/>
      <c r="F6724" s="473"/>
      <c r="G6724" s="473"/>
      <c r="H6724" s="473"/>
      <c r="I6724" s="473"/>
      <c r="J6724" s="473"/>
      <c r="K6724" s="478"/>
      <c r="L6724" s="473"/>
      <c r="M6724" s="473"/>
    </row>
    <row r="6725" spans="5:13">
      <c r="E6725" s="473"/>
      <c r="F6725" s="473"/>
      <c r="G6725" s="473"/>
      <c r="H6725" s="473"/>
      <c r="I6725" s="473"/>
      <c r="J6725" s="473"/>
      <c r="K6725" s="478"/>
      <c r="L6725" s="473"/>
      <c r="M6725" s="473"/>
    </row>
    <row r="6726" spans="5:13">
      <c r="E6726" s="473"/>
      <c r="F6726" s="473"/>
      <c r="G6726" s="473"/>
      <c r="H6726" s="473"/>
      <c r="I6726" s="473"/>
      <c r="J6726" s="473"/>
      <c r="K6726" s="478"/>
      <c r="L6726" s="473"/>
      <c r="M6726" s="473"/>
    </row>
    <row r="6727" spans="5:13">
      <c r="E6727" s="473"/>
      <c r="F6727" s="473"/>
      <c r="G6727" s="473"/>
      <c r="H6727" s="473"/>
      <c r="I6727" s="473"/>
      <c r="J6727" s="473"/>
      <c r="K6727" s="478"/>
      <c r="L6727" s="473"/>
      <c r="M6727" s="473"/>
    </row>
    <row r="6728" spans="5:13">
      <c r="E6728" s="473"/>
      <c r="F6728" s="473"/>
      <c r="G6728" s="473"/>
      <c r="H6728" s="473"/>
      <c r="I6728" s="473"/>
      <c r="J6728" s="473"/>
      <c r="K6728" s="478"/>
      <c r="L6728" s="473"/>
      <c r="M6728" s="473"/>
    </row>
    <row r="6729" spans="5:13">
      <c r="E6729" s="473"/>
      <c r="F6729" s="473"/>
      <c r="G6729" s="473"/>
      <c r="H6729" s="473"/>
      <c r="I6729" s="473"/>
      <c r="J6729" s="473"/>
      <c r="K6729" s="478"/>
      <c r="L6729" s="473"/>
      <c r="M6729" s="473"/>
    </row>
    <row r="6730" spans="5:13">
      <c r="E6730" s="473"/>
      <c r="F6730" s="473"/>
      <c r="G6730" s="473"/>
      <c r="H6730" s="473"/>
      <c r="I6730" s="473"/>
      <c r="J6730" s="473"/>
      <c r="K6730" s="478"/>
      <c r="L6730" s="473"/>
      <c r="M6730" s="473"/>
    </row>
    <row r="6731" spans="5:13">
      <c r="E6731" s="473"/>
      <c r="F6731" s="473"/>
      <c r="G6731" s="473"/>
      <c r="H6731" s="473"/>
      <c r="I6731" s="473"/>
      <c r="J6731" s="473"/>
      <c r="K6731" s="478"/>
      <c r="L6731" s="473"/>
      <c r="M6731" s="473"/>
    </row>
    <row r="6732" spans="5:13">
      <c r="E6732" s="473"/>
      <c r="F6732" s="473"/>
      <c r="G6732" s="473"/>
      <c r="H6732" s="473"/>
      <c r="I6732" s="473"/>
      <c r="J6732" s="473"/>
      <c r="K6732" s="478"/>
      <c r="L6732" s="473"/>
      <c r="M6732" s="473"/>
    </row>
    <row r="6733" spans="5:13">
      <c r="E6733" s="473"/>
      <c r="F6733" s="473"/>
      <c r="G6733" s="473"/>
      <c r="H6733" s="473"/>
      <c r="I6733" s="473"/>
      <c r="J6733" s="473"/>
      <c r="K6733" s="478"/>
      <c r="L6733" s="473"/>
      <c r="M6733" s="473"/>
    </row>
    <row r="6734" spans="5:13">
      <c r="E6734" s="473"/>
      <c r="F6734" s="473"/>
      <c r="G6734" s="473"/>
      <c r="H6734" s="473"/>
      <c r="I6734" s="473"/>
      <c r="J6734" s="473"/>
      <c r="K6734" s="478"/>
      <c r="L6734" s="473"/>
      <c r="M6734" s="473"/>
    </row>
    <row r="6735" spans="5:13">
      <c r="E6735" s="473"/>
      <c r="F6735" s="473"/>
      <c r="G6735" s="473"/>
      <c r="H6735" s="473"/>
      <c r="I6735" s="473"/>
      <c r="J6735" s="473"/>
      <c r="K6735" s="478"/>
      <c r="L6735" s="473"/>
      <c r="M6735" s="473"/>
    </row>
    <row r="6736" spans="5:13">
      <c r="E6736" s="473"/>
      <c r="F6736" s="473"/>
      <c r="G6736" s="473"/>
      <c r="H6736" s="473"/>
      <c r="I6736" s="473"/>
      <c r="J6736" s="473"/>
      <c r="K6736" s="478"/>
      <c r="L6736" s="473"/>
      <c r="M6736" s="473"/>
    </row>
    <row r="6737" spans="5:13">
      <c r="E6737" s="473"/>
      <c r="F6737" s="473"/>
      <c r="G6737" s="473"/>
      <c r="H6737" s="473"/>
      <c r="I6737" s="473"/>
      <c r="J6737" s="473"/>
      <c r="K6737" s="478"/>
      <c r="L6737" s="473"/>
      <c r="M6737" s="473"/>
    </row>
    <row r="6738" spans="5:13">
      <c r="E6738" s="473"/>
      <c r="F6738" s="473"/>
      <c r="G6738" s="473"/>
      <c r="H6738" s="473"/>
      <c r="I6738" s="473"/>
      <c r="J6738" s="473"/>
      <c r="K6738" s="478"/>
      <c r="L6738" s="473"/>
      <c r="M6738" s="473"/>
    </row>
    <row r="6739" spans="5:13">
      <c r="E6739" s="473"/>
      <c r="F6739" s="473"/>
      <c r="G6739" s="473"/>
      <c r="H6739" s="473"/>
      <c r="I6739" s="473"/>
      <c r="J6739" s="473"/>
      <c r="K6739" s="478"/>
      <c r="L6739" s="473"/>
      <c r="M6739" s="473"/>
    </row>
    <row r="6740" spans="5:13">
      <c r="E6740" s="473"/>
      <c r="F6740" s="473"/>
      <c r="G6740" s="473"/>
      <c r="H6740" s="473"/>
      <c r="I6740" s="473"/>
      <c r="J6740" s="473"/>
      <c r="K6740" s="478"/>
      <c r="L6740" s="473"/>
      <c r="M6740" s="473"/>
    </row>
    <row r="6741" spans="5:13">
      <c r="E6741" s="473"/>
      <c r="F6741" s="473"/>
      <c r="G6741" s="473"/>
      <c r="H6741" s="473"/>
      <c r="I6741" s="473"/>
      <c r="J6741" s="473"/>
      <c r="K6741" s="478"/>
      <c r="L6741" s="473"/>
      <c r="M6741" s="473"/>
    </row>
    <row r="6742" spans="5:13">
      <c r="E6742" s="473"/>
      <c r="F6742" s="473"/>
      <c r="G6742" s="473"/>
      <c r="H6742" s="473"/>
      <c r="I6742" s="473"/>
      <c r="J6742" s="473"/>
      <c r="K6742" s="478"/>
      <c r="L6742" s="473"/>
      <c r="M6742" s="473"/>
    </row>
    <row r="6743" spans="5:13">
      <c r="E6743" s="473"/>
      <c r="F6743" s="473"/>
      <c r="G6743" s="473"/>
      <c r="H6743" s="473"/>
      <c r="I6743" s="473"/>
      <c r="J6743" s="473"/>
      <c r="K6743" s="478"/>
      <c r="L6743" s="473"/>
      <c r="M6743" s="473"/>
    </row>
    <row r="6744" spans="5:13">
      <c r="E6744" s="473"/>
      <c r="F6744" s="473"/>
      <c r="G6744" s="473"/>
      <c r="H6744" s="473"/>
      <c r="I6744" s="473"/>
      <c r="J6744" s="473"/>
      <c r="K6744" s="478"/>
      <c r="L6744" s="473"/>
      <c r="M6744" s="473"/>
    </row>
    <row r="6745" spans="5:13">
      <c r="E6745" s="473"/>
      <c r="F6745" s="473"/>
      <c r="G6745" s="473"/>
      <c r="H6745" s="473"/>
      <c r="I6745" s="473"/>
      <c r="J6745" s="473"/>
      <c r="K6745" s="478"/>
      <c r="L6745" s="473"/>
      <c r="M6745" s="473"/>
    </row>
    <row r="6746" spans="5:13">
      <c r="E6746" s="473"/>
      <c r="F6746" s="473"/>
      <c r="G6746" s="473"/>
      <c r="H6746" s="473"/>
      <c r="I6746" s="473"/>
      <c r="J6746" s="473"/>
      <c r="K6746" s="478"/>
      <c r="L6746" s="473"/>
      <c r="M6746" s="473"/>
    </row>
    <row r="6747" spans="5:13">
      <c r="E6747" s="473"/>
      <c r="F6747" s="473"/>
      <c r="G6747" s="473"/>
      <c r="H6747" s="473"/>
      <c r="I6747" s="473"/>
      <c r="J6747" s="473"/>
      <c r="K6747" s="478"/>
      <c r="L6747" s="473"/>
      <c r="M6747" s="473"/>
    </row>
    <row r="6748" spans="5:13">
      <c r="E6748" s="473"/>
      <c r="F6748" s="473"/>
      <c r="G6748" s="473"/>
      <c r="H6748" s="473"/>
      <c r="I6748" s="473"/>
      <c r="J6748" s="473"/>
      <c r="K6748" s="478"/>
      <c r="L6748" s="473"/>
      <c r="M6748" s="473"/>
    </row>
    <row r="6749" spans="5:13">
      <c r="E6749" s="473"/>
      <c r="F6749" s="473"/>
      <c r="G6749" s="473"/>
      <c r="H6749" s="473"/>
      <c r="I6749" s="473"/>
      <c r="J6749" s="473"/>
      <c r="K6749" s="478"/>
      <c r="L6749" s="473"/>
      <c r="M6749" s="473"/>
    </row>
    <row r="6750" spans="5:13">
      <c r="E6750" s="473"/>
      <c r="F6750" s="473"/>
      <c r="G6750" s="473"/>
      <c r="H6750" s="473"/>
      <c r="I6750" s="473"/>
      <c r="J6750" s="473"/>
      <c r="K6750" s="478"/>
      <c r="L6750" s="473"/>
      <c r="M6750" s="473"/>
    </row>
    <row r="6751" spans="5:13">
      <c r="E6751" s="473"/>
      <c r="F6751" s="473"/>
      <c r="G6751" s="473"/>
      <c r="H6751" s="473"/>
      <c r="I6751" s="473"/>
      <c r="J6751" s="473"/>
      <c r="K6751" s="478"/>
      <c r="L6751" s="473"/>
      <c r="M6751" s="473"/>
    </row>
    <row r="6752" spans="5:13">
      <c r="E6752" s="473"/>
      <c r="F6752" s="473"/>
      <c r="G6752" s="473"/>
      <c r="H6752" s="473"/>
      <c r="I6752" s="473"/>
      <c r="J6752" s="473"/>
      <c r="K6752" s="478"/>
      <c r="L6752" s="473"/>
      <c r="M6752" s="473"/>
    </row>
    <row r="6753" spans="5:13">
      <c r="E6753" s="473"/>
      <c r="F6753" s="473"/>
      <c r="G6753" s="473"/>
      <c r="H6753" s="473"/>
      <c r="I6753" s="473"/>
      <c r="J6753" s="473"/>
      <c r="K6753" s="478"/>
      <c r="L6753" s="473"/>
      <c r="M6753" s="473"/>
    </row>
    <row r="6754" spans="5:13">
      <c r="E6754" s="473"/>
      <c r="F6754" s="473"/>
      <c r="G6754" s="473"/>
      <c r="H6754" s="473"/>
      <c r="I6754" s="473"/>
      <c r="J6754" s="473"/>
      <c r="K6754" s="478"/>
      <c r="L6754" s="473"/>
      <c r="M6754" s="473"/>
    </row>
    <row r="6755" spans="5:13">
      <c r="E6755" s="473"/>
      <c r="F6755" s="473"/>
      <c r="G6755" s="473"/>
      <c r="H6755" s="473"/>
      <c r="I6755" s="473"/>
      <c r="J6755" s="473"/>
      <c r="K6755" s="478"/>
      <c r="L6755" s="473"/>
      <c r="M6755" s="473"/>
    </row>
    <row r="6756" spans="5:13">
      <c r="E6756" s="473"/>
      <c r="F6756" s="473"/>
      <c r="G6756" s="473"/>
      <c r="H6756" s="473"/>
      <c r="I6756" s="473"/>
      <c r="J6756" s="473"/>
      <c r="K6756" s="478"/>
      <c r="L6756" s="473"/>
      <c r="M6756" s="473"/>
    </row>
    <row r="6757" spans="5:13">
      <c r="E6757" s="473"/>
      <c r="F6757" s="473"/>
      <c r="G6757" s="473"/>
      <c r="H6757" s="473"/>
      <c r="I6757" s="473"/>
      <c r="J6757" s="473"/>
      <c r="K6757" s="478"/>
      <c r="L6757" s="473"/>
      <c r="M6757" s="473"/>
    </row>
    <row r="6758" spans="5:13">
      <c r="E6758" s="473"/>
      <c r="F6758" s="473"/>
      <c r="G6758" s="473"/>
      <c r="H6758" s="473"/>
      <c r="I6758" s="473"/>
      <c r="J6758" s="473"/>
      <c r="K6758" s="478"/>
      <c r="L6758" s="473"/>
      <c r="M6758" s="473"/>
    </row>
    <row r="6759" spans="5:13">
      <c r="E6759" s="473"/>
      <c r="F6759" s="473"/>
      <c r="G6759" s="473"/>
      <c r="H6759" s="473"/>
      <c r="I6759" s="473"/>
      <c r="J6759" s="473"/>
      <c r="K6759" s="478"/>
      <c r="L6759" s="473"/>
      <c r="M6759" s="473"/>
    </row>
    <row r="6760" spans="5:13">
      <c r="E6760" s="473"/>
      <c r="F6760" s="473"/>
      <c r="G6760" s="473"/>
      <c r="H6760" s="473"/>
      <c r="I6760" s="473"/>
      <c r="J6760" s="473"/>
      <c r="K6760" s="478"/>
      <c r="L6760" s="473"/>
      <c r="M6760" s="473"/>
    </row>
    <row r="6761" spans="5:13">
      <c r="E6761" s="473"/>
      <c r="F6761" s="473"/>
      <c r="G6761" s="473"/>
      <c r="H6761" s="473"/>
      <c r="I6761" s="473"/>
      <c r="J6761" s="473"/>
      <c r="K6761" s="478"/>
      <c r="L6761" s="473"/>
      <c r="M6761" s="473"/>
    </row>
    <row r="6762" spans="5:13">
      <c r="E6762" s="473"/>
      <c r="F6762" s="473"/>
      <c r="G6762" s="473"/>
      <c r="H6762" s="473"/>
      <c r="I6762" s="473"/>
      <c r="J6762" s="473"/>
      <c r="K6762" s="478"/>
      <c r="L6762" s="473"/>
      <c r="M6762" s="473"/>
    </row>
    <row r="6763" spans="5:13">
      <c r="E6763" s="473"/>
      <c r="F6763" s="473"/>
      <c r="G6763" s="473"/>
      <c r="H6763" s="473"/>
      <c r="I6763" s="473"/>
      <c r="J6763" s="473"/>
      <c r="K6763" s="478"/>
      <c r="L6763" s="473"/>
      <c r="M6763" s="473"/>
    </row>
    <row r="6764" spans="5:13">
      <c r="E6764" s="473"/>
      <c r="F6764" s="473"/>
      <c r="G6764" s="473"/>
      <c r="H6764" s="473"/>
      <c r="I6764" s="473"/>
      <c r="J6764" s="473"/>
      <c r="K6764" s="478"/>
      <c r="L6764" s="473"/>
      <c r="M6764" s="473"/>
    </row>
    <row r="6765" spans="5:13">
      <c r="E6765" s="473"/>
      <c r="F6765" s="473"/>
      <c r="G6765" s="473"/>
      <c r="H6765" s="473"/>
      <c r="I6765" s="473"/>
      <c r="J6765" s="473"/>
      <c r="K6765" s="478"/>
      <c r="L6765" s="473"/>
      <c r="M6765" s="473"/>
    </row>
    <row r="6766" spans="5:13">
      <c r="E6766" s="473"/>
      <c r="F6766" s="473"/>
      <c r="G6766" s="473"/>
      <c r="H6766" s="473"/>
      <c r="I6766" s="473"/>
      <c r="J6766" s="473"/>
      <c r="K6766" s="478"/>
      <c r="L6766" s="473"/>
      <c r="M6766" s="473"/>
    </row>
    <row r="6767" spans="5:13">
      <c r="E6767" s="473"/>
      <c r="F6767" s="473"/>
      <c r="G6767" s="473"/>
      <c r="H6767" s="473"/>
      <c r="I6767" s="473"/>
      <c r="J6767" s="473"/>
      <c r="K6767" s="478"/>
      <c r="L6767" s="473"/>
      <c r="M6767" s="473"/>
    </row>
    <row r="6768" spans="5:13">
      <c r="E6768" s="473"/>
      <c r="F6768" s="473"/>
      <c r="G6768" s="473"/>
      <c r="H6768" s="473"/>
      <c r="I6768" s="473"/>
      <c r="J6768" s="473"/>
      <c r="K6768" s="478"/>
      <c r="L6768" s="473"/>
      <c r="M6768" s="473"/>
    </row>
    <row r="6769" spans="5:13">
      <c r="E6769" s="473"/>
      <c r="F6769" s="473"/>
      <c r="G6769" s="473"/>
      <c r="H6769" s="473"/>
      <c r="I6769" s="473"/>
      <c r="J6769" s="473"/>
      <c r="K6769" s="478"/>
      <c r="L6769" s="473"/>
      <c r="M6769" s="473"/>
    </row>
    <row r="6770" spans="5:13">
      <c r="E6770" s="473"/>
      <c r="F6770" s="473"/>
      <c r="G6770" s="473"/>
      <c r="H6770" s="473"/>
      <c r="I6770" s="473"/>
      <c r="J6770" s="473"/>
      <c r="K6770" s="478"/>
      <c r="L6770" s="473"/>
      <c r="M6770" s="473"/>
    </row>
    <row r="6771" spans="5:13">
      <c r="E6771" s="473"/>
      <c r="F6771" s="473"/>
      <c r="G6771" s="473"/>
      <c r="H6771" s="473"/>
      <c r="I6771" s="473"/>
      <c r="J6771" s="473"/>
      <c r="K6771" s="478"/>
      <c r="L6771" s="473"/>
      <c r="M6771" s="473"/>
    </row>
    <row r="6772" spans="5:13">
      <c r="E6772" s="473"/>
      <c r="F6772" s="473"/>
      <c r="G6772" s="473"/>
      <c r="H6772" s="473"/>
      <c r="I6772" s="473"/>
      <c r="J6772" s="473"/>
      <c r="K6772" s="478"/>
      <c r="L6772" s="473"/>
      <c r="M6772" s="473"/>
    </row>
    <row r="6773" spans="5:13">
      <c r="E6773" s="473"/>
      <c r="F6773" s="473"/>
      <c r="G6773" s="473"/>
      <c r="H6773" s="473"/>
      <c r="I6773" s="473"/>
      <c r="J6773" s="473"/>
      <c r="K6773" s="478"/>
      <c r="L6773" s="473"/>
      <c r="M6773" s="473"/>
    </row>
    <row r="6774" spans="5:13">
      <c r="E6774" s="473"/>
      <c r="F6774" s="473"/>
      <c r="G6774" s="473"/>
      <c r="H6774" s="473"/>
      <c r="I6774" s="473"/>
      <c r="J6774" s="473"/>
      <c r="K6774" s="478"/>
      <c r="L6774" s="473"/>
      <c r="M6774" s="473"/>
    </row>
    <row r="6775" spans="5:13">
      <c r="E6775" s="473"/>
      <c r="F6775" s="473"/>
      <c r="G6775" s="473"/>
      <c r="H6775" s="473"/>
      <c r="I6775" s="473"/>
      <c r="J6775" s="473"/>
      <c r="K6775" s="478"/>
      <c r="L6775" s="473"/>
      <c r="M6775" s="473"/>
    </row>
    <row r="6776" spans="5:13">
      <c r="E6776" s="473"/>
      <c r="F6776" s="473"/>
      <c r="G6776" s="473"/>
      <c r="H6776" s="473"/>
      <c r="I6776" s="473"/>
      <c r="J6776" s="473"/>
      <c r="K6776" s="478"/>
      <c r="L6776" s="473"/>
      <c r="M6776" s="473"/>
    </row>
    <row r="6777" spans="5:13">
      <c r="E6777" s="473"/>
      <c r="F6777" s="473"/>
      <c r="G6777" s="473"/>
      <c r="H6777" s="473"/>
      <c r="I6777" s="473"/>
      <c r="J6777" s="473"/>
      <c r="K6777" s="478"/>
      <c r="L6777" s="473"/>
      <c r="M6777" s="473"/>
    </row>
    <row r="6778" spans="5:13">
      <c r="E6778" s="473"/>
      <c r="F6778" s="473"/>
      <c r="G6778" s="473"/>
      <c r="H6778" s="473"/>
      <c r="I6778" s="473"/>
      <c r="J6778" s="473"/>
      <c r="K6778" s="478"/>
      <c r="L6778" s="473"/>
      <c r="M6778" s="473"/>
    </row>
    <row r="6779" spans="5:13">
      <c r="E6779" s="473"/>
      <c r="F6779" s="473"/>
      <c r="G6779" s="473"/>
      <c r="H6779" s="473"/>
      <c r="I6779" s="473"/>
      <c r="J6779" s="473"/>
      <c r="K6779" s="478"/>
      <c r="L6779" s="473"/>
      <c r="M6779" s="473"/>
    </row>
    <row r="6780" spans="5:13">
      <c r="E6780" s="473"/>
      <c r="F6780" s="473"/>
      <c r="G6780" s="473"/>
      <c r="H6780" s="473"/>
      <c r="I6780" s="473"/>
      <c r="J6780" s="473"/>
      <c r="K6780" s="478"/>
      <c r="L6780" s="473"/>
      <c r="M6780" s="473"/>
    </row>
    <row r="6781" spans="5:13">
      <c r="E6781" s="473"/>
      <c r="F6781" s="473"/>
      <c r="G6781" s="473"/>
      <c r="H6781" s="473"/>
      <c r="I6781" s="473"/>
      <c r="J6781" s="473"/>
      <c r="K6781" s="478"/>
      <c r="L6781" s="473"/>
      <c r="M6781" s="473"/>
    </row>
    <row r="6782" spans="5:13">
      <c r="E6782" s="473"/>
      <c r="F6782" s="473"/>
      <c r="G6782" s="473"/>
      <c r="H6782" s="473"/>
      <c r="I6782" s="473"/>
      <c r="J6782" s="473"/>
      <c r="K6782" s="478"/>
      <c r="L6782" s="473"/>
      <c r="M6782" s="473"/>
    </row>
    <row r="6783" spans="5:13">
      <c r="E6783" s="473"/>
      <c r="F6783" s="473"/>
      <c r="G6783" s="473"/>
      <c r="H6783" s="473"/>
      <c r="I6783" s="473"/>
      <c r="J6783" s="473"/>
      <c r="K6783" s="478"/>
      <c r="L6783" s="473"/>
      <c r="M6783" s="473"/>
    </row>
    <row r="6784" spans="5:13">
      <c r="E6784" s="473"/>
      <c r="F6784" s="473"/>
      <c r="G6784" s="473"/>
      <c r="H6784" s="473"/>
      <c r="I6784" s="473"/>
      <c r="J6784" s="473"/>
      <c r="K6784" s="478"/>
      <c r="L6784" s="473"/>
      <c r="M6784" s="473"/>
    </row>
    <row r="6785" spans="5:13">
      <c r="E6785" s="473"/>
      <c r="F6785" s="473"/>
      <c r="G6785" s="473"/>
      <c r="H6785" s="473"/>
      <c r="I6785" s="473"/>
      <c r="J6785" s="473"/>
      <c r="K6785" s="478"/>
      <c r="L6785" s="473"/>
      <c r="M6785" s="473"/>
    </row>
    <row r="6786" spans="5:13">
      <c r="E6786" s="473"/>
      <c r="F6786" s="473"/>
      <c r="G6786" s="473"/>
      <c r="H6786" s="473"/>
      <c r="I6786" s="473"/>
      <c r="J6786" s="473"/>
      <c r="K6786" s="478"/>
      <c r="L6786" s="473"/>
      <c r="M6786" s="473"/>
    </row>
    <row r="6787" spans="5:13">
      <c r="E6787" s="473"/>
      <c r="F6787" s="473"/>
      <c r="G6787" s="473"/>
      <c r="H6787" s="473"/>
      <c r="I6787" s="473"/>
      <c r="J6787" s="473"/>
      <c r="K6787" s="478"/>
      <c r="L6787" s="473"/>
      <c r="M6787" s="473"/>
    </row>
    <row r="6788" spans="5:13">
      <c r="E6788" s="473"/>
      <c r="F6788" s="473"/>
      <c r="G6788" s="473"/>
      <c r="H6788" s="473"/>
      <c r="I6788" s="473"/>
      <c r="J6788" s="473"/>
      <c r="K6788" s="478"/>
      <c r="L6788" s="473"/>
      <c r="M6788" s="473"/>
    </row>
    <row r="6789" spans="5:13">
      <c r="E6789" s="473"/>
      <c r="F6789" s="473"/>
      <c r="G6789" s="473"/>
      <c r="H6789" s="473"/>
      <c r="I6789" s="473"/>
      <c r="J6789" s="473"/>
      <c r="K6789" s="478"/>
      <c r="L6789" s="473"/>
      <c r="M6789" s="473"/>
    </row>
    <row r="6790" spans="5:13">
      <c r="E6790" s="473"/>
      <c r="F6790" s="473"/>
      <c r="G6790" s="473"/>
      <c r="H6790" s="473"/>
      <c r="I6790" s="473"/>
      <c r="J6790" s="473"/>
      <c r="K6790" s="478"/>
      <c r="L6790" s="473"/>
      <c r="M6790" s="473"/>
    </row>
    <row r="6791" spans="5:13">
      <c r="E6791" s="473"/>
      <c r="F6791" s="473"/>
      <c r="G6791" s="473"/>
      <c r="H6791" s="473"/>
      <c r="I6791" s="473"/>
      <c r="J6791" s="473"/>
      <c r="K6791" s="478"/>
      <c r="L6791" s="473"/>
      <c r="M6791" s="473"/>
    </row>
    <row r="6792" spans="5:13">
      <c r="E6792" s="473"/>
      <c r="F6792" s="473"/>
      <c r="G6792" s="473"/>
      <c r="H6792" s="473"/>
      <c r="I6792" s="473"/>
      <c r="J6792" s="473"/>
      <c r="K6792" s="478"/>
      <c r="L6792" s="473"/>
      <c r="M6792" s="473"/>
    </row>
    <row r="6793" spans="5:13">
      <c r="E6793" s="473"/>
      <c r="F6793" s="473"/>
      <c r="G6793" s="473"/>
      <c r="H6793" s="473"/>
      <c r="I6793" s="473"/>
      <c r="J6793" s="473"/>
      <c r="K6793" s="478"/>
      <c r="L6793" s="473"/>
      <c r="M6793" s="473"/>
    </row>
    <row r="6794" spans="5:13">
      <c r="E6794" s="473"/>
      <c r="F6794" s="473"/>
      <c r="G6794" s="473"/>
      <c r="H6794" s="473"/>
      <c r="I6794" s="473"/>
      <c r="J6794" s="473"/>
      <c r="K6794" s="478"/>
      <c r="L6794" s="473"/>
      <c r="M6794" s="473"/>
    </row>
    <row r="6795" spans="5:13">
      <c r="E6795" s="473"/>
      <c r="F6795" s="473"/>
      <c r="G6795" s="473"/>
      <c r="H6795" s="473"/>
      <c r="I6795" s="473"/>
      <c r="J6795" s="473"/>
      <c r="K6795" s="478"/>
      <c r="L6795" s="473"/>
      <c r="M6795" s="473"/>
    </row>
    <row r="6796" spans="5:13">
      <c r="E6796" s="473"/>
      <c r="F6796" s="473"/>
      <c r="G6796" s="473"/>
      <c r="H6796" s="473"/>
      <c r="I6796" s="473"/>
      <c r="J6796" s="473"/>
      <c r="K6796" s="478"/>
      <c r="L6796" s="473"/>
      <c r="M6796" s="473"/>
    </row>
    <row r="6797" spans="5:13">
      <c r="E6797" s="473"/>
      <c r="F6797" s="473"/>
      <c r="G6797" s="473"/>
      <c r="H6797" s="473"/>
      <c r="I6797" s="473"/>
      <c r="J6797" s="473"/>
      <c r="K6797" s="478"/>
      <c r="L6797" s="473"/>
      <c r="M6797" s="473"/>
    </row>
    <row r="6798" spans="5:13">
      <c r="E6798" s="473"/>
      <c r="F6798" s="473"/>
      <c r="G6798" s="473"/>
      <c r="H6798" s="473"/>
      <c r="I6798" s="473"/>
      <c r="J6798" s="473"/>
      <c r="K6798" s="478"/>
      <c r="L6798" s="473"/>
      <c r="M6798" s="473"/>
    </row>
    <row r="6799" spans="5:13">
      <c r="E6799" s="473"/>
      <c r="F6799" s="473"/>
      <c r="G6799" s="473"/>
      <c r="H6799" s="473"/>
      <c r="I6799" s="473"/>
      <c r="J6799" s="473"/>
      <c r="K6799" s="478"/>
      <c r="L6799" s="473"/>
      <c r="M6799" s="473"/>
    </row>
    <row r="6800" spans="5:13">
      <c r="E6800" s="473"/>
      <c r="F6800" s="473"/>
      <c r="G6800" s="473"/>
      <c r="H6800" s="473"/>
      <c r="I6800" s="473"/>
      <c r="J6800" s="473"/>
      <c r="K6800" s="478"/>
      <c r="L6800" s="473"/>
      <c r="M6800" s="473"/>
    </row>
    <row r="6801" spans="5:13">
      <c r="E6801" s="473"/>
      <c r="F6801" s="473"/>
      <c r="G6801" s="473"/>
      <c r="H6801" s="473"/>
      <c r="I6801" s="473"/>
      <c r="J6801" s="473"/>
      <c r="K6801" s="478"/>
      <c r="L6801" s="473"/>
      <c r="M6801" s="473"/>
    </row>
    <row r="6802" spans="5:13">
      <c r="E6802" s="473"/>
      <c r="F6802" s="473"/>
      <c r="G6802" s="473"/>
      <c r="H6802" s="473"/>
      <c r="I6802" s="473"/>
      <c r="J6802" s="473"/>
      <c r="K6802" s="478"/>
      <c r="L6802" s="473"/>
      <c r="M6802" s="473"/>
    </row>
    <row r="6803" spans="5:13">
      <c r="E6803" s="473"/>
      <c r="F6803" s="473"/>
      <c r="G6803" s="473"/>
      <c r="H6803" s="473"/>
      <c r="I6803" s="473"/>
      <c r="J6803" s="473"/>
      <c r="K6803" s="478"/>
      <c r="L6803" s="473"/>
      <c r="M6803" s="473"/>
    </row>
    <row r="6804" spans="5:13">
      <c r="E6804" s="473"/>
      <c r="F6804" s="473"/>
      <c r="G6804" s="473"/>
      <c r="H6804" s="473"/>
      <c r="I6804" s="473"/>
      <c r="J6804" s="473"/>
      <c r="K6804" s="478"/>
      <c r="L6804" s="473"/>
      <c r="M6804" s="473"/>
    </row>
    <row r="6805" spans="5:13">
      <c r="E6805" s="473"/>
      <c r="F6805" s="473"/>
      <c r="G6805" s="473"/>
      <c r="H6805" s="473"/>
      <c r="I6805" s="473"/>
      <c r="J6805" s="473"/>
      <c r="K6805" s="478"/>
      <c r="L6805" s="473"/>
      <c r="M6805" s="473"/>
    </row>
    <row r="6806" spans="5:13">
      <c r="E6806" s="473"/>
      <c r="F6806" s="473"/>
      <c r="G6806" s="473"/>
      <c r="H6806" s="473"/>
      <c r="I6806" s="473"/>
      <c r="J6806" s="473"/>
      <c r="K6806" s="478"/>
      <c r="L6806" s="473"/>
      <c r="M6806" s="473"/>
    </row>
    <row r="6807" spans="5:13">
      <c r="E6807" s="473"/>
      <c r="F6807" s="473"/>
      <c r="G6807" s="473"/>
      <c r="H6807" s="473"/>
      <c r="I6807" s="473"/>
      <c r="J6807" s="473"/>
      <c r="K6807" s="478"/>
      <c r="L6807" s="473"/>
      <c r="M6807" s="473"/>
    </row>
    <row r="6808" spans="5:13">
      <c r="E6808" s="473"/>
      <c r="F6808" s="473"/>
      <c r="G6808" s="473"/>
      <c r="H6808" s="473"/>
      <c r="I6808" s="473"/>
      <c r="J6808" s="473"/>
      <c r="K6808" s="478"/>
      <c r="L6808" s="473"/>
      <c r="M6808" s="473"/>
    </row>
    <row r="6809" spans="5:13">
      <c r="E6809" s="473"/>
      <c r="F6809" s="473"/>
      <c r="G6809" s="473"/>
      <c r="H6809" s="473"/>
      <c r="I6809" s="473"/>
      <c r="J6809" s="473"/>
      <c r="K6809" s="478"/>
      <c r="L6809" s="473"/>
      <c r="M6809" s="473"/>
    </row>
    <row r="6810" spans="5:13">
      <c r="E6810" s="473"/>
      <c r="F6810" s="473"/>
      <c r="G6810" s="473"/>
      <c r="H6810" s="473"/>
      <c r="I6810" s="473"/>
      <c r="J6810" s="473"/>
      <c r="K6810" s="478"/>
      <c r="L6810" s="473"/>
      <c r="M6810" s="473"/>
    </row>
    <row r="6811" spans="5:13">
      <c r="E6811" s="473"/>
      <c r="F6811" s="473"/>
      <c r="G6811" s="473"/>
      <c r="H6811" s="473"/>
      <c r="I6811" s="473"/>
      <c r="J6811" s="473"/>
      <c r="K6811" s="478"/>
      <c r="L6811" s="473"/>
      <c r="M6811" s="473"/>
    </row>
    <row r="6812" spans="5:13">
      <c r="E6812" s="473"/>
      <c r="F6812" s="473"/>
      <c r="G6812" s="473"/>
      <c r="H6812" s="473"/>
      <c r="I6812" s="473"/>
      <c r="J6812" s="473"/>
      <c r="K6812" s="478"/>
      <c r="L6812" s="473"/>
      <c r="M6812" s="473"/>
    </row>
    <row r="6813" spans="5:13">
      <c r="E6813" s="473"/>
      <c r="F6813" s="473"/>
      <c r="G6813" s="473"/>
      <c r="H6813" s="473"/>
      <c r="I6813" s="473"/>
      <c r="J6813" s="473"/>
      <c r="K6813" s="478"/>
      <c r="L6813" s="473"/>
      <c r="M6813" s="473"/>
    </row>
    <row r="6814" spans="5:13">
      <c r="E6814" s="473"/>
      <c r="F6814" s="473"/>
      <c r="G6814" s="473"/>
      <c r="H6814" s="473"/>
      <c r="I6814" s="473"/>
      <c r="J6814" s="473"/>
      <c r="K6814" s="478"/>
      <c r="L6814" s="473"/>
      <c r="M6814" s="473"/>
    </row>
    <row r="6815" spans="5:13">
      <c r="E6815" s="473"/>
      <c r="F6815" s="473"/>
      <c r="G6815" s="473"/>
      <c r="H6815" s="473"/>
      <c r="I6815" s="473"/>
      <c r="J6815" s="473"/>
      <c r="K6815" s="478"/>
      <c r="L6815" s="473"/>
      <c r="M6815" s="473"/>
    </row>
    <row r="6816" spans="5:13">
      <c r="E6816" s="473"/>
      <c r="F6816" s="473"/>
      <c r="G6816" s="473"/>
      <c r="H6816" s="473"/>
      <c r="I6816" s="473"/>
      <c r="J6816" s="473"/>
      <c r="K6816" s="478"/>
      <c r="L6816" s="473"/>
      <c r="M6816" s="473"/>
    </row>
    <row r="6817" spans="5:13">
      <c r="E6817" s="473"/>
      <c r="F6817" s="473"/>
      <c r="G6817" s="473"/>
      <c r="H6817" s="473"/>
      <c r="I6817" s="473"/>
      <c r="J6817" s="473"/>
      <c r="K6817" s="478"/>
      <c r="L6817" s="473"/>
      <c r="M6817" s="473"/>
    </row>
    <row r="6818" spans="5:13">
      <c r="E6818" s="473"/>
      <c r="F6818" s="473"/>
      <c r="G6818" s="473"/>
      <c r="H6818" s="473"/>
      <c r="I6818" s="473"/>
      <c r="J6818" s="473"/>
      <c r="K6818" s="478"/>
      <c r="L6818" s="473"/>
      <c r="M6818" s="473"/>
    </row>
    <row r="6819" spans="5:13">
      <c r="E6819" s="473"/>
      <c r="F6819" s="473"/>
      <c r="G6819" s="473"/>
      <c r="H6819" s="473"/>
      <c r="I6819" s="473"/>
      <c r="J6819" s="473"/>
      <c r="K6819" s="478"/>
      <c r="L6819" s="473"/>
      <c r="M6819" s="473"/>
    </row>
    <row r="6820" spans="5:13">
      <c r="E6820" s="473"/>
      <c r="F6820" s="473"/>
      <c r="G6820" s="473"/>
      <c r="H6820" s="473"/>
      <c r="I6820" s="473"/>
      <c r="J6820" s="473"/>
      <c r="K6820" s="478"/>
      <c r="L6820" s="473"/>
      <c r="M6820" s="473"/>
    </row>
    <row r="6821" spans="5:13">
      <c r="E6821" s="473"/>
      <c r="F6821" s="473"/>
      <c r="G6821" s="473"/>
      <c r="H6821" s="473"/>
      <c r="I6821" s="473"/>
      <c r="J6821" s="473"/>
      <c r="K6821" s="478"/>
      <c r="L6821" s="473"/>
      <c r="M6821" s="473"/>
    </row>
    <row r="6822" spans="5:13">
      <c r="E6822" s="473"/>
      <c r="F6822" s="473"/>
      <c r="G6822" s="473"/>
      <c r="H6822" s="473"/>
      <c r="I6822" s="473"/>
      <c r="J6822" s="473"/>
      <c r="K6822" s="478"/>
      <c r="L6822" s="473"/>
      <c r="M6822" s="473"/>
    </row>
    <row r="6823" spans="5:13">
      <c r="E6823" s="473"/>
      <c r="F6823" s="473"/>
      <c r="G6823" s="473"/>
      <c r="H6823" s="473"/>
      <c r="I6823" s="473"/>
      <c r="J6823" s="473"/>
      <c r="K6823" s="478"/>
      <c r="L6823" s="473"/>
      <c r="M6823" s="473"/>
    </row>
    <row r="6824" spans="5:13">
      <c r="E6824" s="473"/>
      <c r="F6824" s="473"/>
      <c r="G6824" s="473"/>
      <c r="H6824" s="473"/>
      <c r="I6824" s="473"/>
      <c r="J6824" s="473"/>
      <c r="K6824" s="478"/>
      <c r="L6824" s="473"/>
      <c r="M6824" s="473"/>
    </row>
    <row r="6825" spans="5:13">
      <c r="E6825" s="473"/>
      <c r="F6825" s="473"/>
      <c r="G6825" s="473"/>
      <c r="H6825" s="473"/>
      <c r="I6825" s="473"/>
      <c r="J6825" s="473"/>
      <c r="K6825" s="478"/>
      <c r="L6825" s="473"/>
      <c r="M6825" s="473"/>
    </row>
    <row r="6826" spans="5:13">
      <c r="E6826" s="473"/>
      <c r="F6826" s="473"/>
      <c r="G6826" s="473"/>
      <c r="H6826" s="473"/>
      <c r="I6826" s="473"/>
      <c r="J6826" s="473"/>
      <c r="K6826" s="478"/>
      <c r="L6826" s="473"/>
      <c r="M6826" s="473"/>
    </row>
    <row r="6827" spans="5:13">
      <c r="E6827" s="473"/>
      <c r="F6827" s="473"/>
      <c r="G6827" s="473"/>
      <c r="H6827" s="473"/>
      <c r="I6827" s="473"/>
      <c r="J6827" s="473"/>
      <c r="K6827" s="478"/>
      <c r="L6827" s="473"/>
      <c r="M6827" s="473"/>
    </row>
    <row r="6828" spans="5:13">
      <c r="E6828" s="473"/>
      <c r="F6828" s="473"/>
      <c r="G6828" s="473"/>
      <c r="H6828" s="473"/>
      <c r="I6828" s="473"/>
      <c r="J6828" s="473"/>
      <c r="K6828" s="478"/>
      <c r="L6828" s="473"/>
      <c r="M6828" s="473"/>
    </row>
    <row r="6829" spans="5:13">
      <c r="E6829" s="473"/>
      <c r="F6829" s="473"/>
      <c r="G6829" s="473"/>
      <c r="H6829" s="473"/>
      <c r="I6829" s="473"/>
      <c r="J6829" s="473"/>
      <c r="K6829" s="478"/>
      <c r="L6829" s="473"/>
      <c r="M6829" s="473"/>
    </row>
    <row r="6830" spans="5:13">
      <c r="E6830" s="473"/>
      <c r="F6830" s="473"/>
      <c r="G6830" s="473"/>
      <c r="H6830" s="473"/>
      <c r="I6830" s="473"/>
      <c r="J6830" s="473"/>
      <c r="K6830" s="478"/>
      <c r="L6830" s="473"/>
      <c r="M6830" s="473"/>
    </row>
    <row r="6831" spans="5:13">
      <c r="E6831" s="473"/>
      <c r="F6831" s="473"/>
      <c r="G6831" s="473"/>
      <c r="H6831" s="473"/>
      <c r="I6831" s="473"/>
      <c r="J6831" s="473"/>
      <c r="K6831" s="478"/>
      <c r="L6831" s="473"/>
      <c r="M6831" s="473"/>
    </row>
    <row r="6832" spans="5:13">
      <c r="E6832" s="473"/>
      <c r="F6832" s="473"/>
      <c r="G6832" s="473"/>
      <c r="H6832" s="473"/>
      <c r="I6832" s="473"/>
      <c r="J6832" s="473"/>
      <c r="K6832" s="478"/>
      <c r="L6832" s="473"/>
      <c r="M6832" s="473"/>
    </row>
    <row r="6833" spans="5:13">
      <c r="E6833" s="473"/>
      <c r="F6833" s="473"/>
      <c r="G6833" s="473"/>
      <c r="H6833" s="473"/>
      <c r="I6833" s="473"/>
      <c r="J6833" s="473"/>
      <c r="K6833" s="478"/>
      <c r="L6833" s="473"/>
      <c r="M6833" s="473"/>
    </row>
    <row r="6834" spans="5:13">
      <c r="E6834" s="473"/>
      <c r="F6834" s="473"/>
      <c r="G6834" s="473"/>
      <c r="H6834" s="473"/>
      <c r="I6834" s="473"/>
      <c r="J6834" s="473"/>
      <c r="K6834" s="478"/>
      <c r="L6834" s="473"/>
      <c r="M6834" s="473"/>
    </row>
    <row r="6835" spans="5:13">
      <c r="E6835" s="473"/>
      <c r="F6835" s="473"/>
      <c r="G6835" s="473"/>
      <c r="H6835" s="473"/>
      <c r="I6835" s="473"/>
      <c r="J6835" s="473"/>
      <c r="K6835" s="478"/>
      <c r="L6835" s="473"/>
      <c r="M6835" s="473"/>
    </row>
    <row r="6836" spans="5:13">
      <c r="E6836" s="473"/>
      <c r="F6836" s="473"/>
      <c r="G6836" s="473"/>
      <c r="H6836" s="473"/>
      <c r="I6836" s="473"/>
      <c r="J6836" s="473"/>
      <c r="K6836" s="478"/>
      <c r="L6836" s="473"/>
      <c r="M6836" s="473"/>
    </row>
    <row r="6837" spans="5:13">
      <c r="E6837" s="473"/>
      <c r="F6837" s="473"/>
      <c r="G6837" s="473"/>
      <c r="H6837" s="473"/>
      <c r="I6837" s="473"/>
      <c r="J6837" s="473"/>
      <c r="K6837" s="478"/>
      <c r="L6837" s="473"/>
      <c r="M6837" s="473"/>
    </row>
    <row r="6838" spans="5:13">
      <c r="E6838" s="473"/>
      <c r="F6838" s="473"/>
      <c r="G6838" s="473"/>
      <c r="H6838" s="473"/>
      <c r="I6838" s="473"/>
      <c r="J6838" s="473"/>
      <c r="K6838" s="478"/>
      <c r="L6838" s="473"/>
      <c r="M6838" s="473"/>
    </row>
    <row r="6839" spans="5:13">
      <c r="E6839" s="473"/>
      <c r="F6839" s="473"/>
      <c r="G6839" s="473"/>
      <c r="H6839" s="473"/>
      <c r="I6839" s="473"/>
      <c r="J6839" s="473"/>
      <c r="K6839" s="478"/>
      <c r="L6839" s="473"/>
      <c r="M6839" s="473"/>
    </row>
    <row r="6840" spans="5:13">
      <c r="E6840" s="473"/>
      <c r="F6840" s="473"/>
      <c r="G6840" s="473"/>
      <c r="H6840" s="473"/>
      <c r="I6840" s="473"/>
      <c r="J6840" s="473"/>
      <c r="K6840" s="478"/>
      <c r="L6840" s="473"/>
      <c r="M6840" s="473"/>
    </row>
    <row r="6841" spans="5:13">
      <c r="E6841" s="473"/>
      <c r="F6841" s="473"/>
      <c r="G6841" s="473"/>
      <c r="H6841" s="473"/>
      <c r="I6841" s="473"/>
      <c r="J6841" s="473"/>
      <c r="K6841" s="478"/>
      <c r="L6841" s="473"/>
      <c r="M6841" s="473"/>
    </row>
    <row r="6842" spans="5:13">
      <c r="E6842" s="473"/>
      <c r="F6842" s="473"/>
      <c r="G6842" s="473"/>
      <c r="H6842" s="473"/>
      <c r="I6842" s="473"/>
      <c r="J6842" s="473"/>
      <c r="K6842" s="478"/>
      <c r="L6842" s="473"/>
      <c r="M6842" s="473"/>
    </row>
    <row r="6843" spans="5:13">
      <c r="E6843" s="473"/>
      <c r="F6843" s="473"/>
      <c r="G6843" s="473"/>
      <c r="H6843" s="473"/>
      <c r="I6843" s="473"/>
      <c r="J6843" s="473"/>
      <c r="K6843" s="478"/>
      <c r="L6843" s="473"/>
      <c r="M6843" s="473"/>
    </row>
    <row r="6844" spans="5:13">
      <c r="E6844" s="473"/>
      <c r="F6844" s="473"/>
      <c r="G6844" s="473"/>
      <c r="H6844" s="473"/>
      <c r="I6844" s="473"/>
      <c r="J6844" s="473"/>
      <c r="K6844" s="478"/>
      <c r="L6844" s="473"/>
      <c r="M6844" s="473"/>
    </row>
    <row r="6845" spans="5:13">
      <c r="E6845" s="473"/>
      <c r="F6845" s="473"/>
      <c r="G6845" s="473"/>
      <c r="H6845" s="473"/>
      <c r="I6845" s="473"/>
      <c r="J6845" s="473"/>
      <c r="K6845" s="478"/>
      <c r="L6845" s="473"/>
      <c r="M6845" s="473"/>
    </row>
    <row r="6846" spans="5:13">
      <c r="E6846" s="473"/>
      <c r="F6846" s="473"/>
      <c r="G6846" s="473"/>
      <c r="H6846" s="473"/>
      <c r="I6846" s="473"/>
      <c r="J6846" s="473"/>
      <c r="K6846" s="478"/>
      <c r="L6846" s="473"/>
      <c r="M6846" s="473"/>
    </row>
    <row r="6847" spans="5:13">
      <c r="E6847" s="473"/>
      <c r="F6847" s="473"/>
      <c r="G6847" s="473"/>
      <c r="H6847" s="473"/>
      <c r="I6847" s="473"/>
      <c r="J6847" s="473"/>
      <c r="K6847" s="478"/>
      <c r="L6847" s="473"/>
      <c r="M6847" s="473"/>
    </row>
    <row r="6848" spans="5:13">
      <c r="E6848" s="473"/>
      <c r="F6848" s="473"/>
      <c r="G6848" s="473"/>
      <c r="H6848" s="473"/>
      <c r="I6848" s="473"/>
      <c r="J6848" s="473"/>
      <c r="K6848" s="478"/>
      <c r="L6848" s="473"/>
      <c r="M6848" s="473"/>
    </row>
    <row r="6849" spans="5:13">
      <c r="E6849" s="473"/>
      <c r="F6849" s="473"/>
      <c r="G6849" s="473"/>
      <c r="H6849" s="473"/>
      <c r="I6849" s="473"/>
      <c r="J6849" s="473"/>
      <c r="K6849" s="478"/>
      <c r="L6849" s="473"/>
      <c r="M6849" s="473"/>
    </row>
    <row r="6850" spans="5:13">
      <c r="E6850" s="473"/>
      <c r="F6850" s="473"/>
      <c r="G6850" s="473"/>
      <c r="H6850" s="473"/>
      <c r="I6850" s="473"/>
      <c r="J6850" s="473"/>
      <c r="K6850" s="478"/>
      <c r="L6850" s="473"/>
      <c r="M6850" s="473"/>
    </row>
    <row r="6851" spans="5:13">
      <c r="E6851" s="473"/>
      <c r="F6851" s="473"/>
      <c r="G6851" s="473"/>
      <c r="H6851" s="473"/>
      <c r="I6851" s="473"/>
      <c r="J6851" s="473"/>
      <c r="K6851" s="478"/>
      <c r="L6851" s="473"/>
      <c r="M6851" s="473"/>
    </row>
    <row r="6852" spans="5:13">
      <c r="E6852" s="473"/>
      <c r="F6852" s="473"/>
      <c r="G6852" s="473"/>
      <c r="H6852" s="473"/>
      <c r="I6852" s="473"/>
      <c r="J6852" s="473"/>
      <c r="K6852" s="478"/>
      <c r="L6852" s="473"/>
      <c r="M6852" s="473"/>
    </row>
    <row r="6853" spans="5:13">
      <c r="E6853" s="473"/>
      <c r="F6853" s="473"/>
      <c r="G6853" s="473"/>
      <c r="H6853" s="473"/>
      <c r="I6853" s="473"/>
      <c r="J6853" s="473"/>
      <c r="K6853" s="478"/>
      <c r="L6853" s="473"/>
      <c r="M6853" s="473"/>
    </row>
    <row r="6854" spans="5:13">
      <c r="E6854" s="473"/>
      <c r="F6854" s="473"/>
      <c r="G6854" s="473"/>
      <c r="H6854" s="473"/>
      <c r="I6854" s="473"/>
      <c r="J6854" s="473"/>
      <c r="K6854" s="478"/>
      <c r="L6854" s="473"/>
      <c r="M6854" s="473"/>
    </row>
    <row r="6855" spans="5:13">
      <c r="E6855" s="473"/>
      <c r="F6855" s="473"/>
      <c r="G6855" s="473"/>
      <c r="H6855" s="473"/>
      <c r="I6855" s="473"/>
      <c r="J6855" s="473"/>
      <c r="K6855" s="478"/>
      <c r="L6855" s="473"/>
      <c r="M6855" s="473"/>
    </row>
    <row r="6856" spans="5:13">
      <c r="E6856" s="473"/>
      <c r="F6856" s="473"/>
      <c r="G6856" s="473"/>
      <c r="H6856" s="473"/>
      <c r="I6856" s="473"/>
      <c r="J6856" s="473"/>
      <c r="K6856" s="478"/>
      <c r="L6856" s="473"/>
      <c r="M6856" s="473"/>
    </row>
    <row r="6857" spans="5:13">
      <c r="E6857" s="473"/>
      <c r="F6857" s="473"/>
      <c r="G6857" s="473"/>
      <c r="H6857" s="473"/>
      <c r="I6857" s="473"/>
      <c r="J6857" s="473"/>
      <c r="K6857" s="478"/>
      <c r="L6857" s="473"/>
      <c r="M6857" s="473"/>
    </row>
    <row r="6858" spans="5:13">
      <c r="E6858" s="473"/>
      <c r="F6858" s="473"/>
      <c r="G6858" s="473"/>
      <c r="H6858" s="473"/>
      <c r="I6858" s="473"/>
      <c r="J6858" s="473"/>
      <c r="K6858" s="478"/>
      <c r="L6858" s="473"/>
      <c r="M6858" s="473"/>
    </row>
    <row r="6859" spans="5:13">
      <c r="E6859" s="473"/>
      <c r="F6859" s="473"/>
      <c r="G6859" s="473"/>
      <c r="H6859" s="473"/>
      <c r="I6859" s="473"/>
      <c r="J6859" s="473"/>
      <c r="K6859" s="478"/>
      <c r="L6859" s="473"/>
      <c r="M6859" s="473"/>
    </row>
    <row r="6860" spans="5:13">
      <c r="E6860" s="473"/>
      <c r="F6860" s="473"/>
      <c r="G6860" s="473"/>
      <c r="H6860" s="473"/>
      <c r="I6860" s="473"/>
      <c r="J6860" s="473"/>
      <c r="K6860" s="478"/>
      <c r="L6860" s="473"/>
      <c r="M6860" s="473"/>
    </row>
    <row r="6861" spans="5:13">
      <c r="E6861" s="473"/>
      <c r="F6861" s="473"/>
      <c r="G6861" s="473"/>
      <c r="H6861" s="473"/>
      <c r="I6861" s="473"/>
      <c r="J6861" s="473"/>
      <c r="K6861" s="478"/>
      <c r="L6861" s="473"/>
      <c r="M6861" s="473"/>
    </row>
    <row r="6862" spans="5:13">
      <c r="E6862" s="473"/>
      <c r="F6862" s="473"/>
      <c r="G6862" s="473"/>
      <c r="H6862" s="473"/>
      <c r="I6862" s="473"/>
      <c r="J6862" s="473"/>
      <c r="K6862" s="478"/>
      <c r="L6862" s="473"/>
      <c r="M6862" s="473"/>
    </row>
    <row r="6863" spans="5:13">
      <c r="E6863" s="473"/>
      <c r="F6863" s="473"/>
      <c r="G6863" s="473"/>
      <c r="H6863" s="473"/>
      <c r="I6863" s="473"/>
      <c r="J6863" s="473"/>
      <c r="K6863" s="478"/>
      <c r="L6863" s="473"/>
      <c r="M6863" s="473"/>
    </row>
    <row r="6864" spans="5:13">
      <c r="E6864" s="473"/>
      <c r="F6864" s="473"/>
      <c r="G6864" s="473"/>
      <c r="H6864" s="473"/>
      <c r="I6864" s="473"/>
      <c r="J6864" s="473"/>
      <c r="K6864" s="478"/>
      <c r="L6864" s="473"/>
      <c r="M6864" s="473"/>
    </row>
    <row r="6865" spans="5:13">
      <c r="E6865" s="473"/>
      <c r="F6865" s="473"/>
      <c r="G6865" s="473"/>
      <c r="H6865" s="473"/>
      <c r="I6865" s="473"/>
      <c r="J6865" s="473"/>
      <c r="K6865" s="478"/>
      <c r="L6865" s="473"/>
      <c r="M6865" s="473"/>
    </row>
    <row r="6866" spans="5:13">
      <c r="E6866" s="473"/>
      <c r="F6866" s="473"/>
      <c r="G6866" s="473"/>
      <c r="H6866" s="473"/>
      <c r="I6866" s="473"/>
      <c r="J6866" s="473"/>
      <c r="K6866" s="478"/>
      <c r="L6866" s="473"/>
      <c r="M6866" s="473"/>
    </row>
    <row r="6867" spans="5:13">
      <c r="E6867" s="473"/>
      <c r="F6867" s="473"/>
      <c r="G6867" s="473"/>
      <c r="H6867" s="473"/>
      <c r="I6867" s="473"/>
      <c r="J6867" s="473"/>
      <c r="K6867" s="478"/>
      <c r="L6867" s="473"/>
      <c r="M6867" s="473"/>
    </row>
    <row r="6868" spans="5:13">
      <c r="E6868" s="473"/>
      <c r="F6868" s="473"/>
      <c r="G6868" s="473"/>
      <c r="H6868" s="473"/>
      <c r="I6868" s="473"/>
      <c r="J6868" s="473"/>
      <c r="K6868" s="478"/>
      <c r="L6868" s="473"/>
      <c r="M6868" s="473"/>
    </row>
    <row r="6869" spans="5:13">
      <c r="E6869" s="473"/>
      <c r="F6869" s="473"/>
      <c r="G6869" s="473"/>
      <c r="H6869" s="473"/>
      <c r="I6869" s="473"/>
      <c r="J6869" s="473"/>
      <c r="K6869" s="478"/>
      <c r="L6869" s="473"/>
      <c r="M6869" s="473"/>
    </row>
    <row r="6870" spans="5:13">
      <c r="E6870" s="473"/>
      <c r="F6870" s="473"/>
      <c r="G6870" s="473"/>
      <c r="H6870" s="473"/>
      <c r="I6870" s="473"/>
      <c r="J6870" s="473"/>
      <c r="K6870" s="478"/>
      <c r="L6870" s="473"/>
      <c r="M6870" s="473"/>
    </row>
    <row r="6871" spans="5:13">
      <c r="E6871" s="473"/>
      <c r="F6871" s="473"/>
      <c r="G6871" s="473"/>
      <c r="H6871" s="473"/>
      <c r="I6871" s="473"/>
      <c r="J6871" s="473"/>
      <c r="K6871" s="478"/>
      <c r="L6871" s="473"/>
      <c r="M6871" s="473"/>
    </row>
    <row r="6872" spans="5:13">
      <c r="E6872" s="473"/>
      <c r="F6872" s="473"/>
      <c r="G6872" s="473"/>
      <c r="H6872" s="473"/>
      <c r="I6872" s="473"/>
      <c r="J6872" s="473"/>
      <c r="K6872" s="478"/>
      <c r="L6872" s="473"/>
      <c r="M6872" s="473"/>
    </row>
    <row r="6873" spans="5:13">
      <c r="E6873" s="473"/>
      <c r="F6873" s="473"/>
      <c r="G6873" s="473"/>
      <c r="H6873" s="473"/>
      <c r="I6873" s="473"/>
      <c r="J6873" s="473"/>
      <c r="K6873" s="478"/>
      <c r="L6873" s="473"/>
      <c r="M6873" s="473"/>
    </row>
    <row r="6874" spans="5:13">
      <c r="E6874" s="473"/>
      <c r="F6874" s="473"/>
      <c r="G6874" s="473"/>
      <c r="H6874" s="473"/>
      <c r="I6874" s="473"/>
      <c r="J6874" s="473"/>
      <c r="K6874" s="478"/>
      <c r="L6874" s="473"/>
      <c r="M6874" s="473"/>
    </row>
    <row r="6875" spans="5:13">
      <c r="E6875" s="473"/>
      <c r="F6875" s="473"/>
      <c r="G6875" s="473"/>
      <c r="H6875" s="473"/>
      <c r="I6875" s="473"/>
      <c r="J6875" s="473"/>
      <c r="K6875" s="478"/>
      <c r="L6875" s="473"/>
      <c r="M6875" s="473"/>
    </row>
    <row r="6876" spans="5:13">
      <c r="E6876" s="473"/>
      <c r="F6876" s="473"/>
      <c r="G6876" s="473"/>
      <c r="H6876" s="473"/>
      <c r="I6876" s="473"/>
      <c r="J6876" s="473"/>
      <c r="K6876" s="478"/>
      <c r="L6876" s="473"/>
      <c r="M6876" s="473"/>
    </row>
    <row r="6877" spans="5:13">
      <c r="E6877" s="473"/>
      <c r="F6877" s="473"/>
      <c r="G6877" s="473"/>
      <c r="H6877" s="473"/>
      <c r="I6877" s="473"/>
      <c r="J6877" s="473"/>
      <c r="K6877" s="478"/>
      <c r="L6877" s="473"/>
      <c r="M6877" s="473"/>
    </row>
    <row r="6878" spans="5:13">
      <c r="E6878" s="473"/>
      <c r="F6878" s="473"/>
      <c r="G6878" s="473"/>
      <c r="H6878" s="473"/>
      <c r="I6878" s="473"/>
      <c r="J6878" s="473"/>
      <c r="K6878" s="478"/>
      <c r="L6878" s="473"/>
      <c r="M6878" s="473"/>
    </row>
    <row r="6879" spans="5:13">
      <c r="E6879" s="473"/>
      <c r="F6879" s="473"/>
      <c r="G6879" s="473"/>
      <c r="H6879" s="473"/>
      <c r="I6879" s="473"/>
      <c r="J6879" s="473"/>
      <c r="K6879" s="478"/>
      <c r="L6879" s="473"/>
      <c r="M6879" s="473"/>
    </row>
    <row r="6880" spans="5:13">
      <c r="E6880" s="473"/>
      <c r="F6880" s="473"/>
      <c r="G6880" s="473"/>
      <c r="H6880" s="473"/>
      <c r="I6880" s="473"/>
      <c r="J6880" s="473"/>
      <c r="K6880" s="478"/>
      <c r="L6880" s="473"/>
      <c r="M6880" s="473"/>
    </row>
    <row r="6881" spans="5:13">
      <c r="E6881" s="473"/>
      <c r="F6881" s="473"/>
      <c r="G6881" s="473"/>
      <c r="H6881" s="473"/>
      <c r="I6881" s="473"/>
      <c r="J6881" s="473"/>
      <c r="K6881" s="478"/>
      <c r="L6881" s="473"/>
      <c r="M6881" s="473"/>
    </row>
    <row r="6882" spans="5:13">
      <c r="E6882" s="473"/>
      <c r="F6882" s="473"/>
      <c r="G6882" s="473"/>
      <c r="H6882" s="473"/>
      <c r="I6882" s="473"/>
      <c r="J6882" s="473"/>
      <c r="K6882" s="478"/>
      <c r="L6882" s="473"/>
      <c r="M6882" s="473"/>
    </row>
    <row r="6883" spans="5:13">
      <c r="E6883" s="473"/>
      <c r="F6883" s="473"/>
      <c r="G6883" s="473"/>
      <c r="H6883" s="473"/>
      <c r="I6883" s="473"/>
      <c r="J6883" s="473"/>
      <c r="K6883" s="478"/>
      <c r="L6883" s="473"/>
      <c r="M6883" s="473"/>
    </row>
    <row r="6884" spans="5:13">
      <c r="E6884" s="473"/>
      <c r="F6884" s="473"/>
      <c r="G6884" s="473"/>
      <c r="H6884" s="473"/>
      <c r="I6884" s="473"/>
      <c r="J6884" s="473"/>
      <c r="K6884" s="478"/>
      <c r="L6884" s="473"/>
      <c r="M6884" s="473"/>
    </row>
    <row r="6885" spans="5:13">
      <c r="E6885" s="473"/>
      <c r="F6885" s="473"/>
      <c r="G6885" s="473"/>
      <c r="H6885" s="473"/>
      <c r="I6885" s="473"/>
      <c r="J6885" s="473"/>
      <c r="K6885" s="478"/>
      <c r="L6885" s="473"/>
      <c r="M6885" s="473"/>
    </row>
    <row r="6886" spans="5:13">
      <c r="E6886" s="473"/>
      <c r="F6886" s="473"/>
      <c r="G6886" s="473"/>
      <c r="H6886" s="473"/>
      <c r="I6886" s="473"/>
      <c r="J6886" s="473"/>
      <c r="K6886" s="478"/>
      <c r="L6886" s="473"/>
      <c r="M6886" s="473"/>
    </row>
    <row r="6887" spans="5:13">
      <c r="E6887" s="473"/>
      <c r="F6887" s="473"/>
      <c r="G6887" s="473"/>
      <c r="H6887" s="473"/>
      <c r="I6887" s="473"/>
      <c r="J6887" s="473"/>
      <c r="K6887" s="478"/>
      <c r="L6887" s="473"/>
      <c r="M6887" s="473"/>
    </row>
    <row r="6888" spans="5:13">
      <c r="E6888" s="473"/>
      <c r="F6888" s="473"/>
      <c r="G6888" s="473"/>
      <c r="H6888" s="473"/>
      <c r="I6888" s="473"/>
      <c r="J6888" s="473"/>
      <c r="K6888" s="478"/>
      <c r="L6888" s="473"/>
      <c r="M6888" s="473"/>
    </row>
    <row r="6889" spans="5:13">
      <c r="E6889" s="473"/>
      <c r="F6889" s="473"/>
      <c r="G6889" s="473"/>
      <c r="H6889" s="473"/>
      <c r="I6889" s="473"/>
      <c r="J6889" s="473"/>
      <c r="K6889" s="478"/>
      <c r="L6889" s="473"/>
      <c r="M6889" s="473"/>
    </row>
    <row r="6890" spans="5:13">
      <c r="E6890" s="473"/>
      <c r="F6890" s="473"/>
      <c r="G6890" s="473"/>
      <c r="H6890" s="473"/>
      <c r="I6890" s="473"/>
      <c r="J6890" s="473"/>
      <c r="K6890" s="478"/>
      <c r="L6890" s="473"/>
      <c r="M6890" s="473"/>
    </row>
    <row r="6891" spans="5:13">
      <c r="E6891" s="473"/>
      <c r="F6891" s="473"/>
      <c r="G6891" s="473"/>
      <c r="H6891" s="473"/>
      <c r="I6891" s="473"/>
      <c r="J6891" s="473"/>
      <c r="K6891" s="478"/>
      <c r="L6891" s="473"/>
      <c r="M6891" s="473"/>
    </row>
    <row r="6892" spans="5:13">
      <c r="E6892" s="473"/>
      <c r="F6892" s="473"/>
      <c r="G6892" s="473"/>
      <c r="H6892" s="473"/>
      <c r="I6892" s="473"/>
      <c r="J6892" s="473"/>
      <c r="K6892" s="478"/>
      <c r="L6892" s="473"/>
      <c r="M6892" s="473"/>
    </row>
    <row r="6893" spans="5:13">
      <c r="E6893" s="473"/>
      <c r="F6893" s="473"/>
      <c r="G6893" s="473"/>
      <c r="H6893" s="473"/>
      <c r="I6893" s="473"/>
      <c r="J6893" s="473"/>
      <c r="K6893" s="478"/>
      <c r="L6893" s="473"/>
      <c r="M6893" s="473"/>
    </row>
    <row r="6894" spans="5:13">
      <c r="E6894" s="473"/>
      <c r="F6894" s="473"/>
      <c r="G6894" s="473"/>
      <c r="H6894" s="473"/>
      <c r="I6894" s="473"/>
      <c r="J6894" s="473"/>
      <c r="K6894" s="478"/>
      <c r="L6894" s="473"/>
      <c r="M6894" s="473"/>
    </row>
    <row r="6895" spans="5:13">
      <c r="E6895" s="473"/>
      <c r="F6895" s="473"/>
      <c r="G6895" s="473"/>
      <c r="H6895" s="473"/>
      <c r="I6895" s="473"/>
      <c r="J6895" s="473"/>
      <c r="K6895" s="478"/>
      <c r="L6895" s="473"/>
      <c r="M6895" s="473"/>
    </row>
    <row r="6896" spans="5:13">
      <c r="E6896" s="473"/>
      <c r="F6896" s="473"/>
      <c r="G6896" s="473"/>
      <c r="H6896" s="473"/>
      <c r="I6896" s="473"/>
      <c r="J6896" s="473"/>
      <c r="K6896" s="478"/>
      <c r="L6896" s="473"/>
      <c r="M6896" s="473"/>
    </row>
    <row r="6897" spans="5:13">
      <c r="E6897" s="473"/>
      <c r="F6897" s="473"/>
      <c r="G6897" s="473"/>
      <c r="H6897" s="473"/>
      <c r="I6897" s="473"/>
      <c r="J6897" s="473"/>
      <c r="K6897" s="478"/>
      <c r="L6897" s="473"/>
      <c r="M6897" s="473"/>
    </row>
    <row r="6898" spans="5:13">
      <c r="E6898" s="473"/>
      <c r="F6898" s="473"/>
      <c r="G6898" s="473"/>
      <c r="H6898" s="473"/>
      <c r="I6898" s="473"/>
      <c r="J6898" s="473"/>
      <c r="K6898" s="478"/>
      <c r="L6898" s="473"/>
      <c r="M6898" s="473"/>
    </row>
    <row r="6899" spans="5:13">
      <c r="E6899" s="473"/>
      <c r="F6899" s="473"/>
      <c r="G6899" s="473"/>
      <c r="H6899" s="473"/>
      <c r="I6899" s="473"/>
      <c r="J6899" s="473"/>
      <c r="K6899" s="478"/>
      <c r="L6899" s="473"/>
      <c r="M6899" s="473"/>
    </row>
    <row r="6900" spans="5:13">
      <c r="E6900" s="473"/>
      <c r="F6900" s="473"/>
      <c r="G6900" s="473"/>
      <c r="H6900" s="473"/>
      <c r="I6900" s="473"/>
      <c r="J6900" s="473"/>
      <c r="K6900" s="478"/>
      <c r="L6900" s="473"/>
      <c r="M6900" s="473"/>
    </row>
    <row r="6901" spans="5:13">
      <c r="E6901" s="473"/>
      <c r="F6901" s="473"/>
      <c r="G6901" s="473"/>
      <c r="H6901" s="473"/>
      <c r="I6901" s="473"/>
      <c r="J6901" s="473"/>
      <c r="K6901" s="478"/>
      <c r="L6901" s="473"/>
      <c r="M6901" s="473"/>
    </row>
    <row r="6902" spans="5:13">
      <c r="E6902" s="473"/>
      <c r="F6902" s="473"/>
      <c r="G6902" s="473"/>
      <c r="H6902" s="473"/>
      <c r="I6902" s="473"/>
      <c r="J6902" s="473"/>
      <c r="K6902" s="478"/>
      <c r="L6902" s="473"/>
      <c r="M6902" s="473"/>
    </row>
    <row r="6903" spans="5:13">
      <c r="E6903" s="473"/>
      <c r="F6903" s="473"/>
      <c r="G6903" s="473"/>
      <c r="H6903" s="473"/>
      <c r="I6903" s="473"/>
      <c r="J6903" s="473"/>
      <c r="K6903" s="478"/>
      <c r="L6903" s="473"/>
      <c r="M6903" s="473"/>
    </row>
    <row r="6904" spans="5:13">
      <c r="E6904" s="473"/>
      <c r="F6904" s="473"/>
      <c r="G6904" s="473"/>
      <c r="H6904" s="473"/>
      <c r="I6904" s="473"/>
      <c r="J6904" s="473"/>
      <c r="K6904" s="478"/>
      <c r="L6904" s="473"/>
      <c r="M6904" s="473"/>
    </row>
    <row r="6905" spans="5:13">
      <c r="E6905" s="473"/>
      <c r="F6905" s="473"/>
      <c r="G6905" s="473"/>
      <c r="H6905" s="473"/>
      <c r="I6905" s="473"/>
      <c r="J6905" s="473"/>
      <c r="K6905" s="478"/>
      <c r="L6905" s="473"/>
      <c r="M6905" s="473"/>
    </row>
    <row r="6906" spans="5:13">
      <c r="E6906" s="473"/>
      <c r="F6906" s="473"/>
      <c r="G6906" s="473"/>
      <c r="H6906" s="473"/>
      <c r="I6906" s="473"/>
      <c r="J6906" s="473"/>
      <c r="K6906" s="478"/>
      <c r="L6906" s="473"/>
      <c r="M6906" s="473"/>
    </row>
    <row r="6907" spans="5:13">
      <c r="E6907" s="473"/>
      <c r="F6907" s="473"/>
      <c r="G6907" s="473"/>
      <c r="H6907" s="473"/>
      <c r="I6907" s="473"/>
      <c r="J6907" s="473"/>
      <c r="K6907" s="478"/>
      <c r="L6907" s="473"/>
      <c r="M6907" s="473"/>
    </row>
    <row r="6908" spans="5:13">
      <c r="E6908" s="473"/>
      <c r="F6908" s="473"/>
      <c r="G6908" s="473"/>
      <c r="H6908" s="473"/>
      <c r="I6908" s="473"/>
      <c r="J6908" s="473"/>
      <c r="K6908" s="478"/>
      <c r="L6908" s="473"/>
      <c r="M6908" s="473"/>
    </row>
    <row r="6909" spans="5:13">
      <c r="E6909" s="473"/>
      <c r="F6909" s="473"/>
      <c r="G6909" s="473"/>
      <c r="H6909" s="473"/>
      <c r="I6909" s="473"/>
      <c r="J6909" s="473"/>
      <c r="K6909" s="478"/>
      <c r="L6909" s="473"/>
      <c r="M6909" s="473"/>
    </row>
    <row r="6910" spans="5:13">
      <c r="E6910" s="473"/>
      <c r="F6910" s="473"/>
      <c r="G6910" s="473"/>
      <c r="H6910" s="473"/>
      <c r="I6910" s="473"/>
      <c r="J6910" s="473"/>
      <c r="K6910" s="478"/>
      <c r="L6910" s="473"/>
      <c r="M6910" s="473"/>
    </row>
    <row r="6911" spans="5:13">
      <c r="E6911" s="473"/>
      <c r="F6911" s="473"/>
      <c r="G6911" s="473"/>
      <c r="H6911" s="473"/>
      <c r="I6911" s="473"/>
      <c r="J6911" s="473"/>
      <c r="K6911" s="478"/>
      <c r="L6911" s="473"/>
      <c r="M6911" s="473"/>
    </row>
    <row r="6912" spans="5:13">
      <c r="E6912" s="473"/>
      <c r="F6912" s="473"/>
      <c r="G6912" s="473"/>
      <c r="H6912" s="473"/>
      <c r="I6912" s="473"/>
      <c r="J6912" s="473"/>
      <c r="K6912" s="478"/>
      <c r="L6912" s="473"/>
      <c r="M6912" s="473"/>
    </row>
    <row r="6913" spans="5:13">
      <c r="E6913" s="473"/>
      <c r="F6913" s="473"/>
      <c r="G6913" s="473"/>
      <c r="H6913" s="473"/>
      <c r="I6913" s="473"/>
      <c r="J6913" s="473"/>
      <c r="K6913" s="478"/>
      <c r="L6913" s="473"/>
      <c r="M6913" s="473"/>
    </row>
    <row r="6914" spans="5:13">
      <c r="E6914" s="473"/>
      <c r="F6914" s="473"/>
      <c r="G6914" s="473"/>
      <c r="H6914" s="473"/>
      <c r="I6914" s="473"/>
      <c r="J6914" s="473"/>
      <c r="K6914" s="478"/>
      <c r="L6914" s="473"/>
      <c r="M6914" s="473"/>
    </row>
    <row r="6915" spans="5:13">
      <c r="E6915" s="473"/>
      <c r="F6915" s="473"/>
      <c r="G6915" s="473"/>
      <c r="H6915" s="473"/>
      <c r="I6915" s="473"/>
      <c r="J6915" s="473"/>
      <c r="K6915" s="478"/>
      <c r="L6915" s="473"/>
      <c r="M6915" s="473"/>
    </row>
    <row r="6916" spans="5:13">
      <c r="E6916" s="473"/>
      <c r="F6916" s="473"/>
      <c r="G6916" s="473"/>
      <c r="H6916" s="473"/>
      <c r="I6916" s="473"/>
      <c r="J6916" s="473"/>
      <c r="K6916" s="478"/>
      <c r="L6916" s="473"/>
      <c r="M6916" s="473"/>
    </row>
    <row r="6917" spans="5:13">
      <c r="E6917" s="473"/>
      <c r="F6917" s="473"/>
      <c r="G6917" s="473"/>
      <c r="H6917" s="473"/>
      <c r="I6917" s="473"/>
      <c r="J6917" s="473"/>
      <c r="K6917" s="478"/>
      <c r="L6917" s="473"/>
      <c r="M6917" s="473"/>
    </row>
    <row r="6918" spans="5:13">
      <c r="E6918" s="473"/>
      <c r="F6918" s="473"/>
      <c r="G6918" s="473"/>
      <c r="H6918" s="473"/>
      <c r="I6918" s="473"/>
      <c r="J6918" s="473"/>
      <c r="K6918" s="478"/>
      <c r="L6918" s="473"/>
      <c r="M6918" s="473"/>
    </row>
    <row r="6919" spans="5:13">
      <c r="E6919" s="473"/>
      <c r="F6919" s="473"/>
      <c r="G6919" s="473"/>
      <c r="H6919" s="473"/>
      <c r="I6919" s="473"/>
      <c r="J6919" s="473"/>
      <c r="K6919" s="478"/>
      <c r="L6919" s="473"/>
      <c r="M6919" s="473"/>
    </row>
    <row r="6920" spans="5:13">
      <c r="E6920" s="473"/>
      <c r="F6920" s="473"/>
      <c r="G6920" s="473"/>
      <c r="H6920" s="473"/>
      <c r="I6920" s="473"/>
      <c r="J6920" s="473"/>
      <c r="K6920" s="478"/>
      <c r="L6920" s="473"/>
      <c r="M6920" s="473"/>
    </row>
    <row r="6921" spans="5:13">
      <c r="E6921" s="473"/>
      <c r="F6921" s="473"/>
      <c r="G6921" s="473"/>
      <c r="H6921" s="473"/>
      <c r="I6921" s="473"/>
      <c r="J6921" s="473"/>
      <c r="K6921" s="478"/>
      <c r="L6921" s="473"/>
      <c r="M6921" s="473"/>
    </row>
    <row r="6922" spans="5:13">
      <c r="E6922" s="473"/>
      <c r="F6922" s="473"/>
      <c r="G6922" s="473"/>
      <c r="H6922" s="473"/>
      <c r="I6922" s="473"/>
      <c r="J6922" s="473"/>
      <c r="K6922" s="478"/>
      <c r="L6922" s="473"/>
      <c r="M6922" s="473"/>
    </row>
    <row r="6923" spans="5:13">
      <c r="E6923" s="473"/>
      <c r="F6923" s="473"/>
      <c r="G6923" s="473"/>
      <c r="H6923" s="473"/>
      <c r="I6923" s="473"/>
      <c r="J6923" s="473"/>
      <c r="K6923" s="478"/>
      <c r="L6923" s="473"/>
      <c r="M6923" s="473"/>
    </row>
    <row r="6924" spans="5:13">
      <c r="E6924" s="473"/>
      <c r="F6924" s="473"/>
      <c r="G6924" s="473"/>
      <c r="H6924" s="473"/>
      <c r="I6924" s="473"/>
      <c r="J6924" s="473"/>
      <c r="K6924" s="478"/>
      <c r="L6924" s="473"/>
      <c r="M6924" s="473"/>
    </row>
    <row r="6925" spans="5:13">
      <c r="E6925" s="473"/>
      <c r="F6925" s="473"/>
      <c r="G6925" s="473"/>
      <c r="H6925" s="473"/>
      <c r="I6925" s="473"/>
      <c r="J6925" s="473"/>
      <c r="K6925" s="478"/>
      <c r="L6925" s="473"/>
      <c r="M6925" s="473"/>
    </row>
    <row r="6926" spans="5:13">
      <c r="E6926" s="473"/>
      <c r="F6926" s="473"/>
      <c r="G6926" s="473"/>
      <c r="H6926" s="473"/>
      <c r="I6926" s="473"/>
      <c r="J6926" s="473"/>
      <c r="K6926" s="478"/>
      <c r="L6926" s="473"/>
      <c r="M6926" s="473"/>
    </row>
    <row r="6927" spans="5:13">
      <c r="E6927" s="473"/>
      <c r="F6927" s="473"/>
      <c r="G6927" s="473"/>
      <c r="H6927" s="473"/>
      <c r="I6927" s="473"/>
      <c r="J6927" s="473"/>
      <c r="K6927" s="478"/>
      <c r="L6927" s="473"/>
      <c r="M6927" s="473"/>
    </row>
    <row r="6928" spans="5:13">
      <c r="E6928" s="473"/>
      <c r="F6928" s="473"/>
      <c r="G6928" s="473"/>
      <c r="H6928" s="473"/>
      <c r="I6928" s="473"/>
      <c r="J6928" s="473"/>
      <c r="K6928" s="478"/>
      <c r="L6928" s="473"/>
      <c r="M6928" s="473"/>
    </row>
    <row r="6929" spans="5:13">
      <c r="E6929" s="473"/>
      <c r="F6929" s="473"/>
      <c r="G6929" s="473"/>
      <c r="H6929" s="473"/>
      <c r="I6929" s="473"/>
      <c r="J6929" s="473"/>
      <c r="K6929" s="478"/>
      <c r="L6929" s="473"/>
      <c r="M6929" s="473"/>
    </row>
    <row r="6930" spans="5:13">
      <c r="E6930" s="473"/>
      <c r="F6930" s="473"/>
      <c r="G6930" s="473"/>
      <c r="H6930" s="473"/>
      <c r="I6930" s="473"/>
      <c r="J6930" s="473"/>
      <c r="K6930" s="478"/>
      <c r="L6930" s="473"/>
      <c r="M6930" s="473"/>
    </row>
    <row r="6931" spans="5:13">
      <c r="E6931" s="473"/>
      <c r="F6931" s="473"/>
      <c r="G6931" s="473"/>
      <c r="H6931" s="473"/>
      <c r="I6931" s="473"/>
      <c r="J6931" s="473"/>
      <c r="K6931" s="478"/>
      <c r="L6931" s="473"/>
      <c r="M6931" s="473"/>
    </row>
    <row r="6932" spans="5:13">
      <c r="E6932" s="473"/>
      <c r="F6932" s="473"/>
      <c r="G6932" s="473"/>
      <c r="H6932" s="473"/>
      <c r="I6932" s="473"/>
      <c r="J6932" s="473"/>
      <c r="K6932" s="478"/>
      <c r="L6932" s="473"/>
      <c r="M6932" s="473"/>
    </row>
    <row r="6933" spans="5:13">
      <c r="E6933" s="473"/>
      <c r="F6933" s="473"/>
      <c r="G6933" s="473"/>
      <c r="H6933" s="473"/>
      <c r="I6933" s="473"/>
      <c r="J6933" s="473"/>
      <c r="K6933" s="478"/>
      <c r="L6933" s="473"/>
      <c r="M6933" s="473"/>
    </row>
    <row r="6934" spans="5:13">
      <c r="E6934" s="473"/>
      <c r="F6934" s="473"/>
      <c r="G6934" s="473"/>
      <c r="H6934" s="473"/>
      <c r="I6934" s="473"/>
      <c r="J6934" s="473"/>
      <c r="K6934" s="478"/>
      <c r="L6934" s="473"/>
      <c r="M6934" s="473"/>
    </row>
    <row r="6935" spans="5:13">
      <c r="E6935" s="473"/>
      <c r="F6935" s="473"/>
      <c r="G6935" s="473"/>
      <c r="H6935" s="473"/>
      <c r="I6935" s="473"/>
      <c r="J6935" s="473"/>
      <c r="K6935" s="478"/>
      <c r="L6935" s="473"/>
      <c r="M6935" s="473"/>
    </row>
    <row r="6936" spans="5:13">
      <c r="E6936" s="473"/>
      <c r="F6936" s="473"/>
      <c r="G6936" s="473"/>
      <c r="H6936" s="473"/>
      <c r="I6936" s="473"/>
      <c r="J6936" s="473"/>
      <c r="K6936" s="478"/>
      <c r="L6936" s="473"/>
      <c r="M6936" s="473"/>
    </row>
    <row r="6937" spans="5:13">
      <c r="E6937" s="473"/>
      <c r="F6937" s="473"/>
      <c r="G6937" s="473"/>
      <c r="H6937" s="473"/>
      <c r="I6937" s="473"/>
      <c r="J6937" s="473"/>
      <c r="K6937" s="478"/>
      <c r="L6937" s="473"/>
      <c r="M6937" s="473"/>
    </row>
    <row r="6938" spans="5:13">
      <c r="E6938" s="473"/>
      <c r="F6938" s="473"/>
      <c r="G6938" s="473"/>
      <c r="H6938" s="473"/>
      <c r="I6938" s="473"/>
      <c r="J6938" s="473"/>
      <c r="K6938" s="478"/>
      <c r="L6938" s="473"/>
      <c r="M6938" s="473"/>
    </row>
    <row r="6939" spans="5:13">
      <c r="E6939" s="473"/>
      <c r="F6939" s="473"/>
      <c r="G6939" s="473"/>
      <c r="H6939" s="473"/>
      <c r="I6939" s="473"/>
      <c r="J6939" s="473"/>
      <c r="K6939" s="478"/>
      <c r="L6939" s="473"/>
      <c r="M6939" s="473"/>
    </row>
    <row r="6940" spans="5:13">
      <c r="E6940" s="473"/>
      <c r="F6940" s="473"/>
      <c r="G6940" s="473"/>
      <c r="H6940" s="473"/>
      <c r="I6940" s="473"/>
      <c r="J6940" s="473"/>
      <c r="K6940" s="478"/>
      <c r="L6940" s="473"/>
      <c r="M6940" s="473"/>
    </row>
    <row r="6941" spans="5:13">
      <c r="E6941" s="473"/>
      <c r="F6941" s="473"/>
      <c r="G6941" s="473"/>
      <c r="H6941" s="473"/>
      <c r="I6941" s="473"/>
      <c r="J6941" s="473"/>
      <c r="K6941" s="478"/>
      <c r="L6941" s="473"/>
      <c r="M6941" s="473"/>
    </row>
    <row r="6942" spans="5:13">
      <c r="E6942" s="473"/>
      <c r="F6942" s="473"/>
      <c r="G6942" s="473"/>
      <c r="H6942" s="473"/>
      <c r="I6942" s="473"/>
      <c r="J6942" s="473"/>
      <c r="K6942" s="478"/>
      <c r="L6942" s="473"/>
      <c r="M6942" s="473"/>
    </row>
    <row r="6943" spans="5:13">
      <c r="E6943" s="473"/>
      <c r="F6943" s="473"/>
      <c r="G6943" s="473"/>
      <c r="H6943" s="473"/>
      <c r="I6943" s="473"/>
      <c r="J6943" s="473"/>
      <c r="K6943" s="478"/>
      <c r="L6943" s="473"/>
      <c r="M6943" s="473"/>
    </row>
    <row r="6944" spans="5:13">
      <c r="E6944" s="473"/>
      <c r="F6944" s="473"/>
      <c r="G6944" s="473"/>
      <c r="H6944" s="473"/>
      <c r="I6944" s="473"/>
      <c r="J6944" s="473"/>
      <c r="K6944" s="478"/>
      <c r="L6944" s="473"/>
      <c r="M6944" s="473"/>
    </row>
    <row r="6945" spans="5:13">
      <c r="E6945" s="473"/>
      <c r="F6945" s="473"/>
      <c r="G6945" s="473"/>
      <c r="H6945" s="473"/>
      <c r="I6945" s="473"/>
      <c r="J6945" s="473"/>
      <c r="K6945" s="478"/>
      <c r="L6945" s="473"/>
      <c r="M6945" s="473"/>
    </row>
    <row r="6946" spans="5:13">
      <c r="E6946" s="473"/>
      <c r="F6946" s="473"/>
      <c r="G6946" s="473"/>
      <c r="H6946" s="473"/>
      <c r="I6946" s="473"/>
      <c r="J6946" s="473"/>
      <c r="K6946" s="478"/>
      <c r="L6946" s="473"/>
      <c r="M6946" s="473"/>
    </row>
    <row r="6947" spans="5:13">
      <c r="E6947" s="473"/>
      <c r="F6947" s="473"/>
      <c r="G6947" s="473"/>
      <c r="H6947" s="473"/>
      <c r="I6947" s="473"/>
      <c r="J6947" s="473"/>
      <c r="K6947" s="478"/>
      <c r="L6947" s="473"/>
      <c r="M6947" s="473"/>
    </row>
    <row r="6948" spans="5:13">
      <c r="E6948" s="473"/>
      <c r="F6948" s="473"/>
      <c r="G6948" s="473"/>
      <c r="H6948" s="473"/>
      <c r="I6948" s="473"/>
      <c r="J6948" s="473"/>
      <c r="K6948" s="478"/>
      <c r="L6948" s="473"/>
      <c r="M6948" s="473"/>
    </row>
    <row r="6949" spans="5:13">
      <c r="E6949" s="473"/>
      <c r="F6949" s="473"/>
      <c r="G6949" s="473"/>
      <c r="H6949" s="473"/>
      <c r="I6949" s="473"/>
      <c r="J6949" s="473"/>
      <c r="K6949" s="478"/>
      <c r="L6949" s="473"/>
      <c r="M6949" s="473"/>
    </row>
    <row r="6950" spans="5:13">
      <c r="E6950" s="473"/>
      <c r="F6950" s="473"/>
      <c r="G6950" s="473"/>
      <c r="H6950" s="473"/>
      <c r="I6950" s="473"/>
      <c r="J6950" s="473"/>
      <c r="K6950" s="478"/>
      <c r="L6950" s="473"/>
      <c r="M6950" s="473"/>
    </row>
    <row r="6951" spans="5:13">
      <c r="E6951" s="473"/>
      <c r="F6951" s="473"/>
      <c r="G6951" s="473"/>
      <c r="H6951" s="473"/>
      <c r="I6951" s="473"/>
      <c r="J6951" s="473"/>
      <c r="K6951" s="478"/>
      <c r="L6951" s="473"/>
      <c r="M6951" s="473"/>
    </row>
    <row r="6952" spans="5:13">
      <c r="E6952" s="473"/>
      <c r="F6952" s="473"/>
      <c r="G6952" s="473"/>
      <c r="H6952" s="473"/>
      <c r="I6952" s="473"/>
      <c r="J6952" s="473"/>
      <c r="K6952" s="478"/>
      <c r="L6952" s="473"/>
      <c r="M6952" s="473"/>
    </row>
    <row r="6953" spans="5:13">
      <c r="E6953" s="473"/>
      <c r="F6953" s="473"/>
      <c r="G6953" s="473"/>
      <c r="H6953" s="473"/>
      <c r="I6953" s="473"/>
      <c r="J6953" s="473"/>
      <c r="K6953" s="478"/>
      <c r="L6953" s="473"/>
      <c r="M6953" s="473"/>
    </row>
    <row r="6954" spans="5:13">
      <c r="E6954" s="473"/>
      <c r="F6954" s="473"/>
      <c r="G6954" s="473"/>
      <c r="H6954" s="473"/>
      <c r="I6954" s="473"/>
      <c r="J6954" s="473"/>
      <c r="K6954" s="478"/>
      <c r="L6954" s="473"/>
      <c r="M6954" s="473"/>
    </row>
    <row r="6955" spans="5:13">
      <c r="E6955" s="473"/>
      <c r="F6955" s="473"/>
      <c r="G6955" s="473"/>
      <c r="H6955" s="473"/>
      <c r="I6955" s="473"/>
      <c r="J6955" s="473"/>
      <c r="K6955" s="478"/>
      <c r="L6955" s="473"/>
      <c r="M6955" s="473"/>
    </row>
    <row r="6956" spans="5:13">
      <c r="E6956" s="473"/>
      <c r="F6956" s="473"/>
      <c r="G6956" s="473"/>
      <c r="H6956" s="473"/>
      <c r="I6956" s="473"/>
      <c r="J6956" s="473"/>
      <c r="K6956" s="478"/>
      <c r="L6956" s="473"/>
      <c r="M6956" s="473"/>
    </row>
    <row r="6957" spans="5:13">
      <c r="E6957" s="473"/>
      <c r="F6957" s="473"/>
      <c r="G6957" s="473"/>
      <c r="H6957" s="473"/>
      <c r="I6957" s="473"/>
      <c r="J6957" s="473"/>
      <c r="K6957" s="478"/>
      <c r="L6957" s="473"/>
      <c r="M6957" s="473"/>
    </row>
    <row r="6958" spans="5:13">
      <c r="E6958" s="473"/>
      <c r="F6958" s="473"/>
      <c r="G6958" s="473"/>
      <c r="H6958" s="473"/>
      <c r="I6958" s="473"/>
      <c r="J6958" s="473"/>
      <c r="K6958" s="478"/>
      <c r="L6958" s="473"/>
      <c r="M6958" s="473"/>
    </row>
    <row r="6959" spans="5:13">
      <c r="E6959" s="473"/>
      <c r="F6959" s="473"/>
      <c r="G6959" s="473"/>
      <c r="H6959" s="473"/>
      <c r="I6959" s="473"/>
      <c r="J6959" s="473"/>
      <c r="K6959" s="478"/>
      <c r="L6959" s="473"/>
      <c r="M6959" s="473"/>
    </row>
    <row r="6960" spans="5:13">
      <c r="E6960" s="473"/>
      <c r="F6960" s="473"/>
      <c r="G6960" s="473"/>
      <c r="H6960" s="473"/>
      <c r="I6960" s="473"/>
      <c r="J6960" s="473"/>
      <c r="K6960" s="478"/>
      <c r="L6960" s="473"/>
      <c r="M6960" s="473"/>
    </row>
    <row r="6961" spans="5:13">
      <c r="E6961" s="473"/>
      <c r="F6961" s="473"/>
      <c r="G6961" s="473"/>
      <c r="H6961" s="473"/>
      <c r="I6961" s="473"/>
      <c r="J6961" s="473"/>
      <c r="K6961" s="478"/>
      <c r="L6961" s="473"/>
      <c r="M6961" s="473"/>
    </row>
    <row r="6962" spans="5:13">
      <c r="E6962" s="473"/>
      <c r="F6962" s="473"/>
      <c r="G6962" s="473"/>
      <c r="H6962" s="473"/>
      <c r="I6962" s="473"/>
      <c r="J6962" s="473"/>
      <c r="K6962" s="478"/>
      <c r="L6962" s="473"/>
      <c r="M6962" s="473"/>
    </row>
    <row r="6963" spans="5:13">
      <c r="E6963" s="473"/>
      <c r="F6963" s="473"/>
      <c r="G6963" s="473"/>
      <c r="H6963" s="473"/>
      <c r="I6963" s="473"/>
      <c r="J6963" s="473"/>
      <c r="K6963" s="478"/>
      <c r="L6963" s="473"/>
      <c r="M6963" s="473"/>
    </row>
    <row r="6964" spans="5:13">
      <c r="E6964" s="473"/>
      <c r="F6964" s="473"/>
      <c r="G6964" s="473"/>
      <c r="H6964" s="473"/>
      <c r="I6964" s="473"/>
      <c r="J6964" s="473"/>
      <c r="K6964" s="478"/>
      <c r="L6964" s="473"/>
      <c r="M6964" s="473"/>
    </row>
    <row r="6965" spans="5:13">
      <c r="E6965" s="473"/>
      <c r="F6965" s="473"/>
      <c r="G6965" s="473"/>
      <c r="H6965" s="473"/>
      <c r="I6965" s="473"/>
      <c r="J6965" s="473"/>
      <c r="K6965" s="478"/>
      <c r="L6965" s="473"/>
      <c r="M6965" s="473"/>
    </row>
    <row r="6966" spans="5:13">
      <c r="E6966" s="473"/>
      <c r="F6966" s="473"/>
      <c r="G6966" s="473"/>
      <c r="H6966" s="473"/>
      <c r="I6966" s="473"/>
      <c r="J6966" s="473"/>
      <c r="K6966" s="478"/>
      <c r="L6966" s="473"/>
      <c r="M6966" s="473"/>
    </row>
    <row r="6967" spans="5:13">
      <c r="E6967" s="473"/>
      <c r="F6967" s="473"/>
      <c r="G6967" s="473"/>
      <c r="H6967" s="473"/>
      <c r="I6967" s="473"/>
      <c r="J6967" s="473"/>
      <c r="K6967" s="478"/>
      <c r="L6967" s="473"/>
      <c r="M6967" s="473"/>
    </row>
    <row r="6968" spans="5:13">
      <c r="E6968" s="473"/>
      <c r="F6968" s="473"/>
      <c r="G6968" s="473"/>
      <c r="H6968" s="473"/>
      <c r="I6968" s="473"/>
      <c r="J6968" s="473"/>
      <c r="K6968" s="478"/>
      <c r="L6968" s="473"/>
      <c r="M6968" s="473"/>
    </row>
    <row r="6969" spans="5:13">
      <c r="E6969" s="473"/>
      <c r="F6969" s="473"/>
      <c r="G6969" s="473"/>
      <c r="H6969" s="473"/>
      <c r="I6969" s="473"/>
      <c r="J6969" s="473"/>
      <c r="K6969" s="478"/>
      <c r="L6969" s="473"/>
      <c r="M6969" s="473"/>
    </row>
    <row r="6970" spans="5:13">
      <c r="E6970" s="473"/>
      <c r="F6970" s="473"/>
      <c r="G6970" s="473"/>
      <c r="H6970" s="473"/>
      <c r="I6970" s="473"/>
      <c r="J6970" s="473"/>
      <c r="K6970" s="478"/>
      <c r="L6970" s="473"/>
      <c r="M6970" s="473"/>
    </row>
    <row r="6971" spans="5:13">
      <c r="E6971" s="473"/>
      <c r="F6971" s="473"/>
      <c r="G6971" s="473"/>
      <c r="H6971" s="473"/>
      <c r="I6971" s="473"/>
      <c r="J6971" s="473"/>
      <c r="K6971" s="478"/>
      <c r="L6971" s="473"/>
      <c r="M6971" s="473"/>
    </row>
    <row r="6972" spans="5:13">
      <c r="E6972" s="473"/>
      <c r="F6972" s="473"/>
      <c r="G6972" s="473"/>
      <c r="H6972" s="473"/>
      <c r="I6972" s="473"/>
      <c r="J6972" s="473"/>
      <c r="K6972" s="478"/>
      <c r="L6972" s="473"/>
      <c r="M6972" s="473"/>
    </row>
    <row r="6973" spans="5:13">
      <c r="E6973" s="473"/>
      <c r="F6973" s="473"/>
      <c r="G6973" s="473"/>
      <c r="H6973" s="473"/>
      <c r="I6973" s="473"/>
      <c r="J6973" s="473"/>
      <c r="K6973" s="478"/>
      <c r="L6973" s="473"/>
      <c r="M6973" s="473"/>
    </row>
    <row r="6974" spans="5:13">
      <c r="E6974" s="473"/>
      <c r="F6974" s="473"/>
      <c r="G6974" s="473"/>
      <c r="H6974" s="473"/>
      <c r="I6974" s="473"/>
      <c r="J6974" s="473"/>
      <c r="K6974" s="478"/>
      <c r="L6974" s="473"/>
      <c r="M6974" s="473"/>
    </row>
    <row r="6975" spans="5:13">
      <c r="E6975" s="473"/>
      <c r="F6975" s="473"/>
      <c r="G6975" s="473"/>
      <c r="H6975" s="473"/>
      <c r="I6975" s="473"/>
      <c r="J6975" s="473"/>
      <c r="K6975" s="478"/>
      <c r="L6975" s="473"/>
      <c r="M6975" s="473"/>
    </row>
    <row r="6976" spans="5:13">
      <c r="E6976" s="473"/>
      <c r="F6976" s="473"/>
      <c r="G6976" s="473"/>
      <c r="H6976" s="473"/>
      <c r="I6976" s="473"/>
      <c r="J6976" s="473"/>
      <c r="K6976" s="478"/>
      <c r="L6976" s="473"/>
      <c r="M6976" s="473"/>
    </row>
    <row r="6977" spans="5:13">
      <c r="E6977" s="473"/>
      <c r="F6977" s="473"/>
      <c r="G6977" s="473"/>
      <c r="H6977" s="473"/>
      <c r="I6977" s="473"/>
      <c r="J6977" s="473"/>
      <c r="K6977" s="478"/>
      <c r="L6977" s="473"/>
      <c r="M6977" s="473"/>
    </row>
    <row r="6978" spans="5:13">
      <c r="E6978" s="473"/>
      <c r="F6978" s="473"/>
      <c r="G6978" s="473"/>
      <c r="H6978" s="473"/>
      <c r="I6978" s="473"/>
      <c r="J6978" s="473"/>
      <c r="K6978" s="478"/>
      <c r="L6978" s="473"/>
      <c r="M6978" s="473"/>
    </row>
    <row r="6979" spans="5:13">
      <c r="E6979" s="473"/>
      <c r="F6979" s="473"/>
      <c r="G6979" s="473"/>
      <c r="H6979" s="473"/>
      <c r="I6979" s="473"/>
      <c r="J6979" s="473"/>
      <c r="K6979" s="478"/>
      <c r="L6979" s="473"/>
      <c r="M6979" s="473"/>
    </row>
    <row r="6980" spans="5:13">
      <c r="E6980" s="473"/>
      <c r="F6980" s="473"/>
      <c r="G6980" s="473"/>
      <c r="H6980" s="473"/>
      <c r="I6980" s="473"/>
      <c r="J6980" s="473"/>
      <c r="K6980" s="478"/>
      <c r="L6980" s="473"/>
      <c r="M6980" s="473"/>
    </row>
    <row r="6981" spans="5:13">
      <c r="E6981" s="473"/>
      <c r="F6981" s="473"/>
      <c r="G6981" s="473"/>
      <c r="H6981" s="473"/>
      <c r="I6981" s="473"/>
      <c r="J6981" s="473"/>
      <c r="K6981" s="478"/>
      <c r="L6981" s="473"/>
      <c r="M6981" s="473"/>
    </row>
    <row r="6982" spans="5:13">
      <c r="E6982" s="473"/>
      <c r="F6982" s="473"/>
      <c r="G6982" s="473"/>
      <c r="H6982" s="473"/>
      <c r="I6982" s="473"/>
      <c r="J6982" s="473"/>
      <c r="K6982" s="478"/>
      <c r="L6982" s="473"/>
      <c r="M6982" s="473"/>
    </row>
    <row r="6983" spans="5:13">
      <c r="E6983" s="473"/>
      <c r="F6983" s="473"/>
      <c r="G6983" s="473"/>
      <c r="H6983" s="473"/>
      <c r="I6983" s="473"/>
      <c r="J6983" s="473"/>
      <c r="K6983" s="478"/>
      <c r="L6983" s="473"/>
      <c r="M6983" s="473"/>
    </row>
    <row r="6984" spans="5:13">
      <c r="E6984" s="473"/>
      <c r="F6984" s="473"/>
      <c r="G6984" s="473"/>
      <c r="H6984" s="473"/>
      <c r="I6984" s="473"/>
      <c r="J6984" s="473"/>
      <c r="K6984" s="478"/>
      <c r="L6984" s="473"/>
      <c r="M6984" s="473"/>
    </row>
    <row r="6985" spans="5:13">
      <c r="E6985" s="473"/>
      <c r="F6985" s="473"/>
      <c r="G6985" s="473"/>
      <c r="H6985" s="473"/>
      <c r="I6985" s="473"/>
      <c r="J6985" s="473"/>
      <c r="K6985" s="478"/>
      <c r="L6985" s="473"/>
      <c r="M6985" s="473"/>
    </row>
    <row r="6986" spans="5:13">
      <c r="E6986" s="473"/>
      <c r="F6986" s="473"/>
      <c r="G6986" s="473"/>
      <c r="H6986" s="473"/>
      <c r="I6986" s="473"/>
      <c r="J6986" s="473"/>
      <c r="K6986" s="478"/>
      <c r="L6986" s="473"/>
      <c r="M6986" s="473"/>
    </row>
    <row r="6987" spans="5:13">
      <c r="E6987" s="473"/>
      <c r="F6987" s="473"/>
      <c r="G6987" s="473"/>
      <c r="H6987" s="473"/>
      <c r="I6987" s="473"/>
      <c r="J6987" s="473"/>
      <c r="K6987" s="478"/>
      <c r="L6987" s="473"/>
      <c r="M6987" s="473"/>
    </row>
    <row r="6988" spans="5:13">
      <c r="E6988" s="473"/>
      <c r="F6988" s="473"/>
      <c r="G6988" s="473"/>
      <c r="H6988" s="473"/>
      <c r="I6988" s="473"/>
      <c r="J6988" s="473"/>
      <c r="K6988" s="478"/>
      <c r="L6988" s="473"/>
      <c r="M6988" s="473"/>
    </row>
    <row r="6989" spans="5:13">
      <c r="E6989" s="473"/>
      <c r="F6989" s="473"/>
      <c r="G6989" s="473"/>
      <c r="H6989" s="473"/>
      <c r="I6989" s="473"/>
      <c r="J6989" s="473"/>
      <c r="K6989" s="478"/>
      <c r="L6989" s="473"/>
      <c r="M6989" s="473"/>
    </row>
    <row r="6990" spans="5:13">
      <c r="E6990" s="473"/>
      <c r="F6990" s="473"/>
      <c r="G6990" s="473"/>
      <c r="H6990" s="473"/>
      <c r="I6990" s="473"/>
      <c r="J6990" s="473"/>
      <c r="K6990" s="478"/>
      <c r="L6990" s="473"/>
      <c r="M6990" s="473"/>
    </row>
    <row r="6991" spans="5:13">
      <c r="E6991" s="473"/>
      <c r="F6991" s="473"/>
      <c r="G6991" s="473"/>
      <c r="H6991" s="473"/>
      <c r="I6991" s="473"/>
      <c r="J6991" s="473"/>
      <c r="K6991" s="478"/>
      <c r="L6991" s="473"/>
      <c r="M6991" s="473"/>
    </row>
    <row r="6992" spans="5:13">
      <c r="E6992" s="473"/>
      <c r="F6992" s="473"/>
      <c r="G6992" s="473"/>
      <c r="H6992" s="473"/>
      <c r="I6992" s="473"/>
      <c r="J6992" s="473"/>
      <c r="K6992" s="478"/>
      <c r="L6992" s="473"/>
      <c r="M6992" s="473"/>
    </row>
    <row r="6993" spans="5:13">
      <c r="E6993" s="473"/>
      <c r="F6993" s="473"/>
      <c r="G6993" s="473"/>
      <c r="H6993" s="473"/>
      <c r="I6993" s="473"/>
      <c r="J6993" s="473"/>
      <c r="K6993" s="478"/>
      <c r="L6993" s="473"/>
      <c r="M6993" s="473"/>
    </row>
    <row r="6994" spans="5:13">
      <c r="E6994" s="473"/>
      <c r="F6994" s="473"/>
      <c r="G6994" s="473"/>
      <c r="H6994" s="473"/>
      <c r="I6994" s="473"/>
      <c r="J6994" s="473"/>
      <c r="K6994" s="478"/>
      <c r="L6994" s="473"/>
      <c r="M6994" s="473"/>
    </row>
    <row r="6995" spans="5:13">
      <c r="E6995" s="473"/>
      <c r="F6995" s="473"/>
      <c r="G6995" s="473"/>
      <c r="H6995" s="473"/>
      <c r="I6995" s="473"/>
      <c r="J6995" s="473"/>
      <c r="K6995" s="478"/>
      <c r="L6995" s="473"/>
      <c r="M6995" s="473"/>
    </row>
    <row r="6996" spans="5:13">
      <c r="E6996" s="473"/>
      <c r="F6996" s="473"/>
      <c r="G6996" s="473"/>
      <c r="H6996" s="473"/>
      <c r="I6996" s="473"/>
      <c r="J6996" s="473"/>
      <c r="K6996" s="478"/>
      <c r="L6996" s="473"/>
      <c r="M6996" s="473"/>
    </row>
    <row r="6997" spans="5:13">
      <c r="E6997" s="473"/>
      <c r="F6997" s="473"/>
      <c r="G6997" s="473"/>
      <c r="H6997" s="473"/>
      <c r="I6997" s="473"/>
      <c r="J6997" s="473"/>
      <c r="K6997" s="478"/>
      <c r="L6997" s="473"/>
      <c r="M6997" s="473"/>
    </row>
    <row r="6998" spans="5:13">
      <c r="E6998" s="473"/>
      <c r="F6998" s="473"/>
      <c r="G6998" s="473"/>
      <c r="H6998" s="473"/>
      <c r="I6998" s="473"/>
      <c r="J6998" s="473"/>
      <c r="K6998" s="478"/>
      <c r="L6998" s="473"/>
      <c r="M6998" s="473"/>
    </row>
    <row r="6999" spans="5:13">
      <c r="E6999" s="473"/>
      <c r="F6999" s="473"/>
      <c r="G6999" s="473"/>
      <c r="H6999" s="473"/>
      <c r="I6999" s="473"/>
      <c r="J6999" s="473"/>
      <c r="K6999" s="478"/>
      <c r="L6999" s="473"/>
      <c r="M6999" s="473"/>
    </row>
    <row r="7000" spans="5:13">
      <c r="E7000" s="473"/>
      <c r="F7000" s="473"/>
      <c r="G7000" s="473"/>
      <c r="H7000" s="473"/>
      <c r="I7000" s="473"/>
      <c r="J7000" s="473"/>
      <c r="K7000" s="478"/>
      <c r="L7000" s="473"/>
      <c r="M7000" s="473"/>
    </row>
    <row r="7001" spans="5:13">
      <c r="E7001" s="473"/>
      <c r="F7001" s="473"/>
      <c r="G7001" s="473"/>
      <c r="H7001" s="473"/>
      <c r="I7001" s="473"/>
      <c r="J7001" s="473"/>
      <c r="K7001" s="478"/>
      <c r="L7001" s="473"/>
      <c r="M7001" s="473"/>
    </row>
    <row r="7002" spans="5:13">
      <c r="E7002" s="473"/>
      <c r="F7002" s="473"/>
      <c r="G7002" s="473"/>
      <c r="H7002" s="473"/>
      <c r="I7002" s="473"/>
      <c r="J7002" s="473"/>
      <c r="K7002" s="478"/>
      <c r="L7002" s="473"/>
      <c r="M7002" s="473"/>
    </row>
    <row r="7003" spans="5:13">
      <c r="E7003" s="473"/>
      <c r="F7003" s="473"/>
      <c r="G7003" s="473"/>
      <c r="H7003" s="473"/>
      <c r="I7003" s="473"/>
      <c r="J7003" s="473"/>
      <c r="K7003" s="478"/>
      <c r="L7003" s="473"/>
      <c r="M7003" s="473"/>
    </row>
    <row r="7004" spans="5:13">
      <c r="E7004" s="473"/>
      <c r="F7004" s="473"/>
      <c r="G7004" s="473"/>
      <c r="H7004" s="473"/>
      <c r="I7004" s="473"/>
      <c r="J7004" s="473"/>
      <c r="K7004" s="478"/>
      <c r="L7004" s="473"/>
      <c r="M7004" s="473"/>
    </row>
    <row r="7005" spans="5:13">
      <c r="E7005" s="473"/>
      <c r="F7005" s="473"/>
      <c r="G7005" s="473"/>
      <c r="H7005" s="473"/>
      <c r="I7005" s="473"/>
      <c r="J7005" s="473"/>
      <c r="K7005" s="478"/>
      <c r="L7005" s="473"/>
      <c r="M7005" s="473"/>
    </row>
    <row r="7006" spans="5:13">
      <c r="E7006" s="473"/>
      <c r="F7006" s="473"/>
      <c r="G7006" s="473"/>
      <c r="H7006" s="473"/>
      <c r="I7006" s="473"/>
      <c r="J7006" s="473"/>
      <c r="K7006" s="478"/>
      <c r="L7006" s="473"/>
      <c r="M7006" s="473"/>
    </row>
    <row r="7007" spans="5:13">
      <c r="E7007" s="473"/>
      <c r="F7007" s="473"/>
      <c r="G7007" s="473"/>
      <c r="H7007" s="473"/>
      <c r="I7007" s="473"/>
      <c r="J7007" s="473"/>
      <c r="K7007" s="478"/>
      <c r="L7007" s="473"/>
      <c r="M7007" s="473"/>
    </row>
    <row r="7008" spans="5:13">
      <c r="E7008" s="473"/>
      <c r="F7008" s="473"/>
      <c r="G7008" s="473"/>
      <c r="H7008" s="473"/>
      <c r="I7008" s="473"/>
      <c r="J7008" s="473"/>
      <c r="K7008" s="478"/>
      <c r="L7008" s="473"/>
      <c r="M7008" s="473"/>
    </row>
    <row r="7009" spans="5:13">
      <c r="E7009" s="473"/>
      <c r="F7009" s="473"/>
      <c r="G7009" s="473"/>
      <c r="H7009" s="473"/>
      <c r="I7009" s="473"/>
      <c r="J7009" s="473"/>
      <c r="K7009" s="478"/>
      <c r="L7009" s="473"/>
      <c r="M7009" s="473"/>
    </row>
    <row r="7010" spans="5:13">
      <c r="E7010" s="473"/>
      <c r="F7010" s="473"/>
      <c r="G7010" s="473"/>
      <c r="H7010" s="473"/>
      <c r="I7010" s="473"/>
      <c r="J7010" s="473"/>
      <c r="K7010" s="478"/>
      <c r="L7010" s="473"/>
      <c r="M7010" s="473"/>
    </row>
    <row r="7011" spans="5:13">
      <c r="E7011" s="473"/>
      <c r="F7011" s="473"/>
      <c r="G7011" s="473"/>
      <c r="H7011" s="473"/>
      <c r="I7011" s="473"/>
      <c r="J7011" s="473"/>
      <c r="K7011" s="478"/>
      <c r="L7011" s="473"/>
      <c r="M7011" s="473"/>
    </row>
    <row r="7012" spans="5:13">
      <c r="E7012" s="473"/>
      <c r="F7012" s="473"/>
      <c r="G7012" s="473"/>
      <c r="H7012" s="473"/>
      <c r="I7012" s="473"/>
      <c r="J7012" s="473"/>
      <c r="K7012" s="478"/>
      <c r="L7012" s="473"/>
      <c r="M7012" s="473"/>
    </row>
    <row r="7013" spans="5:13">
      <c r="E7013" s="473"/>
      <c r="F7013" s="473"/>
      <c r="G7013" s="473"/>
      <c r="H7013" s="473"/>
      <c r="I7013" s="473"/>
      <c r="J7013" s="473"/>
      <c r="K7013" s="478"/>
      <c r="L7013" s="473"/>
      <c r="M7013" s="473"/>
    </row>
    <row r="7014" spans="5:13">
      <c r="E7014" s="473"/>
      <c r="F7014" s="473"/>
      <c r="G7014" s="473"/>
      <c r="H7014" s="473"/>
      <c r="I7014" s="473"/>
      <c r="J7014" s="473"/>
      <c r="K7014" s="478"/>
      <c r="L7014" s="473"/>
      <c r="M7014" s="473"/>
    </row>
    <row r="7015" spans="5:13">
      <c r="E7015" s="473"/>
      <c r="F7015" s="473"/>
      <c r="G7015" s="473"/>
      <c r="H7015" s="473"/>
      <c r="I7015" s="473"/>
      <c r="J7015" s="473"/>
      <c r="K7015" s="478"/>
      <c r="L7015" s="473"/>
      <c r="M7015" s="473"/>
    </row>
    <row r="7016" spans="5:13">
      <c r="E7016" s="473"/>
      <c r="F7016" s="473"/>
      <c r="G7016" s="473"/>
      <c r="H7016" s="473"/>
      <c r="I7016" s="473"/>
      <c r="J7016" s="473"/>
      <c r="K7016" s="478"/>
      <c r="L7016" s="473"/>
      <c r="M7016" s="473"/>
    </row>
    <row r="7017" spans="5:13">
      <c r="E7017" s="473"/>
      <c r="F7017" s="473"/>
      <c r="G7017" s="473"/>
      <c r="H7017" s="473"/>
      <c r="I7017" s="473"/>
      <c r="J7017" s="473"/>
      <c r="K7017" s="478"/>
      <c r="L7017" s="473"/>
      <c r="M7017" s="473"/>
    </row>
    <row r="7018" spans="5:13">
      <c r="E7018" s="473"/>
      <c r="F7018" s="473"/>
      <c r="G7018" s="473"/>
      <c r="H7018" s="473"/>
      <c r="I7018" s="473"/>
      <c r="J7018" s="473"/>
      <c r="K7018" s="478"/>
      <c r="L7018" s="473"/>
      <c r="M7018" s="473"/>
    </row>
    <row r="7019" spans="5:13">
      <c r="E7019" s="473"/>
      <c r="F7019" s="473"/>
      <c r="G7019" s="473"/>
      <c r="H7019" s="473"/>
      <c r="I7019" s="473"/>
      <c r="J7019" s="473"/>
      <c r="K7019" s="478"/>
      <c r="L7019" s="473"/>
      <c r="M7019" s="473"/>
    </row>
    <row r="7020" spans="5:13">
      <c r="E7020" s="473"/>
      <c r="F7020" s="473"/>
      <c r="G7020" s="473"/>
      <c r="H7020" s="473"/>
      <c r="I7020" s="473"/>
      <c r="J7020" s="473"/>
      <c r="K7020" s="478"/>
      <c r="L7020" s="473"/>
      <c r="M7020" s="473"/>
    </row>
    <row r="7021" spans="5:13">
      <c r="E7021" s="473"/>
      <c r="F7021" s="473"/>
      <c r="G7021" s="473"/>
      <c r="H7021" s="473"/>
      <c r="I7021" s="473"/>
      <c r="J7021" s="473"/>
      <c r="K7021" s="478"/>
      <c r="L7021" s="473"/>
      <c r="M7021" s="473"/>
    </row>
    <row r="7022" spans="5:13">
      <c r="E7022" s="473"/>
      <c r="F7022" s="473"/>
      <c r="G7022" s="473"/>
      <c r="H7022" s="473"/>
      <c r="I7022" s="473"/>
      <c r="J7022" s="473"/>
      <c r="K7022" s="478"/>
      <c r="L7022" s="473"/>
      <c r="M7022" s="473"/>
    </row>
    <row r="7023" spans="5:13">
      <c r="E7023" s="473"/>
      <c r="F7023" s="473"/>
      <c r="G7023" s="473"/>
      <c r="H7023" s="473"/>
      <c r="I7023" s="473"/>
      <c r="J7023" s="473"/>
      <c r="K7023" s="478"/>
      <c r="L7023" s="473"/>
      <c r="M7023" s="473"/>
    </row>
    <row r="7024" spans="5:13">
      <c r="E7024" s="473"/>
      <c r="F7024" s="473"/>
      <c r="G7024" s="473"/>
      <c r="H7024" s="473"/>
      <c r="I7024" s="473"/>
      <c r="J7024" s="473"/>
      <c r="K7024" s="478"/>
      <c r="L7024" s="473"/>
      <c r="M7024" s="473"/>
    </row>
    <row r="7025" spans="5:13">
      <c r="E7025" s="473"/>
      <c r="F7025" s="473"/>
      <c r="G7025" s="473"/>
      <c r="H7025" s="473"/>
      <c r="I7025" s="473"/>
      <c r="J7025" s="473"/>
      <c r="K7025" s="478"/>
      <c r="L7025" s="473"/>
      <c r="M7025" s="473"/>
    </row>
    <row r="7026" spans="5:13">
      <c r="E7026" s="473"/>
      <c r="F7026" s="473"/>
      <c r="G7026" s="473"/>
      <c r="H7026" s="473"/>
      <c r="I7026" s="473"/>
      <c r="J7026" s="473"/>
      <c r="K7026" s="478"/>
      <c r="L7026" s="473"/>
      <c r="M7026" s="473"/>
    </row>
    <row r="7027" spans="5:13">
      <c r="E7027" s="473"/>
      <c r="F7027" s="473"/>
      <c r="G7027" s="473"/>
      <c r="H7027" s="473"/>
      <c r="I7027" s="473"/>
      <c r="J7027" s="473"/>
      <c r="K7027" s="478"/>
      <c r="L7027" s="473"/>
      <c r="M7027" s="473"/>
    </row>
    <row r="7028" spans="5:13">
      <c r="E7028" s="473"/>
      <c r="F7028" s="473"/>
      <c r="G7028" s="473"/>
      <c r="H7028" s="473"/>
      <c r="I7028" s="473"/>
      <c r="J7028" s="473"/>
      <c r="K7028" s="478"/>
      <c r="L7028" s="473"/>
      <c r="M7028" s="473"/>
    </row>
    <row r="7029" spans="5:13">
      <c r="E7029" s="473"/>
      <c r="F7029" s="473"/>
      <c r="G7029" s="473"/>
      <c r="H7029" s="473"/>
      <c r="I7029" s="473"/>
      <c r="J7029" s="473"/>
      <c r="K7029" s="478"/>
      <c r="L7029" s="473"/>
      <c r="M7029" s="473"/>
    </row>
    <row r="7030" spans="5:13">
      <c r="E7030" s="473"/>
      <c r="F7030" s="473"/>
      <c r="G7030" s="473"/>
      <c r="H7030" s="473"/>
      <c r="I7030" s="473"/>
      <c r="J7030" s="473"/>
      <c r="K7030" s="478"/>
      <c r="L7030" s="473"/>
      <c r="M7030" s="473"/>
    </row>
    <row r="7031" spans="5:13">
      <c r="E7031" s="473"/>
      <c r="F7031" s="473"/>
      <c r="G7031" s="473"/>
      <c r="H7031" s="473"/>
      <c r="I7031" s="473"/>
      <c r="J7031" s="473"/>
      <c r="K7031" s="478"/>
      <c r="L7031" s="473"/>
      <c r="M7031" s="473"/>
    </row>
    <row r="7032" spans="5:13">
      <c r="E7032" s="473"/>
      <c r="F7032" s="473"/>
      <c r="G7032" s="473"/>
      <c r="H7032" s="473"/>
      <c r="I7032" s="473"/>
      <c r="J7032" s="473"/>
      <c r="K7032" s="478"/>
      <c r="L7032" s="473"/>
      <c r="M7032" s="473"/>
    </row>
    <row r="7033" spans="5:13">
      <c r="E7033" s="473"/>
      <c r="F7033" s="473"/>
      <c r="G7033" s="473"/>
      <c r="H7033" s="473"/>
      <c r="I7033" s="473"/>
      <c r="J7033" s="473"/>
      <c r="K7033" s="478"/>
      <c r="L7033" s="473"/>
      <c r="M7033" s="473"/>
    </row>
    <row r="7034" spans="5:13">
      <c r="E7034" s="473"/>
      <c r="F7034" s="473"/>
      <c r="G7034" s="473"/>
      <c r="H7034" s="473"/>
      <c r="I7034" s="473"/>
      <c r="J7034" s="473"/>
      <c r="K7034" s="478"/>
      <c r="L7034" s="473"/>
      <c r="M7034" s="473"/>
    </row>
    <row r="7035" spans="5:13">
      <c r="E7035" s="473"/>
      <c r="F7035" s="473"/>
      <c r="G7035" s="473"/>
      <c r="H7035" s="473"/>
      <c r="I7035" s="473"/>
      <c r="J7035" s="473"/>
      <c r="K7035" s="478"/>
      <c r="L7035" s="473"/>
      <c r="M7035" s="473"/>
    </row>
    <row r="7036" spans="5:13">
      <c r="E7036" s="473"/>
      <c r="F7036" s="473"/>
      <c r="G7036" s="473"/>
      <c r="H7036" s="473"/>
      <c r="I7036" s="473"/>
      <c r="J7036" s="473"/>
      <c r="K7036" s="478"/>
      <c r="L7036" s="473"/>
      <c r="M7036" s="473"/>
    </row>
    <row r="7037" spans="5:13">
      <c r="E7037" s="473"/>
      <c r="F7037" s="473"/>
      <c r="G7037" s="473"/>
      <c r="H7037" s="473"/>
      <c r="I7037" s="473"/>
      <c r="J7037" s="473"/>
      <c r="K7037" s="478"/>
      <c r="L7037" s="473"/>
      <c r="M7037" s="473"/>
    </row>
    <row r="7038" spans="5:13">
      <c r="E7038" s="473"/>
      <c r="F7038" s="473"/>
      <c r="G7038" s="473"/>
      <c r="H7038" s="473"/>
      <c r="I7038" s="473"/>
      <c r="J7038" s="473"/>
      <c r="K7038" s="478"/>
      <c r="L7038" s="473"/>
      <c r="M7038" s="473"/>
    </row>
    <row r="7039" spans="5:13">
      <c r="E7039" s="473"/>
      <c r="F7039" s="473"/>
      <c r="G7039" s="473"/>
      <c r="H7039" s="473"/>
      <c r="I7039" s="473"/>
      <c r="J7039" s="473"/>
      <c r="K7039" s="478"/>
      <c r="L7039" s="473"/>
      <c r="M7039" s="473"/>
    </row>
    <row r="7040" spans="5:13">
      <c r="E7040" s="473"/>
      <c r="F7040" s="473"/>
      <c r="G7040" s="473"/>
      <c r="H7040" s="473"/>
      <c r="I7040" s="473"/>
      <c r="J7040" s="473"/>
      <c r="K7040" s="478"/>
      <c r="L7040" s="473"/>
      <c r="M7040" s="473"/>
    </row>
    <row r="7041" spans="5:13">
      <c r="E7041" s="473"/>
      <c r="F7041" s="473"/>
      <c r="G7041" s="473"/>
      <c r="H7041" s="473"/>
      <c r="I7041" s="473"/>
      <c r="J7041" s="473"/>
      <c r="K7041" s="478"/>
      <c r="L7041" s="473"/>
      <c r="M7041" s="473"/>
    </row>
    <row r="7042" spans="5:13">
      <c r="E7042" s="473"/>
      <c r="F7042" s="473"/>
      <c r="G7042" s="473"/>
      <c r="H7042" s="473"/>
      <c r="I7042" s="473"/>
      <c r="J7042" s="473"/>
      <c r="K7042" s="478"/>
      <c r="L7042" s="473"/>
      <c r="M7042" s="473"/>
    </row>
    <row r="7043" spans="5:13">
      <c r="E7043" s="473"/>
      <c r="F7043" s="473"/>
      <c r="G7043" s="473"/>
      <c r="H7043" s="473"/>
      <c r="I7043" s="473"/>
      <c r="J7043" s="473"/>
      <c r="K7043" s="478"/>
      <c r="L7043" s="473"/>
      <c r="M7043" s="473"/>
    </row>
    <row r="7044" spans="5:13">
      <c r="E7044" s="473"/>
      <c r="F7044" s="473"/>
      <c r="G7044" s="473"/>
      <c r="H7044" s="473"/>
      <c r="I7044" s="473"/>
      <c r="J7044" s="473"/>
      <c r="K7044" s="478"/>
      <c r="L7044" s="473"/>
      <c r="M7044" s="473"/>
    </row>
    <row r="7045" spans="5:13">
      <c r="E7045" s="473"/>
      <c r="F7045" s="473"/>
      <c r="G7045" s="473"/>
      <c r="H7045" s="473"/>
      <c r="I7045" s="473"/>
      <c r="J7045" s="473"/>
      <c r="K7045" s="478"/>
      <c r="L7045" s="473"/>
      <c r="M7045" s="473"/>
    </row>
    <row r="7046" spans="5:13">
      <c r="E7046" s="473"/>
      <c r="F7046" s="473"/>
      <c r="G7046" s="473"/>
      <c r="H7046" s="473"/>
      <c r="I7046" s="473"/>
      <c r="J7046" s="473"/>
      <c r="K7046" s="478"/>
      <c r="L7046" s="473"/>
      <c r="M7046" s="473"/>
    </row>
    <row r="7047" spans="5:13">
      <c r="E7047" s="473"/>
      <c r="F7047" s="473"/>
      <c r="G7047" s="473"/>
      <c r="H7047" s="473"/>
      <c r="I7047" s="473"/>
      <c r="J7047" s="473"/>
      <c r="K7047" s="478"/>
      <c r="L7047" s="473"/>
      <c r="M7047" s="473"/>
    </row>
    <row r="7048" spans="5:13">
      <c r="E7048" s="473"/>
      <c r="F7048" s="473"/>
      <c r="G7048" s="473"/>
      <c r="H7048" s="473"/>
      <c r="I7048" s="473"/>
      <c r="J7048" s="473"/>
      <c r="K7048" s="478"/>
      <c r="L7048" s="473"/>
      <c r="M7048" s="473"/>
    </row>
    <row r="7049" spans="5:13">
      <c r="E7049" s="473"/>
      <c r="F7049" s="473"/>
      <c r="G7049" s="473"/>
      <c r="H7049" s="473"/>
      <c r="I7049" s="473"/>
      <c r="J7049" s="473"/>
      <c r="K7049" s="478"/>
      <c r="L7049" s="473"/>
      <c r="M7049" s="473"/>
    </row>
    <row r="7050" spans="5:13">
      <c r="E7050" s="473"/>
      <c r="F7050" s="473"/>
      <c r="G7050" s="473"/>
      <c r="H7050" s="473"/>
      <c r="I7050" s="473"/>
      <c r="J7050" s="473"/>
      <c r="K7050" s="478"/>
      <c r="L7050" s="473"/>
      <c r="M7050" s="473"/>
    </row>
    <row r="7051" spans="5:13">
      <c r="E7051" s="473"/>
      <c r="F7051" s="473"/>
      <c r="G7051" s="473"/>
      <c r="H7051" s="473"/>
      <c r="I7051" s="473"/>
      <c r="J7051" s="473"/>
      <c r="K7051" s="478"/>
      <c r="L7051" s="473"/>
      <c r="M7051" s="473"/>
    </row>
    <row r="7052" spans="5:13">
      <c r="E7052" s="473"/>
      <c r="F7052" s="473"/>
      <c r="G7052" s="473"/>
      <c r="H7052" s="473"/>
      <c r="I7052" s="473"/>
      <c r="J7052" s="473"/>
      <c r="K7052" s="478"/>
      <c r="L7052" s="473"/>
      <c r="M7052" s="473"/>
    </row>
    <row r="7053" spans="5:13">
      <c r="E7053" s="473"/>
      <c r="F7053" s="473"/>
      <c r="G7053" s="473"/>
      <c r="H7053" s="473"/>
      <c r="I7053" s="473"/>
      <c r="J7053" s="473"/>
      <c r="K7053" s="478"/>
      <c r="L7053" s="473"/>
      <c r="M7053" s="473"/>
    </row>
    <row r="7054" spans="5:13">
      <c r="E7054" s="473"/>
      <c r="F7054" s="473"/>
      <c r="G7054" s="473"/>
      <c r="H7054" s="473"/>
      <c r="I7054" s="473"/>
      <c r="J7054" s="473"/>
      <c r="K7054" s="478"/>
      <c r="L7054" s="473"/>
      <c r="M7054" s="473"/>
    </row>
    <row r="7055" spans="5:13">
      <c r="E7055" s="473"/>
      <c r="F7055" s="473"/>
      <c r="G7055" s="473"/>
      <c r="H7055" s="473"/>
      <c r="I7055" s="473"/>
      <c r="J7055" s="473"/>
      <c r="K7055" s="478"/>
      <c r="L7055" s="473"/>
      <c r="M7055" s="473"/>
    </row>
    <row r="7056" spans="5:13">
      <c r="E7056" s="473"/>
      <c r="F7056" s="473"/>
      <c r="G7056" s="473"/>
      <c r="H7056" s="473"/>
      <c r="I7056" s="473"/>
      <c r="J7056" s="473"/>
      <c r="K7056" s="478"/>
      <c r="L7056" s="473"/>
      <c r="M7056" s="473"/>
    </row>
    <row r="7057" spans="5:13">
      <c r="E7057" s="473"/>
      <c r="F7057" s="473"/>
      <c r="G7057" s="473"/>
      <c r="H7057" s="473"/>
      <c r="I7057" s="473"/>
      <c r="J7057" s="473"/>
      <c r="K7057" s="478"/>
      <c r="L7057" s="473"/>
      <c r="M7057" s="473"/>
    </row>
    <row r="7058" spans="5:13">
      <c r="E7058" s="473"/>
      <c r="F7058" s="473"/>
      <c r="G7058" s="473"/>
      <c r="H7058" s="473"/>
      <c r="I7058" s="473"/>
      <c r="J7058" s="473"/>
      <c r="K7058" s="478"/>
      <c r="L7058" s="473"/>
      <c r="M7058" s="473"/>
    </row>
    <row r="7059" spans="5:13">
      <c r="E7059" s="473"/>
      <c r="F7059" s="473"/>
      <c r="G7059" s="473"/>
      <c r="H7059" s="473"/>
      <c r="I7059" s="473"/>
      <c r="J7059" s="473"/>
      <c r="K7059" s="478"/>
      <c r="L7059" s="473"/>
      <c r="M7059" s="473"/>
    </row>
    <row r="7060" spans="5:13">
      <c r="E7060" s="473"/>
      <c r="F7060" s="473"/>
      <c r="G7060" s="473"/>
      <c r="H7060" s="473"/>
      <c r="I7060" s="473"/>
      <c r="J7060" s="473"/>
      <c r="K7060" s="478"/>
      <c r="L7060" s="473"/>
      <c r="M7060" s="473"/>
    </row>
    <row r="7061" spans="5:13">
      <c r="E7061" s="473"/>
      <c r="F7061" s="473"/>
      <c r="G7061" s="473"/>
      <c r="H7061" s="473"/>
      <c r="I7061" s="473"/>
      <c r="J7061" s="473"/>
      <c r="K7061" s="478"/>
      <c r="L7061" s="473"/>
      <c r="M7061" s="473"/>
    </row>
    <row r="7062" spans="5:13">
      <c r="E7062" s="473"/>
      <c r="F7062" s="473"/>
      <c r="G7062" s="473"/>
      <c r="H7062" s="473"/>
      <c r="I7062" s="473"/>
      <c r="J7062" s="473"/>
      <c r="K7062" s="478"/>
      <c r="L7062" s="473"/>
      <c r="M7062" s="473"/>
    </row>
    <row r="7063" spans="5:13">
      <c r="E7063" s="473"/>
      <c r="F7063" s="473"/>
      <c r="G7063" s="473"/>
      <c r="H7063" s="473"/>
      <c r="I7063" s="473"/>
      <c r="J7063" s="473"/>
      <c r="K7063" s="478"/>
      <c r="L7063" s="473"/>
      <c r="M7063" s="473"/>
    </row>
    <row r="7064" spans="5:13">
      <c r="E7064" s="473"/>
      <c r="F7064" s="473"/>
      <c r="G7064" s="473"/>
      <c r="H7064" s="473"/>
      <c r="I7064" s="473"/>
      <c r="J7064" s="473"/>
      <c r="K7064" s="478"/>
      <c r="L7064" s="473"/>
      <c r="M7064" s="473"/>
    </row>
    <row r="7065" spans="5:13">
      <c r="E7065" s="473"/>
      <c r="F7065" s="473"/>
      <c r="G7065" s="473"/>
      <c r="H7065" s="473"/>
      <c r="I7065" s="473"/>
      <c r="J7065" s="473"/>
      <c r="K7065" s="478"/>
      <c r="L7065" s="473"/>
      <c r="M7065" s="473"/>
    </row>
    <row r="7066" spans="5:13">
      <c r="E7066" s="473"/>
      <c r="F7066" s="473"/>
      <c r="G7066" s="473"/>
      <c r="H7066" s="473"/>
      <c r="I7066" s="473"/>
      <c r="J7066" s="473"/>
      <c r="K7066" s="478"/>
      <c r="L7066" s="473"/>
      <c r="M7066" s="473"/>
    </row>
    <row r="7067" spans="5:13">
      <c r="E7067" s="473"/>
      <c r="F7067" s="473"/>
      <c r="G7067" s="473"/>
      <c r="H7067" s="473"/>
      <c r="I7067" s="473"/>
      <c r="J7067" s="473"/>
      <c r="K7067" s="478"/>
      <c r="L7067" s="473"/>
      <c r="M7067" s="473"/>
    </row>
    <row r="7068" spans="5:13">
      <c r="E7068" s="473"/>
      <c r="F7068" s="473"/>
      <c r="G7068" s="473"/>
      <c r="H7068" s="473"/>
      <c r="I7068" s="473"/>
      <c r="J7068" s="473"/>
      <c r="K7068" s="478"/>
      <c r="L7068" s="473"/>
      <c r="M7068" s="473"/>
    </row>
    <row r="7069" spans="5:13">
      <c r="E7069" s="473"/>
      <c r="F7069" s="473"/>
      <c r="G7069" s="473"/>
      <c r="H7069" s="473"/>
      <c r="I7069" s="473"/>
      <c r="J7069" s="473"/>
      <c r="K7069" s="478"/>
      <c r="L7069" s="473"/>
      <c r="M7069" s="473"/>
    </row>
    <row r="7070" spans="5:13">
      <c r="E7070" s="473"/>
      <c r="F7070" s="473"/>
      <c r="G7070" s="473"/>
      <c r="H7070" s="473"/>
      <c r="I7070" s="473"/>
      <c r="J7070" s="473"/>
      <c r="K7070" s="478"/>
      <c r="L7070" s="473"/>
      <c r="M7070" s="473"/>
    </row>
    <row r="7071" spans="5:13">
      <c r="E7071" s="473"/>
      <c r="F7071" s="473"/>
      <c r="G7071" s="473"/>
      <c r="H7071" s="473"/>
      <c r="I7071" s="473"/>
      <c r="J7071" s="473"/>
      <c r="K7071" s="478"/>
      <c r="L7071" s="473"/>
      <c r="M7071" s="473"/>
    </row>
    <row r="7072" spans="5:13">
      <c r="E7072" s="473"/>
      <c r="F7072" s="473"/>
      <c r="G7072" s="473"/>
      <c r="H7072" s="473"/>
      <c r="I7072" s="473"/>
      <c r="J7072" s="473"/>
      <c r="K7072" s="478"/>
      <c r="L7072" s="473"/>
      <c r="M7072" s="473"/>
    </row>
    <row r="7073" spans="5:13">
      <c r="E7073" s="473"/>
      <c r="F7073" s="473"/>
      <c r="G7073" s="473"/>
      <c r="H7073" s="473"/>
      <c r="I7073" s="473"/>
      <c r="J7073" s="473"/>
      <c r="K7073" s="478"/>
      <c r="L7073" s="473"/>
      <c r="M7073" s="473"/>
    </row>
    <row r="7074" spans="5:13">
      <c r="E7074" s="473"/>
      <c r="F7074" s="473"/>
      <c r="G7074" s="473"/>
      <c r="H7074" s="473"/>
      <c r="I7074" s="473"/>
      <c r="J7074" s="473"/>
      <c r="K7074" s="478"/>
      <c r="L7074" s="473"/>
      <c r="M7074" s="473"/>
    </row>
    <row r="7075" spans="5:13">
      <c r="E7075" s="473"/>
      <c r="F7075" s="473"/>
      <c r="G7075" s="473"/>
      <c r="H7075" s="473"/>
      <c r="I7075" s="473"/>
      <c r="J7075" s="473"/>
      <c r="K7075" s="478"/>
      <c r="L7075" s="473"/>
      <c r="M7075" s="473"/>
    </row>
    <row r="7076" spans="5:13">
      <c r="E7076" s="473"/>
      <c r="F7076" s="473"/>
      <c r="G7076" s="473"/>
      <c r="H7076" s="473"/>
      <c r="I7076" s="473"/>
      <c r="J7076" s="473"/>
      <c r="K7076" s="478"/>
      <c r="L7076" s="473"/>
      <c r="M7076" s="473"/>
    </row>
    <row r="7077" spans="5:13">
      <c r="E7077" s="473"/>
      <c r="F7077" s="473"/>
      <c r="G7077" s="473"/>
      <c r="H7077" s="473"/>
      <c r="I7077" s="473"/>
      <c r="J7077" s="473"/>
      <c r="K7077" s="478"/>
      <c r="L7077" s="473"/>
      <c r="M7077" s="473"/>
    </row>
    <row r="7078" spans="5:13">
      <c r="E7078" s="473"/>
      <c r="F7078" s="473"/>
      <c r="G7078" s="473"/>
      <c r="H7078" s="473"/>
      <c r="I7078" s="473"/>
      <c r="J7078" s="473"/>
      <c r="K7078" s="478"/>
      <c r="L7078" s="473"/>
      <c r="M7078" s="473"/>
    </row>
    <row r="7079" spans="5:13">
      <c r="E7079" s="473"/>
      <c r="F7079" s="473"/>
      <c r="G7079" s="473"/>
      <c r="H7079" s="473"/>
      <c r="I7079" s="473"/>
      <c r="J7079" s="473"/>
      <c r="K7079" s="478"/>
      <c r="L7079" s="473"/>
      <c r="M7079" s="473"/>
    </row>
    <row r="7080" spans="5:13">
      <c r="E7080" s="473"/>
      <c r="F7080" s="473"/>
      <c r="G7080" s="473"/>
      <c r="H7080" s="473"/>
      <c r="I7080" s="473"/>
      <c r="J7080" s="473"/>
      <c r="K7080" s="478"/>
      <c r="L7080" s="473"/>
      <c r="M7080" s="473"/>
    </row>
    <row r="7081" spans="5:13">
      <c r="E7081" s="473"/>
      <c r="F7081" s="473"/>
      <c r="G7081" s="473"/>
      <c r="H7081" s="473"/>
      <c r="I7081" s="473"/>
      <c r="J7081" s="473"/>
      <c r="K7081" s="478"/>
      <c r="L7081" s="473"/>
      <c r="M7081" s="473"/>
    </row>
    <row r="7082" spans="5:13">
      <c r="E7082" s="473"/>
      <c r="F7082" s="473"/>
      <c r="G7082" s="473"/>
      <c r="H7082" s="473"/>
      <c r="I7082" s="473"/>
      <c r="J7082" s="473"/>
      <c r="K7082" s="478"/>
      <c r="L7082" s="473"/>
      <c r="M7082" s="473"/>
    </row>
    <row r="7083" spans="5:13">
      <c r="E7083" s="473"/>
      <c r="F7083" s="473"/>
      <c r="G7083" s="473"/>
      <c r="H7083" s="473"/>
      <c r="I7083" s="473"/>
      <c r="J7083" s="473"/>
      <c r="K7083" s="478"/>
      <c r="L7083" s="473"/>
      <c r="M7083" s="473"/>
    </row>
    <row r="7084" spans="5:13">
      <c r="E7084" s="473"/>
      <c r="F7084" s="473"/>
      <c r="G7084" s="473"/>
      <c r="H7084" s="473"/>
      <c r="I7084" s="473"/>
      <c r="J7084" s="473"/>
      <c r="K7084" s="478"/>
      <c r="L7084" s="473"/>
      <c r="M7084" s="473"/>
    </row>
    <row r="7085" spans="5:13">
      <c r="E7085" s="473"/>
      <c r="F7085" s="473"/>
      <c r="G7085" s="473"/>
      <c r="H7085" s="473"/>
      <c r="I7085" s="473"/>
      <c r="J7085" s="473"/>
      <c r="K7085" s="478"/>
      <c r="L7085" s="473"/>
      <c r="M7085" s="473"/>
    </row>
    <row r="7086" spans="5:13">
      <c r="E7086" s="473"/>
      <c r="F7086" s="473"/>
      <c r="G7086" s="473"/>
      <c r="H7086" s="473"/>
      <c r="I7086" s="473"/>
      <c r="J7086" s="473"/>
      <c r="K7086" s="478"/>
      <c r="L7086" s="473"/>
      <c r="M7086" s="473"/>
    </row>
    <row r="7087" spans="5:13">
      <c r="E7087" s="473"/>
      <c r="F7087" s="473"/>
      <c r="G7087" s="473"/>
      <c r="H7087" s="473"/>
      <c r="I7087" s="473"/>
      <c r="J7087" s="473"/>
      <c r="K7087" s="478"/>
      <c r="L7087" s="473"/>
      <c r="M7087" s="473"/>
    </row>
    <row r="7088" spans="5:13">
      <c r="E7088" s="473"/>
      <c r="F7088" s="473"/>
      <c r="G7088" s="473"/>
      <c r="H7088" s="473"/>
      <c r="I7088" s="473"/>
      <c r="J7088" s="473"/>
      <c r="K7088" s="478"/>
      <c r="L7088" s="473"/>
      <c r="M7088" s="473"/>
    </row>
    <row r="7089" spans="5:13">
      <c r="E7089" s="473"/>
      <c r="F7089" s="473"/>
      <c r="G7089" s="473"/>
      <c r="H7089" s="473"/>
      <c r="I7089" s="473"/>
      <c r="J7089" s="473"/>
      <c r="K7089" s="478"/>
      <c r="L7089" s="473"/>
      <c r="M7089" s="473"/>
    </row>
    <row r="7090" spans="5:13">
      <c r="E7090" s="473"/>
      <c r="F7090" s="473"/>
      <c r="G7090" s="473"/>
      <c r="H7090" s="473"/>
      <c r="I7090" s="473"/>
      <c r="J7090" s="473"/>
      <c r="K7090" s="478"/>
      <c r="L7090" s="473"/>
      <c r="M7090" s="473"/>
    </row>
    <row r="7091" spans="5:13">
      <c r="E7091" s="473"/>
      <c r="F7091" s="473"/>
      <c r="G7091" s="473"/>
      <c r="H7091" s="473"/>
      <c r="I7091" s="473"/>
      <c r="J7091" s="473"/>
      <c r="K7091" s="478"/>
      <c r="L7091" s="473"/>
      <c r="M7091" s="473"/>
    </row>
    <row r="7092" spans="5:13">
      <c r="E7092" s="473"/>
      <c r="F7092" s="473"/>
      <c r="G7092" s="473"/>
      <c r="H7092" s="473"/>
      <c r="I7092" s="473"/>
      <c r="J7092" s="473"/>
      <c r="K7092" s="478"/>
      <c r="L7092" s="473"/>
      <c r="M7092" s="473"/>
    </row>
    <row r="7093" spans="5:13">
      <c r="E7093" s="473"/>
      <c r="F7093" s="473"/>
      <c r="G7093" s="473"/>
      <c r="H7093" s="473"/>
      <c r="I7093" s="473"/>
      <c r="J7093" s="473"/>
      <c r="K7093" s="478"/>
      <c r="L7093" s="473"/>
      <c r="M7093" s="473"/>
    </row>
    <row r="7094" spans="5:13">
      <c r="E7094" s="473"/>
      <c r="F7094" s="473"/>
      <c r="G7094" s="473"/>
      <c r="H7094" s="473"/>
      <c r="I7094" s="473"/>
      <c r="J7094" s="473"/>
      <c r="K7094" s="478"/>
      <c r="L7094" s="473"/>
      <c r="M7094" s="473"/>
    </row>
    <row r="7095" spans="5:13">
      <c r="E7095" s="473"/>
      <c r="F7095" s="473"/>
      <c r="G7095" s="473"/>
      <c r="H7095" s="473"/>
      <c r="I7095" s="473"/>
      <c r="J7095" s="473"/>
      <c r="K7095" s="478"/>
      <c r="L7095" s="473"/>
      <c r="M7095" s="473"/>
    </row>
    <row r="7096" spans="5:13">
      <c r="E7096" s="473"/>
      <c r="F7096" s="473"/>
      <c r="G7096" s="473"/>
      <c r="H7096" s="473"/>
      <c r="I7096" s="473"/>
      <c r="J7096" s="473"/>
      <c r="K7096" s="478"/>
      <c r="L7096" s="473"/>
      <c r="M7096" s="473"/>
    </row>
    <row r="7097" spans="5:13">
      <c r="E7097" s="473"/>
      <c r="F7097" s="473"/>
      <c r="G7097" s="473"/>
      <c r="H7097" s="473"/>
      <c r="I7097" s="473"/>
      <c r="J7097" s="473"/>
      <c r="K7097" s="478"/>
      <c r="L7097" s="473"/>
      <c r="M7097" s="473"/>
    </row>
    <row r="7098" spans="5:13">
      <c r="E7098" s="473"/>
      <c r="F7098" s="473"/>
      <c r="G7098" s="473"/>
      <c r="H7098" s="473"/>
      <c r="I7098" s="473"/>
      <c r="J7098" s="473"/>
      <c r="K7098" s="478"/>
      <c r="L7098" s="473"/>
      <c r="M7098" s="473"/>
    </row>
    <row r="7099" spans="5:13">
      <c r="E7099" s="473"/>
      <c r="F7099" s="473"/>
      <c r="G7099" s="473"/>
      <c r="H7099" s="473"/>
      <c r="I7099" s="473"/>
      <c r="J7099" s="473"/>
      <c r="K7099" s="478"/>
      <c r="L7099" s="473"/>
      <c r="M7099" s="473"/>
    </row>
    <row r="7100" spans="5:13">
      <c r="E7100" s="473"/>
      <c r="F7100" s="473"/>
      <c r="G7100" s="473"/>
      <c r="H7100" s="473"/>
      <c r="I7100" s="473"/>
      <c r="J7100" s="473"/>
      <c r="K7100" s="478"/>
      <c r="L7100" s="473"/>
      <c r="M7100" s="473"/>
    </row>
    <row r="7101" spans="5:13">
      <c r="E7101" s="473"/>
      <c r="F7101" s="473"/>
      <c r="G7101" s="473"/>
      <c r="H7101" s="473"/>
      <c r="I7101" s="473"/>
      <c r="J7101" s="473"/>
      <c r="K7101" s="478"/>
      <c r="L7101" s="473"/>
      <c r="M7101" s="473"/>
    </row>
    <row r="7102" spans="5:13">
      <c r="E7102" s="473"/>
      <c r="F7102" s="473"/>
      <c r="G7102" s="473"/>
      <c r="H7102" s="473"/>
      <c r="I7102" s="473"/>
      <c r="J7102" s="473"/>
      <c r="K7102" s="478"/>
      <c r="L7102" s="473"/>
      <c r="M7102" s="473"/>
    </row>
    <row r="7103" spans="5:13">
      <c r="E7103" s="473"/>
      <c r="F7103" s="473"/>
      <c r="G7103" s="473"/>
      <c r="H7103" s="473"/>
      <c r="I7103" s="473"/>
      <c r="J7103" s="473"/>
      <c r="K7103" s="478"/>
      <c r="L7103" s="473"/>
      <c r="M7103" s="473"/>
    </row>
    <row r="7104" spans="5:13">
      <c r="E7104" s="473"/>
      <c r="F7104" s="473"/>
      <c r="G7104" s="473"/>
      <c r="H7104" s="473"/>
      <c r="I7104" s="473"/>
      <c r="J7104" s="473"/>
      <c r="K7104" s="478"/>
      <c r="L7104" s="473"/>
      <c r="M7104" s="473"/>
    </row>
    <row r="7105" spans="5:13">
      <c r="E7105" s="473"/>
      <c r="F7105" s="473"/>
      <c r="G7105" s="473"/>
      <c r="H7105" s="473"/>
      <c r="I7105" s="473"/>
      <c r="J7105" s="473"/>
      <c r="K7105" s="478"/>
      <c r="L7105" s="473"/>
      <c r="M7105" s="473"/>
    </row>
    <row r="7106" spans="5:13">
      <c r="E7106" s="473"/>
      <c r="F7106" s="473"/>
      <c r="G7106" s="473"/>
      <c r="H7106" s="473"/>
      <c r="I7106" s="473"/>
      <c r="J7106" s="473"/>
      <c r="K7106" s="478"/>
      <c r="L7106" s="473"/>
      <c r="M7106" s="473"/>
    </row>
    <row r="7107" spans="5:13">
      <c r="E7107" s="473"/>
      <c r="F7107" s="473"/>
      <c r="G7107" s="473"/>
      <c r="H7107" s="473"/>
      <c r="I7107" s="473"/>
      <c r="J7107" s="473"/>
      <c r="K7107" s="478"/>
      <c r="L7107" s="473"/>
      <c r="M7107" s="473"/>
    </row>
    <row r="7108" spans="5:13">
      <c r="E7108" s="473"/>
      <c r="F7108" s="473"/>
      <c r="G7108" s="473"/>
      <c r="H7108" s="473"/>
      <c r="I7108" s="473"/>
      <c r="J7108" s="473"/>
      <c r="K7108" s="478"/>
      <c r="L7108" s="473"/>
      <c r="M7108" s="473"/>
    </row>
    <row r="7109" spans="5:13">
      <c r="E7109" s="473"/>
      <c r="F7109" s="473"/>
      <c r="G7109" s="473"/>
      <c r="H7109" s="473"/>
      <c r="I7109" s="473"/>
      <c r="J7109" s="473"/>
      <c r="K7109" s="478"/>
      <c r="L7109" s="473"/>
      <c r="M7109" s="473"/>
    </row>
    <row r="7110" spans="5:13">
      <c r="E7110" s="473"/>
      <c r="F7110" s="473"/>
      <c r="G7110" s="473"/>
      <c r="H7110" s="473"/>
      <c r="I7110" s="473"/>
      <c r="J7110" s="473"/>
      <c r="K7110" s="478"/>
      <c r="L7110" s="473"/>
      <c r="M7110" s="473"/>
    </row>
    <row r="7111" spans="5:13">
      <c r="E7111" s="473"/>
      <c r="F7111" s="473"/>
      <c r="G7111" s="473"/>
      <c r="H7111" s="473"/>
      <c r="I7111" s="473"/>
      <c r="J7111" s="473"/>
      <c r="K7111" s="478"/>
      <c r="L7111" s="473"/>
      <c r="M7111" s="473"/>
    </row>
    <row r="7112" spans="5:13">
      <c r="E7112" s="473"/>
      <c r="F7112" s="473"/>
      <c r="G7112" s="473"/>
      <c r="H7112" s="473"/>
      <c r="I7112" s="473"/>
      <c r="J7112" s="473"/>
      <c r="K7112" s="478"/>
      <c r="L7112" s="473"/>
      <c r="M7112" s="473"/>
    </row>
    <row r="7113" spans="5:13">
      <c r="E7113" s="473"/>
      <c r="F7113" s="473"/>
      <c r="G7113" s="473"/>
      <c r="H7113" s="473"/>
      <c r="I7113" s="473"/>
      <c r="J7113" s="473"/>
      <c r="K7113" s="478"/>
      <c r="L7113" s="473"/>
      <c r="M7113" s="473"/>
    </row>
    <row r="7114" spans="5:13">
      <c r="E7114" s="473"/>
      <c r="F7114" s="473"/>
      <c r="G7114" s="473"/>
      <c r="H7114" s="473"/>
      <c r="I7114" s="473"/>
      <c r="J7114" s="473"/>
      <c r="K7114" s="478"/>
      <c r="L7114" s="473"/>
      <c r="M7114" s="473"/>
    </row>
    <row r="7115" spans="5:13">
      <c r="E7115" s="473"/>
      <c r="F7115" s="473"/>
      <c r="G7115" s="473"/>
      <c r="H7115" s="473"/>
      <c r="I7115" s="473"/>
      <c r="J7115" s="473"/>
      <c r="K7115" s="478"/>
      <c r="L7115" s="473"/>
      <c r="M7115" s="473"/>
    </row>
    <row r="7116" spans="5:13">
      <c r="E7116" s="473"/>
      <c r="F7116" s="473"/>
      <c r="G7116" s="473"/>
      <c r="H7116" s="473"/>
      <c r="I7116" s="473"/>
      <c r="J7116" s="473"/>
      <c r="K7116" s="478"/>
      <c r="L7116" s="473"/>
      <c r="M7116" s="473"/>
    </row>
    <row r="7117" spans="5:13">
      <c r="E7117" s="473"/>
      <c r="F7117" s="473"/>
      <c r="G7117" s="473"/>
      <c r="H7117" s="473"/>
      <c r="I7117" s="473"/>
      <c r="J7117" s="473"/>
      <c r="K7117" s="478"/>
      <c r="L7117" s="473"/>
      <c r="M7117" s="473"/>
    </row>
    <row r="7118" spans="5:13">
      <c r="E7118" s="473"/>
      <c r="F7118" s="473"/>
      <c r="G7118" s="473"/>
      <c r="H7118" s="473"/>
      <c r="I7118" s="473"/>
      <c r="J7118" s="473"/>
      <c r="K7118" s="478"/>
      <c r="L7118" s="473"/>
      <c r="M7118" s="473"/>
    </row>
    <row r="7119" spans="5:13">
      <c r="E7119" s="473"/>
      <c r="F7119" s="473"/>
      <c r="G7119" s="473"/>
      <c r="H7119" s="473"/>
      <c r="I7119" s="473"/>
      <c r="J7119" s="473"/>
      <c r="K7119" s="478"/>
      <c r="L7119" s="473"/>
      <c r="M7119" s="473"/>
    </row>
    <row r="7120" spans="5:13">
      <c r="E7120" s="473"/>
      <c r="F7120" s="473"/>
      <c r="G7120" s="473"/>
      <c r="H7120" s="473"/>
      <c r="I7120" s="473"/>
      <c r="J7120" s="473"/>
      <c r="K7120" s="478"/>
      <c r="L7120" s="473"/>
      <c r="M7120" s="473"/>
    </row>
    <row r="7121" spans="5:13">
      <c r="E7121" s="473"/>
      <c r="F7121" s="473"/>
      <c r="G7121" s="473"/>
      <c r="H7121" s="473"/>
      <c r="I7121" s="473"/>
      <c r="J7121" s="473"/>
      <c r="K7121" s="478"/>
      <c r="L7121" s="473"/>
      <c r="M7121" s="473"/>
    </row>
    <row r="7122" spans="5:13">
      <c r="E7122" s="473"/>
      <c r="F7122" s="473"/>
      <c r="G7122" s="473"/>
      <c r="H7122" s="473"/>
      <c r="I7122" s="473"/>
      <c r="J7122" s="473"/>
      <c r="K7122" s="478"/>
      <c r="L7122" s="473"/>
      <c r="M7122" s="473"/>
    </row>
    <row r="7123" spans="5:13">
      <c r="E7123" s="473"/>
      <c r="F7123" s="473"/>
      <c r="G7123" s="473"/>
      <c r="H7123" s="473"/>
      <c r="I7123" s="473"/>
      <c r="J7123" s="473"/>
      <c r="K7123" s="478"/>
      <c r="L7123" s="473"/>
      <c r="M7123" s="473"/>
    </row>
    <row r="7124" spans="5:13">
      <c r="E7124" s="473"/>
      <c r="F7124" s="473"/>
      <c r="G7124" s="473"/>
      <c r="H7124" s="473"/>
      <c r="I7124" s="473"/>
      <c r="J7124" s="473"/>
      <c r="K7124" s="478"/>
      <c r="L7124" s="473"/>
      <c r="M7124" s="473"/>
    </row>
    <row r="7125" spans="5:13">
      <c r="E7125" s="473"/>
      <c r="F7125" s="473"/>
      <c r="G7125" s="473"/>
      <c r="H7125" s="473"/>
      <c r="I7125" s="473"/>
      <c r="J7125" s="473"/>
      <c r="K7125" s="478"/>
      <c r="L7125" s="473"/>
      <c r="M7125" s="473"/>
    </row>
    <row r="7126" spans="5:13">
      <c r="E7126" s="473"/>
      <c r="F7126" s="473"/>
      <c r="G7126" s="473"/>
      <c r="H7126" s="473"/>
      <c r="I7126" s="473"/>
      <c r="J7126" s="473"/>
      <c r="K7126" s="478"/>
      <c r="L7126" s="473"/>
      <c r="M7126" s="473"/>
    </row>
    <row r="7127" spans="5:13">
      <c r="E7127" s="473"/>
      <c r="F7127" s="473"/>
      <c r="G7127" s="473"/>
      <c r="H7127" s="473"/>
      <c r="I7127" s="473"/>
      <c r="J7127" s="473"/>
      <c r="K7127" s="478"/>
      <c r="L7127" s="473"/>
      <c r="M7127" s="473"/>
    </row>
    <row r="7128" spans="5:13">
      <c r="E7128" s="473"/>
      <c r="F7128" s="473"/>
      <c r="G7128" s="473"/>
      <c r="H7128" s="473"/>
      <c r="I7128" s="473"/>
      <c r="J7128" s="473"/>
      <c r="K7128" s="478"/>
      <c r="L7128" s="473"/>
      <c r="M7128" s="473"/>
    </row>
    <row r="7129" spans="5:13">
      <c r="E7129" s="473"/>
      <c r="F7129" s="473"/>
      <c r="G7129" s="473"/>
      <c r="H7129" s="473"/>
      <c r="I7129" s="473"/>
      <c r="J7129" s="473"/>
      <c r="K7129" s="478"/>
      <c r="L7129" s="473"/>
      <c r="M7129" s="473"/>
    </row>
    <row r="7130" spans="5:13">
      <c r="E7130" s="473"/>
      <c r="F7130" s="473"/>
      <c r="G7130" s="473"/>
      <c r="H7130" s="473"/>
      <c r="I7130" s="473"/>
      <c r="J7130" s="473"/>
      <c r="K7130" s="478"/>
      <c r="L7130" s="473"/>
      <c r="M7130" s="473"/>
    </row>
    <row r="7131" spans="5:13">
      <c r="E7131" s="473"/>
      <c r="F7131" s="473"/>
      <c r="G7131" s="473"/>
      <c r="H7131" s="473"/>
      <c r="I7131" s="473"/>
      <c r="J7131" s="473"/>
      <c r="K7131" s="478"/>
      <c r="L7131" s="473"/>
      <c r="M7131" s="473"/>
    </row>
    <row r="7132" spans="5:13">
      <c r="E7132" s="473"/>
      <c r="F7132" s="473"/>
      <c r="G7132" s="473"/>
      <c r="H7132" s="473"/>
      <c r="I7132" s="473"/>
      <c r="J7132" s="473"/>
      <c r="K7132" s="478"/>
      <c r="L7132" s="473"/>
      <c r="M7132" s="473"/>
    </row>
    <row r="7133" spans="5:13">
      <c r="E7133" s="473"/>
      <c r="F7133" s="473"/>
      <c r="G7133" s="473"/>
      <c r="H7133" s="473"/>
      <c r="I7133" s="473"/>
      <c r="J7133" s="473"/>
      <c r="K7133" s="478"/>
      <c r="L7133" s="473"/>
      <c r="M7133" s="473"/>
    </row>
    <row r="7134" spans="5:13">
      <c r="E7134" s="473"/>
      <c r="F7134" s="473"/>
      <c r="G7134" s="473"/>
      <c r="H7134" s="473"/>
      <c r="I7134" s="473"/>
      <c r="J7134" s="473"/>
      <c r="K7134" s="478"/>
      <c r="L7134" s="473"/>
      <c r="M7134" s="473"/>
    </row>
    <row r="7135" spans="5:13">
      <c r="E7135" s="473"/>
      <c r="F7135" s="473"/>
      <c r="G7135" s="473"/>
      <c r="H7135" s="473"/>
      <c r="I7135" s="473"/>
      <c r="J7135" s="473"/>
      <c r="K7135" s="478"/>
      <c r="L7135" s="473"/>
      <c r="M7135" s="473"/>
    </row>
    <row r="7136" spans="5:13">
      <c r="E7136" s="473"/>
      <c r="F7136" s="473"/>
      <c r="G7136" s="473"/>
      <c r="H7136" s="473"/>
      <c r="I7136" s="473"/>
      <c r="J7136" s="473"/>
      <c r="K7136" s="478"/>
      <c r="L7136" s="473"/>
      <c r="M7136" s="473"/>
    </row>
    <row r="7137" spans="5:13">
      <c r="E7137" s="473"/>
      <c r="F7137" s="473"/>
      <c r="G7137" s="473"/>
      <c r="H7137" s="473"/>
      <c r="I7137" s="473"/>
      <c r="J7137" s="473"/>
      <c r="K7137" s="478"/>
      <c r="L7137" s="473"/>
      <c r="M7137" s="473"/>
    </row>
    <row r="7138" spans="5:13">
      <c r="E7138" s="473"/>
      <c r="F7138" s="473"/>
      <c r="G7138" s="473"/>
      <c r="H7138" s="473"/>
      <c r="I7138" s="473"/>
      <c r="J7138" s="473"/>
      <c r="K7138" s="478"/>
      <c r="L7138" s="473"/>
      <c r="M7138" s="473"/>
    </row>
    <row r="7139" spans="5:13">
      <c r="E7139" s="473"/>
      <c r="F7139" s="473"/>
      <c r="G7139" s="473"/>
      <c r="H7139" s="473"/>
      <c r="I7139" s="473"/>
      <c r="J7139" s="473"/>
      <c r="K7139" s="478"/>
      <c r="L7139" s="473"/>
      <c r="M7139" s="473"/>
    </row>
    <row r="7140" spans="5:13">
      <c r="E7140" s="473"/>
      <c r="F7140" s="473"/>
      <c r="G7140" s="473"/>
      <c r="H7140" s="473"/>
      <c r="I7140" s="473"/>
      <c r="J7140" s="473"/>
      <c r="K7140" s="478"/>
      <c r="L7140" s="473"/>
      <c r="M7140" s="473"/>
    </row>
    <row r="7141" spans="5:13">
      <c r="E7141" s="473"/>
      <c r="F7141" s="473"/>
      <c r="G7141" s="473"/>
      <c r="H7141" s="473"/>
      <c r="I7141" s="473"/>
      <c r="J7141" s="473"/>
      <c r="K7141" s="478"/>
      <c r="L7141" s="473"/>
      <c r="M7141" s="473"/>
    </row>
    <row r="7142" spans="5:13">
      <c r="E7142" s="473"/>
      <c r="F7142" s="473"/>
      <c r="G7142" s="473"/>
      <c r="H7142" s="473"/>
      <c r="I7142" s="473"/>
      <c r="J7142" s="473"/>
      <c r="K7142" s="478"/>
      <c r="L7142" s="473"/>
      <c r="M7142" s="473"/>
    </row>
    <row r="7143" spans="5:13">
      <c r="E7143" s="473"/>
      <c r="F7143" s="473"/>
      <c r="G7143" s="473"/>
      <c r="H7143" s="473"/>
      <c r="I7143" s="473"/>
      <c r="J7143" s="473"/>
      <c r="K7143" s="478"/>
      <c r="L7143" s="473"/>
      <c r="M7143" s="473"/>
    </row>
    <row r="7144" spans="5:13">
      <c r="E7144" s="473"/>
      <c r="F7144" s="473"/>
      <c r="G7144" s="473"/>
      <c r="H7144" s="473"/>
      <c r="I7144" s="473"/>
      <c r="J7144" s="473"/>
      <c r="K7144" s="478"/>
      <c r="L7144" s="473"/>
      <c r="M7144" s="473"/>
    </row>
    <row r="7145" spans="5:13">
      <c r="E7145" s="473"/>
      <c r="F7145" s="473"/>
      <c r="G7145" s="473"/>
      <c r="H7145" s="473"/>
      <c r="I7145" s="473"/>
      <c r="J7145" s="473"/>
      <c r="K7145" s="478"/>
      <c r="L7145" s="473"/>
      <c r="M7145" s="473"/>
    </row>
    <row r="7146" spans="5:13">
      <c r="E7146" s="473"/>
      <c r="F7146" s="473"/>
      <c r="G7146" s="473"/>
      <c r="H7146" s="473"/>
      <c r="I7146" s="473"/>
      <c r="J7146" s="473"/>
      <c r="K7146" s="478"/>
      <c r="L7146" s="473"/>
      <c r="M7146" s="473"/>
    </row>
    <row r="7147" spans="5:13">
      <c r="E7147" s="473"/>
      <c r="F7147" s="473"/>
      <c r="G7147" s="473"/>
      <c r="H7147" s="473"/>
      <c r="I7147" s="473"/>
      <c r="J7147" s="473"/>
      <c r="K7147" s="478"/>
      <c r="L7147" s="473"/>
      <c r="M7147" s="473"/>
    </row>
    <row r="7148" spans="5:13">
      <c r="E7148" s="473"/>
      <c r="F7148" s="473"/>
      <c r="G7148" s="473"/>
      <c r="H7148" s="473"/>
      <c r="I7148" s="473"/>
      <c r="J7148" s="473"/>
      <c r="K7148" s="478"/>
      <c r="L7148" s="473"/>
      <c r="M7148" s="473"/>
    </row>
    <row r="7149" spans="5:13">
      <c r="E7149" s="473"/>
      <c r="F7149" s="473"/>
      <c r="G7149" s="473"/>
      <c r="H7149" s="473"/>
      <c r="I7149" s="473"/>
      <c r="J7149" s="473"/>
      <c r="K7149" s="478"/>
      <c r="L7149" s="473"/>
      <c r="M7149" s="473"/>
    </row>
    <row r="7150" spans="5:13">
      <c r="E7150" s="473"/>
      <c r="F7150" s="473"/>
      <c r="G7150" s="473"/>
      <c r="H7150" s="473"/>
      <c r="I7150" s="473"/>
      <c r="J7150" s="473"/>
      <c r="K7150" s="478"/>
      <c r="L7150" s="473"/>
      <c r="M7150" s="473"/>
    </row>
    <row r="7151" spans="5:13">
      <c r="E7151" s="473"/>
      <c r="F7151" s="473"/>
      <c r="G7151" s="473"/>
      <c r="H7151" s="473"/>
      <c r="I7151" s="473"/>
      <c r="J7151" s="473"/>
      <c r="K7151" s="478"/>
      <c r="L7151" s="473"/>
      <c r="M7151" s="473"/>
    </row>
    <row r="7152" spans="5:13">
      <c r="E7152" s="473"/>
      <c r="F7152" s="473"/>
      <c r="G7152" s="473"/>
      <c r="H7152" s="473"/>
      <c r="I7152" s="473"/>
      <c r="J7152" s="473"/>
      <c r="K7152" s="478"/>
      <c r="L7152" s="473"/>
      <c r="M7152" s="473"/>
    </row>
    <row r="7153" spans="5:13">
      <c r="E7153" s="473"/>
      <c r="F7153" s="473"/>
      <c r="G7153" s="473"/>
      <c r="H7153" s="473"/>
      <c r="I7153" s="473"/>
      <c r="J7153" s="473"/>
      <c r="K7153" s="478"/>
      <c r="L7153" s="473"/>
      <c r="M7153" s="473"/>
    </row>
    <row r="7154" spans="5:13">
      <c r="E7154" s="473"/>
      <c r="F7154" s="473"/>
      <c r="G7154" s="473"/>
      <c r="H7154" s="473"/>
      <c r="I7154" s="473"/>
      <c r="J7154" s="473"/>
      <c r="K7154" s="478"/>
      <c r="L7154" s="473"/>
      <c r="M7154" s="473"/>
    </row>
    <row r="7155" spans="5:13">
      <c r="E7155" s="473"/>
      <c r="F7155" s="473"/>
      <c r="G7155" s="473"/>
      <c r="H7155" s="473"/>
      <c r="I7155" s="473"/>
      <c r="J7155" s="473"/>
      <c r="K7155" s="478"/>
      <c r="L7155" s="473"/>
      <c r="M7155" s="473"/>
    </row>
    <row r="7156" spans="5:13">
      <c r="E7156" s="473"/>
      <c r="F7156" s="473"/>
      <c r="G7156" s="473"/>
      <c r="H7156" s="473"/>
      <c r="I7156" s="473"/>
      <c r="J7156" s="473"/>
      <c r="K7156" s="478"/>
      <c r="L7156" s="473"/>
      <c r="M7156" s="473"/>
    </row>
    <row r="7157" spans="5:13">
      <c r="E7157" s="473"/>
      <c r="F7157" s="473"/>
      <c r="G7157" s="473"/>
      <c r="H7157" s="473"/>
      <c r="I7157" s="473"/>
      <c r="J7157" s="473"/>
      <c r="K7157" s="478"/>
      <c r="L7157" s="473"/>
      <c r="M7157" s="473"/>
    </row>
    <row r="7158" spans="5:13">
      <c r="E7158" s="473"/>
      <c r="F7158" s="473"/>
      <c r="G7158" s="473"/>
      <c r="H7158" s="473"/>
      <c r="I7158" s="473"/>
      <c r="J7158" s="473"/>
      <c r="K7158" s="478"/>
      <c r="L7158" s="473"/>
      <c r="M7158" s="473"/>
    </row>
    <row r="7159" spans="5:13">
      <c r="E7159" s="473"/>
      <c r="F7159" s="473"/>
      <c r="G7159" s="473"/>
      <c r="H7159" s="473"/>
      <c r="I7159" s="473"/>
      <c r="J7159" s="473"/>
      <c r="K7159" s="478"/>
      <c r="L7159" s="473"/>
      <c r="M7159" s="473"/>
    </row>
    <row r="7160" spans="5:13">
      <c r="E7160" s="473"/>
      <c r="F7160" s="473"/>
      <c r="G7160" s="473"/>
      <c r="H7160" s="473"/>
      <c r="I7160" s="473"/>
      <c r="J7160" s="473"/>
      <c r="K7160" s="478"/>
      <c r="L7160" s="473"/>
      <c r="M7160" s="473"/>
    </row>
    <row r="7161" spans="5:13">
      <c r="E7161" s="473"/>
      <c r="F7161" s="473"/>
      <c r="G7161" s="473"/>
      <c r="H7161" s="473"/>
      <c r="I7161" s="473"/>
      <c r="J7161" s="473"/>
      <c r="K7161" s="478"/>
      <c r="L7161" s="473"/>
      <c r="M7161" s="473"/>
    </row>
    <row r="7162" spans="5:13">
      <c r="E7162" s="473"/>
      <c r="F7162" s="473"/>
      <c r="G7162" s="473"/>
      <c r="H7162" s="473"/>
      <c r="I7162" s="473"/>
      <c r="J7162" s="473"/>
      <c r="K7162" s="478"/>
      <c r="L7162" s="473"/>
      <c r="M7162" s="473"/>
    </row>
    <row r="7163" spans="5:13">
      <c r="E7163" s="473"/>
      <c r="F7163" s="473"/>
      <c r="G7163" s="473"/>
      <c r="H7163" s="473"/>
      <c r="I7163" s="473"/>
      <c r="J7163" s="473"/>
      <c r="K7163" s="478"/>
      <c r="L7163" s="473"/>
      <c r="M7163" s="473"/>
    </row>
    <row r="7164" spans="5:13">
      <c r="E7164" s="473"/>
      <c r="F7164" s="473"/>
      <c r="G7164" s="473"/>
      <c r="H7164" s="473"/>
      <c r="I7164" s="473"/>
      <c r="J7164" s="473"/>
      <c r="K7164" s="478"/>
      <c r="L7164" s="473"/>
      <c r="M7164" s="473"/>
    </row>
    <row r="7165" spans="5:13">
      <c r="E7165" s="473"/>
      <c r="F7165" s="473"/>
      <c r="G7165" s="473"/>
      <c r="H7165" s="473"/>
      <c r="I7165" s="473"/>
      <c r="J7165" s="473"/>
      <c r="K7165" s="478"/>
      <c r="L7165" s="473"/>
      <c r="M7165" s="473"/>
    </row>
    <row r="7166" spans="5:13">
      <c r="E7166" s="473"/>
      <c r="F7166" s="473"/>
      <c r="G7166" s="473"/>
      <c r="H7166" s="473"/>
      <c r="I7166" s="473"/>
      <c r="J7166" s="473"/>
      <c r="K7166" s="478"/>
      <c r="L7166" s="473"/>
      <c r="M7166" s="473"/>
    </row>
    <row r="7167" spans="5:13">
      <c r="E7167" s="473"/>
      <c r="F7167" s="473"/>
      <c r="G7167" s="473"/>
      <c r="H7167" s="473"/>
      <c r="I7167" s="473"/>
      <c r="J7167" s="473"/>
      <c r="K7167" s="478"/>
      <c r="L7167" s="473"/>
      <c r="M7167" s="473"/>
    </row>
    <row r="7168" spans="5:13">
      <c r="E7168" s="473"/>
      <c r="F7168" s="473"/>
      <c r="G7168" s="473"/>
      <c r="H7168" s="473"/>
      <c r="I7168" s="473"/>
      <c r="J7168" s="473"/>
      <c r="K7168" s="478"/>
      <c r="L7168" s="473"/>
      <c r="M7168" s="473"/>
    </row>
    <row r="7169" spans="5:13">
      <c r="E7169" s="473"/>
      <c r="F7169" s="473"/>
      <c r="G7169" s="473"/>
      <c r="H7169" s="473"/>
      <c r="I7169" s="473"/>
      <c r="J7169" s="473"/>
      <c r="K7169" s="478"/>
      <c r="L7169" s="473"/>
      <c r="M7169" s="473"/>
    </row>
    <row r="7170" spans="5:13">
      <c r="E7170" s="473"/>
      <c r="F7170" s="473"/>
      <c r="G7170" s="473"/>
      <c r="H7170" s="473"/>
      <c r="I7170" s="473"/>
      <c r="J7170" s="473"/>
      <c r="K7170" s="478"/>
      <c r="L7170" s="473"/>
      <c r="M7170" s="473"/>
    </row>
    <row r="7171" spans="5:13">
      <c r="E7171" s="473"/>
      <c r="F7171" s="473"/>
      <c r="G7171" s="473"/>
      <c r="H7171" s="473"/>
      <c r="I7171" s="473"/>
      <c r="J7171" s="473"/>
      <c r="K7171" s="478"/>
      <c r="L7171" s="473"/>
      <c r="M7171" s="473"/>
    </row>
    <row r="7172" spans="5:13">
      <c r="E7172" s="473"/>
      <c r="F7172" s="473"/>
      <c r="G7172" s="473"/>
      <c r="H7172" s="473"/>
      <c r="I7172" s="473"/>
      <c r="J7172" s="473"/>
      <c r="K7172" s="478"/>
      <c r="L7172" s="473"/>
      <c r="M7172" s="473"/>
    </row>
    <row r="7173" spans="5:13">
      <c r="E7173" s="473"/>
      <c r="F7173" s="473"/>
      <c r="G7173" s="473"/>
      <c r="H7173" s="473"/>
      <c r="I7173" s="473"/>
      <c r="J7173" s="473"/>
      <c r="K7173" s="478"/>
      <c r="L7173" s="473"/>
      <c r="M7173" s="473"/>
    </row>
    <row r="7174" spans="5:13">
      <c r="E7174" s="473"/>
      <c r="F7174" s="473"/>
      <c r="G7174" s="473"/>
      <c r="H7174" s="473"/>
      <c r="I7174" s="473"/>
      <c r="J7174" s="473"/>
      <c r="K7174" s="478"/>
      <c r="L7174" s="473"/>
      <c r="M7174" s="473"/>
    </row>
    <row r="7175" spans="5:13">
      <c r="E7175" s="473"/>
      <c r="F7175" s="473"/>
      <c r="G7175" s="473"/>
      <c r="H7175" s="473"/>
      <c r="I7175" s="473"/>
      <c r="J7175" s="473"/>
      <c r="K7175" s="478"/>
      <c r="L7175" s="473"/>
      <c r="M7175" s="473"/>
    </row>
    <row r="7176" spans="5:13">
      <c r="E7176" s="473"/>
      <c r="F7176" s="473"/>
      <c r="G7176" s="473"/>
      <c r="H7176" s="473"/>
      <c r="I7176" s="473"/>
      <c r="J7176" s="473"/>
      <c r="K7176" s="478"/>
      <c r="L7176" s="473"/>
      <c r="M7176" s="473"/>
    </row>
    <row r="7177" spans="5:13">
      <c r="E7177" s="473"/>
      <c r="F7177" s="473"/>
      <c r="G7177" s="473"/>
      <c r="H7177" s="473"/>
      <c r="I7177" s="473"/>
      <c r="J7177" s="473"/>
      <c r="K7177" s="478"/>
      <c r="L7177" s="473"/>
      <c r="M7177" s="473"/>
    </row>
    <row r="7178" spans="5:13">
      <c r="E7178" s="473"/>
      <c r="F7178" s="473"/>
      <c r="G7178" s="473"/>
      <c r="H7178" s="473"/>
      <c r="I7178" s="473"/>
      <c r="J7178" s="473"/>
      <c r="K7178" s="478"/>
      <c r="L7178" s="473"/>
      <c r="M7178" s="473"/>
    </row>
    <row r="7179" spans="5:13">
      <c r="E7179" s="473"/>
      <c r="F7179" s="473"/>
      <c r="G7179" s="473"/>
      <c r="H7179" s="473"/>
      <c r="I7179" s="473"/>
      <c r="J7179" s="473"/>
      <c r="K7179" s="478"/>
      <c r="L7179" s="473"/>
      <c r="M7179" s="473"/>
    </row>
    <row r="7180" spans="5:13">
      <c r="E7180" s="473"/>
      <c r="F7180" s="473"/>
      <c r="G7180" s="473"/>
      <c r="H7180" s="473"/>
      <c r="I7180" s="473"/>
      <c r="J7180" s="473"/>
      <c r="K7180" s="478"/>
      <c r="L7180" s="473"/>
      <c r="M7180" s="473"/>
    </row>
    <row r="7181" spans="5:13">
      <c r="E7181" s="473"/>
      <c r="F7181" s="473"/>
      <c r="G7181" s="473"/>
      <c r="H7181" s="473"/>
      <c r="I7181" s="473"/>
      <c r="J7181" s="473"/>
      <c r="K7181" s="478"/>
      <c r="L7181" s="473"/>
      <c r="M7181" s="473"/>
    </row>
    <row r="7182" spans="5:13">
      <c r="E7182" s="473"/>
      <c r="F7182" s="473"/>
      <c r="G7182" s="473"/>
      <c r="H7182" s="473"/>
      <c r="I7182" s="473"/>
      <c r="J7182" s="473"/>
      <c r="K7182" s="478"/>
      <c r="L7182" s="473"/>
      <c r="M7182" s="473"/>
    </row>
    <row r="7183" spans="5:13">
      <c r="E7183" s="473"/>
      <c r="F7183" s="473"/>
      <c r="G7183" s="473"/>
      <c r="H7183" s="473"/>
      <c r="I7183" s="473"/>
      <c r="J7183" s="473"/>
      <c r="K7183" s="478"/>
      <c r="L7183" s="473"/>
      <c r="M7183" s="473"/>
    </row>
    <row r="7184" spans="5:13">
      <c r="E7184" s="473"/>
      <c r="F7184" s="473"/>
      <c r="G7184" s="473"/>
      <c r="H7184" s="473"/>
      <c r="I7184" s="473"/>
      <c r="J7184" s="473"/>
      <c r="K7184" s="478"/>
      <c r="L7184" s="473"/>
      <c r="M7184" s="473"/>
    </row>
    <row r="7185" spans="5:13">
      <c r="E7185" s="473"/>
      <c r="F7185" s="473"/>
      <c r="G7185" s="473"/>
      <c r="H7185" s="473"/>
      <c r="I7185" s="473"/>
      <c r="J7185" s="473"/>
      <c r="K7185" s="478"/>
      <c r="L7185" s="473"/>
      <c r="M7185" s="473"/>
    </row>
    <row r="7186" spans="5:13">
      <c r="E7186" s="473"/>
      <c r="F7186" s="473"/>
      <c r="G7186" s="473"/>
      <c r="H7186" s="473"/>
      <c r="I7186" s="473"/>
      <c r="J7186" s="473"/>
      <c r="K7186" s="478"/>
      <c r="L7186" s="473"/>
      <c r="M7186" s="473"/>
    </row>
    <row r="7187" spans="5:13">
      <c r="E7187" s="473"/>
      <c r="F7187" s="473"/>
      <c r="G7187" s="473"/>
      <c r="H7187" s="473"/>
      <c r="I7187" s="473"/>
      <c r="J7187" s="473"/>
      <c r="K7187" s="478"/>
      <c r="L7187" s="473"/>
      <c r="M7187" s="473"/>
    </row>
    <row r="7188" spans="5:13">
      <c r="E7188" s="473"/>
      <c r="F7188" s="473"/>
      <c r="G7188" s="473"/>
      <c r="H7188" s="473"/>
      <c r="I7188" s="473"/>
      <c r="J7188" s="473"/>
      <c r="K7188" s="478"/>
      <c r="L7188" s="473"/>
      <c r="M7188" s="473"/>
    </row>
    <row r="7189" spans="5:13">
      <c r="E7189" s="473"/>
      <c r="F7189" s="473"/>
      <c r="G7189" s="473"/>
      <c r="H7189" s="473"/>
      <c r="I7189" s="473"/>
      <c r="J7189" s="473"/>
      <c r="K7189" s="478"/>
      <c r="L7189" s="473"/>
      <c r="M7189" s="473"/>
    </row>
    <row r="7190" spans="5:13">
      <c r="E7190" s="473"/>
      <c r="F7190" s="473"/>
      <c r="G7190" s="473"/>
      <c r="H7190" s="473"/>
      <c r="I7190" s="473"/>
      <c r="J7190" s="473"/>
      <c r="K7190" s="478"/>
      <c r="L7190" s="473"/>
      <c r="M7190" s="473"/>
    </row>
    <row r="7191" spans="5:13">
      <c r="E7191" s="473"/>
      <c r="F7191" s="473"/>
      <c r="G7191" s="473"/>
      <c r="H7191" s="473"/>
      <c r="I7191" s="473"/>
      <c r="J7191" s="473"/>
      <c r="K7191" s="478"/>
      <c r="L7191" s="473"/>
      <c r="M7191" s="473"/>
    </row>
    <row r="7192" spans="5:13">
      <c r="E7192" s="473"/>
      <c r="F7192" s="473"/>
      <c r="G7192" s="473"/>
      <c r="H7192" s="473"/>
      <c r="I7192" s="473"/>
      <c r="J7192" s="473"/>
      <c r="K7192" s="478"/>
      <c r="L7192" s="473"/>
      <c r="M7192" s="473"/>
    </row>
    <row r="7193" spans="5:13">
      <c r="E7193" s="473"/>
      <c r="F7193" s="473"/>
      <c r="G7193" s="473"/>
      <c r="H7193" s="473"/>
      <c r="I7193" s="473"/>
      <c r="J7193" s="473"/>
      <c r="K7193" s="478"/>
      <c r="L7193" s="473"/>
      <c r="M7193" s="473"/>
    </row>
    <row r="7194" spans="5:13">
      <c r="E7194" s="473"/>
      <c r="F7194" s="473"/>
      <c r="G7194" s="473"/>
      <c r="H7194" s="473"/>
      <c r="I7194" s="473"/>
      <c r="J7194" s="473"/>
      <c r="K7194" s="478"/>
      <c r="L7194" s="473"/>
      <c r="M7194" s="473"/>
    </row>
    <row r="7195" spans="5:13">
      <c r="E7195" s="473"/>
      <c r="F7195" s="473"/>
      <c r="G7195" s="473"/>
      <c r="H7195" s="473"/>
      <c r="I7195" s="473"/>
      <c r="J7195" s="473"/>
      <c r="K7195" s="478"/>
      <c r="L7195" s="473"/>
      <c r="M7195" s="473"/>
    </row>
    <row r="7196" spans="5:13">
      <c r="E7196" s="473"/>
      <c r="F7196" s="473"/>
      <c r="G7196" s="473"/>
      <c r="H7196" s="473"/>
      <c r="I7196" s="473"/>
      <c r="J7196" s="473"/>
      <c r="K7196" s="478"/>
      <c r="L7196" s="473"/>
      <c r="M7196" s="473"/>
    </row>
    <row r="7197" spans="5:13">
      <c r="E7197" s="473"/>
      <c r="F7197" s="473"/>
      <c r="G7197" s="473"/>
      <c r="H7197" s="473"/>
      <c r="I7197" s="473"/>
      <c r="J7197" s="473"/>
      <c r="K7197" s="478"/>
      <c r="L7197" s="473"/>
      <c r="M7197" s="473"/>
    </row>
    <row r="7198" spans="5:13">
      <c r="E7198" s="473"/>
      <c r="F7198" s="473"/>
      <c r="G7198" s="473"/>
      <c r="H7198" s="473"/>
      <c r="I7198" s="473"/>
      <c r="J7198" s="473"/>
      <c r="K7198" s="478"/>
      <c r="L7198" s="473"/>
      <c r="M7198" s="473"/>
    </row>
    <row r="7199" spans="5:13">
      <c r="E7199" s="473"/>
      <c r="F7199" s="473"/>
      <c r="G7199" s="473"/>
      <c r="H7199" s="473"/>
      <c r="I7199" s="473"/>
      <c r="J7199" s="473"/>
      <c r="K7199" s="478"/>
      <c r="L7199" s="473"/>
      <c r="M7199" s="473"/>
    </row>
    <row r="7200" spans="5:13">
      <c r="E7200" s="473"/>
      <c r="F7200" s="473"/>
      <c r="G7200" s="473"/>
      <c r="H7200" s="473"/>
      <c r="I7200" s="473"/>
      <c r="J7200" s="473"/>
      <c r="K7200" s="478"/>
      <c r="L7200" s="473"/>
      <c r="M7200" s="473"/>
    </row>
    <row r="7201" spans="5:13">
      <c r="E7201" s="473"/>
      <c r="F7201" s="473"/>
      <c r="G7201" s="473"/>
      <c r="H7201" s="473"/>
      <c r="I7201" s="473"/>
      <c r="J7201" s="473"/>
      <c r="K7201" s="478"/>
      <c r="L7201" s="473"/>
      <c r="M7201" s="473"/>
    </row>
    <row r="7202" spans="5:13">
      <c r="E7202" s="473"/>
      <c r="F7202" s="473"/>
      <c r="G7202" s="473"/>
      <c r="H7202" s="473"/>
      <c r="I7202" s="473"/>
      <c r="J7202" s="473"/>
      <c r="K7202" s="478"/>
      <c r="L7202" s="473"/>
      <c r="M7202" s="473"/>
    </row>
    <row r="7203" spans="5:13">
      <c r="E7203" s="473"/>
      <c r="F7203" s="473"/>
      <c r="G7203" s="473"/>
      <c r="H7203" s="473"/>
      <c r="I7203" s="473"/>
      <c r="J7203" s="473"/>
      <c r="K7203" s="478"/>
      <c r="L7203" s="473"/>
      <c r="M7203" s="473"/>
    </row>
    <row r="7204" spans="5:13">
      <c r="E7204" s="473"/>
      <c r="F7204" s="473"/>
      <c r="G7204" s="473"/>
      <c r="H7204" s="473"/>
      <c r="I7204" s="473"/>
      <c r="J7204" s="473"/>
      <c r="K7204" s="478"/>
      <c r="L7204" s="473"/>
      <c r="M7204" s="473"/>
    </row>
    <row r="7205" spans="5:13">
      <c r="E7205" s="473"/>
      <c r="F7205" s="473"/>
      <c r="G7205" s="473"/>
      <c r="H7205" s="473"/>
      <c r="I7205" s="473"/>
      <c r="J7205" s="473"/>
      <c r="K7205" s="478"/>
      <c r="L7205" s="473"/>
      <c r="M7205" s="473"/>
    </row>
    <row r="7206" spans="5:13">
      <c r="E7206" s="473"/>
      <c r="F7206" s="473"/>
      <c r="G7206" s="473"/>
      <c r="H7206" s="473"/>
      <c r="I7206" s="473"/>
      <c r="J7206" s="473"/>
      <c r="K7206" s="478"/>
      <c r="L7206" s="473"/>
      <c r="M7206" s="473"/>
    </row>
    <row r="7207" spans="5:13">
      <c r="E7207" s="473"/>
      <c r="F7207" s="473"/>
      <c r="G7207" s="473"/>
      <c r="H7207" s="473"/>
      <c r="I7207" s="473"/>
      <c r="J7207" s="473"/>
      <c r="K7207" s="478"/>
      <c r="L7207" s="473"/>
      <c r="M7207" s="473"/>
    </row>
    <row r="7208" spans="5:13">
      <c r="E7208" s="473"/>
      <c r="F7208" s="473"/>
      <c r="G7208" s="473"/>
      <c r="H7208" s="473"/>
      <c r="I7208" s="473"/>
      <c r="J7208" s="473"/>
      <c r="K7208" s="478"/>
      <c r="L7208" s="473"/>
      <c r="M7208" s="473"/>
    </row>
    <row r="7209" spans="5:13">
      <c r="E7209" s="473"/>
      <c r="F7209" s="473"/>
      <c r="G7209" s="473"/>
      <c r="H7209" s="473"/>
      <c r="I7209" s="473"/>
      <c r="J7209" s="473"/>
      <c r="K7209" s="478"/>
      <c r="L7209" s="473"/>
      <c r="M7209" s="473"/>
    </row>
    <row r="7210" spans="5:13">
      <c r="E7210" s="473"/>
      <c r="F7210" s="473"/>
      <c r="G7210" s="473"/>
      <c r="H7210" s="473"/>
      <c r="I7210" s="473"/>
      <c r="J7210" s="473"/>
      <c r="K7210" s="478"/>
      <c r="L7210" s="473"/>
      <c r="M7210" s="473"/>
    </row>
    <row r="7211" spans="5:13">
      <c r="E7211" s="473"/>
      <c r="F7211" s="473"/>
      <c r="G7211" s="473"/>
      <c r="H7211" s="473"/>
      <c r="I7211" s="473"/>
      <c r="J7211" s="473"/>
      <c r="K7211" s="478"/>
      <c r="L7211" s="473"/>
      <c r="M7211" s="473"/>
    </row>
    <row r="7212" spans="5:13">
      <c r="E7212" s="473"/>
      <c r="F7212" s="473"/>
      <c r="G7212" s="473"/>
      <c r="H7212" s="473"/>
      <c r="I7212" s="473"/>
      <c r="J7212" s="473"/>
      <c r="K7212" s="478"/>
      <c r="L7212" s="473"/>
      <c r="M7212" s="473"/>
    </row>
    <row r="7213" spans="5:13">
      <c r="E7213" s="473"/>
      <c r="F7213" s="473"/>
      <c r="G7213" s="473"/>
      <c r="H7213" s="473"/>
      <c r="I7213" s="473"/>
      <c r="J7213" s="473"/>
      <c r="K7213" s="478"/>
      <c r="L7213" s="473"/>
      <c r="M7213" s="473"/>
    </row>
    <row r="7214" spans="5:13">
      <c r="E7214" s="473"/>
      <c r="F7214" s="473"/>
      <c r="G7214" s="473"/>
      <c r="H7214" s="473"/>
      <c r="I7214" s="473"/>
      <c r="J7214" s="473"/>
      <c r="K7214" s="478"/>
      <c r="L7214" s="473"/>
      <c r="M7214" s="473"/>
    </row>
    <row r="7215" spans="5:13">
      <c r="E7215" s="473"/>
      <c r="F7215" s="473"/>
      <c r="G7215" s="473"/>
      <c r="H7215" s="473"/>
      <c r="I7215" s="473"/>
      <c r="J7215" s="473"/>
      <c r="K7215" s="478"/>
      <c r="L7215" s="473"/>
      <c r="M7215" s="473"/>
    </row>
    <row r="7216" spans="5:13">
      <c r="E7216" s="473"/>
      <c r="F7216" s="473"/>
      <c r="G7216" s="473"/>
      <c r="H7216" s="473"/>
      <c r="I7216" s="473"/>
      <c r="J7216" s="473"/>
      <c r="K7216" s="478"/>
      <c r="L7216" s="473"/>
      <c r="M7216" s="473"/>
    </row>
    <row r="7217" spans="5:13">
      <c r="E7217" s="473"/>
      <c r="F7217" s="473"/>
      <c r="G7217" s="473"/>
      <c r="H7217" s="473"/>
      <c r="I7217" s="473"/>
      <c r="J7217" s="473"/>
      <c r="K7217" s="478"/>
      <c r="L7217" s="473"/>
      <c r="M7217" s="473"/>
    </row>
    <row r="7218" spans="5:13">
      <c r="E7218" s="473"/>
      <c r="F7218" s="473"/>
      <c r="G7218" s="473"/>
      <c r="H7218" s="473"/>
      <c r="I7218" s="473"/>
      <c r="J7218" s="473"/>
      <c r="K7218" s="478"/>
      <c r="L7218" s="473"/>
      <c r="M7218" s="473"/>
    </row>
    <row r="7219" spans="5:13">
      <c r="E7219" s="473"/>
      <c r="F7219" s="473"/>
      <c r="G7219" s="473"/>
      <c r="H7219" s="473"/>
      <c r="I7219" s="473"/>
      <c r="J7219" s="473"/>
      <c r="K7219" s="478"/>
      <c r="L7219" s="473"/>
      <c r="M7219" s="473"/>
    </row>
    <row r="7220" spans="5:13">
      <c r="E7220" s="473"/>
      <c r="F7220" s="473"/>
      <c r="G7220" s="473"/>
      <c r="H7220" s="473"/>
      <c r="I7220" s="473"/>
      <c r="J7220" s="473"/>
      <c r="K7220" s="478"/>
      <c r="L7220" s="473"/>
      <c r="M7220" s="473"/>
    </row>
    <row r="7221" spans="5:13">
      <c r="E7221" s="473"/>
      <c r="F7221" s="473"/>
      <c r="G7221" s="473"/>
      <c r="H7221" s="473"/>
      <c r="I7221" s="473"/>
      <c r="J7221" s="473"/>
      <c r="K7221" s="478"/>
      <c r="L7221" s="473"/>
      <c r="M7221" s="473"/>
    </row>
    <row r="7222" spans="5:13">
      <c r="E7222" s="473"/>
      <c r="F7222" s="473"/>
      <c r="G7222" s="473"/>
      <c r="H7222" s="473"/>
      <c r="I7222" s="473"/>
      <c r="J7222" s="473"/>
      <c r="K7222" s="478"/>
      <c r="L7222" s="473"/>
      <c r="M7222" s="473"/>
    </row>
    <row r="7223" spans="5:13">
      <c r="E7223" s="473"/>
      <c r="F7223" s="473"/>
      <c r="G7223" s="473"/>
      <c r="H7223" s="473"/>
      <c r="I7223" s="473"/>
      <c r="J7223" s="473"/>
      <c r="K7223" s="478"/>
      <c r="L7223" s="473"/>
      <c r="M7223" s="473"/>
    </row>
    <row r="7224" spans="5:13">
      <c r="E7224" s="473"/>
      <c r="F7224" s="473"/>
      <c r="G7224" s="473"/>
      <c r="H7224" s="473"/>
      <c r="I7224" s="473"/>
      <c r="J7224" s="473"/>
      <c r="K7224" s="478"/>
      <c r="L7224" s="473"/>
      <c r="M7224" s="473"/>
    </row>
    <row r="7225" spans="5:13">
      <c r="E7225" s="473"/>
      <c r="F7225" s="473"/>
      <c r="G7225" s="473"/>
      <c r="H7225" s="473"/>
      <c r="I7225" s="473"/>
      <c r="J7225" s="473"/>
      <c r="K7225" s="478"/>
      <c r="L7225" s="473"/>
      <c r="M7225" s="473"/>
    </row>
    <row r="7226" spans="5:13">
      <c r="E7226" s="473"/>
      <c r="F7226" s="473"/>
      <c r="G7226" s="473"/>
      <c r="H7226" s="473"/>
      <c r="I7226" s="473"/>
      <c r="J7226" s="473"/>
      <c r="K7226" s="478"/>
      <c r="L7226" s="473"/>
      <c r="M7226" s="473"/>
    </row>
    <row r="7227" spans="5:13">
      <c r="E7227" s="473"/>
      <c r="F7227" s="473"/>
      <c r="G7227" s="473"/>
      <c r="H7227" s="473"/>
      <c r="I7227" s="473"/>
      <c r="J7227" s="473"/>
      <c r="K7227" s="478"/>
      <c r="L7227" s="473"/>
      <c r="M7227" s="473"/>
    </row>
    <row r="7228" spans="5:13">
      <c r="E7228" s="473"/>
      <c r="F7228" s="473"/>
      <c r="G7228" s="473"/>
      <c r="H7228" s="473"/>
      <c r="I7228" s="473"/>
      <c r="J7228" s="473"/>
      <c r="K7228" s="478"/>
      <c r="L7228" s="473"/>
      <c r="M7228" s="473"/>
    </row>
    <row r="7229" spans="5:13">
      <c r="E7229" s="473"/>
      <c r="F7229" s="473"/>
      <c r="G7229" s="473"/>
      <c r="H7229" s="473"/>
      <c r="I7229" s="473"/>
      <c r="J7229" s="473"/>
      <c r="K7229" s="478"/>
      <c r="L7229" s="473"/>
      <c r="M7229" s="473"/>
    </row>
    <row r="7230" spans="5:13">
      <c r="E7230" s="473"/>
      <c r="F7230" s="473"/>
      <c r="G7230" s="473"/>
      <c r="H7230" s="473"/>
      <c r="I7230" s="473"/>
      <c r="J7230" s="473"/>
      <c r="K7230" s="478"/>
      <c r="L7230" s="473"/>
      <c r="M7230" s="473"/>
    </row>
    <row r="7231" spans="5:13">
      <c r="E7231" s="473"/>
      <c r="F7231" s="473"/>
      <c r="G7231" s="473"/>
      <c r="H7231" s="473"/>
      <c r="I7231" s="473"/>
      <c r="J7231" s="473"/>
      <c r="K7231" s="478"/>
      <c r="L7231" s="473"/>
      <c r="M7231" s="473"/>
    </row>
    <row r="7232" spans="5:13">
      <c r="E7232" s="473"/>
      <c r="F7232" s="473"/>
      <c r="G7232" s="473"/>
      <c r="H7232" s="473"/>
      <c r="I7232" s="473"/>
      <c r="J7232" s="473"/>
      <c r="K7232" s="478"/>
      <c r="L7232" s="473"/>
      <c r="M7232" s="473"/>
    </row>
    <row r="7233" spans="5:13">
      <c r="E7233" s="473"/>
      <c r="F7233" s="473"/>
      <c r="G7233" s="473"/>
      <c r="H7233" s="473"/>
      <c r="I7233" s="473"/>
      <c r="J7233" s="473"/>
      <c r="K7233" s="478"/>
      <c r="L7233" s="473"/>
      <c r="M7233" s="473"/>
    </row>
    <row r="7234" spans="5:13">
      <c r="E7234" s="473"/>
      <c r="F7234" s="473"/>
      <c r="G7234" s="473"/>
      <c r="H7234" s="473"/>
      <c r="I7234" s="473"/>
      <c r="J7234" s="473"/>
      <c r="K7234" s="478"/>
      <c r="L7234" s="473"/>
      <c r="M7234" s="473"/>
    </row>
    <row r="7235" spans="5:13">
      <c r="E7235" s="473"/>
      <c r="F7235" s="473"/>
      <c r="G7235" s="473"/>
      <c r="H7235" s="473"/>
      <c r="I7235" s="473"/>
      <c r="J7235" s="473"/>
      <c r="K7235" s="478"/>
      <c r="L7235" s="473"/>
      <c r="M7235" s="473"/>
    </row>
    <row r="7236" spans="5:13">
      <c r="E7236" s="473"/>
      <c r="F7236" s="473"/>
      <c r="G7236" s="473"/>
      <c r="H7236" s="473"/>
      <c r="I7236" s="473"/>
      <c r="J7236" s="473"/>
      <c r="K7236" s="478"/>
      <c r="L7236" s="473"/>
      <c r="M7236" s="473"/>
    </row>
    <row r="7237" spans="5:13">
      <c r="E7237" s="473"/>
      <c r="F7237" s="473"/>
      <c r="G7237" s="473"/>
      <c r="H7237" s="473"/>
      <c r="I7237" s="473"/>
      <c r="J7237" s="473"/>
      <c r="K7237" s="478"/>
      <c r="L7237" s="473"/>
      <c r="M7237" s="473"/>
    </row>
    <row r="7238" spans="5:13">
      <c r="E7238" s="473"/>
      <c r="F7238" s="473"/>
      <c r="G7238" s="473"/>
      <c r="H7238" s="473"/>
      <c r="I7238" s="473"/>
      <c r="J7238" s="473"/>
      <c r="K7238" s="478"/>
      <c r="L7238" s="473"/>
      <c r="M7238" s="473"/>
    </row>
    <row r="7239" spans="5:13">
      <c r="E7239" s="473"/>
      <c r="F7239" s="473"/>
      <c r="G7239" s="473"/>
      <c r="H7239" s="473"/>
      <c r="I7239" s="473"/>
      <c r="J7239" s="473"/>
      <c r="K7239" s="478"/>
      <c r="L7239" s="473"/>
      <c r="M7239" s="473"/>
    </row>
    <row r="7240" spans="5:13">
      <c r="E7240" s="473"/>
      <c r="F7240" s="473"/>
      <c r="G7240" s="473"/>
      <c r="H7240" s="473"/>
      <c r="I7240" s="473"/>
      <c r="J7240" s="473"/>
      <c r="K7240" s="478"/>
      <c r="L7240" s="473"/>
      <c r="M7240" s="473"/>
    </row>
    <row r="7241" spans="5:13">
      <c r="E7241" s="473"/>
      <c r="F7241" s="473"/>
      <c r="G7241" s="473"/>
      <c r="H7241" s="473"/>
      <c r="I7241" s="473"/>
      <c r="J7241" s="473"/>
      <c r="K7241" s="478"/>
      <c r="L7241" s="473"/>
      <c r="M7241" s="473"/>
    </row>
    <row r="7242" spans="5:13">
      <c r="E7242" s="473"/>
      <c r="F7242" s="473"/>
      <c r="G7242" s="473"/>
      <c r="H7242" s="473"/>
      <c r="I7242" s="473"/>
      <c r="J7242" s="473"/>
      <c r="K7242" s="478"/>
      <c r="L7242" s="473"/>
      <c r="M7242" s="473"/>
    </row>
    <row r="7243" spans="5:13">
      <c r="E7243" s="473"/>
      <c r="F7243" s="473"/>
      <c r="G7243" s="473"/>
      <c r="H7243" s="473"/>
      <c r="I7243" s="473"/>
      <c r="J7243" s="473"/>
      <c r="K7243" s="478"/>
      <c r="L7243" s="473"/>
      <c r="M7243" s="473"/>
    </row>
    <row r="7244" spans="5:13">
      <c r="E7244" s="473"/>
      <c r="F7244" s="473"/>
      <c r="G7244" s="473"/>
      <c r="H7244" s="473"/>
      <c r="I7244" s="473"/>
      <c r="J7244" s="473"/>
      <c r="K7244" s="478"/>
      <c r="L7244" s="473"/>
      <c r="M7244" s="473"/>
    </row>
    <row r="7245" spans="5:13">
      <c r="E7245" s="473"/>
      <c r="F7245" s="473"/>
      <c r="G7245" s="473"/>
      <c r="H7245" s="473"/>
      <c r="I7245" s="473"/>
      <c r="J7245" s="473"/>
      <c r="K7245" s="478"/>
      <c r="L7245" s="473"/>
      <c r="M7245" s="473"/>
    </row>
    <row r="7246" spans="5:13">
      <c r="E7246" s="473"/>
      <c r="F7246" s="473"/>
      <c r="G7246" s="473"/>
      <c r="H7246" s="473"/>
      <c r="I7246" s="473"/>
      <c r="J7246" s="473"/>
      <c r="K7246" s="478"/>
      <c r="L7246" s="473"/>
      <c r="M7246" s="473"/>
    </row>
    <row r="7247" spans="5:13">
      <c r="E7247" s="473"/>
      <c r="F7247" s="473"/>
      <c r="G7247" s="473"/>
      <c r="H7247" s="473"/>
      <c r="I7247" s="473"/>
      <c r="J7247" s="473"/>
      <c r="K7247" s="478"/>
      <c r="L7247" s="473"/>
      <c r="M7247" s="473"/>
    </row>
    <row r="7248" spans="5:13">
      <c r="E7248" s="473"/>
      <c r="F7248" s="473"/>
      <c r="G7248" s="473"/>
      <c r="H7248" s="473"/>
      <c r="I7248" s="473"/>
      <c r="J7248" s="473"/>
      <c r="K7248" s="478"/>
      <c r="L7248" s="473"/>
      <c r="M7248" s="473"/>
    </row>
    <row r="7249" spans="5:13">
      <c r="E7249" s="473"/>
      <c r="F7249" s="473"/>
      <c r="G7249" s="473"/>
      <c r="H7249" s="473"/>
      <c r="I7249" s="473"/>
      <c r="J7249" s="473"/>
      <c r="K7249" s="478"/>
      <c r="L7249" s="473"/>
      <c r="M7249" s="473"/>
    </row>
    <row r="7250" spans="5:13">
      <c r="E7250" s="473"/>
      <c r="F7250" s="473"/>
      <c r="G7250" s="473"/>
      <c r="H7250" s="473"/>
      <c r="I7250" s="473"/>
      <c r="J7250" s="473"/>
      <c r="K7250" s="478"/>
      <c r="L7250" s="473"/>
      <c r="M7250" s="473"/>
    </row>
    <row r="7251" spans="5:13">
      <c r="E7251" s="473"/>
      <c r="F7251" s="473"/>
      <c r="G7251" s="473"/>
      <c r="H7251" s="473"/>
      <c r="I7251" s="473"/>
      <c r="J7251" s="473"/>
      <c r="K7251" s="478"/>
      <c r="L7251" s="473"/>
      <c r="M7251" s="473"/>
    </row>
    <row r="7252" spans="5:13">
      <c r="E7252" s="473"/>
      <c r="F7252" s="473"/>
      <c r="G7252" s="473"/>
      <c r="H7252" s="473"/>
      <c r="I7252" s="473"/>
      <c r="J7252" s="473"/>
      <c r="K7252" s="478"/>
      <c r="L7252" s="473"/>
      <c r="M7252" s="473"/>
    </row>
    <row r="7253" spans="5:13">
      <c r="E7253" s="473"/>
      <c r="F7253" s="473"/>
      <c r="G7253" s="473"/>
      <c r="H7253" s="473"/>
      <c r="I7253" s="473"/>
      <c r="J7253" s="473"/>
      <c r="K7253" s="478"/>
      <c r="L7253" s="473"/>
      <c r="M7253" s="473"/>
    </row>
    <row r="7254" spans="5:13">
      <c r="E7254" s="473"/>
      <c r="F7254" s="473"/>
      <c r="G7254" s="473"/>
      <c r="H7254" s="473"/>
      <c r="I7254" s="473"/>
      <c r="J7254" s="473"/>
      <c r="K7254" s="478"/>
      <c r="L7254" s="473"/>
      <c r="M7254" s="473"/>
    </row>
    <row r="7255" spans="5:13">
      <c r="E7255" s="473"/>
      <c r="F7255" s="473"/>
      <c r="G7255" s="473"/>
      <c r="H7255" s="473"/>
      <c r="I7255" s="473"/>
      <c r="J7255" s="473"/>
      <c r="K7255" s="478"/>
      <c r="L7255" s="473"/>
      <c r="M7255" s="473"/>
    </row>
    <row r="7256" spans="5:13">
      <c r="E7256" s="473"/>
      <c r="F7256" s="473"/>
      <c r="G7256" s="473"/>
      <c r="H7256" s="473"/>
      <c r="I7256" s="473"/>
      <c r="J7256" s="473"/>
      <c r="K7256" s="478"/>
      <c r="L7256" s="473"/>
      <c r="M7256" s="473"/>
    </row>
    <row r="7257" spans="5:13">
      <c r="E7257" s="473"/>
      <c r="F7257" s="473"/>
      <c r="G7257" s="473"/>
      <c r="H7257" s="473"/>
      <c r="I7257" s="473"/>
      <c r="J7257" s="473"/>
      <c r="K7257" s="478"/>
      <c r="L7257" s="473"/>
      <c r="M7257" s="473"/>
    </row>
    <row r="7258" spans="5:13">
      <c r="E7258" s="473"/>
      <c r="F7258" s="473"/>
      <c r="G7258" s="473"/>
      <c r="H7258" s="473"/>
      <c r="I7258" s="473"/>
      <c r="J7258" s="473"/>
      <c r="K7258" s="478"/>
      <c r="L7258" s="473"/>
      <c r="M7258" s="473"/>
    </row>
    <row r="7259" spans="5:13">
      <c r="E7259" s="473"/>
      <c r="F7259" s="473"/>
      <c r="G7259" s="473"/>
      <c r="H7259" s="473"/>
      <c r="I7259" s="473"/>
      <c r="J7259" s="473"/>
      <c r="K7259" s="478"/>
      <c r="L7259" s="473"/>
      <c r="M7259" s="473"/>
    </row>
    <row r="7260" spans="5:13">
      <c r="E7260" s="473"/>
      <c r="F7260" s="473"/>
      <c r="G7260" s="473"/>
      <c r="H7260" s="473"/>
      <c r="I7260" s="473"/>
      <c r="J7260" s="473"/>
      <c r="K7260" s="478"/>
      <c r="L7260" s="473"/>
      <c r="M7260" s="473"/>
    </row>
    <row r="7261" spans="5:13">
      <c r="E7261" s="473"/>
      <c r="F7261" s="473"/>
      <c r="G7261" s="473"/>
      <c r="H7261" s="473"/>
      <c r="I7261" s="473"/>
      <c r="J7261" s="473"/>
      <c r="K7261" s="478"/>
      <c r="L7261" s="473"/>
      <c r="M7261" s="473"/>
    </row>
    <row r="7262" spans="5:13">
      <c r="E7262" s="473"/>
      <c r="F7262" s="473"/>
      <c r="G7262" s="473"/>
      <c r="H7262" s="473"/>
      <c r="I7262" s="473"/>
      <c r="J7262" s="473"/>
      <c r="K7262" s="478"/>
      <c r="L7262" s="473"/>
      <c r="M7262" s="473"/>
    </row>
    <row r="7263" spans="5:13">
      <c r="E7263" s="473"/>
      <c r="F7263" s="473"/>
      <c r="G7263" s="473"/>
      <c r="H7263" s="473"/>
      <c r="I7263" s="473"/>
      <c r="J7263" s="473"/>
      <c r="K7263" s="478"/>
      <c r="L7263" s="473"/>
      <c r="M7263" s="473"/>
    </row>
    <row r="7264" spans="5:13">
      <c r="E7264" s="473"/>
      <c r="F7264" s="473"/>
      <c r="G7264" s="473"/>
      <c r="H7264" s="473"/>
      <c r="I7264" s="473"/>
      <c r="J7264" s="473"/>
      <c r="K7264" s="478"/>
      <c r="L7264" s="473"/>
      <c r="M7264" s="473"/>
    </row>
    <row r="7265" spans="5:13">
      <c r="E7265" s="473"/>
      <c r="F7265" s="473"/>
      <c r="G7265" s="473"/>
      <c r="H7265" s="473"/>
      <c r="I7265" s="473"/>
      <c r="J7265" s="473"/>
      <c r="K7265" s="478"/>
      <c r="L7265" s="473"/>
      <c r="M7265" s="473"/>
    </row>
    <row r="7266" spans="5:13">
      <c r="E7266" s="473"/>
      <c r="F7266" s="473"/>
      <c r="G7266" s="473"/>
      <c r="H7266" s="473"/>
      <c r="I7266" s="473"/>
      <c r="J7266" s="473"/>
      <c r="K7266" s="478"/>
      <c r="L7266" s="473"/>
      <c r="M7266" s="473"/>
    </row>
    <row r="7267" spans="5:13">
      <c r="E7267" s="473"/>
      <c r="F7267" s="473"/>
      <c r="G7267" s="473"/>
      <c r="H7267" s="473"/>
      <c r="I7267" s="473"/>
      <c r="J7267" s="473"/>
      <c r="K7267" s="478"/>
      <c r="L7267" s="473"/>
      <c r="M7267" s="473"/>
    </row>
    <row r="7268" spans="5:13">
      <c r="E7268" s="473"/>
      <c r="F7268" s="473"/>
      <c r="G7268" s="473"/>
      <c r="H7268" s="473"/>
      <c r="I7268" s="473"/>
      <c r="J7268" s="473"/>
      <c r="K7268" s="478"/>
      <c r="L7268" s="473"/>
      <c r="M7268" s="473"/>
    </row>
    <row r="7269" spans="5:13">
      <c r="E7269" s="473"/>
      <c r="F7269" s="473"/>
      <c r="G7269" s="473"/>
      <c r="H7269" s="473"/>
      <c r="I7269" s="473"/>
      <c r="J7269" s="473"/>
      <c r="K7269" s="478"/>
      <c r="L7269" s="473"/>
      <c r="M7269" s="473"/>
    </row>
    <row r="7270" spans="5:13">
      <c r="E7270" s="473"/>
      <c r="F7270" s="473"/>
      <c r="G7270" s="473"/>
      <c r="H7270" s="473"/>
      <c r="I7270" s="473"/>
      <c r="J7270" s="473"/>
      <c r="K7270" s="478"/>
      <c r="L7270" s="473"/>
      <c r="M7270" s="473"/>
    </row>
    <row r="7271" spans="5:13">
      <c r="E7271" s="473"/>
      <c r="F7271" s="473"/>
      <c r="G7271" s="473"/>
      <c r="H7271" s="473"/>
      <c r="I7271" s="473"/>
      <c r="J7271" s="473"/>
      <c r="K7271" s="478"/>
      <c r="L7271" s="473"/>
      <c r="M7271" s="473"/>
    </row>
    <row r="7272" spans="5:13">
      <c r="E7272" s="473"/>
      <c r="F7272" s="473"/>
      <c r="G7272" s="473"/>
      <c r="H7272" s="473"/>
      <c r="I7272" s="473"/>
      <c r="J7272" s="473"/>
      <c r="K7272" s="478"/>
      <c r="L7272" s="473"/>
      <c r="M7272" s="473"/>
    </row>
    <row r="7273" spans="5:13">
      <c r="E7273" s="473"/>
      <c r="F7273" s="473"/>
      <c r="G7273" s="473"/>
      <c r="H7273" s="473"/>
      <c r="I7273" s="473"/>
      <c r="J7273" s="473"/>
      <c r="K7273" s="478"/>
      <c r="L7273" s="473"/>
      <c r="M7273" s="473"/>
    </row>
    <row r="7274" spans="5:13">
      <c r="E7274" s="473"/>
      <c r="F7274" s="473"/>
      <c r="G7274" s="473"/>
      <c r="H7274" s="473"/>
      <c r="I7274" s="473"/>
      <c r="J7274" s="473"/>
      <c r="K7274" s="478"/>
      <c r="L7274" s="473"/>
      <c r="M7274" s="473"/>
    </row>
    <row r="7275" spans="5:13">
      <c r="E7275" s="473"/>
      <c r="F7275" s="473"/>
      <c r="G7275" s="473"/>
      <c r="H7275" s="473"/>
      <c r="I7275" s="473"/>
      <c r="J7275" s="473"/>
      <c r="K7275" s="478"/>
      <c r="L7275" s="473"/>
      <c r="M7275" s="473"/>
    </row>
    <row r="7276" spans="5:13">
      <c r="E7276" s="473"/>
      <c r="F7276" s="473"/>
      <c r="G7276" s="473"/>
      <c r="H7276" s="473"/>
      <c r="I7276" s="473"/>
      <c r="J7276" s="473"/>
      <c r="K7276" s="478"/>
      <c r="L7276" s="473"/>
      <c r="M7276" s="473"/>
    </row>
    <row r="7277" spans="5:13">
      <c r="E7277" s="473"/>
      <c r="F7277" s="473"/>
      <c r="G7277" s="473"/>
      <c r="H7277" s="473"/>
      <c r="I7277" s="473"/>
      <c r="J7277" s="473"/>
      <c r="K7277" s="478"/>
      <c r="L7277" s="473"/>
      <c r="M7277" s="473"/>
    </row>
    <row r="7278" spans="5:13">
      <c r="E7278" s="473"/>
      <c r="F7278" s="473"/>
      <c r="G7278" s="473"/>
      <c r="H7278" s="473"/>
      <c r="I7278" s="473"/>
      <c r="J7278" s="473"/>
      <c r="K7278" s="478"/>
      <c r="L7278" s="473"/>
      <c r="M7278" s="473"/>
    </row>
    <row r="7279" spans="5:13">
      <c r="E7279" s="473"/>
      <c r="F7279" s="473"/>
      <c r="G7279" s="473"/>
      <c r="H7279" s="473"/>
      <c r="I7279" s="473"/>
      <c r="J7279" s="473"/>
      <c r="K7279" s="478"/>
      <c r="L7279" s="473"/>
      <c r="M7279" s="473"/>
    </row>
    <row r="7280" spans="5:13">
      <c r="E7280" s="473"/>
      <c r="F7280" s="473"/>
      <c r="G7280" s="473"/>
      <c r="H7280" s="473"/>
      <c r="I7280" s="473"/>
      <c r="J7280" s="473"/>
      <c r="K7280" s="478"/>
      <c r="L7280" s="473"/>
      <c r="M7280" s="473"/>
    </row>
    <row r="7281" spans="5:13">
      <c r="E7281" s="473"/>
      <c r="F7281" s="473"/>
      <c r="G7281" s="473"/>
      <c r="H7281" s="473"/>
      <c r="I7281" s="473"/>
      <c r="J7281" s="473"/>
      <c r="K7281" s="478"/>
      <c r="L7281" s="473"/>
      <c r="M7281" s="473"/>
    </row>
    <row r="7282" spans="5:13">
      <c r="E7282" s="473"/>
      <c r="F7282" s="473"/>
      <c r="G7282" s="473"/>
      <c r="H7282" s="473"/>
      <c r="I7282" s="473"/>
      <c r="J7282" s="473"/>
      <c r="K7282" s="478"/>
      <c r="L7282" s="473"/>
      <c r="M7282" s="473"/>
    </row>
    <row r="7283" spans="5:13">
      <c r="E7283" s="473"/>
      <c r="F7283" s="473"/>
      <c r="G7283" s="473"/>
      <c r="H7283" s="473"/>
      <c r="I7283" s="473"/>
      <c r="J7283" s="473"/>
      <c r="K7283" s="478"/>
      <c r="L7283" s="473"/>
      <c r="M7283" s="473"/>
    </row>
    <row r="7284" spans="5:13">
      <c r="E7284" s="473"/>
      <c r="F7284" s="473"/>
      <c r="G7284" s="473"/>
      <c r="H7284" s="473"/>
      <c r="I7284" s="473"/>
      <c r="J7284" s="473"/>
      <c r="K7284" s="478"/>
      <c r="L7284" s="473"/>
      <c r="M7284" s="473"/>
    </row>
    <row r="7285" spans="5:13">
      <c r="E7285" s="473"/>
      <c r="F7285" s="473"/>
      <c r="G7285" s="473"/>
      <c r="H7285" s="473"/>
      <c r="I7285" s="473"/>
      <c r="J7285" s="473"/>
      <c r="K7285" s="478"/>
      <c r="L7285" s="473"/>
      <c r="M7285" s="473"/>
    </row>
    <row r="7286" spans="5:13">
      <c r="E7286" s="473"/>
      <c r="F7286" s="473"/>
      <c r="G7286" s="473"/>
      <c r="H7286" s="473"/>
      <c r="I7286" s="473"/>
      <c r="J7286" s="473"/>
      <c r="K7286" s="478"/>
      <c r="L7286" s="473"/>
      <c r="M7286" s="473"/>
    </row>
    <row r="7287" spans="5:13">
      <c r="E7287" s="473"/>
      <c r="F7287" s="473"/>
      <c r="G7287" s="473"/>
      <c r="H7287" s="473"/>
      <c r="I7287" s="473"/>
      <c r="J7287" s="473"/>
      <c r="K7287" s="478"/>
      <c r="L7287" s="473"/>
      <c r="M7287" s="473"/>
    </row>
    <row r="7288" spans="5:13">
      <c r="E7288" s="473"/>
      <c r="F7288" s="473"/>
      <c r="G7288" s="473"/>
      <c r="H7288" s="473"/>
      <c r="I7288" s="473"/>
      <c r="J7288" s="473"/>
      <c r="K7288" s="478"/>
      <c r="L7288" s="473"/>
      <c r="M7288" s="473"/>
    </row>
    <row r="7289" spans="5:13">
      <c r="E7289" s="473"/>
      <c r="F7289" s="473"/>
      <c r="G7289" s="473"/>
      <c r="H7289" s="473"/>
      <c r="I7289" s="473"/>
      <c r="J7289" s="473"/>
      <c r="K7289" s="478"/>
      <c r="L7289" s="473"/>
      <c r="M7289" s="473"/>
    </row>
    <row r="7290" spans="5:13">
      <c r="E7290" s="473"/>
      <c r="F7290" s="473"/>
      <c r="G7290" s="473"/>
      <c r="H7290" s="473"/>
      <c r="I7290" s="473"/>
      <c r="J7290" s="473"/>
      <c r="K7290" s="478"/>
      <c r="L7290" s="473"/>
      <c r="M7290" s="473"/>
    </row>
    <row r="7291" spans="5:13">
      <c r="E7291" s="473"/>
      <c r="F7291" s="473"/>
      <c r="G7291" s="473"/>
      <c r="H7291" s="473"/>
      <c r="I7291" s="473"/>
      <c r="J7291" s="473"/>
      <c r="K7291" s="478"/>
      <c r="L7291" s="473"/>
      <c r="M7291" s="473"/>
    </row>
    <row r="7292" spans="5:13">
      <c r="E7292" s="473"/>
      <c r="F7292" s="473"/>
      <c r="G7292" s="473"/>
      <c r="H7292" s="473"/>
      <c r="I7292" s="473"/>
      <c r="J7292" s="473"/>
      <c r="K7292" s="478"/>
      <c r="L7292" s="473"/>
      <c r="M7292" s="473"/>
    </row>
    <row r="7293" spans="5:13">
      <c r="E7293" s="473"/>
      <c r="F7293" s="473"/>
      <c r="G7293" s="473"/>
      <c r="H7293" s="473"/>
      <c r="I7293" s="473"/>
      <c r="J7293" s="473"/>
      <c r="K7293" s="478"/>
      <c r="L7293" s="473"/>
      <c r="M7293" s="473"/>
    </row>
    <row r="7294" spans="5:13">
      <c r="E7294" s="473"/>
      <c r="F7294" s="473"/>
      <c r="G7294" s="473"/>
      <c r="H7294" s="473"/>
      <c r="I7294" s="473"/>
      <c r="J7294" s="473"/>
      <c r="K7294" s="478"/>
      <c r="L7294" s="473"/>
      <c r="M7294" s="473"/>
    </row>
    <row r="7295" spans="5:13">
      <c r="E7295" s="473"/>
      <c r="F7295" s="473"/>
      <c r="G7295" s="473"/>
      <c r="H7295" s="473"/>
      <c r="I7295" s="473"/>
      <c r="J7295" s="473"/>
      <c r="K7295" s="478"/>
      <c r="L7295" s="473"/>
      <c r="M7295" s="473"/>
    </row>
    <row r="7296" spans="5:13">
      <c r="E7296" s="473"/>
      <c r="F7296" s="473"/>
      <c r="G7296" s="473"/>
      <c r="H7296" s="473"/>
      <c r="I7296" s="473"/>
      <c r="J7296" s="473"/>
      <c r="K7296" s="478"/>
      <c r="L7296" s="473"/>
      <c r="M7296" s="473"/>
    </row>
    <row r="7297" spans="5:13">
      <c r="E7297" s="473"/>
      <c r="F7297" s="473"/>
      <c r="G7297" s="473"/>
      <c r="H7297" s="473"/>
      <c r="I7297" s="473"/>
      <c r="J7297" s="473"/>
      <c r="K7297" s="478"/>
      <c r="L7297" s="473"/>
      <c r="M7297" s="473"/>
    </row>
    <row r="7298" spans="5:13">
      <c r="E7298" s="473"/>
      <c r="F7298" s="473"/>
      <c r="G7298" s="473"/>
      <c r="H7298" s="473"/>
      <c r="I7298" s="473"/>
      <c r="J7298" s="473"/>
      <c r="K7298" s="478"/>
      <c r="L7298" s="473"/>
      <c r="M7298" s="473"/>
    </row>
    <row r="7299" spans="5:13">
      <c r="E7299" s="473"/>
      <c r="F7299" s="473"/>
      <c r="G7299" s="473"/>
      <c r="H7299" s="473"/>
      <c r="I7299" s="473"/>
      <c r="J7299" s="473"/>
      <c r="K7299" s="478"/>
      <c r="L7299" s="473"/>
      <c r="M7299" s="473"/>
    </row>
    <row r="7300" spans="5:13">
      <c r="E7300" s="473"/>
      <c r="F7300" s="473"/>
      <c r="G7300" s="473"/>
      <c r="H7300" s="473"/>
      <c r="I7300" s="473"/>
      <c r="J7300" s="473"/>
      <c r="K7300" s="478"/>
      <c r="L7300" s="473"/>
      <c r="M7300" s="473"/>
    </row>
    <row r="7301" spans="5:13">
      <c r="E7301" s="473"/>
      <c r="F7301" s="473"/>
      <c r="G7301" s="473"/>
      <c r="H7301" s="473"/>
      <c r="I7301" s="473"/>
      <c r="J7301" s="473"/>
      <c r="K7301" s="478"/>
      <c r="L7301" s="473"/>
      <c r="M7301" s="473"/>
    </row>
    <row r="7302" spans="5:13">
      <c r="E7302" s="473"/>
      <c r="F7302" s="473"/>
      <c r="G7302" s="473"/>
      <c r="H7302" s="473"/>
      <c r="I7302" s="473"/>
      <c r="J7302" s="473"/>
      <c r="K7302" s="478"/>
      <c r="L7302" s="473"/>
      <c r="M7302" s="473"/>
    </row>
    <row r="7303" spans="5:13">
      <c r="E7303" s="473"/>
      <c r="F7303" s="473"/>
      <c r="G7303" s="473"/>
      <c r="H7303" s="473"/>
      <c r="I7303" s="473"/>
      <c r="J7303" s="473"/>
      <c r="K7303" s="478"/>
      <c r="L7303" s="473"/>
      <c r="M7303" s="473"/>
    </row>
    <row r="7304" spans="5:13">
      <c r="E7304" s="473"/>
      <c r="F7304" s="473"/>
      <c r="G7304" s="473"/>
      <c r="H7304" s="473"/>
      <c r="I7304" s="473"/>
      <c r="J7304" s="473"/>
      <c r="K7304" s="478"/>
      <c r="L7304" s="473"/>
      <c r="M7304" s="473"/>
    </row>
    <row r="7305" spans="5:13">
      <c r="E7305" s="473"/>
      <c r="F7305" s="473"/>
      <c r="G7305" s="473"/>
      <c r="H7305" s="473"/>
      <c r="I7305" s="473"/>
      <c r="J7305" s="473"/>
      <c r="K7305" s="478"/>
      <c r="L7305" s="473"/>
      <c r="M7305" s="473"/>
    </row>
    <row r="7306" spans="5:13">
      <c r="E7306" s="473"/>
      <c r="F7306" s="473"/>
      <c r="G7306" s="473"/>
      <c r="H7306" s="473"/>
      <c r="I7306" s="473"/>
      <c r="J7306" s="473"/>
      <c r="K7306" s="478"/>
      <c r="L7306" s="473"/>
      <c r="M7306" s="473"/>
    </row>
    <row r="7307" spans="5:13">
      <c r="E7307" s="473"/>
      <c r="F7307" s="473"/>
      <c r="G7307" s="473"/>
      <c r="H7307" s="473"/>
      <c r="I7307" s="473"/>
      <c r="J7307" s="473"/>
      <c r="K7307" s="478"/>
      <c r="L7307" s="473"/>
      <c r="M7307" s="473"/>
    </row>
    <row r="7308" spans="5:13">
      <c r="E7308" s="473"/>
      <c r="F7308" s="473"/>
      <c r="G7308" s="473"/>
      <c r="H7308" s="473"/>
      <c r="I7308" s="473"/>
      <c r="J7308" s="473"/>
      <c r="K7308" s="478"/>
      <c r="L7308" s="473"/>
      <c r="M7308" s="473"/>
    </row>
    <row r="7309" spans="5:13">
      <c r="E7309" s="473"/>
      <c r="F7309" s="473"/>
      <c r="G7309" s="473"/>
      <c r="H7309" s="473"/>
      <c r="I7309" s="473"/>
      <c r="J7309" s="473"/>
      <c r="K7309" s="478"/>
      <c r="L7309" s="473"/>
      <c r="M7309" s="473"/>
    </row>
    <row r="7310" spans="5:13">
      <c r="E7310" s="473"/>
      <c r="F7310" s="473"/>
      <c r="G7310" s="473"/>
      <c r="H7310" s="473"/>
      <c r="I7310" s="473"/>
      <c r="J7310" s="473"/>
      <c r="K7310" s="478"/>
      <c r="L7310" s="473"/>
      <c r="M7310" s="473"/>
    </row>
    <row r="7311" spans="5:13">
      <c r="E7311" s="473"/>
      <c r="F7311" s="473"/>
      <c r="G7311" s="473"/>
      <c r="H7311" s="473"/>
      <c r="I7311" s="473"/>
      <c r="J7311" s="473"/>
      <c r="K7311" s="478"/>
      <c r="L7311" s="473"/>
      <c r="M7311" s="473"/>
    </row>
    <row r="7312" spans="5:13">
      <c r="E7312" s="473"/>
      <c r="F7312" s="473"/>
      <c r="G7312" s="473"/>
      <c r="H7312" s="473"/>
      <c r="I7312" s="473"/>
      <c r="J7312" s="473"/>
      <c r="K7312" s="478"/>
      <c r="L7312" s="473"/>
      <c r="M7312" s="473"/>
    </row>
    <row r="7313" spans="5:13">
      <c r="E7313" s="473"/>
      <c r="F7313" s="473"/>
      <c r="G7313" s="473"/>
      <c r="H7313" s="473"/>
      <c r="I7313" s="473"/>
      <c r="J7313" s="473"/>
      <c r="K7313" s="478"/>
      <c r="L7313" s="473"/>
      <c r="M7313" s="473"/>
    </row>
    <row r="7314" spans="5:13">
      <c r="E7314" s="473"/>
      <c r="F7314" s="473"/>
      <c r="G7314" s="473"/>
      <c r="H7314" s="473"/>
      <c r="I7314" s="473"/>
      <c r="J7314" s="473"/>
      <c r="K7314" s="478"/>
      <c r="L7314" s="473"/>
      <c r="M7314" s="473"/>
    </row>
    <row r="7315" spans="5:13">
      <c r="E7315" s="473"/>
      <c r="F7315" s="473"/>
      <c r="G7315" s="473"/>
      <c r="H7315" s="473"/>
      <c r="I7315" s="473"/>
      <c r="J7315" s="473"/>
      <c r="K7315" s="478"/>
      <c r="L7315" s="473"/>
      <c r="M7315" s="473"/>
    </row>
    <row r="7316" spans="5:13">
      <c r="E7316" s="473"/>
      <c r="F7316" s="473"/>
      <c r="G7316" s="473"/>
      <c r="H7316" s="473"/>
      <c r="I7316" s="473"/>
      <c r="J7316" s="473"/>
      <c r="K7316" s="478"/>
      <c r="L7316" s="473"/>
      <c r="M7316" s="473"/>
    </row>
    <row r="7317" spans="5:13">
      <c r="E7317" s="473"/>
      <c r="F7317" s="473"/>
      <c r="G7317" s="473"/>
      <c r="H7317" s="473"/>
      <c r="I7317" s="473"/>
      <c r="J7317" s="473"/>
      <c r="K7317" s="478"/>
      <c r="L7317" s="473"/>
      <c r="M7317" s="473"/>
    </row>
    <row r="7318" spans="5:13">
      <c r="E7318" s="473"/>
      <c r="F7318" s="473"/>
      <c r="G7318" s="473"/>
      <c r="H7318" s="473"/>
      <c r="I7318" s="473"/>
      <c r="J7318" s="473"/>
      <c r="K7318" s="478"/>
      <c r="L7318" s="473"/>
      <c r="M7318" s="473"/>
    </row>
    <row r="7319" spans="5:13">
      <c r="E7319" s="473"/>
      <c r="F7319" s="473"/>
      <c r="G7319" s="473"/>
      <c r="H7319" s="473"/>
      <c r="I7319" s="473"/>
      <c r="J7319" s="473"/>
      <c r="K7319" s="478"/>
      <c r="L7319" s="473"/>
      <c r="M7319" s="473"/>
    </row>
    <row r="7320" spans="5:13">
      <c r="E7320" s="473"/>
      <c r="F7320" s="473"/>
      <c r="G7320" s="473"/>
      <c r="H7320" s="473"/>
      <c r="I7320" s="473"/>
      <c r="J7320" s="473"/>
      <c r="K7320" s="478"/>
      <c r="L7320" s="473"/>
      <c r="M7320" s="473"/>
    </row>
    <row r="7321" spans="5:13">
      <c r="E7321" s="473"/>
      <c r="F7321" s="473"/>
      <c r="G7321" s="473"/>
      <c r="H7321" s="473"/>
      <c r="I7321" s="473"/>
      <c r="J7321" s="473"/>
      <c r="K7321" s="478"/>
      <c r="L7321" s="473"/>
      <c r="M7321" s="473"/>
    </row>
    <row r="7322" spans="5:13">
      <c r="E7322" s="473"/>
      <c r="F7322" s="473"/>
      <c r="G7322" s="473"/>
      <c r="H7322" s="473"/>
      <c r="I7322" s="473"/>
      <c r="J7322" s="473"/>
      <c r="K7322" s="478"/>
      <c r="L7322" s="473"/>
      <c r="M7322" s="473"/>
    </row>
    <row r="7323" spans="5:13">
      <c r="E7323" s="473"/>
      <c r="F7323" s="473"/>
      <c r="G7323" s="473"/>
      <c r="H7323" s="473"/>
      <c r="I7323" s="473"/>
      <c r="J7323" s="473"/>
      <c r="K7323" s="478"/>
      <c r="L7323" s="473"/>
      <c r="M7323" s="473"/>
    </row>
    <row r="7324" spans="5:13">
      <c r="E7324" s="473"/>
      <c r="F7324" s="473"/>
      <c r="G7324" s="473"/>
      <c r="H7324" s="473"/>
      <c r="I7324" s="473"/>
      <c r="J7324" s="473"/>
      <c r="K7324" s="478"/>
      <c r="L7324" s="473"/>
      <c r="M7324" s="473"/>
    </row>
    <row r="7325" spans="5:13">
      <c r="E7325" s="473"/>
      <c r="F7325" s="473"/>
      <c r="G7325" s="473"/>
      <c r="H7325" s="473"/>
      <c r="I7325" s="473"/>
      <c r="J7325" s="473"/>
      <c r="K7325" s="478"/>
      <c r="L7325" s="473"/>
      <c r="M7325" s="473"/>
    </row>
    <row r="7326" spans="5:13">
      <c r="E7326" s="473"/>
      <c r="F7326" s="473"/>
      <c r="G7326" s="473"/>
      <c r="H7326" s="473"/>
      <c r="I7326" s="473"/>
      <c r="J7326" s="473"/>
      <c r="K7326" s="478"/>
      <c r="L7326" s="473"/>
      <c r="M7326" s="473"/>
    </row>
    <row r="7327" spans="5:13">
      <c r="E7327" s="473"/>
      <c r="F7327" s="473"/>
      <c r="G7327" s="473"/>
      <c r="H7327" s="473"/>
      <c r="I7327" s="473"/>
      <c r="J7327" s="473"/>
      <c r="K7327" s="478"/>
      <c r="L7327" s="473"/>
      <c r="M7327" s="473"/>
    </row>
    <row r="7328" spans="5:13">
      <c r="E7328" s="473"/>
      <c r="F7328" s="473"/>
      <c r="G7328" s="473"/>
      <c r="H7328" s="473"/>
      <c r="I7328" s="473"/>
      <c r="J7328" s="473"/>
      <c r="K7328" s="478"/>
      <c r="L7328" s="473"/>
      <c r="M7328" s="473"/>
    </row>
    <row r="7329" spans="5:13">
      <c r="E7329" s="473"/>
      <c r="F7329" s="473"/>
      <c r="G7329" s="473"/>
      <c r="H7329" s="473"/>
      <c r="I7329" s="473"/>
      <c r="J7329" s="473"/>
      <c r="K7329" s="478"/>
      <c r="L7329" s="473"/>
      <c r="M7329" s="473"/>
    </row>
    <row r="7330" spans="5:13">
      <c r="E7330" s="473"/>
      <c r="F7330" s="473"/>
      <c r="G7330" s="473"/>
      <c r="H7330" s="473"/>
      <c r="I7330" s="473"/>
      <c r="J7330" s="473"/>
      <c r="K7330" s="478"/>
      <c r="L7330" s="473"/>
      <c r="M7330" s="473"/>
    </row>
    <row r="7331" spans="5:13">
      <c r="E7331" s="473"/>
      <c r="F7331" s="473"/>
      <c r="G7331" s="473"/>
      <c r="H7331" s="473"/>
      <c r="I7331" s="473"/>
      <c r="J7331" s="473"/>
      <c r="K7331" s="478"/>
      <c r="L7331" s="473"/>
      <c r="M7331" s="473"/>
    </row>
    <row r="7332" spans="5:13">
      <c r="E7332" s="473"/>
      <c r="F7332" s="473"/>
      <c r="G7332" s="473"/>
      <c r="H7332" s="473"/>
      <c r="I7332" s="473"/>
      <c r="J7332" s="473"/>
      <c r="K7332" s="478"/>
      <c r="L7332" s="473"/>
      <c r="M7332" s="473"/>
    </row>
    <row r="7333" spans="5:13">
      <c r="E7333" s="473"/>
      <c r="F7333" s="473"/>
      <c r="G7333" s="473"/>
      <c r="H7333" s="473"/>
      <c r="I7333" s="473"/>
      <c r="J7333" s="473"/>
      <c r="K7333" s="478"/>
      <c r="L7333" s="473"/>
      <c r="M7333" s="473"/>
    </row>
    <row r="7334" spans="5:13">
      <c r="E7334" s="473"/>
      <c r="F7334" s="473"/>
      <c r="G7334" s="473"/>
      <c r="H7334" s="473"/>
      <c r="I7334" s="473"/>
      <c r="J7334" s="473"/>
      <c r="K7334" s="478"/>
      <c r="L7334" s="473"/>
      <c r="M7334" s="473"/>
    </row>
    <row r="7335" spans="5:13">
      <c r="E7335" s="473"/>
      <c r="F7335" s="473"/>
      <c r="G7335" s="473"/>
      <c r="H7335" s="473"/>
      <c r="I7335" s="473"/>
      <c r="J7335" s="473"/>
      <c r="K7335" s="478"/>
      <c r="L7335" s="473"/>
      <c r="M7335" s="473"/>
    </row>
    <row r="7336" spans="5:13">
      <c r="E7336" s="473"/>
      <c r="F7336" s="473"/>
      <c r="G7336" s="473"/>
      <c r="H7336" s="473"/>
      <c r="I7336" s="473"/>
      <c r="J7336" s="473"/>
      <c r="K7336" s="478"/>
      <c r="L7336" s="473"/>
      <c r="M7336" s="473"/>
    </row>
    <row r="7337" spans="5:13">
      <c r="E7337" s="473"/>
      <c r="F7337" s="473"/>
      <c r="G7337" s="473"/>
      <c r="H7337" s="473"/>
      <c r="I7337" s="473"/>
      <c r="J7337" s="473"/>
      <c r="K7337" s="478"/>
      <c r="L7337" s="473"/>
      <c r="M7337" s="473"/>
    </row>
    <row r="7338" spans="5:13">
      <c r="E7338" s="473"/>
      <c r="F7338" s="473"/>
      <c r="G7338" s="473"/>
      <c r="H7338" s="473"/>
      <c r="I7338" s="473"/>
      <c r="J7338" s="473"/>
      <c r="K7338" s="478"/>
      <c r="L7338" s="473"/>
      <c r="M7338" s="473"/>
    </row>
    <row r="7339" spans="5:13">
      <c r="E7339" s="473"/>
      <c r="F7339" s="473"/>
      <c r="G7339" s="473"/>
      <c r="H7339" s="473"/>
      <c r="I7339" s="473"/>
      <c r="J7339" s="473"/>
      <c r="K7339" s="478"/>
      <c r="L7339" s="473"/>
      <c r="M7339" s="473"/>
    </row>
    <row r="7340" spans="5:13">
      <c r="E7340" s="473"/>
      <c r="F7340" s="473"/>
      <c r="G7340" s="473"/>
      <c r="H7340" s="473"/>
      <c r="I7340" s="473"/>
      <c r="J7340" s="473"/>
      <c r="K7340" s="478"/>
      <c r="L7340" s="473"/>
      <c r="M7340" s="473"/>
    </row>
    <row r="7341" spans="5:13">
      <c r="E7341" s="473"/>
      <c r="F7341" s="473"/>
      <c r="G7341" s="473"/>
      <c r="H7341" s="473"/>
      <c r="I7341" s="473"/>
      <c r="J7341" s="473"/>
      <c r="K7341" s="478"/>
      <c r="L7341" s="473"/>
      <c r="M7341" s="473"/>
    </row>
    <row r="7342" spans="5:13">
      <c r="E7342" s="473"/>
      <c r="F7342" s="473"/>
      <c r="G7342" s="473"/>
      <c r="H7342" s="473"/>
      <c r="I7342" s="473"/>
      <c r="J7342" s="473"/>
      <c r="K7342" s="478"/>
      <c r="L7342" s="473"/>
      <c r="M7342" s="473"/>
    </row>
    <row r="7343" spans="5:13">
      <c r="E7343" s="473"/>
      <c r="F7343" s="473"/>
      <c r="G7343" s="473"/>
      <c r="H7343" s="473"/>
      <c r="I7343" s="473"/>
      <c r="J7343" s="473"/>
      <c r="K7343" s="478"/>
      <c r="L7343" s="473"/>
      <c r="M7343" s="473"/>
    </row>
    <row r="7344" spans="5:13">
      <c r="E7344" s="473"/>
      <c r="F7344" s="473"/>
      <c r="G7344" s="473"/>
      <c r="H7344" s="473"/>
      <c r="I7344" s="473"/>
      <c r="J7344" s="473"/>
      <c r="K7344" s="478"/>
      <c r="L7344" s="473"/>
      <c r="M7344" s="473"/>
    </row>
    <row r="7345" spans="5:13">
      <c r="E7345" s="473"/>
      <c r="F7345" s="473"/>
      <c r="G7345" s="473"/>
      <c r="H7345" s="473"/>
      <c r="I7345" s="473"/>
      <c r="J7345" s="473"/>
      <c r="K7345" s="478"/>
      <c r="L7345" s="473"/>
      <c r="M7345" s="473"/>
    </row>
    <row r="7346" spans="5:13">
      <c r="E7346" s="473"/>
      <c r="F7346" s="473"/>
      <c r="G7346" s="473"/>
      <c r="H7346" s="473"/>
      <c r="I7346" s="473"/>
      <c r="J7346" s="473"/>
      <c r="K7346" s="478"/>
      <c r="L7346" s="473"/>
      <c r="M7346" s="473"/>
    </row>
    <row r="7347" spans="5:13">
      <c r="E7347" s="473"/>
      <c r="F7347" s="473"/>
      <c r="G7347" s="473"/>
      <c r="H7347" s="473"/>
      <c r="I7347" s="473"/>
      <c r="J7347" s="473"/>
      <c r="K7347" s="478"/>
      <c r="L7347" s="473"/>
      <c r="M7347" s="473"/>
    </row>
    <row r="7348" spans="5:13">
      <c r="E7348" s="473"/>
      <c r="F7348" s="473"/>
      <c r="G7348" s="473"/>
      <c r="H7348" s="473"/>
      <c r="I7348" s="473"/>
      <c r="J7348" s="473"/>
      <c r="K7348" s="478"/>
      <c r="L7348" s="473"/>
      <c r="M7348" s="473"/>
    </row>
    <row r="7349" spans="5:13">
      <c r="E7349" s="473"/>
      <c r="F7349" s="473"/>
      <c r="G7349" s="473"/>
      <c r="H7349" s="473"/>
      <c r="I7349" s="473"/>
      <c r="J7349" s="473"/>
      <c r="K7349" s="478"/>
      <c r="L7349" s="473"/>
      <c r="M7349" s="473"/>
    </row>
    <row r="7350" spans="5:13">
      <c r="E7350" s="473"/>
      <c r="F7350" s="473"/>
      <c r="G7350" s="473"/>
      <c r="H7350" s="473"/>
      <c r="I7350" s="473"/>
      <c r="J7350" s="473"/>
      <c r="K7350" s="478"/>
      <c r="L7350" s="473"/>
      <c r="M7350" s="473"/>
    </row>
    <row r="7351" spans="5:13">
      <c r="E7351" s="473"/>
      <c r="F7351" s="473"/>
      <c r="G7351" s="473"/>
      <c r="H7351" s="473"/>
      <c r="I7351" s="473"/>
      <c r="J7351" s="473"/>
      <c r="K7351" s="478"/>
      <c r="L7351" s="473"/>
      <c r="M7351" s="473"/>
    </row>
    <row r="7352" spans="5:13">
      <c r="E7352" s="473"/>
      <c r="F7352" s="473"/>
      <c r="G7352" s="473"/>
      <c r="H7352" s="473"/>
      <c r="I7352" s="473"/>
      <c r="J7352" s="473"/>
      <c r="K7352" s="478"/>
      <c r="L7352" s="473"/>
      <c r="M7352" s="473"/>
    </row>
    <row r="7353" spans="5:13">
      <c r="E7353" s="473"/>
      <c r="F7353" s="473"/>
      <c r="G7353" s="473"/>
      <c r="H7353" s="473"/>
      <c r="I7353" s="473"/>
      <c r="J7353" s="473"/>
      <c r="K7353" s="478"/>
      <c r="L7353" s="473"/>
      <c r="M7353" s="473"/>
    </row>
    <row r="7354" spans="5:13">
      <c r="E7354" s="473"/>
      <c r="F7354" s="473"/>
      <c r="G7354" s="473"/>
      <c r="H7354" s="473"/>
      <c r="I7354" s="473"/>
      <c r="J7354" s="473"/>
      <c r="K7354" s="478"/>
      <c r="L7354" s="473"/>
      <c r="M7354" s="473"/>
    </row>
    <row r="7355" spans="5:13">
      <c r="E7355" s="473"/>
      <c r="F7355" s="473"/>
      <c r="G7355" s="473"/>
      <c r="H7355" s="473"/>
      <c r="I7355" s="473"/>
      <c r="J7355" s="473"/>
      <c r="K7355" s="478"/>
      <c r="L7355" s="473"/>
      <c r="M7355" s="473"/>
    </row>
    <row r="7356" spans="5:13">
      <c r="E7356" s="473"/>
      <c r="F7356" s="473"/>
      <c r="G7356" s="473"/>
      <c r="H7356" s="473"/>
      <c r="I7356" s="473"/>
      <c r="J7356" s="473"/>
      <c r="K7356" s="478"/>
      <c r="L7356" s="473"/>
      <c r="M7356" s="473"/>
    </row>
    <row r="7357" spans="5:13">
      <c r="E7357" s="473"/>
      <c r="F7357" s="473"/>
      <c r="G7357" s="473"/>
      <c r="H7357" s="473"/>
      <c r="I7357" s="473"/>
      <c r="J7357" s="473"/>
      <c r="K7357" s="478"/>
      <c r="L7357" s="473"/>
      <c r="M7357" s="473"/>
    </row>
    <row r="7358" spans="5:13">
      <c r="E7358" s="473"/>
      <c r="F7358" s="473"/>
      <c r="G7358" s="473"/>
      <c r="H7358" s="473"/>
      <c r="I7358" s="473"/>
      <c r="J7358" s="473"/>
      <c r="K7358" s="478"/>
      <c r="L7358" s="473"/>
      <c r="M7358" s="473"/>
    </row>
    <row r="7359" spans="5:13">
      <c r="E7359" s="473"/>
      <c r="F7359" s="473"/>
      <c r="G7359" s="473"/>
      <c r="H7359" s="473"/>
      <c r="I7359" s="473"/>
      <c r="J7359" s="473"/>
      <c r="K7359" s="478"/>
      <c r="L7359" s="473"/>
      <c r="M7359" s="473"/>
    </row>
    <row r="7360" spans="5:13">
      <c r="E7360" s="473"/>
      <c r="F7360" s="473"/>
      <c r="G7360" s="473"/>
      <c r="H7360" s="473"/>
      <c r="I7360" s="473"/>
      <c r="J7360" s="473"/>
      <c r="K7360" s="478"/>
      <c r="L7360" s="473"/>
      <c r="M7360" s="473"/>
    </row>
    <row r="7361" spans="5:13">
      <c r="E7361" s="473"/>
      <c r="F7361" s="473"/>
      <c r="G7361" s="473"/>
      <c r="H7361" s="473"/>
      <c r="I7361" s="473"/>
      <c r="J7361" s="473"/>
      <c r="K7361" s="478"/>
      <c r="L7361" s="473"/>
      <c r="M7361" s="473"/>
    </row>
    <row r="7362" spans="5:13">
      <c r="E7362" s="473"/>
      <c r="F7362" s="473"/>
      <c r="G7362" s="473"/>
      <c r="H7362" s="473"/>
      <c r="I7362" s="473"/>
      <c r="J7362" s="473"/>
      <c r="K7362" s="478"/>
      <c r="L7362" s="473"/>
      <c r="M7362" s="473"/>
    </row>
    <row r="7363" spans="5:13">
      <c r="E7363" s="473"/>
      <c r="F7363" s="473"/>
      <c r="G7363" s="473"/>
      <c r="H7363" s="473"/>
      <c r="I7363" s="473"/>
      <c r="J7363" s="473"/>
      <c r="K7363" s="478"/>
      <c r="L7363" s="473"/>
      <c r="M7363" s="473"/>
    </row>
    <row r="7364" spans="5:13">
      <c r="E7364" s="473"/>
      <c r="F7364" s="473"/>
      <c r="G7364" s="473"/>
      <c r="H7364" s="473"/>
      <c r="I7364" s="473"/>
      <c r="J7364" s="473"/>
      <c r="K7364" s="478"/>
      <c r="L7364" s="473"/>
      <c r="M7364" s="473"/>
    </row>
    <row r="7365" spans="5:13">
      <c r="E7365" s="473"/>
      <c r="F7365" s="473"/>
      <c r="G7365" s="473"/>
      <c r="H7365" s="473"/>
      <c r="I7365" s="473"/>
      <c r="J7365" s="473"/>
      <c r="K7365" s="478"/>
      <c r="L7365" s="473"/>
      <c r="M7365" s="473"/>
    </row>
    <row r="7366" spans="5:13">
      <c r="E7366" s="473"/>
      <c r="F7366" s="473"/>
      <c r="G7366" s="473"/>
      <c r="H7366" s="473"/>
      <c r="I7366" s="473"/>
      <c r="J7366" s="473"/>
      <c r="K7366" s="478"/>
      <c r="L7366" s="473"/>
      <c r="M7366" s="473"/>
    </row>
    <row r="7367" spans="5:13">
      <c r="E7367" s="473"/>
      <c r="F7367" s="473"/>
      <c r="G7367" s="473"/>
      <c r="H7367" s="473"/>
      <c r="I7367" s="473"/>
      <c r="J7367" s="473"/>
      <c r="K7367" s="478"/>
      <c r="L7367" s="473"/>
      <c r="M7367" s="473"/>
    </row>
    <row r="7368" spans="5:13">
      <c r="E7368" s="473"/>
      <c r="F7368" s="473"/>
      <c r="G7368" s="473"/>
      <c r="H7368" s="473"/>
      <c r="I7368" s="473"/>
      <c r="J7368" s="473"/>
      <c r="K7368" s="478"/>
      <c r="L7368" s="473"/>
      <c r="M7368" s="473"/>
    </row>
    <row r="7369" spans="5:13">
      <c r="E7369" s="473"/>
      <c r="F7369" s="473"/>
      <c r="G7369" s="473"/>
      <c r="H7369" s="473"/>
      <c r="I7369" s="473"/>
      <c r="J7369" s="473"/>
      <c r="K7369" s="478"/>
      <c r="L7369" s="473"/>
      <c r="M7369" s="473"/>
    </row>
    <row r="7370" spans="5:13">
      <c r="E7370" s="473"/>
      <c r="F7370" s="473"/>
      <c r="G7370" s="473"/>
      <c r="H7370" s="473"/>
      <c r="I7370" s="473"/>
      <c r="J7370" s="473"/>
      <c r="K7370" s="478"/>
      <c r="L7370" s="473"/>
      <c r="M7370" s="473"/>
    </row>
    <row r="7371" spans="5:13">
      <c r="E7371" s="473"/>
      <c r="F7371" s="473"/>
      <c r="G7371" s="473"/>
      <c r="H7371" s="473"/>
      <c r="I7371" s="473"/>
      <c r="J7371" s="473"/>
      <c r="K7371" s="478"/>
      <c r="L7371" s="473"/>
      <c r="M7371" s="473"/>
    </row>
    <row r="7372" spans="5:13">
      <c r="E7372" s="473"/>
      <c r="F7372" s="473"/>
      <c r="G7372" s="473"/>
      <c r="H7372" s="473"/>
      <c r="I7372" s="473"/>
      <c r="J7372" s="473"/>
      <c r="K7372" s="478"/>
      <c r="L7372" s="473"/>
      <c r="M7372" s="473"/>
    </row>
    <row r="7373" spans="5:13">
      <c r="E7373" s="473"/>
      <c r="F7373" s="473"/>
      <c r="G7373" s="473"/>
      <c r="H7373" s="473"/>
      <c r="I7373" s="473"/>
      <c r="J7373" s="473"/>
      <c r="K7373" s="478"/>
      <c r="L7373" s="473"/>
      <c r="M7373" s="473"/>
    </row>
    <row r="7374" spans="5:13">
      <c r="E7374" s="473"/>
      <c r="F7374" s="473"/>
      <c r="G7374" s="473"/>
      <c r="H7374" s="473"/>
      <c r="I7374" s="473"/>
      <c r="J7374" s="473"/>
      <c r="K7374" s="478"/>
      <c r="L7374" s="473"/>
      <c r="M7374" s="473"/>
    </row>
    <row r="7375" spans="5:13">
      <c r="E7375" s="473"/>
      <c r="F7375" s="473"/>
      <c r="G7375" s="473"/>
      <c r="H7375" s="473"/>
      <c r="I7375" s="473"/>
      <c r="J7375" s="473"/>
      <c r="K7375" s="478"/>
      <c r="L7375" s="473"/>
      <c r="M7375" s="473"/>
    </row>
    <row r="7376" spans="5:13">
      <c r="E7376" s="473"/>
      <c r="F7376" s="473"/>
      <c r="G7376" s="473"/>
      <c r="H7376" s="473"/>
      <c r="I7376" s="473"/>
      <c r="J7376" s="473"/>
      <c r="K7376" s="478"/>
      <c r="L7376" s="473"/>
      <c r="M7376" s="473"/>
    </row>
    <row r="7377" spans="5:13">
      <c r="E7377" s="473"/>
      <c r="F7377" s="473"/>
      <c r="G7377" s="473"/>
      <c r="H7377" s="473"/>
      <c r="I7377" s="473"/>
      <c r="J7377" s="473"/>
      <c r="K7377" s="478"/>
      <c r="L7377" s="473"/>
      <c r="M7377" s="473"/>
    </row>
    <row r="7378" spans="5:13">
      <c r="E7378" s="473"/>
      <c r="F7378" s="473"/>
      <c r="G7378" s="473"/>
      <c r="H7378" s="473"/>
      <c r="I7378" s="473"/>
      <c r="J7378" s="473"/>
      <c r="K7378" s="478"/>
      <c r="L7378" s="473"/>
      <c r="M7378" s="473"/>
    </row>
    <row r="7379" spans="5:13">
      <c r="E7379" s="473"/>
      <c r="F7379" s="473"/>
      <c r="G7379" s="473"/>
      <c r="H7379" s="473"/>
      <c r="I7379" s="473"/>
      <c r="J7379" s="473"/>
      <c r="K7379" s="478"/>
      <c r="L7379" s="473"/>
      <c r="M7379" s="473"/>
    </row>
    <row r="7380" spans="5:13">
      <c r="E7380" s="473"/>
      <c r="F7380" s="473"/>
      <c r="G7380" s="473"/>
      <c r="H7380" s="473"/>
      <c r="I7380" s="473"/>
      <c r="J7380" s="473"/>
      <c r="K7380" s="478"/>
      <c r="L7380" s="473"/>
      <c r="M7380" s="473"/>
    </row>
    <row r="7381" spans="5:13">
      <c r="E7381" s="473"/>
      <c r="F7381" s="473"/>
      <c r="G7381" s="473"/>
      <c r="H7381" s="473"/>
      <c r="I7381" s="473"/>
      <c r="J7381" s="473"/>
      <c r="K7381" s="478"/>
      <c r="L7381" s="473"/>
      <c r="M7381" s="473"/>
    </row>
    <row r="7382" spans="5:13">
      <c r="E7382" s="473"/>
      <c r="F7382" s="473"/>
      <c r="G7382" s="473"/>
      <c r="H7382" s="473"/>
      <c r="I7382" s="473"/>
      <c r="J7382" s="473"/>
      <c r="K7382" s="478"/>
      <c r="L7382" s="473"/>
      <c r="M7382" s="473"/>
    </row>
    <row r="7383" spans="5:13">
      <c r="E7383" s="473"/>
      <c r="F7383" s="473"/>
      <c r="G7383" s="473"/>
      <c r="H7383" s="473"/>
      <c r="I7383" s="473"/>
      <c r="J7383" s="473"/>
      <c r="K7383" s="478"/>
      <c r="L7383" s="473"/>
      <c r="M7383" s="473"/>
    </row>
    <row r="7384" spans="5:13">
      <c r="E7384" s="473"/>
      <c r="F7384" s="473"/>
      <c r="G7384" s="473"/>
      <c r="H7384" s="473"/>
      <c r="I7384" s="473"/>
      <c r="J7384" s="473"/>
      <c r="K7384" s="478"/>
      <c r="L7384" s="473"/>
      <c r="M7384" s="473"/>
    </row>
    <row r="7385" spans="5:13">
      <c r="E7385" s="473"/>
      <c r="F7385" s="473"/>
      <c r="G7385" s="473"/>
      <c r="H7385" s="473"/>
      <c r="I7385" s="473"/>
      <c r="J7385" s="473"/>
      <c r="K7385" s="478"/>
      <c r="L7385" s="473"/>
      <c r="M7385" s="473"/>
    </row>
    <row r="7386" spans="5:13">
      <c r="E7386" s="473"/>
      <c r="F7386" s="473"/>
      <c r="G7386" s="473"/>
      <c r="H7386" s="473"/>
      <c r="I7386" s="473"/>
      <c r="J7386" s="473"/>
      <c r="K7386" s="478"/>
      <c r="L7386" s="473"/>
      <c r="M7386" s="473"/>
    </row>
    <row r="7387" spans="5:13">
      <c r="E7387" s="473"/>
      <c r="F7387" s="473"/>
      <c r="G7387" s="473"/>
      <c r="H7387" s="473"/>
      <c r="I7387" s="473"/>
      <c r="J7387" s="473"/>
      <c r="K7387" s="478"/>
      <c r="L7387" s="473"/>
      <c r="M7387" s="473"/>
    </row>
    <row r="7388" spans="5:13">
      <c r="E7388" s="473"/>
      <c r="F7388" s="473"/>
      <c r="G7388" s="473"/>
      <c r="H7388" s="473"/>
      <c r="I7388" s="473"/>
      <c r="J7388" s="473"/>
      <c r="K7388" s="478"/>
      <c r="L7388" s="473"/>
      <c r="M7388" s="473"/>
    </row>
    <row r="7389" spans="5:13">
      <c r="E7389" s="473"/>
      <c r="F7389" s="473"/>
      <c r="G7389" s="473"/>
      <c r="H7389" s="473"/>
      <c r="I7389" s="473"/>
      <c r="J7389" s="473"/>
      <c r="K7389" s="478"/>
      <c r="L7389" s="473"/>
      <c r="M7389" s="473"/>
    </row>
    <row r="7390" spans="5:13">
      <c r="E7390" s="473"/>
      <c r="F7390" s="473"/>
      <c r="G7390" s="473"/>
      <c r="H7390" s="473"/>
      <c r="I7390" s="473"/>
      <c r="J7390" s="473"/>
      <c r="K7390" s="478"/>
      <c r="L7390" s="473"/>
      <c r="M7390" s="473"/>
    </row>
    <row r="7391" spans="5:13">
      <c r="E7391" s="473"/>
      <c r="F7391" s="473"/>
      <c r="G7391" s="473"/>
      <c r="H7391" s="473"/>
      <c r="I7391" s="473"/>
      <c r="J7391" s="473"/>
      <c r="K7391" s="478"/>
      <c r="L7391" s="473"/>
      <c r="M7391" s="473"/>
    </row>
    <row r="7392" spans="5:13">
      <c r="E7392" s="473"/>
      <c r="F7392" s="473"/>
      <c r="G7392" s="473"/>
      <c r="H7392" s="473"/>
      <c r="I7392" s="473"/>
      <c r="J7392" s="473"/>
      <c r="K7392" s="478"/>
      <c r="L7392" s="473"/>
      <c r="M7392" s="473"/>
    </row>
    <row r="7393" spans="5:13">
      <c r="E7393" s="473"/>
      <c r="F7393" s="473"/>
      <c r="G7393" s="473"/>
      <c r="H7393" s="473"/>
      <c r="I7393" s="473"/>
      <c r="J7393" s="473"/>
      <c r="K7393" s="478"/>
      <c r="L7393" s="473"/>
      <c r="M7393" s="473"/>
    </row>
    <row r="7394" spans="5:13">
      <c r="E7394" s="473"/>
      <c r="F7394" s="473"/>
      <c r="G7394" s="473"/>
      <c r="H7394" s="473"/>
      <c r="I7394" s="473"/>
      <c r="J7394" s="473"/>
      <c r="K7394" s="478"/>
      <c r="L7394" s="473"/>
      <c r="M7394" s="473"/>
    </row>
    <row r="7395" spans="5:13">
      <c r="E7395" s="473"/>
      <c r="F7395" s="473"/>
      <c r="G7395" s="473"/>
      <c r="H7395" s="473"/>
      <c r="I7395" s="473"/>
      <c r="J7395" s="473"/>
      <c r="K7395" s="478"/>
      <c r="L7395" s="473"/>
      <c r="M7395" s="473"/>
    </row>
    <row r="7396" spans="5:13">
      <c r="E7396" s="473"/>
      <c r="F7396" s="473"/>
      <c r="G7396" s="473"/>
      <c r="H7396" s="473"/>
      <c r="I7396" s="473"/>
      <c r="J7396" s="473"/>
      <c r="K7396" s="478"/>
      <c r="L7396" s="473"/>
      <c r="M7396" s="473"/>
    </row>
    <row r="7397" spans="5:13">
      <c r="E7397" s="473"/>
      <c r="F7397" s="473"/>
      <c r="G7397" s="473"/>
      <c r="H7397" s="473"/>
      <c r="I7397" s="473"/>
      <c r="J7397" s="473"/>
      <c r="K7397" s="478"/>
      <c r="L7397" s="473"/>
      <c r="M7397" s="473"/>
    </row>
    <row r="7398" spans="5:13">
      <c r="E7398" s="473"/>
      <c r="F7398" s="473"/>
      <c r="G7398" s="473"/>
      <c r="H7398" s="473"/>
      <c r="I7398" s="473"/>
      <c r="J7398" s="473"/>
      <c r="K7398" s="478"/>
      <c r="L7398" s="473"/>
      <c r="M7398" s="473"/>
    </row>
    <row r="7399" spans="5:13">
      <c r="E7399" s="473"/>
      <c r="F7399" s="473"/>
      <c r="G7399" s="473"/>
      <c r="H7399" s="473"/>
      <c r="I7399" s="473"/>
      <c r="J7399" s="473"/>
      <c r="K7399" s="478"/>
      <c r="L7399" s="473"/>
      <c r="M7399" s="473"/>
    </row>
    <row r="7400" spans="5:13">
      <c r="E7400" s="473"/>
      <c r="F7400" s="473"/>
      <c r="G7400" s="473"/>
      <c r="H7400" s="473"/>
      <c r="I7400" s="473"/>
      <c r="J7400" s="473"/>
      <c r="K7400" s="478"/>
      <c r="L7400" s="473"/>
      <c r="M7400" s="473"/>
    </row>
    <row r="7401" spans="5:13">
      <c r="E7401" s="473"/>
      <c r="F7401" s="473"/>
      <c r="G7401" s="473"/>
      <c r="H7401" s="473"/>
      <c r="I7401" s="473"/>
      <c r="J7401" s="473"/>
      <c r="K7401" s="478"/>
      <c r="L7401" s="473"/>
      <c r="M7401" s="473"/>
    </row>
    <row r="7402" spans="5:13">
      <c r="E7402" s="473"/>
      <c r="F7402" s="473"/>
      <c r="G7402" s="473"/>
      <c r="H7402" s="473"/>
      <c r="I7402" s="473"/>
      <c r="J7402" s="473"/>
      <c r="K7402" s="478"/>
      <c r="L7402" s="473"/>
      <c r="M7402" s="473"/>
    </row>
    <row r="7403" spans="5:13">
      <c r="E7403" s="473"/>
      <c r="F7403" s="473"/>
      <c r="G7403" s="473"/>
      <c r="H7403" s="473"/>
      <c r="I7403" s="473"/>
      <c r="J7403" s="473"/>
      <c r="K7403" s="478"/>
      <c r="L7403" s="473"/>
      <c r="M7403" s="473"/>
    </row>
    <row r="7404" spans="5:13">
      <c r="E7404" s="473"/>
      <c r="F7404" s="473"/>
      <c r="G7404" s="473"/>
      <c r="H7404" s="473"/>
      <c r="I7404" s="473"/>
      <c r="J7404" s="473"/>
      <c r="K7404" s="478"/>
      <c r="L7404" s="473"/>
      <c r="M7404" s="473"/>
    </row>
    <row r="7405" spans="5:13">
      <c r="E7405" s="473"/>
      <c r="F7405" s="473"/>
      <c r="G7405" s="473"/>
      <c r="H7405" s="473"/>
      <c r="I7405" s="473"/>
      <c r="J7405" s="473"/>
      <c r="K7405" s="478"/>
      <c r="L7405" s="473"/>
      <c r="M7405" s="473"/>
    </row>
    <row r="7406" spans="5:13">
      <c r="E7406" s="473"/>
      <c r="F7406" s="473"/>
      <c r="G7406" s="473"/>
      <c r="H7406" s="473"/>
      <c r="I7406" s="473"/>
      <c r="J7406" s="473"/>
      <c r="K7406" s="478"/>
      <c r="L7406" s="473"/>
      <c r="M7406" s="473"/>
    </row>
    <row r="7407" spans="5:13">
      <c r="E7407" s="473"/>
      <c r="F7407" s="473"/>
      <c r="G7407" s="473"/>
      <c r="H7407" s="473"/>
      <c r="I7407" s="473"/>
      <c r="J7407" s="473"/>
      <c r="K7407" s="478"/>
      <c r="L7407" s="473"/>
      <c r="M7407" s="473"/>
    </row>
    <row r="7408" spans="5:13">
      <c r="E7408" s="473"/>
      <c r="F7408" s="473"/>
      <c r="G7408" s="473"/>
      <c r="H7408" s="473"/>
      <c r="I7408" s="473"/>
      <c r="J7408" s="473"/>
      <c r="K7408" s="478"/>
      <c r="L7408" s="473"/>
      <c r="M7408" s="473"/>
    </row>
    <row r="7409" spans="5:13">
      <c r="E7409" s="473"/>
      <c r="F7409" s="473"/>
      <c r="G7409" s="473"/>
      <c r="H7409" s="473"/>
      <c r="I7409" s="473"/>
      <c r="J7409" s="473"/>
      <c r="K7409" s="478"/>
      <c r="L7409" s="473"/>
      <c r="M7409" s="473"/>
    </row>
    <row r="7410" spans="5:13">
      <c r="E7410" s="473"/>
      <c r="F7410" s="473"/>
      <c r="G7410" s="473"/>
      <c r="H7410" s="473"/>
      <c r="I7410" s="473"/>
      <c r="J7410" s="473"/>
      <c r="K7410" s="478"/>
      <c r="L7410" s="473"/>
      <c r="M7410" s="473"/>
    </row>
    <row r="7411" spans="5:13">
      <c r="E7411" s="473"/>
      <c r="F7411" s="473"/>
      <c r="G7411" s="473"/>
      <c r="H7411" s="473"/>
      <c r="I7411" s="473"/>
      <c r="J7411" s="473"/>
      <c r="K7411" s="478"/>
      <c r="L7411" s="473"/>
      <c r="M7411" s="473"/>
    </row>
    <row r="7412" spans="5:13">
      <c r="E7412" s="473"/>
      <c r="F7412" s="473"/>
      <c r="G7412" s="473"/>
      <c r="H7412" s="473"/>
      <c r="I7412" s="473"/>
      <c r="J7412" s="473"/>
      <c r="K7412" s="478"/>
      <c r="L7412" s="473"/>
      <c r="M7412" s="473"/>
    </row>
    <row r="7413" spans="5:13">
      <c r="E7413" s="473"/>
      <c r="F7413" s="473"/>
      <c r="G7413" s="473"/>
      <c r="H7413" s="473"/>
      <c r="I7413" s="473"/>
      <c r="J7413" s="473"/>
      <c r="K7413" s="478"/>
      <c r="L7413" s="473"/>
      <c r="M7413" s="473"/>
    </row>
    <row r="7414" spans="5:13">
      <c r="E7414" s="473"/>
      <c r="F7414" s="473"/>
      <c r="G7414" s="473"/>
      <c r="H7414" s="473"/>
      <c r="I7414" s="473"/>
      <c r="J7414" s="473"/>
      <c r="K7414" s="478"/>
      <c r="L7414" s="473"/>
      <c r="M7414" s="473"/>
    </row>
    <row r="7415" spans="5:13">
      <c r="E7415" s="473"/>
      <c r="F7415" s="473"/>
      <c r="G7415" s="473"/>
      <c r="H7415" s="473"/>
      <c r="I7415" s="473"/>
      <c r="J7415" s="473"/>
      <c r="K7415" s="478"/>
      <c r="L7415" s="473"/>
      <c r="M7415" s="473"/>
    </row>
    <row r="7416" spans="5:13">
      <c r="E7416" s="473"/>
      <c r="F7416" s="473"/>
      <c r="G7416" s="473"/>
      <c r="H7416" s="473"/>
      <c r="I7416" s="473"/>
      <c r="J7416" s="473"/>
      <c r="K7416" s="478"/>
      <c r="L7416" s="473"/>
      <c r="M7416" s="473"/>
    </row>
    <row r="7417" spans="5:13">
      <c r="E7417" s="473"/>
      <c r="F7417" s="473"/>
      <c r="G7417" s="473"/>
      <c r="H7417" s="473"/>
      <c r="I7417" s="473"/>
      <c r="J7417" s="473"/>
      <c r="K7417" s="478"/>
      <c r="L7417" s="473"/>
      <c r="M7417" s="473"/>
    </row>
    <row r="7418" spans="5:13">
      <c r="E7418" s="473"/>
      <c r="F7418" s="473"/>
      <c r="G7418" s="473"/>
      <c r="H7418" s="473"/>
      <c r="I7418" s="473"/>
      <c r="J7418" s="473"/>
      <c r="K7418" s="478"/>
      <c r="L7418" s="473"/>
      <c r="M7418" s="473"/>
    </row>
    <row r="7419" spans="5:13">
      <c r="E7419" s="473"/>
      <c r="F7419" s="473"/>
      <c r="G7419" s="473"/>
      <c r="H7419" s="473"/>
      <c r="I7419" s="473"/>
      <c r="J7419" s="473"/>
      <c r="K7419" s="478"/>
      <c r="L7419" s="473"/>
      <c r="M7419" s="473"/>
    </row>
    <row r="7420" spans="5:13">
      <c r="E7420" s="473"/>
      <c r="F7420" s="473"/>
      <c r="G7420" s="473"/>
      <c r="H7420" s="473"/>
      <c r="I7420" s="473"/>
      <c r="J7420" s="473"/>
      <c r="K7420" s="478"/>
      <c r="L7420" s="473"/>
      <c r="M7420" s="473"/>
    </row>
    <row r="7421" spans="5:13">
      <c r="E7421" s="473"/>
      <c r="F7421" s="473"/>
      <c r="G7421" s="473"/>
      <c r="H7421" s="473"/>
      <c r="I7421" s="473"/>
      <c r="J7421" s="473"/>
      <c r="K7421" s="478"/>
      <c r="L7421" s="473"/>
      <c r="M7421" s="473"/>
    </row>
    <row r="7422" spans="5:13">
      <c r="E7422" s="473"/>
      <c r="F7422" s="473"/>
      <c r="G7422" s="473"/>
      <c r="H7422" s="473"/>
      <c r="I7422" s="473"/>
      <c r="J7422" s="473"/>
      <c r="K7422" s="478"/>
      <c r="L7422" s="473"/>
      <c r="M7422" s="473"/>
    </row>
    <row r="7423" spans="5:13">
      <c r="E7423" s="473"/>
      <c r="F7423" s="473"/>
      <c r="G7423" s="473"/>
      <c r="H7423" s="473"/>
      <c r="I7423" s="473"/>
      <c r="J7423" s="473"/>
      <c r="K7423" s="478"/>
      <c r="L7423" s="473"/>
      <c r="M7423" s="473"/>
    </row>
    <row r="7424" spans="5:13">
      <c r="E7424" s="473"/>
      <c r="F7424" s="473"/>
      <c r="G7424" s="473"/>
      <c r="H7424" s="473"/>
      <c r="I7424" s="473"/>
      <c r="J7424" s="473"/>
      <c r="K7424" s="478"/>
      <c r="L7424" s="473"/>
      <c r="M7424" s="473"/>
    </row>
    <row r="7425" spans="5:13">
      <c r="E7425" s="473"/>
      <c r="F7425" s="473"/>
      <c r="G7425" s="473"/>
      <c r="H7425" s="473"/>
      <c r="I7425" s="473"/>
      <c r="J7425" s="473"/>
      <c r="K7425" s="478"/>
      <c r="L7425" s="473"/>
      <c r="M7425" s="473"/>
    </row>
    <row r="7426" spans="5:13">
      <c r="E7426" s="473"/>
      <c r="F7426" s="473"/>
      <c r="G7426" s="473"/>
      <c r="H7426" s="473"/>
      <c r="I7426" s="473"/>
      <c r="J7426" s="473"/>
      <c r="K7426" s="478"/>
      <c r="L7426" s="473"/>
      <c r="M7426" s="473"/>
    </row>
    <row r="7427" spans="5:13">
      <c r="E7427" s="473"/>
      <c r="F7427" s="473"/>
      <c r="G7427" s="473"/>
      <c r="H7427" s="473"/>
      <c r="I7427" s="473"/>
      <c r="J7427" s="473"/>
      <c r="K7427" s="478"/>
      <c r="L7427" s="473"/>
      <c r="M7427" s="473"/>
    </row>
    <row r="7428" spans="5:13">
      <c r="E7428" s="473"/>
      <c r="F7428" s="473"/>
      <c r="G7428" s="473"/>
      <c r="H7428" s="473"/>
      <c r="I7428" s="473"/>
      <c r="J7428" s="473"/>
      <c r="K7428" s="478"/>
      <c r="L7428" s="473"/>
      <c r="M7428" s="473"/>
    </row>
    <row r="7429" spans="5:13">
      <c r="E7429" s="473"/>
      <c r="F7429" s="473"/>
      <c r="G7429" s="473"/>
      <c r="H7429" s="473"/>
      <c r="I7429" s="473"/>
      <c r="J7429" s="473"/>
      <c r="K7429" s="478"/>
      <c r="L7429" s="473"/>
      <c r="M7429" s="473"/>
    </row>
    <row r="7430" spans="5:13">
      <c r="E7430" s="473"/>
      <c r="F7430" s="473"/>
      <c r="G7430" s="473"/>
      <c r="H7430" s="473"/>
      <c r="I7430" s="473"/>
      <c r="J7430" s="473"/>
      <c r="K7430" s="478"/>
      <c r="L7430" s="473"/>
      <c r="M7430" s="473"/>
    </row>
    <row r="7431" spans="5:13">
      <c r="E7431" s="473"/>
      <c r="F7431" s="473"/>
      <c r="G7431" s="473"/>
      <c r="H7431" s="473"/>
      <c r="I7431" s="473"/>
      <c r="J7431" s="473"/>
      <c r="K7431" s="478"/>
      <c r="L7431" s="473"/>
      <c r="M7431" s="473"/>
    </row>
    <row r="7432" spans="5:13">
      <c r="E7432" s="473"/>
      <c r="F7432" s="473"/>
      <c r="G7432" s="473"/>
      <c r="H7432" s="473"/>
      <c r="I7432" s="473"/>
      <c r="J7432" s="473"/>
      <c r="K7432" s="478"/>
      <c r="L7432" s="473"/>
      <c r="M7432" s="473"/>
    </row>
    <row r="7433" spans="5:13">
      <c r="E7433" s="473"/>
      <c r="F7433" s="473"/>
      <c r="G7433" s="473"/>
      <c r="H7433" s="473"/>
      <c r="I7433" s="473"/>
      <c r="J7433" s="473"/>
      <c r="K7433" s="478"/>
      <c r="L7433" s="473"/>
      <c r="M7433" s="473"/>
    </row>
    <row r="7434" spans="5:13">
      <c r="E7434" s="473"/>
      <c r="F7434" s="473"/>
      <c r="G7434" s="473"/>
      <c r="H7434" s="473"/>
      <c r="I7434" s="473"/>
      <c r="J7434" s="473"/>
      <c r="K7434" s="478"/>
      <c r="L7434" s="473"/>
      <c r="M7434" s="473"/>
    </row>
    <row r="7435" spans="5:13">
      <c r="E7435" s="473"/>
      <c r="F7435" s="473"/>
      <c r="G7435" s="473"/>
      <c r="H7435" s="473"/>
      <c r="I7435" s="473"/>
      <c r="J7435" s="473"/>
      <c r="K7435" s="478"/>
      <c r="L7435" s="473"/>
      <c r="M7435" s="473"/>
    </row>
    <row r="7436" spans="5:13">
      <c r="E7436" s="473"/>
      <c r="F7436" s="473"/>
      <c r="G7436" s="473"/>
      <c r="H7436" s="473"/>
      <c r="I7436" s="473"/>
      <c r="J7436" s="473"/>
      <c r="K7436" s="478"/>
      <c r="L7436" s="473"/>
      <c r="M7436" s="473"/>
    </row>
    <row r="7437" spans="5:13">
      <c r="E7437" s="473"/>
      <c r="F7437" s="473"/>
      <c r="G7437" s="473"/>
      <c r="H7437" s="473"/>
      <c r="I7437" s="473"/>
      <c r="J7437" s="473"/>
      <c r="K7437" s="478"/>
      <c r="L7437" s="473"/>
      <c r="M7437" s="473"/>
    </row>
    <row r="7438" spans="5:13">
      <c r="E7438" s="473"/>
      <c r="F7438" s="473"/>
      <c r="G7438" s="473"/>
      <c r="H7438" s="473"/>
      <c r="I7438" s="473"/>
      <c r="J7438" s="473"/>
      <c r="K7438" s="478"/>
      <c r="L7438" s="473"/>
      <c r="M7438" s="473"/>
    </row>
    <row r="7439" spans="5:13">
      <c r="E7439" s="473"/>
      <c r="F7439" s="473"/>
      <c r="G7439" s="473"/>
      <c r="H7439" s="473"/>
      <c r="I7439" s="473"/>
      <c r="J7439" s="473"/>
      <c r="K7439" s="478"/>
      <c r="L7439" s="473"/>
      <c r="M7439" s="473"/>
    </row>
    <row r="7440" spans="5:13">
      <c r="E7440" s="473"/>
      <c r="F7440" s="473"/>
      <c r="G7440" s="473"/>
      <c r="H7440" s="473"/>
      <c r="I7440" s="473"/>
      <c r="J7440" s="473"/>
      <c r="K7440" s="478"/>
      <c r="L7440" s="473"/>
      <c r="M7440" s="473"/>
    </row>
    <row r="7441" spans="5:13">
      <c r="E7441" s="473"/>
      <c r="F7441" s="473"/>
      <c r="G7441" s="473"/>
      <c r="H7441" s="473"/>
      <c r="I7441" s="473"/>
      <c r="J7441" s="473"/>
      <c r="K7441" s="478"/>
      <c r="L7441" s="473"/>
      <c r="M7441" s="473"/>
    </row>
    <row r="7442" spans="5:13">
      <c r="E7442" s="473"/>
      <c r="F7442" s="473"/>
      <c r="G7442" s="473"/>
      <c r="H7442" s="473"/>
      <c r="I7442" s="473"/>
      <c r="J7442" s="473"/>
      <c r="K7442" s="478"/>
      <c r="L7442" s="473"/>
      <c r="M7442" s="473"/>
    </row>
    <row r="7443" spans="5:13">
      <c r="E7443" s="473"/>
      <c r="F7443" s="473"/>
      <c r="G7443" s="473"/>
      <c r="H7443" s="473"/>
      <c r="I7443" s="473"/>
      <c r="J7443" s="473"/>
      <c r="K7443" s="478"/>
      <c r="L7443" s="473"/>
      <c r="M7443" s="473"/>
    </row>
    <row r="7444" spans="5:13">
      <c r="E7444" s="473"/>
      <c r="F7444" s="473"/>
      <c r="G7444" s="473"/>
      <c r="H7444" s="473"/>
      <c r="I7444" s="473"/>
      <c r="J7444" s="473"/>
      <c r="K7444" s="478"/>
      <c r="L7444" s="473"/>
      <c r="M7444" s="473"/>
    </row>
    <row r="7445" spans="5:13">
      <c r="E7445" s="473"/>
      <c r="F7445" s="473"/>
      <c r="G7445" s="473"/>
      <c r="H7445" s="473"/>
      <c r="I7445" s="473"/>
      <c r="J7445" s="473"/>
      <c r="K7445" s="478"/>
      <c r="L7445" s="473"/>
      <c r="M7445" s="473"/>
    </row>
    <row r="7446" spans="5:13">
      <c r="E7446" s="473"/>
      <c r="F7446" s="473"/>
      <c r="G7446" s="473"/>
      <c r="H7446" s="473"/>
      <c r="I7446" s="473"/>
      <c r="J7446" s="473"/>
      <c r="K7446" s="478"/>
      <c r="L7446" s="473"/>
      <c r="M7446" s="473"/>
    </row>
    <row r="7447" spans="5:13">
      <c r="E7447" s="473"/>
      <c r="F7447" s="473"/>
      <c r="G7447" s="473"/>
      <c r="H7447" s="473"/>
      <c r="I7447" s="473"/>
      <c r="J7447" s="473"/>
      <c r="K7447" s="478"/>
      <c r="L7447" s="473"/>
      <c r="M7447" s="473"/>
    </row>
    <row r="7448" spans="5:13">
      <c r="E7448" s="473"/>
      <c r="F7448" s="473"/>
      <c r="G7448" s="473"/>
      <c r="H7448" s="473"/>
      <c r="I7448" s="473"/>
      <c r="J7448" s="473"/>
      <c r="K7448" s="478"/>
      <c r="L7448" s="473"/>
      <c r="M7448" s="473"/>
    </row>
    <row r="7449" spans="5:13">
      <c r="E7449" s="473"/>
      <c r="F7449" s="473"/>
      <c r="G7449" s="473"/>
      <c r="H7449" s="473"/>
      <c r="I7449" s="473"/>
      <c r="J7449" s="473"/>
      <c r="K7449" s="478"/>
      <c r="L7449" s="473"/>
      <c r="M7449" s="473"/>
    </row>
    <row r="7450" spans="5:13">
      <c r="E7450" s="473"/>
      <c r="F7450" s="473"/>
      <c r="G7450" s="473"/>
      <c r="H7450" s="473"/>
      <c r="I7450" s="473"/>
      <c r="J7450" s="473"/>
      <c r="K7450" s="478"/>
      <c r="L7450" s="473"/>
      <c r="M7450" s="473"/>
    </row>
    <row r="7451" spans="5:13">
      <c r="E7451" s="473"/>
      <c r="F7451" s="473"/>
      <c r="G7451" s="473"/>
      <c r="H7451" s="473"/>
      <c r="I7451" s="473"/>
      <c r="J7451" s="473"/>
      <c r="K7451" s="478"/>
      <c r="L7451" s="473"/>
      <c r="M7451" s="473"/>
    </row>
    <row r="7452" spans="5:13">
      <c r="E7452" s="473"/>
      <c r="F7452" s="473"/>
      <c r="G7452" s="473"/>
      <c r="H7452" s="473"/>
      <c r="I7452" s="473"/>
      <c r="J7452" s="473"/>
      <c r="K7452" s="478"/>
      <c r="L7452" s="473"/>
      <c r="M7452" s="473"/>
    </row>
    <row r="7453" spans="5:13">
      <c r="E7453" s="473"/>
      <c r="F7453" s="473"/>
      <c r="G7453" s="473"/>
      <c r="H7453" s="473"/>
      <c r="I7453" s="473"/>
      <c r="J7453" s="473"/>
      <c r="K7453" s="478"/>
      <c r="L7453" s="473"/>
      <c r="M7453" s="473"/>
    </row>
    <row r="7454" spans="5:13">
      <c r="E7454" s="473"/>
      <c r="F7454" s="473"/>
      <c r="G7454" s="473"/>
      <c r="H7454" s="473"/>
      <c r="I7454" s="473"/>
      <c r="J7454" s="473"/>
      <c r="K7454" s="478"/>
      <c r="L7454" s="473"/>
      <c r="M7454" s="473"/>
    </row>
    <row r="7455" spans="5:13">
      <c r="E7455" s="473"/>
      <c r="F7455" s="473"/>
      <c r="G7455" s="473"/>
      <c r="H7455" s="473"/>
      <c r="I7455" s="473"/>
      <c r="J7455" s="473"/>
      <c r="K7455" s="478"/>
      <c r="L7455" s="473"/>
      <c r="M7455" s="473"/>
    </row>
    <row r="7456" spans="5:13">
      <c r="E7456" s="473"/>
      <c r="F7456" s="473"/>
      <c r="G7456" s="473"/>
      <c r="H7456" s="473"/>
      <c r="I7456" s="473"/>
      <c r="J7456" s="473"/>
      <c r="K7456" s="478"/>
      <c r="L7456" s="473"/>
      <c r="M7456" s="473"/>
    </row>
    <row r="7457" spans="5:13">
      <c r="E7457" s="473"/>
      <c r="F7457" s="473"/>
      <c r="G7457" s="473"/>
      <c r="H7457" s="473"/>
      <c r="I7457" s="473"/>
      <c r="J7457" s="473"/>
      <c r="K7457" s="478"/>
      <c r="L7457" s="473"/>
      <c r="M7457" s="473"/>
    </row>
    <row r="7458" spans="5:13">
      <c r="E7458" s="473"/>
      <c r="F7458" s="473"/>
      <c r="G7458" s="473"/>
      <c r="H7458" s="473"/>
      <c r="I7458" s="473"/>
      <c r="J7458" s="473"/>
      <c r="K7458" s="478"/>
      <c r="L7458" s="473"/>
      <c r="M7458" s="473"/>
    </row>
    <row r="7459" spans="5:13">
      <c r="E7459" s="473"/>
      <c r="F7459" s="473"/>
      <c r="G7459" s="473"/>
      <c r="H7459" s="473"/>
      <c r="I7459" s="473"/>
      <c r="J7459" s="473"/>
      <c r="K7459" s="478"/>
      <c r="L7459" s="473"/>
      <c r="M7459" s="473"/>
    </row>
    <row r="7460" spans="5:13">
      <c r="E7460" s="473"/>
      <c r="F7460" s="473"/>
      <c r="G7460" s="473"/>
      <c r="H7460" s="473"/>
      <c r="I7460" s="473"/>
      <c r="J7460" s="473"/>
      <c r="K7460" s="478"/>
      <c r="L7460" s="473"/>
      <c r="M7460" s="473"/>
    </row>
    <row r="7461" spans="5:13">
      <c r="E7461" s="473"/>
      <c r="F7461" s="473"/>
      <c r="G7461" s="473"/>
      <c r="H7461" s="473"/>
      <c r="I7461" s="473"/>
      <c r="J7461" s="473"/>
      <c r="K7461" s="478"/>
      <c r="L7461" s="473"/>
      <c r="M7461" s="473"/>
    </row>
    <row r="7462" spans="5:13">
      <c r="E7462" s="473"/>
      <c r="F7462" s="473"/>
      <c r="G7462" s="473"/>
      <c r="H7462" s="473"/>
      <c r="I7462" s="473"/>
      <c r="J7462" s="473"/>
      <c r="K7462" s="478"/>
      <c r="L7462" s="473"/>
      <c r="M7462" s="473"/>
    </row>
    <row r="7463" spans="5:13">
      <c r="E7463" s="473"/>
      <c r="F7463" s="473"/>
      <c r="G7463" s="473"/>
      <c r="H7463" s="473"/>
      <c r="I7463" s="473"/>
      <c r="J7463" s="473"/>
      <c r="K7463" s="478"/>
      <c r="L7463" s="473"/>
      <c r="M7463" s="473"/>
    </row>
    <row r="7464" spans="5:13">
      <c r="E7464" s="473"/>
      <c r="F7464" s="473"/>
      <c r="G7464" s="473"/>
      <c r="H7464" s="473"/>
      <c r="I7464" s="473"/>
      <c r="J7464" s="473"/>
      <c r="K7464" s="478"/>
      <c r="L7464" s="473"/>
      <c r="M7464" s="473"/>
    </row>
    <row r="7465" spans="5:13">
      <c r="E7465" s="473"/>
      <c r="F7465" s="473"/>
      <c r="G7465" s="473"/>
      <c r="H7465" s="473"/>
      <c r="I7465" s="473"/>
      <c r="J7465" s="473"/>
      <c r="K7465" s="478"/>
      <c r="L7465" s="473"/>
      <c r="M7465" s="473"/>
    </row>
    <row r="7466" spans="5:13">
      <c r="E7466" s="473"/>
      <c r="F7466" s="473"/>
      <c r="G7466" s="473"/>
      <c r="H7466" s="473"/>
      <c r="I7466" s="473"/>
      <c r="J7466" s="473"/>
      <c r="K7466" s="478"/>
      <c r="L7466" s="473"/>
      <c r="M7466" s="473"/>
    </row>
    <row r="7467" spans="5:13">
      <c r="E7467" s="473"/>
      <c r="F7467" s="473"/>
      <c r="G7467" s="473"/>
      <c r="H7467" s="473"/>
      <c r="I7467" s="473"/>
      <c r="J7467" s="473"/>
      <c r="K7467" s="478"/>
      <c r="L7467" s="473"/>
      <c r="M7467" s="473"/>
    </row>
    <row r="7468" spans="5:13">
      <c r="E7468" s="473"/>
      <c r="F7468" s="473"/>
      <c r="G7468" s="473"/>
      <c r="H7468" s="473"/>
      <c r="I7468" s="473"/>
      <c r="J7468" s="473"/>
      <c r="K7468" s="478"/>
      <c r="L7468" s="473"/>
      <c r="M7468" s="473"/>
    </row>
    <row r="7469" spans="5:13">
      <c r="E7469" s="473"/>
      <c r="F7469" s="473"/>
      <c r="G7469" s="473"/>
      <c r="H7469" s="473"/>
      <c r="I7469" s="473"/>
      <c r="J7469" s="473"/>
      <c r="K7469" s="478"/>
      <c r="L7469" s="473"/>
      <c r="M7469" s="473"/>
    </row>
    <row r="7470" spans="5:13">
      <c r="E7470" s="473"/>
      <c r="F7470" s="473"/>
      <c r="G7470" s="473"/>
      <c r="H7470" s="473"/>
      <c r="I7470" s="473"/>
      <c r="J7470" s="473"/>
      <c r="K7470" s="478"/>
      <c r="L7470" s="473"/>
      <c r="M7470" s="473"/>
    </row>
    <row r="7471" spans="5:13">
      <c r="E7471" s="473"/>
      <c r="F7471" s="473"/>
      <c r="G7471" s="473"/>
      <c r="H7471" s="473"/>
      <c r="I7471" s="473"/>
      <c r="J7471" s="473"/>
      <c r="K7471" s="478"/>
      <c r="L7471" s="473"/>
      <c r="M7471" s="473"/>
    </row>
    <row r="7472" spans="5:13">
      <c r="E7472" s="473"/>
      <c r="F7472" s="473"/>
      <c r="G7472" s="473"/>
      <c r="H7472" s="473"/>
      <c r="I7472" s="473"/>
      <c r="J7472" s="473"/>
      <c r="K7472" s="478"/>
      <c r="L7472" s="473"/>
      <c r="M7472" s="473"/>
    </row>
    <row r="7473" spans="5:13">
      <c r="E7473" s="473"/>
      <c r="F7473" s="473"/>
      <c r="G7473" s="473"/>
      <c r="H7473" s="473"/>
      <c r="I7473" s="473"/>
      <c r="J7473" s="473"/>
      <c r="K7473" s="478"/>
      <c r="L7473" s="473"/>
      <c r="M7473" s="473"/>
    </row>
    <row r="7474" spans="5:13">
      <c r="E7474" s="473"/>
      <c r="F7474" s="473"/>
      <c r="G7474" s="473"/>
      <c r="H7474" s="473"/>
      <c r="I7474" s="473"/>
      <c r="J7474" s="473"/>
      <c r="K7474" s="478"/>
      <c r="L7474" s="473"/>
      <c r="M7474" s="473"/>
    </row>
    <row r="7475" spans="5:13">
      <c r="E7475" s="473"/>
      <c r="F7475" s="473"/>
      <c r="G7475" s="473"/>
      <c r="H7475" s="473"/>
      <c r="I7475" s="473"/>
      <c r="J7475" s="473"/>
      <c r="K7475" s="478"/>
      <c r="L7475" s="473"/>
      <c r="M7475" s="473"/>
    </row>
    <row r="7476" spans="5:13">
      <c r="E7476" s="473"/>
      <c r="F7476" s="473"/>
      <c r="G7476" s="473"/>
      <c r="H7476" s="473"/>
      <c r="I7476" s="473"/>
      <c r="J7476" s="473"/>
      <c r="K7476" s="478"/>
      <c r="L7476" s="473"/>
      <c r="M7476" s="473"/>
    </row>
    <row r="7477" spans="5:13">
      <c r="E7477" s="473"/>
      <c r="F7477" s="473"/>
      <c r="G7477" s="473"/>
      <c r="H7477" s="473"/>
      <c r="I7477" s="473"/>
      <c r="J7477" s="473"/>
      <c r="K7477" s="478"/>
      <c r="L7477" s="473"/>
      <c r="M7477" s="473"/>
    </row>
    <row r="7478" spans="5:13">
      <c r="E7478" s="473"/>
      <c r="F7478" s="473"/>
      <c r="G7478" s="473"/>
      <c r="H7478" s="473"/>
      <c r="I7478" s="473"/>
      <c r="J7478" s="473"/>
      <c r="K7478" s="478"/>
      <c r="L7478" s="473"/>
      <c r="M7478" s="473"/>
    </row>
    <row r="7479" spans="5:13">
      <c r="E7479" s="473"/>
      <c r="F7479" s="473"/>
      <c r="G7479" s="473"/>
      <c r="H7479" s="473"/>
      <c r="I7479" s="473"/>
      <c r="J7479" s="473"/>
      <c r="K7479" s="478"/>
      <c r="L7479" s="473"/>
      <c r="M7479" s="473"/>
    </row>
    <row r="7480" spans="5:13">
      <c r="E7480" s="473"/>
      <c r="F7480" s="473"/>
      <c r="G7480" s="473"/>
      <c r="H7480" s="473"/>
      <c r="I7480" s="473"/>
      <c r="J7480" s="473"/>
      <c r="K7480" s="478"/>
      <c r="L7480" s="473"/>
      <c r="M7480" s="473"/>
    </row>
    <row r="7481" spans="5:13">
      <c r="E7481" s="473"/>
      <c r="F7481" s="473"/>
      <c r="G7481" s="473"/>
      <c r="H7481" s="473"/>
      <c r="I7481" s="473"/>
      <c r="J7481" s="473"/>
      <c r="K7481" s="478"/>
      <c r="L7481" s="473"/>
      <c r="M7481" s="473"/>
    </row>
    <row r="7482" spans="5:13">
      <c r="E7482" s="473"/>
      <c r="F7482" s="473"/>
      <c r="G7482" s="473"/>
      <c r="H7482" s="473"/>
      <c r="I7482" s="473"/>
      <c r="J7482" s="473"/>
      <c r="K7482" s="478"/>
      <c r="L7482" s="473"/>
      <c r="M7482" s="473"/>
    </row>
    <row r="7483" spans="5:13">
      <c r="E7483" s="473"/>
      <c r="F7483" s="473"/>
      <c r="G7483" s="473"/>
      <c r="H7483" s="473"/>
      <c r="I7483" s="473"/>
      <c r="J7483" s="473"/>
      <c r="K7483" s="478"/>
      <c r="L7483" s="473"/>
      <c r="M7483" s="473"/>
    </row>
    <row r="7484" spans="5:13">
      <c r="E7484" s="473"/>
      <c r="F7484" s="473"/>
      <c r="G7484" s="473"/>
      <c r="H7484" s="473"/>
      <c r="I7484" s="473"/>
      <c r="J7484" s="473"/>
      <c r="K7484" s="478"/>
      <c r="L7484" s="473"/>
      <c r="M7484" s="473"/>
    </row>
    <row r="7485" spans="5:13">
      <c r="E7485" s="473"/>
      <c r="F7485" s="473"/>
      <c r="G7485" s="473"/>
      <c r="H7485" s="473"/>
      <c r="I7485" s="473"/>
      <c r="J7485" s="473"/>
      <c r="K7485" s="478"/>
      <c r="L7485" s="473"/>
      <c r="M7485" s="473"/>
    </row>
    <row r="7486" spans="5:13">
      <c r="E7486" s="473"/>
      <c r="F7486" s="473"/>
      <c r="G7486" s="473"/>
      <c r="H7486" s="473"/>
      <c r="I7486" s="473"/>
      <c r="J7486" s="473"/>
      <c r="K7486" s="478"/>
      <c r="L7486" s="473"/>
      <c r="M7486" s="473"/>
    </row>
    <row r="7487" spans="5:13">
      <c r="E7487" s="473"/>
      <c r="F7487" s="473"/>
      <c r="G7487" s="473"/>
      <c r="H7487" s="473"/>
      <c r="I7487" s="473"/>
      <c r="J7487" s="473"/>
      <c r="K7487" s="478"/>
      <c r="L7487" s="473"/>
      <c r="M7487" s="473"/>
    </row>
    <row r="7488" spans="5:13">
      <c r="E7488" s="473"/>
      <c r="F7488" s="473"/>
      <c r="G7488" s="473"/>
      <c r="H7488" s="473"/>
      <c r="I7488" s="473"/>
      <c r="J7488" s="473"/>
      <c r="K7488" s="478"/>
      <c r="L7488" s="473"/>
      <c r="M7488" s="473"/>
    </row>
    <row r="7489" spans="5:13">
      <c r="E7489" s="473"/>
      <c r="F7489" s="473"/>
      <c r="G7489" s="473"/>
      <c r="H7489" s="473"/>
      <c r="I7489" s="473"/>
      <c r="J7489" s="473"/>
      <c r="K7489" s="478"/>
      <c r="L7489" s="473"/>
      <c r="M7489" s="473"/>
    </row>
    <row r="7490" spans="5:13">
      <c r="E7490" s="473"/>
      <c r="F7490" s="473"/>
      <c r="G7490" s="473"/>
      <c r="H7490" s="473"/>
      <c r="I7490" s="473"/>
      <c r="J7490" s="473"/>
      <c r="K7490" s="478"/>
      <c r="L7490" s="473"/>
      <c r="M7490" s="473"/>
    </row>
    <row r="7491" spans="5:13">
      <c r="E7491" s="473"/>
      <c r="F7491" s="473"/>
      <c r="G7491" s="473"/>
      <c r="H7491" s="473"/>
      <c r="I7491" s="473"/>
      <c r="J7491" s="473"/>
      <c r="K7491" s="478"/>
      <c r="L7491" s="473"/>
      <c r="M7491" s="473"/>
    </row>
    <row r="7492" spans="5:13">
      <c r="E7492" s="473"/>
      <c r="F7492" s="473"/>
      <c r="G7492" s="473"/>
      <c r="H7492" s="473"/>
      <c r="I7492" s="473"/>
      <c r="J7492" s="473"/>
      <c r="K7492" s="478"/>
      <c r="L7492" s="473"/>
      <c r="M7492" s="473"/>
    </row>
    <row r="7493" spans="5:13">
      <c r="E7493" s="473"/>
      <c r="F7493" s="473"/>
      <c r="G7493" s="473"/>
      <c r="H7493" s="473"/>
      <c r="I7493" s="473"/>
      <c r="J7493" s="473"/>
      <c r="K7493" s="478"/>
      <c r="L7493" s="473"/>
      <c r="M7493" s="473"/>
    </row>
    <row r="7494" spans="5:13">
      <c r="E7494" s="473"/>
      <c r="F7494" s="473"/>
      <c r="G7494" s="473"/>
      <c r="H7494" s="473"/>
      <c r="I7494" s="473"/>
      <c r="J7494" s="473"/>
      <c r="K7494" s="478"/>
      <c r="L7494" s="473"/>
      <c r="M7494" s="473"/>
    </row>
    <row r="7495" spans="5:13">
      <c r="E7495" s="473"/>
      <c r="F7495" s="473"/>
      <c r="G7495" s="473"/>
      <c r="H7495" s="473"/>
      <c r="I7495" s="473"/>
      <c r="J7495" s="473"/>
      <c r="K7495" s="478"/>
      <c r="L7495" s="473"/>
      <c r="M7495" s="473"/>
    </row>
    <row r="7496" spans="5:13">
      <c r="E7496" s="473"/>
      <c r="F7496" s="473"/>
      <c r="G7496" s="473"/>
      <c r="H7496" s="473"/>
      <c r="I7496" s="473"/>
      <c r="J7496" s="473"/>
      <c r="K7496" s="478"/>
      <c r="L7496" s="473"/>
      <c r="M7496" s="473"/>
    </row>
    <row r="7497" spans="5:13">
      <c r="E7497" s="473"/>
      <c r="F7497" s="473"/>
      <c r="G7497" s="473"/>
      <c r="H7497" s="473"/>
      <c r="I7497" s="473"/>
      <c r="J7497" s="473"/>
      <c r="K7497" s="478"/>
      <c r="L7497" s="473"/>
      <c r="M7497" s="473"/>
    </row>
    <row r="7498" spans="5:13">
      <c r="E7498" s="473"/>
      <c r="F7498" s="473"/>
      <c r="G7498" s="473"/>
      <c r="H7498" s="473"/>
      <c r="I7498" s="473"/>
      <c r="J7498" s="473"/>
      <c r="K7498" s="478"/>
      <c r="L7498" s="473"/>
      <c r="M7498" s="473"/>
    </row>
    <row r="7499" spans="5:13">
      <c r="E7499" s="473"/>
      <c r="F7499" s="473"/>
      <c r="G7499" s="473"/>
      <c r="H7499" s="473"/>
      <c r="I7499" s="473"/>
      <c r="J7499" s="473"/>
      <c r="K7499" s="478"/>
      <c r="L7499" s="473"/>
      <c r="M7499" s="473"/>
    </row>
    <row r="7500" spans="5:13">
      <c r="E7500" s="473"/>
      <c r="F7500" s="473"/>
      <c r="G7500" s="473"/>
      <c r="H7500" s="473"/>
      <c r="I7500" s="473"/>
      <c r="J7500" s="473"/>
      <c r="K7500" s="478"/>
      <c r="L7500" s="473"/>
      <c r="M7500" s="473"/>
    </row>
    <row r="7501" spans="5:13">
      <c r="E7501" s="473"/>
      <c r="F7501" s="473"/>
      <c r="G7501" s="473"/>
      <c r="H7501" s="473"/>
      <c r="I7501" s="473"/>
      <c r="J7501" s="473"/>
      <c r="K7501" s="478"/>
      <c r="L7501" s="473"/>
      <c r="M7501" s="473"/>
    </row>
    <row r="7502" spans="5:13">
      <c r="E7502" s="473"/>
      <c r="F7502" s="473"/>
      <c r="G7502" s="473"/>
      <c r="H7502" s="473"/>
      <c r="I7502" s="473"/>
      <c r="J7502" s="473"/>
      <c r="K7502" s="478"/>
      <c r="L7502" s="473"/>
      <c r="M7502" s="473"/>
    </row>
    <row r="7503" spans="5:13">
      <c r="E7503" s="473"/>
      <c r="F7503" s="473"/>
      <c r="G7503" s="473"/>
      <c r="H7503" s="473"/>
      <c r="I7503" s="473"/>
      <c r="J7503" s="473"/>
      <c r="K7503" s="478"/>
      <c r="L7503" s="473"/>
      <c r="M7503" s="473"/>
    </row>
    <row r="7504" spans="5:13">
      <c r="E7504" s="473"/>
      <c r="F7504" s="473"/>
      <c r="G7504" s="473"/>
      <c r="H7504" s="473"/>
      <c r="I7504" s="473"/>
      <c r="J7504" s="473"/>
      <c r="K7504" s="478"/>
      <c r="L7504" s="473"/>
      <c r="M7504" s="473"/>
    </row>
    <row r="7505" spans="5:13">
      <c r="E7505" s="473"/>
      <c r="F7505" s="473"/>
      <c r="G7505" s="473"/>
      <c r="H7505" s="473"/>
      <c r="I7505" s="473"/>
      <c r="J7505" s="473"/>
      <c r="K7505" s="478"/>
      <c r="L7505" s="473"/>
      <c r="M7505" s="473"/>
    </row>
    <row r="7506" spans="5:13">
      <c r="E7506" s="473"/>
      <c r="F7506" s="473"/>
      <c r="G7506" s="473"/>
      <c r="H7506" s="473"/>
      <c r="I7506" s="473"/>
      <c r="J7506" s="473"/>
      <c r="K7506" s="478"/>
      <c r="L7506" s="473"/>
      <c r="M7506" s="473"/>
    </row>
    <row r="7507" spans="5:13">
      <c r="E7507" s="473"/>
      <c r="F7507" s="473"/>
      <c r="G7507" s="473"/>
      <c r="H7507" s="473"/>
      <c r="I7507" s="473"/>
      <c r="J7507" s="473"/>
      <c r="K7507" s="478"/>
      <c r="L7507" s="473"/>
      <c r="M7507" s="473"/>
    </row>
    <row r="7508" spans="5:13">
      <c r="E7508" s="473"/>
      <c r="F7508" s="473"/>
      <c r="G7508" s="473"/>
      <c r="H7508" s="473"/>
      <c r="I7508" s="473"/>
      <c r="J7508" s="473"/>
      <c r="K7508" s="478"/>
      <c r="L7508" s="473"/>
      <c r="M7508" s="473"/>
    </row>
    <row r="7509" spans="5:13">
      <c r="E7509" s="473"/>
      <c r="F7509" s="473"/>
      <c r="G7509" s="473"/>
      <c r="H7509" s="473"/>
      <c r="I7509" s="473"/>
      <c r="J7509" s="473"/>
      <c r="K7509" s="478"/>
      <c r="L7509" s="473"/>
      <c r="M7509" s="473"/>
    </row>
    <row r="7510" spans="5:13">
      <c r="E7510" s="473"/>
      <c r="F7510" s="473"/>
      <c r="G7510" s="473"/>
      <c r="H7510" s="473"/>
      <c r="I7510" s="473"/>
      <c r="J7510" s="473"/>
      <c r="K7510" s="478"/>
      <c r="L7510" s="473"/>
      <c r="M7510" s="473"/>
    </row>
    <row r="7511" spans="5:13">
      <c r="E7511" s="473"/>
      <c r="F7511" s="473"/>
      <c r="G7511" s="473"/>
      <c r="H7511" s="473"/>
      <c r="I7511" s="473"/>
      <c r="J7511" s="473"/>
      <c r="K7511" s="478"/>
      <c r="L7511" s="473"/>
      <c r="M7511" s="473"/>
    </row>
    <row r="7512" spans="5:13">
      <c r="E7512" s="473"/>
      <c r="F7512" s="473"/>
      <c r="G7512" s="473"/>
      <c r="H7512" s="473"/>
      <c r="I7512" s="473"/>
      <c r="J7512" s="473"/>
      <c r="K7512" s="478"/>
      <c r="L7512" s="473"/>
      <c r="M7512" s="473"/>
    </row>
    <row r="7513" spans="5:13">
      <c r="E7513" s="473"/>
      <c r="F7513" s="473"/>
      <c r="G7513" s="473"/>
      <c r="H7513" s="473"/>
      <c r="I7513" s="473"/>
      <c r="J7513" s="473"/>
      <c r="K7513" s="478"/>
      <c r="L7513" s="473"/>
      <c r="M7513" s="473"/>
    </row>
    <row r="7514" spans="5:13">
      <c r="E7514" s="473"/>
      <c r="F7514" s="473"/>
      <c r="G7514" s="473"/>
      <c r="H7514" s="473"/>
      <c r="I7514" s="473"/>
      <c r="J7514" s="473"/>
      <c r="K7514" s="478"/>
      <c r="L7514" s="473"/>
      <c r="M7514" s="473"/>
    </row>
    <row r="7515" spans="5:13">
      <c r="E7515" s="473"/>
      <c r="F7515" s="473"/>
      <c r="G7515" s="473"/>
      <c r="H7515" s="473"/>
      <c r="I7515" s="473"/>
      <c r="J7515" s="473"/>
      <c r="K7515" s="478"/>
      <c r="L7515" s="473"/>
      <c r="M7515" s="473"/>
    </row>
    <row r="7516" spans="5:13">
      <c r="E7516" s="473"/>
      <c r="F7516" s="473"/>
      <c r="G7516" s="473"/>
      <c r="H7516" s="473"/>
      <c r="I7516" s="473"/>
      <c r="J7516" s="473"/>
      <c r="K7516" s="478"/>
      <c r="L7516" s="473"/>
      <c r="M7516" s="473"/>
    </row>
    <row r="7517" spans="5:13">
      <c r="E7517" s="473"/>
      <c r="F7517" s="473"/>
      <c r="G7517" s="473"/>
      <c r="H7517" s="473"/>
      <c r="I7517" s="473"/>
      <c r="J7517" s="473"/>
      <c r="K7517" s="478"/>
      <c r="L7517" s="473"/>
      <c r="M7517" s="473"/>
    </row>
    <row r="7518" spans="5:13">
      <c r="E7518" s="473"/>
      <c r="F7518" s="473"/>
      <c r="G7518" s="473"/>
      <c r="H7518" s="473"/>
      <c r="I7518" s="473"/>
      <c r="J7518" s="473"/>
      <c r="K7518" s="478"/>
      <c r="L7518" s="473"/>
      <c r="M7518" s="473"/>
    </row>
    <row r="7519" spans="5:13">
      <c r="E7519" s="473"/>
      <c r="F7519" s="473"/>
      <c r="G7519" s="473"/>
      <c r="H7519" s="473"/>
      <c r="I7519" s="473"/>
      <c r="J7519" s="473"/>
      <c r="K7519" s="478"/>
      <c r="L7519" s="473"/>
      <c r="M7519" s="473"/>
    </row>
    <row r="7520" spans="5:13">
      <c r="E7520" s="473"/>
      <c r="F7520" s="473"/>
      <c r="G7520" s="473"/>
      <c r="H7520" s="473"/>
      <c r="I7520" s="473"/>
      <c r="J7520" s="473"/>
      <c r="K7520" s="478"/>
      <c r="L7520" s="473"/>
      <c r="M7520" s="473"/>
    </row>
    <row r="7521" spans="5:13">
      <c r="E7521" s="473"/>
      <c r="F7521" s="473"/>
      <c r="G7521" s="473"/>
      <c r="H7521" s="473"/>
      <c r="I7521" s="473"/>
      <c r="J7521" s="473"/>
      <c r="K7521" s="478"/>
      <c r="L7521" s="473"/>
      <c r="M7521" s="473"/>
    </row>
    <row r="7522" spans="5:13">
      <c r="E7522" s="473"/>
      <c r="F7522" s="473"/>
      <c r="G7522" s="473"/>
      <c r="H7522" s="473"/>
      <c r="I7522" s="473"/>
      <c r="J7522" s="473"/>
      <c r="K7522" s="478"/>
      <c r="L7522" s="473"/>
      <c r="M7522" s="473"/>
    </row>
    <row r="7523" spans="5:13">
      <c r="E7523" s="473"/>
      <c r="F7523" s="473"/>
      <c r="G7523" s="473"/>
      <c r="H7523" s="473"/>
      <c r="I7523" s="473"/>
      <c r="J7523" s="473"/>
      <c r="K7523" s="478"/>
      <c r="L7523" s="473"/>
      <c r="M7523" s="473"/>
    </row>
    <row r="7524" spans="5:13">
      <c r="E7524" s="473"/>
      <c r="F7524" s="473"/>
      <c r="G7524" s="473"/>
      <c r="H7524" s="473"/>
      <c r="I7524" s="473"/>
      <c r="J7524" s="473"/>
      <c r="K7524" s="478"/>
      <c r="L7524" s="473"/>
      <c r="M7524" s="473"/>
    </row>
    <row r="7525" spans="5:13">
      <c r="E7525" s="473"/>
      <c r="F7525" s="473"/>
      <c r="G7525" s="473"/>
      <c r="H7525" s="473"/>
      <c r="I7525" s="473"/>
      <c r="J7525" s="473"/>
      <c r="K7525" s="478"/>
      <c r="L7525" s="473"/>
      <c r="M7525" s="473"/>
    </row>
    <row r="7526" spans="5:13">
      <c r="E7526" s="473"/>
      <c r="F7526" s="473"/>
      <c r="G7526" s="473"/>
      <c r="H7526" s="473"/>
      <c r="I7526" s="473"/>
      <c r="J7526" s="473"/>
      <c r="K7526" s="478"/>
      <c r="L7526" s="473"/>
      <c r="M7526" s="473"/>
    </row>
    <row r="7527" spans="5:13">
      <c r="E7527" s="473"/>
      <c r="F7527" s="473"/>
      <c r="G7527" s="473"/>
      <c r="H7527" s="473"/>
      <c r="I7527" s="473"/>
      <c r="J7527" s="473"/>
      <c r="K7527" s="478"/>
      <c r="L7527" s="473"/>
      <c r="M7527" s="473"/>
    </row>
    <row r="7528" spans="5:13">
      <c r="E7528" s="473"/>
      <c r="F7528" s="473"/>
      <c r="G7528" s="473"/>
      <c r="H7528" s="473"/>
      <c r="I7528" s="473"/>
      <c r="J7528" s="473"/>
      <c r="K7528" s="478"/>
      <c r="L7528" s="473"/>
      <c r="M7528" s="473"/>
    </row>
    <row r="7529" spans="5:13">
      <c r="E7529" s="473"/>
      <c r="F7529" s="473"/>
      <c r="G7529" s="473"/>
      <c r="H7529" s="473"/>
      <c r="I7529" s="473"/>
      <c r="J7529" s="473"/>
      <c r="K7529" s="478"/>
      <c r="L7529" s="473"/>
      <c r="M7529" s="473"/>
    </row>
    <row r="7530" spans="5:13">
      <c r="E7530" s="473"/>
      <c r="F7530" s="473"/>
      <c r="G7530" s="473"/>
      <c r="H7530" s="473"/>
      <c r="I7530" s="473"/>
      <c r="J7530" s="473"/>
      <c r="K7530" s="478"/>
      <c r="L7530" s="473"/>
      <c r="M7530" s="473"/>
    </row>
    <row r="7531" spans="5:13">
      <c r="E7531" s="473"/>
      <c r="F7531" s="473"/>
      <c r="G7531" s="473"/>
      <c r="H7531" s="473"/>
      <c r="I7531" s="473"/>
      <c r="J7531" s="473"/>
      <c r="K7531" s="478"/>
      <c r="L7531" s="473"/>
      <c r="M7531" s="473"/>
    </row>
    <row r="7532" spans="5:13">
      <c r="E7532" s="473"/>
      <c r="F7532" s="473"/>
      <c r="G7532" s="473"/>
      <c r="H7532" s="473"/>
      <c r="I7532" s="473"/>
      <c r="J7532" s="473"/>
      <c r="K7532" s="478"/>
      <c r="L7532" s="473"/>
      <c r="M7532" s="473"/>
    </row>
    <row r="7533" spans="5:13">
      <c r="E7533" s="473"/>
      <c r="F7533" s="473"/>
      <c r="G7533" s="473"/>
      <c r="H7533" s="473"/>
      <c r="I7533" s="473"/>
      <c r="J7533" s="473"/>
      <c r="K7533" s="478"/>
      <c r="L7533" s="473"/>
      <c r="M7533" s="473"/>
    </row>
    <row r="7534" spans="5:13">
      <c r="E7534" s="473"/>
      <c r="F7534" s="473"/>
      <c r="G7534" s="473"/>
      <c r="H7534" s="473"/>
      <c r="I7534" s="473"/>
      <c r="J7534" s="473"/>
      <c r="K7534" s="478"/>
      <c r="L7534" s="473"/>
      <c r="M7534" s="473"/>
    </row>
    <row r="7535" spans="5:13">
      <c r="E7535" s="473"/>
      <c r="F7535" s="473"/>
      <c r="G7535" s="473"/>
      <c r="H7535" s="473"/>
      <c r="I7535" s="473"/>
      <c r="J7535" s="473"/>
      <c r="K7535" s="478"/>
      <c r="L7535" s="473"/>
      <c r="M7535" s="473"/>
    </row>
    <row r="7536" spans="5:13">
      <c r="E7536" s="473"/>
      <c r="F7536" s="473"/>
      <c r="G7536" s="473"/>
      <c r="H7536" s="473"/>
      <c r="I7536" s="473"/>
      <c r="J7536" s="473"/>
      <c r="K7536" s="478"/>
      <c r="L7536" s="473"/>
      <c r="M7536" s="473"/>
    </row>
    <row r="7537" spans="5:13">
      <c r="E7537" s="473"/>
      <c r="F7537" s="473"/>
      <c r="G7537" s="473"/>
      <c r="H7537" s="473"/>
      <c r="I7537" s="473"/>
      <c r="J7537" s="473"/>
      <c r="K7537" s="478"/>
      <c r="L7537" s="473"/>
      <c r="M7537" s="473"/>
    </row>
    <row r="7538" spans="5:13">
      <c r="E7538" s="473"/>
      <c r="F7538" s="473"/>
      <c r="G7538" s="473"/>
      <c r="H7538" s="473"/>
      <c r="I7538" s="473"/>
      <c r="J7538" s="473"/>
      <c r="K7538" s="478"/>
      <c r="L7538" s="473"/>
      <c r="M7538" s="473"/>
    </row>
    <row r="7539" spans="5:13">
      <c r="E7539" s="473"/>
      <c r="F7539" s="473"/>
      <c r="G7539" s="473"/>
      <c r="H7539" s="473"/>
      <c r="I7539" s="473"/>
      <c r="J7539" s="473"/>
      <c r="K7539" s="478"/>
      <c r="L7539" s="473"/>
      <c r="M7539" s="473"/>
    </row>
    <row r="7540" spans="5:13">
      <c r="E7540" s="473"/>
      <c r="F7540" s="473"/>
      <c r="G7540" s="473"/>
      <c r="H7540" s="473"/>
      <c r="I7540" s="473"/>
      <c r="J7540" s="473"/>
      <c r="K7540" s="478"/>
      <c r="L7540" s="473"/>
      <c r="M7540" s="473"/>
    </row>
    <row r="7541" spans="5:13">
      <c r="E7541" s="473"/>
      <c r="F7541" s="473"/>
      <c r="G7541" s="473"/>
      <c r="H7541" s="473"/>
      <c r="I7541" s="473"/>
      <c r="J7541" s="473"/>
      <c r="K7541" s="478"/>
      <c r="L7541" s="473"/>
      <c r="M7541" s="473"/>
    </row>
    <row r="7542" spans="5:13">
      <c r="E7542" s="473"/>
      <c r="F7542" s="473"/>
      <c r="G7542" s="473"/>
      <c r="H7542" s="473"/>
      <c r="I7542" s="473"/>
      <c r="J7542" s="473"/>
      <c r="K7542" s="478"/>
      <c r="L7542" s="473"/>
      <c r="M7542" s="473"/>
    </row>
    <row r="7543" spans="5:13">
      <c r="E7543" s="473"/>
      <c r="F7543" s="473"/>
      <c r="G7543" s="473"/>
      <c r="H7543" s="473"/>
      <c r="I7543" s="473"/>
      <c r="J7543" s="473"/>
      <c r="K7543" s="478"/>
      <c r="L7543" s="473"/>
      <c r="M7543" s="473"/>
    </row>
    <row r="7544" spans="5:13">
      <c r="E7544" s="473"/>
      <c r="F7544" s="473"/>
      <c r="G7544" s="473"/>
      <c r="H7544" s="473"/>
      <c r="I7544" s="473"/>
      <c r="J7544" s="473"/>
      <c r="K7544" s="478"/>
      <c r="L7544" s="473"/>
      <c r="M7544" s="473"/>
    </row>
    <row r="7545" spans="5:13">
      <c r="E7545" s="473"/>
      <c r="F7545" s="473"/>
      <c r="G7545" s="473"/>
      <c r="H7545" s="473"/>
      <c r="I7545" s="473"/>
      <c r="J7545" s="473"/>
      <c r="K7545" s="478"/>
      <c r="L7545" s="473"/>
      <c r="M7545" s="473"/>
    </row>
    <row r="7546" spans="5:13">
      <c r="E7546" s="473"/>
      <c r="F7546" s="473"/>
      <c r="G7546" s="473"/>
      <c r="H7546" s="473"/>
      <c r="I7546" s="473"/>
      <c r="J7546" s="473"/>
      <c r="K7546" s="478"/>
      <c r="L7546" s="473"/>
      <c r="M7546" s="473"/>
    </row>
    <row r="7547" spans="5:13">
      <c r="E7547" s="473"/>
      <c r="F7547" s="473"/>
      <c r="G7547" s="473"/>
      <c r="H7547" s="473"/>
      <c r="I7547" s="473"/>
      <c r="J7547" s="473"/>
      <c r="K7547" s="478"/>
      <c r="L7547" s="473"/>
      <c r="M7547" s="473"/>
    </row>
    <row r="7548" spans="5:13">
      <c r="E7548" s="473"/>
      <c r="F7548" s="473"/>
      <c r="G7548" s="473"/>
      <c r="H7548" s="473"/>
      <c r="I7548" s="473"/>
      <c r="J7548" s="473"/>
      <c r="K7548" s="478"/>
      <c r="L7548" s="473"/>
      <c r="M7548" s="473"/>
    </row>
    <row r="7549" spans="5:13">
      <c r="E7549" s="473"/>
      <c r="F7549" s="473"/>
      <c r="G7549" s="473"/>
      <c r="H7549" s="473"/>
      <c r="I7549" s="473"/>
      <c r="J7549" s="473"/>
      <c r="K7549" s="478"/>
      <c r="L7549" s="473"/>
      <c r="M7549" s="473"/>
    </row>
    <row r="7550" spans="5:13">
      <c r="E7550" s="473"/>
      <c r="F7550" s="473"/>
      <c r="G7550" s="473"/>
      <c r="H7550" s="473"/>
      <c r="I7550" s="473"/>
      <c r="J7550" s="473"/>
      <c r="K7550" s="478"/>
      <c r="L7550" s="473"/>
      <c r="M7550" s="473"/>
    </row>
    <row r="7551" spans="5:13">
      <c r="E7551" s="473"/>
      <c r="F7551" s="473"/>
      <c r="G7551" s="473"/>
      <c r="H7551" s="473"/>
      <c r="I7551" s="473"/>
      <c r="J7551" s="473"/>
      <c r="K7551" s="478"/>
      <c r="L7551" s="473"/>
      <c r="M7551" s="473"/>
    </row>
    <row r="7552" spans="5:13">
      <c r="E7552" s="473"/>
      <c r="F7552" s="473"/>
      <c r="G7552" s="473"/>
      <c r="H7552" s="473"/>
      <c r="I7552" s="473"/>
      <c r="J7552" s="473"/>
      <c r="K7552" s="478"/>
      <c r="L7552" s="473"/>
      <c r="M7552" s="473"/>
    </row>
    <row r="7553" spans="5:13">
      <c r="E7553" s="473"/>
      <c r="F7553" s="473"/>
      <c r="G7553" s="473"/>
      <c r="H7553" s="473"/>
      <c r="I7553" s="473"/>
      <c r="J7553" s="473"/>
      <c r="K7553" s="478"/>
      <c r="L7553" s="473"/>
      <c r="M7553" s="473"/>
    </row>
    <row r="7554" spans="5:13">
      <c r="E7554" s="473"/>
      <c r="F7554" s="473"/>
      <c r="G7554" s="473"/>
      <c r="H7554" s="473"/>
      <c r="I7554" s="473"/>
      <c r="J7554" s="473"/>
      <c r="K7554" s="478"/>
      <c r="L7554" s="473"/>
      <c r="M7554" s="473"/>
    </row>
    <row r="7555" spans="5:13">
      <c r="E7555" s="473"/>
      <c r="F7555" s="473"/>
      <c r="G7555" s="473"/>
      <c r="H7555" s="473"/>
      <c r="I7555" s="473"/>
      <c r="J7555" s="473"/>
      <c r="K7555" s="478"/>
      <c r="L7555" s="473"/>
      <c r="M7555" s="473"/>
    </row>
    <row r="7556" spans="5:13">
      <c r="E7556" s="473"/>
      <c r="F7556" s="473"/>
      <c r="G7556" s="473"/>
      <c r="H7556" s="473"/>
      <c r="I7556" s="473"/>
      <c r="J7556" s="473"/>
      <c r="K7556" s="478"/>
      <c r="L7556" s="473"/>
      <c r="M7556" s="473"/>
    </row>
    <row r="7557" spans="5:13">
      <c r="E7557" s="473"/>
      <c r="F7557" s="473"/>
      <c r="G7557" s="473"/>
      <c r="H7557" s="473"/>
      <c r="I7557" s="473"/>
      <c r="J7557" s="473"/>
      <c r="K7557" s="478"/>
      <c r="L7557" s="473"/>
      <c r="M7557" s="473"/>
    </row>
    <row r="7558" spans="5:13">
      <c r="E7558" s="473"/>
      <c r="F7558" s="473"/>
      <c r="G7558" s="473"/>
      <c r="H7558" s="473"/>
      <c r="I7558" s="473"/>
      <c r="J7558" s="473"/>
      <c r="K7558" s="478"/>
      <c r="L7558" s="473"/>
      <c r="M7558" s="473"/>
    </row>
    <row r="7559" spans="5:13">
      <c r="E7559" s="473"/>
      <c r="F7559" s="473"/>
      <c r="G7559" s="473"/>
      <c r="H7559" s="473"/>
      <c r="I7559" s="473"/>
      <c r="J7559" s="473"/>
      <c r="K7559" s="478"/>
      <c r="L7559" s="473"/>
      <c r="M7559" s="473"/>
    </row>
    <row r="7560" spans="5:13">
      <c r="E7560" s="473"/>
      <c r="F7560" s="473"/>
      <c r="G7560" s="473"/>
      <c r="H7560" s="473"/>
      <c r="I7560" s="473"/>
      <c r="J7560" s="473"/>
      <c r="K7560" s="478"/>
      <c r="L7560" s="473"/>
      <c r="M7560" s="473"/>
    </row>
    <row r="7561" spans="5:13">
      <c r="E7561" s="473"/>
      <c r="F7561" s="473"/>
      <c r="G7561" s="473"/>
      <c r="H7561" s="473"/>
      <c r="I7561" s="473"/>
      <c r="J7561" s="473"/>
      <c r="K7561" s="478"/>
      <c r="L7561" s="473"/>
      <c r="M7561" s="473"/>
    </row>
    <row r="7562" spans="5:13">
      <c r="E7562" s="473"/>
      <c r="F7562" s="473"/>
      <c r="G7562" s="473"/>
      <c r="H7562" s="473"/>
      <c r="I7562" s="473"/>
      <c r="J7562" s="473"/>
      <c r="K7562" s="478"/>
      <c r="L7562" s="473"/>
      <c r="M7562" s="473"/>
    </row>
    <row r="7563" spans="5:13">
      <c r="E7563" s="473"/>
      <c r="F7563" s="473"/>
      <c r="G7563" s="473"/>
      <c r="H7563" s="473"/>
      <c r="I7563" s="473"/>
      <c r="J7563" s="473"/>
      <c r="K7563" s="478"/>
      <c r="L7563" s="473"/>
      <c r="M7563" s="473"/>
    </row>
    <row r="7564" spans="5:13">
      <c r="E7564" s="473"/>
      <c r="F7564" s="473"/>
      <c r="G7564" s="473"/>
      <c r="H7564" s="473"/>
      <c r="I7564" s="473"/>
      <c r="J7564" s="473"/>
      <c r="K7564" s="478"/>
      <c r="L7564" s="473"/>
      <c r="M7564" s="473"/>
    </row>
    <row r="7565" spans="5:13">
      <c r="E7565" s="473"/>
      <c r="F7565" s="473"/>
      <c r="G7565" s="473"/>
      <c r="H7565" s="473"/>
      <c r="I7565" s="473"/>
      <c r="J7565" s="473"/>
      <c r="K7565" s="478"/>
      <c r="L7565" s="473"/>
      <c r="M7565" s="473"/>
    </row>
    <row r="7566" spans="5:13">
      <c r="E7566" s="473"/>
      <c r="F7566" s="473"/>
      <c r="G7566" s="473"/>
      <c r="H7566" s="473"/>
      <c r="I7566" s="473"/>
      <c r="J7566" s="473"/>
      <c r="K7566" s="478"/>
      <c r="L7566" s="473"/>
      <c r="M7566" s="473"/>
    </row>
    <row r="7567" spans="5:13">
      <c r="E7567" s="473"/>
      <c r="F7567" s="473"/>
      <c r="G7567" s="473"/>
      <c r="H7567" s="473"/>
      <c r="I7567" s="473"/>
      <c r="J7567" s="473"/>
      <c r="K7567" s="478"/>
      <c r="L7567" s="473"/>
      <c r="M7567" s="473"/>
    </row>
    <row r="7568" spans="5:13">
      <c r="E7568" s="473"/>
      <c r="F7568" s="473"/>
      <c r="G7568" s="473"/>
      <c r="H7568" s="473"/>
      <c r="I7568" s="473"/>
      <c r="J7568" s="473"/>
      <c r="K7568" s="478"/>
      <c r="L7568" s="473"/>
      <c r="M7568" s="473"/>
    </row>
    <row r="7569" spans="5:13">
      <c r="E7569" s="473"/>
      <c r="F7569" s="473"/>
      <c r="G7569" s="473"/>
      <c r="H7569" s="473"/>
      <c r="I7569" s="473"/>
      <c r="J7569" s="473"/>
      <c r="K7569" s="478"/>
      <c r="L7569" s="473"/>
      <c r="M7569" s="473"/>
    </row>
    <row r="7570" spans="5:13">
      <c r="E7570" s="473"/>
      <c r="F7570" s="473"/>
      <c r="G7570" s="473"/>
      <c r="H7570" s="473"/>
      <c r="I7570" s="473"/>
      <c r="J7570" s="473"/>
      <c r="K7570" s="478"/>
      <c r="L7570" s="473"/>
      <c r="M7570" s="473"/>
    </row>
    <row r="7571" spans="5:13">
      <c r="E7571" s="473"/>
      <c r="F7571" s="473"/>
      <c r="G7571" s="473"/>
      <c r="H7571" s="473"/>
      <c r="I7571" s="473"/>
      <c r="J7571" s="473"/>
      <c r="K7571" s="478"/>
      <c r="L7571" s="473"/>
      <c r="M7571" s="473"/>
    </row>
    <row r="7572" spans="5:13">
      <c r="E7572" s="473"/>
      <c r="F7572" s="473"/>
      <c r="G7572" s="473"/>
      <c r="H7572" s="473"/>
      <c r="I7572" s="473"/>
      <c r="J7572" s="473"/>
      <c r="K7572" s="478"/>
      <c r="L7572" s="473"/>
      <c r="M7572" s="473"/>
    </row>
    <row r="7573" spans="5:13">
      <c r="E7573" s="473"/>
      <c r="F7573" s="473"/>
      <c r="G7573" s="473"/>
      <c r="H7573" s="473"/>
      <c r="I7573" s="473"/>
      <c r="J7573" s="473"/>
      <c r="K7573" s="478"/>
      <c r="L7573" s="473"/>
      <c r="M7573" s="473"/>
    </row>
    <row r="7574" spans="5:13">
      <c r="E7574" s="473"/>
      <c r="F7574" s="473"/>
      <c r="G7574" s="473"/>
      <c r="H7574" s="473"/>
      <c r="I7574" s="473"/>
      <c r="J7574" s="473"/>
      <c r="K7574" s="478"/>
      <c r="L7574" s="473"/>
      <c r="M7574" s="473"/>
    </row>
    <row r="7575" spans="5:13">
      <c r="E7575" s="473"/>
      <c r="F7575" s="473"/>
      <c r="G7575" s="473"/>
      <c r="H7575" s="473"/>
      <c r="I7575" s="473"/>
      <c r="J7575" s="473"/>
      <c r="K7575" s="478"/>
      <c r="L7575" s="473"/>
      <c r="M7575" s="473"/>
    </row>
    <row r="7576" spans="5:13">
      <c r="E7576" s="473"/>
      <c r="F7576" s="473"/>
      <c r="G7576" s="473"/>
      <c r="H7576" s="473"/>
      <c r="I7576" s="473"/>
      <c r="J7576" s="473"/>
      <c r="K7576" s="478"/>
      <c r="L7576" s="473"/>
      <c r="M7576" s="473"/>
    </row>
    <row r="7577" spans="5:13">
      <c r="E7577" s="473"/>
      <c r="F7577" s="473"/>
      <c r="G7577" s="473"/>
      <c r="H7577" s="473"/>
      <c r="I7577" s="473"/>
      <c r="J7577" s="473"/>
      <c r="K7577" s="478"/>
      <c r="L7577" s="473"/>
      <c r="M7577" s="473"/>
    </row>
    <row r="7578" spans="5:13">
      <c r="E7578" s="473"/>
      <c r="F7578" s="473"/>
      <c r="G7578" s="473"/>
      <c r="H7578" s="473"/>
      <c r="I7578" s="473"/>
      <c r="J7578" s="473"/>
      <c r="K7578" s="478"/>
      <c r="L7578" s="473"/>
      <c r="M7578" s="473"/>
    </row>
    <row r="7579" spans="5:13">
      <c r="E7579" s="473"/>
      <c r="F7579" s="473"/>
      <c r="G7579" s="473"/>
      <c r="H7579" s="473"/>
      <c r="I7579" s="473"/>
      <c r="J7579" s="473"/>
      <c r="K7579" s="478"/>
      <c r="L7579" s="473"/>
      <c r="M7579" s="473"/>
    </row>
    <row r="7580" spans="5:13">
      <c r="E7580" s="473"/>
      <c r="F7580" s="473"/>
      <c r="G7580" s="473"/>
      <c r="H7580" s="473"/>
      <c r="I7580" s="473"/>
      <c r="J7580" s="473"/>
      <c r="K7580" s="478"/>
      <c r="L7580" s="473"/>
      <c r="M7580" s="473"/>
    </row>
    <row r="7581" spans="5:13">
      <c r="E7581" s="473"/>
      <c r="F7581" s="473"/>
      <c r="G7581" s="473"/>
      <c r="H7581" s="473"/>
      <c r="I7581" s="473"/>
      <c r="J7581" s="473"/>
      <c r="K7581" s="478"/>
      <c r="L7581" s="473"/>
      <c r="M7581" s="473"/>
    </row>
    <row r="7582" spans="5:13">
      <c r="E7582" s="473"/>
      <c r="F7582" s="473"/>
      <c r="G7582" s="473"/>
      <c r="H7582" s="473"/>
      <c r="I7582" s="473"/>
      <c r="J7582" s="473"/>
      <c r="K7582" s="478"/>
      <c r="L7582" s="473"/>
      <c r="M7582" s="473"/>
    </row>
    <row r="7583" spans="5:13">
      <c r="E7583" s="473"/>
      <c r="F7583" s="473"/>
      <c r="G7583" s="473"/>
      <c r="H7583" s="473"/>
      <c r="I7583" s="473"/>
      <c r="J7583" s="473"/>
      <c r="K7583" s="478"/>
      <c r="L7583" s="473"/>
      <c r="M7583" s="473"/>
    </row>
    <row r="7584" spans="5:13">
      <c r="E7584" s="473"/>
      <c r="F7584" s="473"/>
      <c r="G7584" s="473"/>
      <c r="H7584" s="473"/>
      <c r="I7584" s="473"/>
      <c r="J7584" s="473"/>
      <c r="K7584" s="478"/>
      <c r="L7584" s="473"/>
      <c r="M7584" s="473"/>
    </row>
    <row r="7585" spans="5:13">
      <c r="E7585" s="473"/>
      <c r="F7585" s="473"/>
      <c r="G7585" s="473"/>
      <c r="H7585" s="473"/>
      <c r="I7585" s="473"/>
      <c r="J7585" s="473"/>
      <c r="K7585" s="478"/>
      <c r="L7585" s="473"/>
      <c r="M7585" s="473"/>
    </row>
    <row r="7586" spans="5:13">
      <c r="E7586" s="473"/>
      <c r="F7586" s="473"/>
      <c r="G7586" s="473"/>
      <c r="H7586" s="473"/>
      <c r="I7586" s="473"/>
      <c r="J7586" s="473"/>
      <c r="K7586" s="478"/>
      <c r="L7586" s="473"/>
      <c r="M7586" s="473"/>
    </row>
    <row r="7587" spans="5:13">
      <c r="E7587" s="473"/>
      <c r="F7587" s="473"/>
      <c r="G7587" s="473"/>
      <c r="H7587" s="473"/>
      <c r="I7587" s="473"/>
      <c r="J7587" s="473"/>
      <c r="K7587" s="478"/>
      <c r="L7587" s="473"/>
      <c r="M7587" s="473"/>
    </row>
    <row r="7588" spans="5:13">
      <c r="E7588" s="473"/>
      <c r="F7588" s="473"/>
      <c r="G7588" s="473"/>
      <c r="H7588" s="473"/>
      <c r="I7588" s="473"/>
      <c r="J7588" s="473"/>
      <c r="K7588" s="478"/>
      <c r="L7588" s="473"/>
      <c r="M7588" s="473"/>
    </row>
    <row r="7589" spans="5:13">
      <c r="E7589" s="473"/>
      <c r="F7589" s="473"/>
      <c r="G7589" s="473"/>
      <c r="H7589" s="473"/>
      <c r="I7589" s="473"/>
      <c r="J7589" s="473"/>
      <c r="K7589" s="478"/>
      <c r="L7589" s="473"/>
      <c r="M7589" s="473"/>
    </row>
    <row r="7590" spans="5:13">
      <c r="E7590" s="473"/>
      <c r="F7590" s="473"/>
      <c r="G7590" s="473"/>
      <c r="H7590" s="473"/>
      <c r="I7590" s="473"/>
      <c r="J7590" s="473"/>
      <c r="K7590" s="478"/>
      <c r="L7590" s="473"/>
      <c r="M7590" s="473"/>
    </row>
    <row r="7591" spans="5:13">
      <c r="E7591" s="473"/>
      <c r="F7591" s="473"/>
      <c r="G7591" s="473"/>
      <c r="H7591" s="473"/>
      <c r="I7591" s="473"/>
      <c r="J7591" s="473"/>
      <c r="K7591" s="478"/>
      <c r="L7591" s="473"/>
      <c r="M7591" s="473"/>
    </row>
    <row r="7592" spans="5:13">
      <c r="E7592" s="473"/>
      <c r="F7592" s="473"/>
      <c r="G7592" s="473"/>
      <c r="H7592" s="473"/>
      <c r="I7592" s="473"/>
      <c r="J7592" s="473"/>
      <c r="K7592" s="478"/>
      <c r="L7592" s="473"/>
      <c r="M7592" s="473"/>
    </row>
    <row r="7593" spans="5:13">
      <c r="E7593" s="473"/>
      <c r="F7593" s="473"/>
      <c r="G7593" s="473"/>
      <c r="H7593" s="473"/>
      <c r="I7593" s="473"/>
      <c r="J7593" s="473"/>
      <c r="K7593" s="478"/>
      <c r="L7593" s="473"/>
      <c r="M7593" s="473"/>
    </row>
    <row r="7594" spans="5:13">
      <c r="E7594" s="473"/>
      <c r="F7594" s="473"/>
      <c r="G7594" s="473"/>
      <c r="H7594" s="473"/>
      <c r="I7594" s="473"/>
      <c r="J7594" s="473"/>
      <c r="K7594" s="478"/>
      <c r="L7594" s="473"/>
      <c r="M7594" s="473"/>
    </row>
    <row r="7595" spans="5:13">
      <c r="E7595" s="473"/>
      <c r="F7595" s="473"/>
      <c r="G7595" s="473"/>
      <c r="H7595" s="473"/>
      <c r="I7595" s="473"/>
      <c r="J7595" s="473"/>
      <c r="K7595" s="478"/>
      <c r="L7595" s="473"/>
      <c r="M7595" s="473"/>
    </row>
    <row r="7596" spans="5:13">
      <c r="E7596" s="473"/>
      <c r="F7596" s="473"/>
      <c r="G7596" s="473"/>
      <c r="H7596" s="473"/>
      <c r="I7596" s="473"/>
      <c r="J7596" s="473"/>
      <c r="K7596" s="478"/>
      <c r="L7596" s="473"/>
      <c r="M7596" s="473"/>
    </row>
    <row r="7597" spans="5:13">
      <c r="E7597" s="473"/>
      <c r="F7597" s="473"/>
      <c r="G7597" s="473"/>
      <c r="H7597" s="473"/>
      <c r="I7597" s="473"/>
      <c r="J7597" s="473"/>
      <c r="K7597" s="478"/>
      <c r="L7597" s="473"/>
      <c r="M7597" s="473"/>
    </row>
    <row r="7598" spans="5:13">
      <c r="E7598" s="473"/>
      <c r="F7598" s="473"/>
      <c r="G7598" s="473"/>
      <c r="H7598" s="473"/>
      <c r="I7598" s="473"/>
      <c r="J7598" s="473"/>
      <c r="K7598" s="478"/>
      <c r="L7598" s="473"/>
      <c r="M7598" s="473"/>
    </row>
    <row r="7599" spans="5:13">
      <c r="E7599" s="473"/>
      <c r="F7599" s="473"/>
      <c r="G7599" s="473"/>
      <c r="H7599" s="473"/>
      <c r="I7599" s="473"/>
      <c r="J7599" s="473"/>
      <c r="K7599" s="478"/>
      <c r="L7599" s="473"/>
      <c r="M7599" s="473"/>
    </row>
    <row r="7600" spans="5:13">
      <c r="E7600" s="473"/>
      <c r="F7600" s="473"/>
      <c r="G7600" s="473"/>
      <c r="H7600" s="473"/>
      <c r="I7600" s="473"/>
      <c r="J7600" s="473"/>
      <c r="K7600" s="478"/>
      <c r="L7600" s="473"/>
      <c r="M7600" s="473"/>
    </row>
    <row r="7601" spans="5:13">
      <c r="E7601" s="473"/>
      <c r="F7601" s="473"/>
      <c r="G7601" s="473"/>
      <c r="H7601" s="473"/>
      <c r="I7601" s="473"/>
      <c r="J7601" s="473"/>
      <c r="K7601" s="478"/>
      <c r="L7601" s="473"/>
      <c r="M7601" s="473"/>
    </row>
    <row r="7602" spans="5:13">
      <c r="E7602" s="473"/>
      <c r="F7602" s="473"/>
      <c r="G7602" s="473"/>
      <c r="H7602" s="473"/>
      <c r="I7602" s="473"/>
      <c r="J7602" s="473"/>
      <c r="K7602" s="478"/>
      <c r="L7602" s="473"/>
      <c r="M7602" s="473"/>
    </row>
    <row r="7603" spans="5:13">
      <c r="E7603" s="473"/>
      <c r="F7603" s="473"/>
      <c r="G7603" s="473"/>
      <c r="H7603" s="473"/>
      <c r="I7603" s="473"/>
      <c r="J7603" s="473"/>
      <c r="K7603" s="478"/>
      <c r="L7603" s="473"/>
      <c r="M7603" s="473"/>
    </row>
    <row r="7604" spans="5:13">
      <c r="E7604" s="473"/>
      <c r="F7604" s="473"/>
      <c r="G7604" s="473"/>
      <c r="H7604" s="473"/>
      <c r="I7604" s="473"/>
      <c r="J7604" s="473"/>
      <c r="K7604" s="478"/>
      <c r="L7604" s="473"/>
      <c r="M7604" s="473"/>
    </row>
    <row r="7605" spans="5:13">
      <c r="E7605" s="473"/>
      <c r="F7605" s="473"/>
      <c r="G7605" s="473"/>
      <c r="H7605" s="473"/>
      <c r="I7605" s="473"/>
      <c r="J7605" s="473"/>
      <c r="K7605" s="478"/>
      <c r="L7605" s="473"/>
      <c r="M7605" s="473"/>
    </row>
    <row r="7606" spans="5:13">
      <c r="E7606" s="473"/>
      <c r="F7606" s="473"/>
      <c r="G7606" s="473"/>
      <c r="H7606" s="473"/>
      <c r="I7606" s="473"/>
      <c r="J7606" s="473"/>
      <c r="K7606" s="478"/>
      <c r="L7606" s="473"/>
      <c r="M7606" s="473"/>
    </row>
    <row r="7607" spans="5:13">
      <c r="E7607" s="473"/>
      <c r="F7607" s="473"/>
      <c r="G7607" s="473"/>
      <c r="H7607" s="473"/>
      <c r="I7607" s="473"/>
      <c r="J7607" s="473"/>
      <c r="K7607" s="478"/>
      <c r="L7607" s="473"/>
      <c r="M7607" s="473"/>
    </row>
    <row r="7608" spans="5:13">
      <c r="E7608" s="473"/>
      <c r="F7608" s="473"/>
      <c r="G7608" s="473"/>
      <c r="H7608" s="473"/>
      <c r="I7608" s="473"/>
      <c r="J7608" s="473"/>
      <c r="K7608" s="478"/>
      <c r="L7608" s="473"/>
      <c r="M7608" s="473"/>
    </row>
    <row r="7609" spans="5:13">
      <c r="E7609" s="473"/>
      <c r="F7609" s="473"/>
      <c r="G7609" s="473"/>
      <c r="H7609" s="473"/>
      <c r="I7609" s="473"/>
      <c r="J7609" s="473"/>
      <c r="K7609" s="478"/>
      <c r="L7609" s="473"/>
      <c r="M7609" s="473"/>
    </row>
    <row r="7610" spans="5:13">
      <c r="E7610" s="473"/>
      <c r="F7610" s="473"/>
      <c r="G7610" s="473"/>
      <c r="H7610" s="473"/>
      <c r="I7610" s="473"/>
      <c r="J7610" s="473"/>
      <c r="K7610" s="478"/>
      <c r="L7610" s="473"/>
      <c r="M7610" s="473"/>
    </row>
    <row r="7611" spans="5:13">
      <c r="E7611" s="473"/>
      <c r="F7611" s="473"/>
      <c r="G7611" s="473"/>
      <c r="H7611" s="473"/>
      <c r="I7611" s="473"/>
      <c r="J7611" s="473"/>
      <c r="K7611" s="478"/>
      <c r="L7611" s="473"/>
      <c r="M7611" s="473"/>
    </row>
    <row r="7612" spans="5:13">
      <c r="E7612" s="473"/>
      <c r="F7612" s="473"/>
      <c r="G7612" s="473"/>
      <c r="H7612" s="473"/>
      <c r="I7612" s="473"/>
      <c r="J7612" s="473"/>
      <c r="K7612" s="478"/>
      <c r="L7612" s="473"/>
      <c r="M7612" s="473"/>
    </row>
    <row r="7613" spans="5:13">
      <c r="E7613" s="473"/>
      <c r="F7613" s="473"/>
      <c r="G7613" s="473"/>
      <c r="H7613" s="473"/>
      <c r="I7613" s="473"/>
      <c r="J7613" s="473"/>
      <c r="K7613" s="478"/>
      <c r="L7613" s="473"/>
      <c r="M7613" s="473"/>
    </row>
    <row r="7614" spans="5:13">
      <c r="E7614" s="473"/>
      <c r="F7614" s="473"/>
      <c r="G7614" s="473"/>
      <c r="H7614" s="473"/>
      <c r="I7614" s="473"/>
      <c r="J7614" s="473"/>
      <c r="K7614" s="478"/>
      <c r="L7614" s="473"/>
      <c r="M7614" s="473"/>
    </row>
    <row r="7615" spans="5:13">
      <c r="E7615" s="473"/>
      <c r="F7615" s="473"/>
      <c r="G7615" s="473"/>
      <c r="H7615" s="473"/>
      <c r="I7615" s="473"/>
      <c r="J7615" s="473"/>
      <c r="K7615" s="478"/>
      <c r="L7615" s="473"/>
      <c r="M7615" s="473"/>
    </row>
    <row r="7616" spans="5:13">
      <c r="E7616" s="473"/>
      <c r="F7616" s="473"/>
      <c r="G7616" s="473"/>
      <c r="H7616" s="473"/>
      <c r="I7616" s="473"/>
      <c r="J7616" s="473"/>
      <c r="K7616" s="478"/>
      <c r="L7616" s="473"/>
      <c r="M7616" s="473"/>
    </row>
    <row r="7617" spans="5:13">
      <c r="E7617" s="473"/>
      <c r="F7617" s="473"/>
      <c r="G7617" s="473"/>
      <c r="H7617" s="473"/>
      <c r="I7617" s="473"/>
      <c r="J7617" s="473"/>
      <c r="K7617" s="478"/>
      <c r="L7617" s="473"/>
      <c r="M7617" s="473"/>
    </row>
    <row r="7618" spans="5:13">
      <c r="E7618" s="473"/>
      <c r="F7618" s="473"/>
      <c r="G7618" s="473"/>
      <c r="H7618" s="473"/>
      <c r="I7618" s="473"/>
      <c r="J7618" s="473"/>
      <c r="K7618" s="478"/>
      <c r="L7618" s="473"/>
      <c r="M7618" s="473"/>
    </row>
    <row r="7619" spans="5:13">
      <c r="E7619" s="473"/>
      <c r="F7619" s="473"/>
      <c r="G7619" s="473"/>
      <c r="H7619" s="473"/>
      <c r="I7619" s="473"/>
      <c r="J7619" s="473"/>
      <c r="K7619" s="478"/>
      <c r="L7619" s="473"/>
      <c r="M7619" s="473"/>
    </row>
    <row r="7620" spans="5:13">
      <c r="E7620" s="473"/>
      <c r="F7620" s="473"/>
      <c r="G7620" s="473"/>
      <c r="H7620" s="473"/>
      <c r="I7620" s="473"/>
      <c r="J7620" s="473"/>
      <c r="K7620" s="478"/>
      <c r="L7620" s="473"/>
      <c r="M7620" s="473"/>
    </row>
    <row r="7621" spans="5:13">
      <c r="E7621" s="473"/>
      <c r="F7621" s="473"/>
      <c r="G7621" s="473"/>
      <c r="H7621" s="473"/>
      <c r="I7621" s="473"/>
      <c r="J7621" s="473"/>
      <c r="K7621" s="478"/>
      <c r="L7621" s="473"/>
      <c r="M7621" s="473"/>
    </row>
    <row r="7622" spans="5:13">
      <c r="E7622" s="473"/>
      <c r="F7622" s="473"/>
      <c r="G7622" s="473"/>
      <c r="H7622" s="473"/>
      <c r="I7622" s="473"/>
      <c r="J7622" s="473"/>
      <c r="K7622" s="478"/>
      <c r="L7622" s="473"/>
      <c r="M7622" s="473"/>
    </row>
    <row r="7623" spans="5:13">
      <c r="E7623" s="473"/>
      <c r="F7623" s="473"/>
      <c r="G7623" s="473"/>
      <c r="H7623" s="473"/>
      <c r="I7623" s="473"/>
      <c r="J7623" s="473"/>
      <c r="K7623" s="478"/>
      <c r="L7623" s="473"/>
      <c r="M7623" s="473"/>
    </row>
    <row r="7624" spans="5:13">
      <c r="E7624" s="473"/>
      <c r="F7624" s="473"/>
      <c r="G7624" s="473"/>
      <c r="H7624" s="473"/>
      <c r="I7624" s="473"/>
      <c r="J7624" s="473"/>
      <c r="K7624" s="478"/>
      <c r="L7624" s="473"/>
      <c r="M7624" s="473"/>
    </row>
    <row r="7625" spans="5:13">
      <c r="E7625" s="473"/>
      <c r="F7625" s="473"/>
      <c r="G7625" s="473"/>
      <c r="H7625" s="473"/>
      <c r="I7625" s="473"/>
      <c r="J7625" s="473"/>
      <c r="K7625" s="478"/>
      <c r="L7625" s="473"/>
      <c r="M7625" s="473"/>
    </row>
    <row r="7626" spans="5:13">
      <c r="E7626" s="473"/>
      <c r="F7626" s="473"/>
      <c r="G7626" s="473"/>
      <c r="H7626" s="473"/>
      <c r="I7626" s="473"/>
      <c r="J7626" s="473"/>
      <c r="K7626" s="478"/>
      <c r="L7626" s="473"/>
      <c r="M7626" s="473"/>
    </row>
    <row r="7627" spans="5:13">
      <c r="E7627" s="473"/>
      <c r="F7627" s="473"/>
      <c r="G7627" s="473"/>
      <c r="H7627" s="473"/>
      <c r="I7627" s="473"/>
      <c r="J7627" s="473"/>
      <c r="K7627" s="478"/>
      <c r="L7627" s="473"/>
      <c r="M7627" s="473"/>
    </row>
    <row r="7628" spans="5:13">
      <c r="E7628" s="473"/>
      <c r="F7628" s="473"/>
      <c r="G7628" s="473"/>
      <c r="H7628" s="473"/>
      <c r="I7628" s="473"/>
      <c r="J7628" s="473"/>
      <c r="K7628" s="478"/>
      <c r="L7628" s="473"/>
      <c r="M7628" s="473"/>
    </row>
    <row r="7629" spans="5:13">
      <c r="E7629" s="473"/>
      <c r="F7629" s="473"/>
      <c r="G7629" s="473"/>
      <c r="H7629" s="473"/>
      <c r="I7629" s="473"/>
      <c r="J7629" s="473"/>
      <c r="K7629" s="478"/>
      <c r="L7629" s="473"/>
      <c r="M7629" s="473"/>
    </row>
    <row r="7630" spans="5:13">
      <c r="E7630" s="473"/>
      <c r="F7630" s="473"/>
      <c r="G7630" s="473"/>
      <c r="H7630" s="473"/>
      <c r="I7630" s="473"/>
      <c r="J7630" s="473"/>
      <c r="K7630" s="478"/>
      <c r="L7630" s="473"/>
      <c r="M7630" s="473"/>
    </row>
    <row r="7631" spans="5:13">
      <c r="E7631" s="473"/>
      <c r="F7631" s="473"/>
      <c r="G7631" s="473"/>
      <c r="H7631" s="473"/>
      <c r="I7631" s="473"/>
      <c r="J7631" s="473"/>
      <c r="K7631" s="478"/>
      <c r="L7631" s="473"/>
      <c r="M7631" s="473"/>
    </row>
    <row r="7632" spans="5:13">
      <c r="E7632" s="473"/>
      <c r="F7632" s="473"/>
      <c r="G7632" s="473"/>
      <c r="H7632" s="473"/>
      <c r="I7632" s="473"/>
      <c r="J7632" s="473"/>
      <c r="K7632" s="478"/>
      <c r="L7632" s="473"/>
      <c r="M7632" s="473"/>
    </row>
    <row r="7633" spans="5:13">
      <c r="E7633" s="473"/>
      <c r="F7633" s="473"/>
      <c r="G7633" s="473"/>
      <c r="H7633" s="473"/>
      <c r="I7633" s="473"/>
      <c r="J7633" s="473"/>
      <c r="K7633" s="478"/>
      <c r="L7633" s="473"/>
      <c r="M7633" s="473"/>
    </row>
    <row r="7634" spans="5:13">
      <c r="E7634" s="473"/>
      <c r="F7634" s="473"/>
      <c r="G7634" s="473"/>
      <c r="H7634" s="473"/>
      <c r="I7634" s="473"/>
      <c r="J7634" s="473"/>
      <c r="K7634" s="478"/>
      <c r="L7634" s="473"/>
      <c r="M7634" s="473"/>
    </row>
    <row r="7635" spans="5:13">
      <c r="E7635" s="473"/>
      <c r="F7635" s="473"/>
      <c r="G7635" s="473"/>
      <c r="H7635" s="473"/>
      <c r="I7635" s="473"/>
      <c r="J7635" s="473"/>
      <c r="K7635" s="478"/>
      <c r="L7635" s="473"/>
      <c r="M7635" s="473"/>
    </row>
    <row r="7636" spans="5:13">
      <c r="E7636" s="473"/>
      <c r="F7636" s="473"/>
      <c r="G7636" s="473"/>
      <c r="H7636" s="473"/>
      <c r="I7636" s="473"/>
      <c r="J7636" s="473"/>
      <c r="K7636" s="478"/>
      <c r="L7636" s="473"/>
      <c r="M7636" s="473"/>
    </row>
    <row r="7637" spans="5:13">
      <c r="E7637" s="473"/>
      <c r="F7637" s="473"/>
      <c r="G7637" s="473"/>
      <c r="H7637" s="473"/>
      <c r="I7637" s="473"/>
      <c r="J7637" s="473"/>
      <c r="K7637" s="478"/>
      <c r="L7637" s="473"/>
      <c r="M7637" s="473"/>
    </row>
    <row r="7638" spans="5:13">
      <c r="E7638" s="473"/>
      <c r="F7638" s="473"/>
      <c r="G7638" s="473"/>
      <c r="H7638" s="473"/>
      <c r="I7638" s="473"/>
      <c r="J7638" s="473"/>
      <c r="K7638" s="478"/>
      <c r="L7638" s="473"/>
      <c r="M7638" s="473"/>
    </row>
    <row r="7639" spans="5:13">
      <c r="E7639" s="473"/>
      <c r="F7639" s="473"/>
      <c r="G7639" s="473"/>
      <c r="H7639" s="473"/>
      <c r="I7639" s="473"/>
      <c r="J7639" s="473"/>
      <c r="K7639" s="478"/>
      <c r="L7639" s="473"/>
      <c r="M7639" s="473"/>
    </row>
    <row r="7640" spans="5:13">
      <c r="E7640" s="473"/>
      <c r="F7640" s="473"/>
      <c r="G7640" s="473"/>
      <c r="H7640" s="473"/>
      <c r="I7640" s="473"/>
      <c r="J7640" s="473"/>
      <c r="K7640" s="478"/>
      <c r="L7640" s="473"/>
      <c r="M7640" s="473"/>
    </row>
    <row r="7641" spans="5:13">
      <c r="E7641" s="473"/>
      <c r="F7641" s="473"/>
      <c r="G7641" s="473"/>
      <c r="H7641" s="473"/>
      <c r="I7641" s="473"/>
      <c r="J7641" s="473"/>
      <c r="K7641" s="478"/>
      <c r="L7641" s="473"/>
      <c r="M7641" s="473"/>
    </row>
    <row r="7642" spans="5:13">
      <c r="E7642" s="473"/>
      <c r="F7642" s="473"/>
      <c r="G7642" s="473"/>
      <c r="H7642" s="473"/>
      <c r="I7642" s="473"/>
      <c r="J7642" s="473"/>
      <c r="K7642" s="478"/>
      <c r="L7642" s="473"/>
      <c r="M7642" s="473"/>
    </row>
    <row r="7643" spans="5:13">
      <c r="E7643" s="473"/>
      <c r="F7643" s="473"/>
      <c r="G7643" s="473"/>
      <c r="H7643" s="473"/>
      <c r="I7643" s="473"/>
      <c r="J7643" s="473"/>
      <c r="K7643" s="478"/>
      <c r="L7643" s="473"/>
      <c r="M7643" s="473"/>
    </row>
    <row r="7644" spans="5:13">
      <c r="E7644" s="473"/>
      <c r="F7644" s="473"/>
      <c r="G7644" s="473"/>
      <c r="H7644" s="473"/>
      <c r="I7644" s="473"/>
      <c r="J7644" s="473"/>
      <c r="K7644" s="478"/>
      <c r="L7644" s="473"/>
      <c r="M7644" s="473"/>
    </row>
    <row r="7645" spans="5:13">
      <c r="E7645" s="473"/>
      <c r="F7645" s="473"/>
      <c r="G7645" s="473"/>
      <c r="H7645" s="473"/>
      <c r="I7645" s="473"/>
      <c r="J7645" s="473"/>
      <c r="K7645" s="478"/>
      <c r="L7645" s="473"/>
      <c r="M7645" s="473"/>
    </row>
    <row r="7646" spans="5:13">
      <c r="E7646" s="473"/>
      <c r="F7646" s="473"/>
      <c r="G7646" s="473"/>
      <c r="H7646" s="473"/>
      <c r="I7646" s="473"/>
      <c r="J7646" s="473"/>
      <c r="K7646" s="478"/>
      <c r="L7646" s="473"/>
      <c r="M7646" s="473"/>
    </row>
    <row r="7647" spans="5:13">
      <c r="E7647" s="473"/>
      <c r="F7647" s="473"/>
      <c r="G7647" s="473"/>
      <c r="H7647" s="473"/>
      <c r="I7647" s="473"/>
      <c r="J7647" s="473"/>
      <c r="K7647" s="478"/>
      <c r="L7647" s="473"/>
      <c r="M7647" s="473"/>
    </row>
    <row r="7648" spans="5:13">
      <c r="E7648" s="473"/>
      <c r="F7648" s="473"/>
      <c r="G7648" s="473"/>
      <c r="H7648" s="473"/>
      <c r="I7648" s="473"/>
      <c r="J7648" s="473"/>
      <c r="K7648" s="478"/>
      <c r="L7648" s="473"/>
      <c r="M7648" s="473"/>
    </row>
    <row r="7649" spans="5:13">
      <c r="E7649" s="473"/>
      <c r="F7649" s="473"/>
      <c r="G7649" s="473"/>
      <c r="H7649" s="473"/>
      <c r="I7649" s="473"/>
      <c r="J7649" s="473"/>
      <c r="K7649" s="478"/>
      <c r="L7649" s="473"/>
      <c r="M7649" s="473"/>
    </row>
    <row r="7650" spans="5:13">
      <c r="E7650" s="473"/>
      <c r="F7650" s="473"/>
      <c r="G7650" s="473"/>
      <c r="H7650" s="473"/>
      <c r="I7650" s="473"/>
      <c r="J7650" s="473"/>
      <c r="K7650" s="478"/>
      <c r="L7650" s="473"/>
      <c r="M7650" s="473"/>
    </row>
    <row r="7651" spans="5:13">
      <c r="E7651" s="473"/>
      <c r="F7651" s="473"/>
      <c r="G7651" s="473"/>
      <c r="H7651" s="473"/>
      <c r="I7651" s="473"/>
      <c r="J7651" s="473"/>
      <c r="K7651" s="478"/>
      <c r="L7651" s="473"/>
      <c r="M7651" s="473"/>
    </row>
    <row r="7652" spans="5:13">
      <c r="E7652" s="473"/>
      <c r="F7652" s="473"/>
      <c r="G7652" s="473"/>
      <c r="H7652" s="473"/>
      <c r="I7652" s="473"/>
      <c r="J7652" s="473"/>
      <c r="K7652" s="478"/>
      <c r="L7652" s="473"/>
      <c r="M7652" s="473"/>
    </row>
    <row r="7653" spans="5:13">
      <c r="E7653" s="473"/>
      <c r="F7653" s="473"/>
      <c r="G7653" s="473"/>
      <c r="H7653" s="473"/>
      <c r="I7653" s="473"/>
      <c r="J7653" s="473"/>
      <c r="K7653" s="478"/>
      <c r="L7653" s="473"/>
      <c r="M7653" s="473"/>
    </row>
    <row r="7654" spans="5:13">
      <c r="E7654" s="473"/>
      <c r="F7654" s="473"/>
      <c r="G7654" s="473"/>
      <c r="H7654" s="473"/>
      <c r="I7654" s="473"/>
      <c r="J7654" s="473"/>
      <c r="K7654" s="478"/>
      <c r="L7654" s="473"/>
      <c r="M7654" s="473"/>
    </row>
    <row r="7655" spans="5:13">
      <c r="E7655" s="473"/>
      <c r="F7655" s="473"/>
      <c r="G7655" s="473"/>
      <c r="H7655" s="473"/>
      <c r="I7655" s="473"/>
      <c r="J7655" s="473"/>
      <c r="K7655" s="478"/>
      <c r="L7655" s="473"/>
      <c r="M7655" s="473"/>
    </row>
    <row r="7656" spans="5:13">
      <c r="E7656" s="473"/>
      <c r="F7656" s="473"/>
      <c r="G7656" s="473"/>
      <c r="H7656" s="473"/>
      <c r="I7656" s="473"/>
      <c r="J7656" s="473"/>
      <c r="K7656" s="478"/>
      <c r="L7656" s="473"/>
      <c r="M7656" s="473"/>
    </row>
    <row r="7657" spans="5:13">
      <c r="E7657" s="473"/>
      <c r="F7657" s="473"/>
      <c r="G7657" s="473"/>
      <c r="H7657" s="473"/>
      <c r="I7657" s="473"/>
      <c r="J7657" s="473"/>
      <c r="K7657" s="478"/>
      <c r="L7657" s="473"/>
      <c r="M7657" s="473"/>
    </row>
    <row r="7658" spans="5:13">
      <c r="E7658" s="473"/>
      <c r="F7658" s="473"/>
      <c r="G7658" s="473"/>
      <c r="H7658" s="473"/>
      <c r="I7658" s="473"/>
      <c r="J7658" s="473"/>
      <c r="K7658" s="478"/>
      <c r="L7658" s="473"/>
      <c r="M7658" s="473"/>
    </row>
    <row r="7659" spans="5:13">
      <c r="E7659" s="473"/>
      <c r="F7659" s="473"/>
      <c r="G7659" s="473"/>
      <c r="H7659" s="473"/>
      <c r="I7659" s="473"/>
      <c r="J7659" s="473"/>
      <c r="K7659" s="478"/>
      <c r="L7659" s="473"/>
      <c r="M7659" s="473"/>
    </row>
    <row r="7660" spans="5:13">
      <c r="E7660" s="473"/>
      <c r="F7660" s="473"/>
      <c r="G7660" s="473"/>
      <c r="H7660" s="473"/>
      <c r="I7660" s="473"/>
      <c r="J7660" s="473"/>
      <c r="K7660" s="478"/>
      <c r="L7660" s="473"/>
      <c r="M7660" s="473"/>
    </row>
    <row r="7661" spans="5:13">
      <c r="E7661" s="473"/>
      <c r="F7661" s="473"/>
      <c r="G7661" s="473"/>
      <c r="H7661" s="473"/>
      <c r="I7661" s="473"/>
      <c r="J7661" s="473"/>
      <c r="K7661" s="478"/>
      <c r="L7661" s="473"/>
      <c r="M7661" s="473"/>
    </row>
    <row r="7662" spans="5:13">
      <c r="E7662" s="473"/>
      <c r="F7662" s="473"/>
      <c r="G7662" s="473"/>
      <c r="H7662" s="473"/>
      <c r="I7662" s="473"/>
      <c r="J7662" s="473"/>
      <c r="K7662" s="478"/>
      <c r="L7662" s="473"/>
      <c r="M7662" s="473"/>
    </row>
    <row r="7663" spans="5:13">
      <c r="E7663" s="473"/>
      <c r="F7663" s="473"/>
      <c r="G7663" s="473"/>
      <c r="H7663" s="473"/>
      <c r="I7663" s="473"/>
      <c r="J7663" s="473"/>
      <c r="K7663" s="478"/>
      <c r="L7663" s="473"/>
      <c r="M7663" s="473"/>
    </row>
    <row r="7664" spans="5:13">
      <c r="E7664" s="473"/>
      <c r="F7664" s="473"/>
      <c r="G7664" s="473"/>
      <c r="H7664" s="473"/>
      <c r="I7664" s="473"/>
      <c r="J7664" s="473"/>
      <c r="K7664" s="478"/>
      <c r="L7664" s="473"/>
      <c r="M7664" s="473"/>
    </row>
    <row r="7665" spans="5:13">
      <c r="E7665" s="473"/>
      <c r="F7665" s="473"/>
      <c r="G7665" s="473"/>
      <c r="H7665" s="473"/>
      <c r="I7665" s="473"/>
      <c r="J7665" s="473"/>
      <c r="K7665" s="478"/>
      <c r="L7665" s="473"/>
      <c r="M7665" s="473"/>
    </row>
    <row r="7666" spans="5:13">
      <c r="E7666" s="473"/>
      <c r="F7666" s="473"/>
      <c r="G7666" s="473"/>
      <c r="H7666" s="473"/>
      <c r="I7666" s="473"/>
      <c r="J7666" s="473"/>
      <c r="K7666" s="478"/>
      <c r="L7666" s="473"/>
      <c r="M7666" s="473"/>
    </row>
    <row r="7667" spans="5:13">
      <c r="E7667" s="473"/>
      <c r="F7667" s="473"/>
      <c r="G7667" s="473"/>
      <c r="H7667" s="473"/>
      <c r="I7667" s="473"/>
      <c r="J7667" s="473"/>
      <c r="K7667" s="478"/>
      <c r="L7667" s="473"/>
      <c r="M7667" s="473"/>
    </row>
    <row r="7668" spans="5:13">
      <c r="E7668" s="473"/>
      <c r="F7668" s="473"/>
      <c r="G7668" s="473"/>
      <c r="H7668" s="473"/>
      <c r="I7668" s="473"/>
      <c r="J7668" s="473"/>
      <c r="K7668" s="478"/>
      <c r="L7668" s="473"/>
      <c r="M7668" s="473"/>
    </row>
    <row r="7669" spans="5:13">
      <c r="E7669" s="473"/>
      <c r="F7669" s="473"/>
      <c r="G7669" s="473"/>
      <c r="H7669" s="473"/>
      <c r="I7669" s="473"/>
      <c r="J7669" s="473"/>
      <c r="K7669" s="478"/>
      <c r="L7669" s="473"/>
      <c r="M7669" s="473"/>
    </row>
    <row r="7670" spans="5:13">
      <c r="E7670" s="473"/>
      <c r="F7670" s="473"/>
      <c r="G7670" s="473"/>
      <c r="H7670" s="473"/>
      <c r="I7670" s="473"/>
      <c r="J7670" s="473"/>
      <c r="K7670" s="478"/>
      <c r="L7670" s="473"/>
      <c r="M7670" s="473"/>
    </row>
    <row r="7671" spans="5:13">
      <c r="E7671" s="473"/>
      <c r="F7671" s="473"/>
      <c r="G7671" s="473"/>
      <c r="H7671" s="473"/>
      <c r="I7671" s="473"/>
      <c r="J7671" s="473"/>
      <c r="K7671" s="478"/>
      <c r="L7671" s="473"/>
      <c r="M7671" s="473"/>
    </row>
    <row r="7672" spans="5:13">
      <c r="E7672" s="473"/>
      <c r="F7672" s="473"/>
      <c r="G7672" s="473"/>
      <c r="H7672" s="473"/>
      <c r="I7672" s="473"/>
      <c r="J7672" s="473"/>
      <c r="K7672" s="478"/>
      <c r="L7672" s="473"/>
      <c r="M7672" s="473"/>
    </row>
    <row r="7673" spans="5:13">
      <c r="E7673" s="473"/>
      <c r="F7673" s="473"/>
      <c r="G7673" s="473"/>
      <c r="H7673" s="473"/>
      <c r="I7673" s="473"/>
      <c r="J7673" s="473"/>
      <c r="K7673" s="478"/>
      <c r="L7673" s="473"/>
      <c r="M7673" s="473"/>
    </row>
    <row r="7674" spans="5:13">
      <c r="E7674" s="473"/>
      <c r="F7674" s="473"/>
      <c r="G7674" s="473"/>
      <c r="H7674" s="473"/>
      <c r="I7674" s="473"/>
      <c r="J7674" s="473"/>
      <c r="K7674" s="478"/>
      <c r="L7674" s="473"/>
      <c r="M7674" s="473"/>
    </row>
    <row r="7675" spans="5:13">
      <c r="E7675" s="473"/>
      <c r="F7675" s="473"/>
      <c r="G7675" s="473"/>
      <c r="H7675" s="473"/>
      <c r="I7675" s="473"/>
      <c r="J7675" s="473"/>
      <c r="K7675" s="478"/>
      <c r="L7675" s="473"/>
      <c r="M7675" s="473"/>
    </row>
    <row r="7676" spans="5:13">
      <c r="E7676" s="473"/>
      <c r="F7676" s="473"/>
      <c r="G7676" s="473"/>
      <c r="H7676" s="473"/>
      <c r="I7676" s="473"/>
      <c r="J7676" s="473"/>
      <c r="K7676" s="478"/>
      <c r="L7676" s="473"/>
      <c r="M7676" s="473"/>
    </row>
    <row r="7677" spans="5:13">
      <c r="E7677" s="473"/>
      <c r="F7677" s="473"/>
      <c r="G7677" s="473"/>
      <c r="H7677" s="473"/>
      <c r="I7677" s="473"/>
      <c r="J7677" s="473"/>
      <c r="K7677" s="478"/>
      <c r="L7677" s="473"/>
      <c r="M7677" s="473"/>
    </row>
    <row r="7678" spans="5:13">
      <c r="E7678" s="473"/>
      <c r="F7678" s="473"/>
      <c r="G7678" s="473"/>
      <c r="H7678" s="473"/>
      <c r="I7678" s="473"/>
      <c r="J7678" s="473"/>
      <c r="K7678" s="478"/>
      <c r="L7678" s="473"/>
      <c r="M7678" s="473"/>
    </row>
    <row r="7679" spans="5:13">
      <c r="E7679" s="473"/>
      <c r="F7679" s="473"/>
      <c r="G7679" s="473"/>
      <c r="H7679" s="473"/>
      <c r="I7679" s="473"/>
      <c r="J7679" s="473"/>
      <c r="K7679" s="478"/>
      <c r="L7679" s="473"/>
      <c r="M7679" s="473"/>
    </row>
    <row r="7680" spans="5:13">
      <c r="E7680" s="473"/>
      <c r="F7680" s="473"/>
      <c r="G7680" s="473"/>
      <c r="H7680" s="473"/>
      <c r="I7680" s="473"/>
      <c r="J7680" s="473"/>
      <c r="K7680" s="478"/>
      <c r="L7680" s="473"/>
      <c r="M7680" s="473"/>
    </row>
    <row r="7681" spans="5:13">
      <c r="E7681" s="473"/>
      <c r="F7681" s="473"/>
      <c r="G7681" s="473"/>
      <c r="H7681" s="473"/>
      <c r="I7681" s="473"/>
      <c r="J7681" s="473"/>
      <c r="K7681" s="478"/>
      <c r="L7681" s="473"/>
      <c r="M7681" s="473"/>
    </row>
    <row r="7682" spans="5:13">
      <c r="E7682" s="473"/>
      <c r="F7682" s="473"/>
      <c r="G7682" s="473"/>
      <c r="H7682" s="473"/>
      <c r="I7682" s="473"/>
      <c r="J7682" s="473"/>
      <c r="K7682" s="478"/>
      <c r="L7682" s="473"/>
      <c r="M7682" s="473"/>
    </row>
    <row r="7683" spans="5:13">
      <c r="E7683" s="473"/>
      <c r="F7683" s="473"/>
      <c r="G7683" s="473"/>
      <c r="H7683" s="473"/>
      <c r="I7683" s="473"/>
      <c r="J7683" s="473"/>
      <c r="K7683" s="478"/>
      <c r="L7683" s="473"/>
      <c r="M7683" s="473"/>
    </row>
    <row r="7684" spans="5:13">
      <c r="E7684" s="473"/>
      <c r="F7684" s="473"/>
      <c r="G7684" s="473"/>
      <c r="H7684" s="473"/>
      <c r="I7684" s="473"/>
      <c r="J7684" s="473"/>
      <c r="K7684" s="478"/>
      <c r="L7684" s="473"/>
      <c r="M7684" s="473"/>
    </row>
    <row r="7685" spans="5:13">
      <c r="E7685" s="473"/>
      <c r="F7685" s="473"/>
      <c r="G7685" s="473"/>
      <c r="H7685" s="473"/>
      <c r="I7685" s="473"/>
      <c r="J7685" s="473"/>
      <c r="K7685" s="478"/>
      <c r="L7685" s="473"/>
      <c r="M7685" s="473"/>
    </row>
    <row r="7686" spans="5:13">
      <c r="E7686" s="473"/>
      <c r="F7686" s="473"/>
      <c r="G7686" s="473"/>
      <c r="H7686" s="473"/>
      <c r="I7686" s="473"/>
      <c r="J7686" s="473"/>
      <c r="K7686" s="478"/>
      <c r="L7686" s="473"/>
      <c r="M7686" s="473"/>
    </row>
    <row r="7687" spans="5:13">
      <c r="E7687" s="473"/>
      <c r="F7687" s="473"/>
      <c r="G7687" s="473"/>
      <c r="H7687" s="473"/>
      <c r="I7687" s="473"/>
      <c r="J7687" s="473"/>
      <c r="K7687" s="478"/>
      <c r="L7687" s="473"/>
      <c r="M7687" s="473"/>
    </row>
    <row r="7688" spans="5:13">
      <c r="E7688" s="473"/>
      <c r="F7688" s="473"/>
      <c r="G7688" s="473"/>
      <c r="H7688" s="473"/>
      <c r="I7688" s="473"/>
      <c r="J7688" s="473"/>
      <c r="K7688" s="478"/>
      <c r="L7688" s="473"/>
      <c r="M7688" s="473"/>
    </row>
    <row r="7689" spans="5:13">
      <c r="E7689" s="473"/>
      <c r="F7689" s="473"/>
      <c r="G7689" s="473"/>
      <c r="H7689" s="473"/>
      <c r="I7689" s="473"/>
      <c r="J7689" s="473"/>
      <c r="K7689" s="478"/>
      <c r="L7689" s="473"/>
      <c r="M7689" s="473"/>
    </row>
    <row r="7690" spans="5:13">
      <c r="E7690" s="473"/>
      <c r="F7690" s="473"/>
      <c r="G7690" s="473"/>
      <c r="H7690" s="473"/>
      <c r="I7690" s="473"/>
      <c r="J7690" s="473"/>
      <c r="K7690" s="478"/>
      <c r="L7690" s="473"/>
      <c r="M7690" s="473"/>
    </row>
    <row r="7691" spans="5:13">
      <c r="E7691" s="473"/>
      <c r="F7691" s="473"/>
      <c r="G7691" s="473"/>
      <c r="H7691" s="473"/>
      <c r="I7691" s="473"/>
      <c r="J7691" s="473"/>
      <c r="K7691" s="478"/>
      <c r="L7691" s="473"/>
      <c r="M7691" s="473"/>
    </row>
    <row r="7692" spans="5:13">
      <c r="E7692" s="473"/>
      <c r="F7692" s="473"/>
      <c r="G7692" s="473"/>
      <c r="H7692" s="473"/>
      <c r="I7692" s="473"/>
      <c r="J7692" s="473"/>
      <c r="K7692" s="478"/>
      <c r="L7692" s="473"/>
      <c r="M7692" s="473"/>
    </row>
    <row r="7693" spans="5:13">
      <c r="E7693" s="473"/>
      <c r="F7693" s="473"/>
      <c r="G7693" s="473"/>
      <c r="H7693" s="473"/>
      <c r="I7693" s="473"/>
      <c r="J7693" s="473"/>
      <c r="K7693" s="478"/>
      <c r="L7693" s="473"/>
      <c r="M7693" s="473"/>
    </row>
    <row r="7694" spans="5:13">
      <c r="E7694" s="473"/>
      <c r="F7694" s="473"/>
      <c r="G7694" s="473"/>
      <c r="H7694" s="473"/>
      <c r="I7694" s="473"/>
      <c r="J7694" s="473"/>
      <c r="K7694" s="478"/>
      <c r="L7694" s="473"/>
      <c r="M7694" s="473"/>
    </row>
    <row r="7695" spans="5:13">
      <c r="E7695" s="473"/>
      <c r="F7695" s="473"/>
      <c r="G7695" s="473"/>
      <c r="H7695" s="473"/>
      <c r="I7695" s="473"/>
      <c r="J7695" s="473"/>
      <c r="K7695" s="478"/>
      <c r="L7695" s="473"/>
      <c r="M7695" s="473"/>
    </row>
    <row r="7696" spans="5:13">
      <c r="E7696" s="473"/>
      <c r="F7696" s="473"/>
      <c r="G7696" s="473"/>
      <c r="H7696" s="473"/>
      <c r="I7696" s="473"/>
      <c r="J7696" s="473"/>
      <c r="K7696" s="478"/>
      <c r="L7696" s="473"/>
      <c r="M7696" s="473"/>
    </row>
    <row r="7697" spans="5:13">
      <c r="E7697" s="473"/>
      <c r="F7697" s="473"/>
      <c r="G7697" s="473"/>
      <c r="H7697" s="473"/>
      <c r="I7697" s="473"/>
      <c r="J7697" s="473"/>
      <c r="K7697" s="478"/>
      <c r="L7697" s="473"/>
      <c r="M7697" s="473"/>
    </row>
    <row r="7698" spans="5:13">
      <c r="E7698" s="473"/>
      <c r="F7698" s="473"/>
      <c r="G7698" s="473"/>
      <c r="H7698" s="473"/>
      <c r="I7698" s="473"/>
      <c r="J7698" s="473"/>
      <c r="K7698" s="478"/>
      <c r="L7698" s="473"/>
      <c r="M7698" s="473"/>
    </row>
    <row r="7699" spans="5:13">
      <c r="E7699" s="473"/>
      <c r="F7699" s="473"/>
      <c r="G7699" s="473"/>
      <c r="H7699" s="473"/>
      <c r="I7699" s="473"/>
      <c r="J7699" s="473"/>
      <c r="K7699" s="478"/>
      <c r="L7699" s="473"/>
      <c r="M7699" s="473"/>
    </row>
    <row r="7700" spans="5:13">
      <c r="E7700" s="473"/>
      <c r="F7700" s="473"/>
      <c r="G7700" s="473"/>
      <c r="H7700" s="473"/>
      <c r="I7700" s="473"/>
      <c r="J7700" s="473"/>
      <c r="K7700" s="478"/>
      <c r="L7700" s="473"/>
      <c r="M7700" s="473"/>
    </row>
    <row r="7701" spans="5:13">
      <c r="E7701" s="473"/>
      <c r="F7701" s="473"/>
      <c r="G7701" s="473"/>
      <c r="H7701" s="473"/>
      <c r="I7701" s="473"/>
      <c r="J7701" s="473"/>
      <c r="K7701" s="478"/>
      <c r="L7701" s="473"/>
      <c r="M7701" s="473"/>
    </row>
    <row r="7702" spans="5:13">
      <c r="E7702" s="473"/>
      <c r="F7702" s="473"/>
      <c r="G7702" s="473"/>
      <c r="H7702" s="473"/>
      <c r="I7702" s="473"/>
      <c r="J7702" s="473"/>
      <c r="K7702" s="478"/>
      <c r="L7702" s="473"/>
      <c r="M7702" s="473"/>
    </row>
    <row r="7703" spans="5:13">
      <c r="E7703" s="473"/>
      <c r="F7703" s="473"/>
      <c r="G7703" s="473"/>
      <c r="H7703" s="473"/>
      <c r="I7703" s="473"/>
      <c r="J7703" s="473"/>
      <c r="K7703" s="478"/>
      <c r="L7703" s="473"/>
      <c r="M7703" s="473"/>
    </row>
    <row r="7704" spans="5:13">
      <c r="E7704" s="473"/>
      <c r="F7704" s="473"/>
      <c r="G7704" s="473"/>
      <c r="H7704" s="473"/>
      <c r="I7704" s="473"/>
      <c r="J7704" s="473"/>
      <c r="K7704" s="478"/>
      <c r="L7704" s="473"/>
      <c r="M7704" s="473"/>
    </row>
    <row r="7705" spans="5:13">
      <c r="E7705" s="473"/>
      <c r="F7705" s="473"/>
      <c r="G7705" s="473"/>
      <c r="H7705" s="473"/>
      <c r="I7705" s="473"/>
      <c r="J7705" s="473"/>
      <c r="K7705" s="478"/>
      <c r="L7705" s="473"/>
      <c r="M7705" s="473"/>
    </row>
    <row r="7706" spans="5:13">
      <c r="E7706" s="473"/>
      <c r="F7706" s="473"/>
      <c r="G7706" s="473"/>
      <c r="H7706" s="473"/>
      <c r="I7706" s="473"/>
      <c r="J7706" s="473"/>
      <c r="K7706" s="478"/>
      <c r="L7706" s="473"/>
      <c r="M7706" s="473"/>
    </row>
    <row r="7707" spans="5:13">
      <c r="E7707" s="473"/>
      <c r="F7707" s="473"/>
      <c r="G7707" s="473"/>
      <c r="H7707" s="473"/>
      <c r="I7707" s="473"/>
      <c r="J7707" s="473"/>
      <c r="K7707" s="478"/>
      <c r="L7707" s="473"/>
      <c r="M7707" s="473"/>
    </row>
    <row r="7708" spans="5:13">
      <c r="E7708" s="473"/>
      <c r="F7708" s="473"/>
      <c r="G7708" s="473"/>
      <c r="H7708" s="473"/>
      <c r="I7708" s="473"/>
      <c r="J7708" s="473"/>
      <c r="K7708" s="478"/>
      <c r="L7708" s="473"/>
      <c r="M7708" s="473"/>
    </row>
    <row r="7709" spans="5:13">
      <c r="E7709" s="473"/>
      <c r="F7709" s="473"/>
      <c r="G7709" s="473"/>
      <c r="H7709" s="473"/>
      <c r="I7709" s="473"/>
      <c r="J7709" s="473"/>
      <c r="K7709" s="478"/>
      <c r="L7709" s="473"/>
      <c r="M7709" s="473"/>
    </row>
    <row r="7710" spans="5:13">
      <c r="E7710" s="473"/>
      <c r="F7710" s="473"/>
      <c r="G7710" s="473"/>
      <c r="H7710" s="473"/>
      <c r="I7710" s="473"/>
      <c r="J7710" s="473"/>
      <c r="K7710" s="478"/>
      <c r="L7710" s="473"/>
      <c r="M7710" s="473"/>
    </row>
    <row r="7711" spans="5:13">
      <c r="E7711" s="473"/>
      <c r="F7711" s="473"/>
      <c r="G7711" s="473"/>
      <c r="H7711" s="473"/>
      <c r="I7711" s="473"/>
      <c r="J7711" s="473"/>
      <c r="K7711" s="478"/>
      <c r="L7711" s="473"/>
      <c r="M7711" s="473"/>
    </row>
    <row r="7712" spans="5:13">
      <c r="E7712" s="473"/>
      <c r="F7712" s="473"/>
      <c r="G7712" s="473"/>
      <c r="H7712" s="473"/>
      <c r="I7712" s="473"/>
      <c r="J7712" s="473"/>
      <c r="K7712" s="478"/>
      <c r="L7712" s="473"/>
      <c r="M7712" s="473"/>
    </row>
    <row r="7713" spans="5:13">
      <c r="E7713" s="473"/>
      <c r="F7713" s="473"/>
      <c r="G7713" s="473"/>
      <c r="H7713" s="473"/>
      <c r="I7713" s="473"/>
      <c r="J7713" s="473"/>
      <c r="K7713" s="478"/>
      <c r="L7713" s="473"/>
      <c r="M7713" s="473"/>
    </row>
    <row r="7714" spans="5:13">
      <c r="E7714" s="473"/>
      <c r="F7714" s="473"/>
      <c r="G7714" s="473"/>
      <c r="H7714" s="473"/>
      <c r="I7714" s="473"/>
      <c r="J7714" s="473"/>
      <c r="K7714" s="478"/>
      <c r="L7714" s="473"/>
      <c r="M7714" s="473"/>
    </row>
    <row r="7715" spans="5:13">
      <c r="E7715" s="473"/>
      <c r="F7715" s="473"/>
      <c r="G7715" s="473"/>
      <c r="H7715" s="473"/>
      <c r="I7715" s="473"/>
      <c r="J7715" s="473"/>
      <c r="K7715" s="478"/>
      <c r="L7715" s="473"/>
      <c r="M7715" s="473"/>
    </row>
    <row r="7716" spans="5:13">
      <c r="E7716" s="473"/>
      <c r="F7716" s="473"/>
      <c r="G7716" s="473"/>
      <c r="H7716" s="473"/>
      <c r="I7716" s="473"/>
      <c r="J7716" s="473"/>
      <c r="K7716" s="478"/>
      <c r="L7716" s="473"/>
      <c r="M7716" s="473"/>
    </row>
    <row r="7717" spans="5:13">
      <c r="E7717" s="473"/>
      <c r="F7717" s="473"/>
      <c r="G7717" s="473"/>
      <c r="H7717" s="473"/>
      <c r="I7717" s="473"/>
      <c r="J7717" s="473"/>
      <c r="K7717" s="478"/>
      <c r="L7717" s="473"/>
      <c r="M7717" s="473"/>
    </row>
    <row r="7718" spans="5:13">
      <c r="E7718" s="473"/>
      <c r="F7718" s="473"/>
      <c r="G7718" s="473"/>
      <c r="H7718" s="473"/>
      <c r="I7718" s="473"/>
      <c r="J7718" s="473"/>
      <c r="K7718" s="478"/>
      <c r="L7718" s="473"/>
      <c r="M7718" s="473"/>
    </row>
    <row r="7719" spans="5:13">
      <c r="E7719" s="473"/>
      <c r="F7719" s="473"/>
      <c r="G7719" s="473"/>
      <c r="H7719" s="473"/>
      <c r="I7719" s="473"/>
      <c r="J7719" s="473"/>
      <c r="K7719" s="478"/>
      <c r="L7719" s="473"/>
      <c r="M7719" s="473"/>
    </row>
    <row r="7720" spans="5:13">
      <c r="E7720" s="473"/>
      <c r="F7720" s="473"/>
      <c r="G7720" s="473"/>
      <c r="H7720" s="473"/>
      <c r="I7720" s="473"/>
      <c r="J7720" s="473"/>
      <c r="K7720" s="478"/>
      <c r="L7720" s="473"/>
      <c r="M7720" s="473"/>
    </row>
    <row r="7721" spans="5:13">
      <c r="E7721" s="473"/>
      <c r="F7721" s="473"/>
      <c r="G7721" s="473"/>
      <c r="H7721" s="473"/>
      <c r="I7721" s="473"/>
      <c r="J7721" s="473"/>
      <c r="K7721" s="478"/>
      <c r="L7721" s="473"/>
      <c r="M7721" s="473"/>
    </row>
    <row r="7722" spans="5:13">
      <c r="E7722" s="473"/>
      <c r="F7722" s="473"/>
      <c r="G7722" s="473"/>
      <c r="H7722" s="473"/>
      <c r="I7722" s="473"/>
      <c r="J7722" s="473"/>
      <c r="K7722" s="478"/>
      <c r="L7722" s="473"/>
      <c r="M7722" s="473"/>
    </row>
    <row r="7723" spans="5:13">
      <c r="E7723" s="473"/>
      <c r="F7723" s="473"/>
      <c r="G7723" s="473"/>
      <c r="H7723" s="473"/>
      <c r="I7723" s="473"/>
      <c r="J7723" s="473"/>
      <c r="K7723" s="478"/>
      <c r="L7723" s="473"/>
      <c r="M7723" s="473"/>
    </row>
    <row r="7724" spans="5:13">
      <c r="E7724" s="473"/>
      <c r="F7724" s="473"/>
      <c r="G7724" s="473"/>
      <c r="H7724" s="473"/>
      <c r="I7724" s="473"/>
      <c r="J7724" s="473"/>
      <c r="K7724" s="478"/>
      <c r="L7724" s="473"/>
      <c r="M7724" s="473"/>
    </row>
    <row r="7725" spans="5:13">
      <c r="E7725" s="473"/>
      <c r="F7725" s="473"/>
      <c r="G7725" s="473"/>
      <c r="H7725" s="473"/>
      <c r="I7725" s="473"/>
      <c r="J7725" s="473"/>
      <c r="K7725" s="478"/>
      <c r="L7725" s="473"/>
      <c r="M7725" s="473"/>
    </row>
    <row r="7726" spans="5:13">
      <c r="E7726" s="473"/>
      <c r="F7726" s="473"/>
      <c r="G7726" s="473"/>
      <c r="H7726" s="473"/>
      <c r="I7726" s="473"/>
      <c r="J7726" s="473"/>
      <c r="K7726" s="478"/>
      <c r="L7726" s="473"/>
      <c r="M7726" s="473"/>
    </row>
    <row r="7727" spans="5:13">
      <c r="E7727" s="473"/>
      <c r="F7727" s="473"/>
      <c r="G7727" s="473"/>
      <c r="H7727" s="473"/>
      <c r="I7727" s="473"/>
      <c r="J7727" s="473"/>
      <c r="K7727" s="478"/>
      <c r="L7727" s="473"/>
      <c r="M7727" s="473"/>
    </row>
    <row r="7728" spans="5:13">
      <c r="E7728" s="473"/>
      <c r="F7728" s="473"/>
      <c r="G7728" s="473"/>
      <c r="H7728" s="473"/>
      <c r="I7728" s="473"/>
      <c r="J7728" s="473"/>
      <c r="K7728" s="478"/>
      <c r="L7728" s="473"/>
      <c r="M7728" s="473"/>
    </row>
    <row r="7729" spans="5:13">
      <c r="E7729" s="473"/>
      <c r="F7729" s="473"/>
      <c r="G7729" s="473"/>
      <c r="H7729" s="473"/>
      <c r="I7729" s="473"/>
      <c r="J7729" s="473"/>
      <c r="K7729" s="478"/>
      <c r="L7729" s="473"/>
      <c r="M7729" s="473"/>
    </row>
    <row r="7730" spans="5:13">
      <c r="E7730" s="473"/>
      <c r="F7730" s="473"/>
      <c r="G7730" s="473"/>
      <c r="H7730" s="473"/>
      <c r="I7730" s="473"/>
      <c r="J7730" s="473"/>
      <c r="K7730" s="478"/>
      <c r="L7730" s="473"/>
      <c r="M7730" s="473"/>
    </row>
    <row r="7731" spans="5:13">
      <c r="E7731" s="473"/>
      <c r="F7731" s="473"/>
      <c r="G7731" s="473"/>
      <c r="H7731" s="473"/>
      <c r="I7731" s="473"/>
      <c r="J7731" s="473"/>
      <c r="K7731" s="478"/>
      <c r="L7731" s="473"/>
      <c r="M7731" s="473"/>
    </row>
    <row r="7732" spans="5:13">
      <c r="E7732" s="473"/>
      <c r="F7732" s="473"/>
      <c r="G7732" s="473"/>
      <c r="H7732" s="473"/>
      <c r="I7732" s="473"/>
      <c r="J7732" s="473"/>
      <c r="K7732" s="478"/>
      <c r="L7732" s="473"/>
      <c r="M7732" s="473"/>
    </row>
    <row r="7733" spans="5:13">
      <c r="E7733" s="473"/>
      <c r="F7733" s="473"/>
      <c r="G7733" s="473"/>
      <c r="H7733" s="473"/>
      <c r="I7733" s="473"/>
      <c r="J7733" s="473"/>
      <c r="K7733" s="478"/>
      <c r="L7733" s="473"/>
      <c r="M7733" s="473"/>
    </row>
    <row r="7734" spans="5:13">
      <c r="E7734" s="473"/>
      <c r="F7734" s="473"/>
      <c r="G7734" s="473"/>
      <c r="H7734" s="473"/>
      <c r="I7734" s="473"/>
      <c r="J7734" s="473"/>
      <c r="K7734" s="478"/>
      <c r="L7734" s="473"/>
      <c r="M7734" s="473"/>
    </row>
    <row r="7735" spans="5:13">
      <c r="E7735" s="473"/>
      <c r="F7735" s="473"/>
      <c r="G7735" s="473"/>
      <c r="H7735" s="473"/>
      <c r="I7735" s="473"/>
      <c r="J7735" s="473"/>
      <c r="K7735" s="478"/>
      <c r="L7735" s="473"/>
      <c r="M7735" s="473"/>
    </row>
    <row r="7736" spans="5:13">
      <c r="E7736" s="473"/>
      <c r="F7736" s="473"/>
      <c r="G7736" s="473"/>
      <c r="H7736" s="473"/>
      <c r="I7736" s="473"/>
      <c r="J7736" s="473"/>
      <c r="K7736" s="478"/>
      <c r="L7736" s="473"/>
      <c r="M7736" s="473"/>
    </row>
    <row r="7737" spans="5:13">
      <c r="E7737" s="473"/>
      <c r="F7737" s="473"/>
      <c r="G7737" s="473"/>
      <c r="H7737" s="473"/>
      <c r="I7737" s="473"/>
      <c r="J7737" s="473"/>
      <c r="K7737" s="478"/>
      <c r="L7737" s="473"/>
      <c r="M7737" s="473"/>
    </row>
    <row r="7738" spans="5:13">
      <c r="E7738" s="473"/>
      <c r="F7738" s="473"/>
      <c r="G7738" s="473"/>
      <c r="H7738" s="473"/>
      <c r="I7738" s="473"/>
      <c r="J7738" s="473"/>
      <c r="K7738" s="478"/>
      <c r="L7738" s="473"/>
      <c r="M7738" s="473"/>
    </row>
    <row r="7739" spans="5:13">
      <c r="E7739" s="473"/>
      <c r="F7739" s="473"/>
      <c r="G7739" s="473"/>
      <c r="H7739" s="473"/>
      <c r="I7739" s="473"/>
      <c r="J7739" s="473"/>
      <c r="K7739" s="478"/>
      <c r="L7739" s="473"/>
      <c r="M7739" s="473"/>
    </row>
    <row r="7740" spans="5:13">
      <c r="E7740" s="473"/>
      <c r="F7740" s="473"/>
      <c r="G7740" s="473"/>
      <c r="H7740" s="473"/>
      <c r="I7740" s="473"/>
      <c r="J7740" s="473"/>
      <c r="K7740" s="478"/>
      <c r="L7740" s="473"/>
      <c r="M7740" s="473"/>
    </row>
    <row r="7741" spans="5:13">
      <c r="E7741" s="473"/>
      <c r="F7741" s="473"/>
      <c r="G7741" s="473"/>
      <c r="H7741" s="473"/>
      <c r="I7741" s="473"/>
      <c r="J7741" s="473"/>
      <c r="K7741" s="478"/>
      <c r="L7741" s="473"/>
      <c r="M7741" s="473"/>
    </row>
    <row r="7742" spans="5:13">
      <c r="E7742" s="473"/>
      <c r="F7742" s="473"/>
      <c r="G7742" s="473"/>
      <c r="H7742" s="473"/>
      <c r="I7742" s="473"/>
      <c r="J7742" s="473"/>
      <c r="K7742" s="478"/>
      <c r="L7742" s="473"/>
      <c r="M7742" s="473"/>
    </row>
    <row r="7743" spans="5:13">
      <c r="E7743" s="473"/>
      <c r="F7743" s="473"/>
      <c r="G7743" s="473"/>
      <c r="H7743" s="473"/>
      <c r="I7743" s="473"/>
      <c r="J7743" s="473"/>
      <c r="K7743" s="478"/>
      <c r="L7743" s="473"/>
      <c r="M7743" s="473"/>
    </row>
    <row r="7744" spans="5:13">
      <c r="E7744" s="473"/>
      <c r="F7744" s="473"/>
      <c r="G7744" s="473"/>
      <c r="H7744" s="473"/>
      <c r="I7744" s="473"/>
      <c r="J7744" s="473"/>
      <c r="K7744" s="478"/>
      <c r="L7744" s="473"/>
      <c r="M7744" s="473"/>
    </row>
    <row r="7745" spans="5:13">
      <c r="E7745" s="473"/>
      <c r="F7745" s="473"/>
      <c r="G7745" s="473"/>
      <c r="H7745" s="473"/>
      <c r="I7745" s="473"/>
      <c r="J7745" s="473"/>
      <c r="K7745" s="478"/>
      <c r="L7745" s="473"/>
      <c r="M7745" s="473"/>
    </row>
    <row r="7746" spans="5:13">
      <c r="E7746" s="473"/>
      <c r="F7746" s="473"/>
      <c r="G7746" s="473"/>
      <c r="H7746" s="473"/>
      <c r="I7746" s="473"/>
      <c r="J7746" s="473"/>
      <c r="K7746" s="478"/>
      <c r="L7746" s="473"/>
      <c r="M7746" s="473"/>
    </row>
    <row r="7747" spans="5:13">
      <c r="E7747" s="473"/>
      <c r="F7747" s="473"/>
      <c r="G7747" s="473"/>
      <c r="H7747" s="473"/>
      <c r="I7747" s="473"/>
      <c r="J7747" s="473"/>
      <c r="K7747" s="478"/>
      <c r="L7747" s="473"/>
      <c r="M7747" s="473"/>
    </row>
    <row r="7748" spans="5:13">
      <c r="E7748" s="473"/>
      <c r="F7748" s="473"/>
      <c r="G7748" s="473"/>
      <c r="H7748" s="473"/>
      <c r="I7748" s="473"/>
      <c r="J7748" s="473"/>
      <c r="K7748" s="478"/>
      <c r="L7748" s="473"/>
      <c r="M7748" s="473"/>
    </row>
    <row r="7749" spans="5:13">
      <c r="E7749" s="473"/>
      <c r="F7749" s="473"/>
      <c r="G7749" s="473"/>
      <c r="H7749" s="473"/>
      <c r="I7749" s="473"/>
      <c r="J7749" s="473"/>
      <c r="K7749" s="478"/>
      <c r="L7749" s="473"/>
      <c r="M7749" s="473"/>
    </row>
    <row r="7750" spans="5:13">
      <c r="E7750" s="473"/>
      <c r="F7750" s="473"/>
      <c r="G7750" s="473"/>
      <c r="H7750" s="473"/>
      <c r="I7750" s="473"/>
      <c r="J7750" s="473"/>
      <c r="K7750" s="478"/>
      <c r="L7750" s="473"/>
      <c r="M7750" s="473"/>
    </row>
    <row r="7751" spans="5:13">
      <c r="E7751" s="473"/>
      <c r="F7751" s="473"/>
      <c r="G7751" s="473"/>
      <c r="H7751" s="473"/>
      <c r="I7751" s="473"/>
      <c r="J7751" s="473"/>
      <c r="K7751" s="478"/>
      <c r="L7751" s="473"/>
      <c r="M7751" s="473"/>
    </row>
    <row r="7752" spans="5:13">
      <c r="E7752" s="473"/>
      <c r="F7752" s="473"/>
      <c r="G7752" s="473"/>
      <c r="H7752" s="473"/>
      <c r="I7752" s="473"/>
      <c r="J7752" s="473"/>
      <c r="K7752" s="478"/>
      <c r="L7752" s="473"/>
      <c r="M7752" s="473"/>
    </row>
    <row r="7753" spans="5:13">
      <c r="E7753" s="473"/>
      <c r="F7753" s="473"/>
      <c r="G7753" s="473"/>
      <c r="H7753" s="473"/>
      <c r="I7753" s="473"/>
      <c r="J7753" s="473"/>
      <c r="K7753" s="478"/>
      <c r="L7753" s="473"/>
      <c r="M7753" s="473"/>
    </row>
    <row r="7754" spans="5:13">
      <c r="E7754" s="473"/>
      <c r="F7754" s="473"/>
      <c r="G7754" s="473"/>
      <c r="H7754" s="473"/>
      <c r="I7754" s="473"/>
      <c r="J7754" s="473"/>
      <c r="K7754" s="478"/>
      <c r="L7754" s="473"/>
      <c r="M7754" s="473"/>
    </row>
    <row r="7755" spans="5:13">
      <c r="E7755" s="473"/>
      <c r="F7755" s="473"/>
      <c r="G7755" s="473"/>
      <c r="H7755" s="473"/>
      <c r="I7755" s="473"/>
      <c r="J7755" s="473"/>
      <c r="K7755" s="478"/>
      <c r="L7755" s="473"/>
      <c r="M7755" s="473"/>
    </row>
    <row r="7756" spans="5:13">
      <c r="E7756" s="473"/>
      <c r="F7756" s="473"/>
      <c r="G7756" s="473"/>
      <c r="H7756" s="473"/>
      <c r="I7756" s="473"/>
      <c r="J7756" s="473"/>
      <c r="K7756" s="478"/>
      <c r="L7756" s="473"/>
      <c r="M7756" s="473"/>
    </row>
    <row r="7757" spans="5:13">
      <c r="E7757" s="473"/>
      <c r="F7757" s="473"/>
      <c r="G7757" s="473"/>
      <c r="H7757" s="473"/>
      <c r="I7757" s="473"/>
      <c r="J7757" s="473"/>
      <c r="K7757" s="478"/>
      <c r="L7757" s="473"/>
      <c r="M7757" s="473"/>
    </row>
    <row r="7758" spans="5:13">
      <c r="E7758" s="473"/>
      <c r="F7758" s="473"/>
      <c r="G7758" s="473"/>
      <c r="H7758" s="473"/>
      <c r="I7758" s="473"/>
      <c r="J7758" s="473"/>
      <c r="K7758" s="478"/>
      <c r="L7758" s="473"/>
      <c r="M7758" s="473"/>
    </row>
    <row r="7759" spans="5:13">
      <c r="E7759" s="473"/>
      <c r="F7759" s="473"/>
      <c r="G7759" s="473"/>
      <c r="H7759" s="473"/>
      <c r="I7759" s="473"/>
      <c r="J7759" s="473"/>
      <c r="K7759" s="478"/>
      <c r="L7759" s="473"/>
      <c r="M7759" s="473"/>
    </row>
    <row r="7760" spans="5:13">
      <c r="E7760" s="473"/>
      <c r="F7760" s="473"/>
      <c r="G7760" s="473"/>
      <c r="H7760" s="473"/>
      <c r="I7760" s="473"/>
      <c r="J7760" s="473"/>
      <c r="K7760" s="478"/>
      <c r="L7760" s="473"/>
      <c r="M7760" s="473"/>
    </row>
    <row r="7761" spans="5:13">
      <c r="E7761" s="473"/>
      <c r="F7761" s="473"/>
      <c r="G7761" s="473"/>
      <c r="H7761" s="473"/>
      <c r="I7761" s="473"/>
      <c r="J7761" s="473"/>
      <c r="K7761" s="478"/>
      <c r="L7761" s="473"/>
      <c r="M7761" s="473"/>
    </row>
    <row r="7762" spans="5:13">
      <c r="E7762" s="473"/>
      <c r="F7762" s="473"/>
      <c r="G7762" s="473"/>
      <c r="H7762" s="473"/>
      <c r="I7762" s="473"/>
      <c r="J7762" s="473"/>
      <c r="K7762" s="478"/>
      <c r="L7762" s="473"/>
      <c r="M7762" s="473"/>
    </row>
    <row r="7763" spans="5:13">
      <c r="E7763" s="473"/>
      <c r="F7763" s="473"/>
      <c r="G7763" s="473"/>
      <c r="H7763" s="473"/>
      <c r="I7763" s="473"/>
      <c r="J7763" s="473"/>
      <c r="K7763" s="478"/>
      <c r="L7763" s="473"/>
      <c r="M7763" s="473"/>
    </row>
    <row r="7764" spans="5:13">
      <c r="E7764" s="473"/>
      <c r="F7764" s="473"/>
      <c r="G7764" s="473"/>
      <c r="H7764" s="473"/>
      <c r="I7764" s="473"/>
      <c r="J7764" s="473"/>
      <c r="K7764" s="478"/>
      <c r="L7764" s="473"/>
      <c r="M7764" s="473"/>
    </row>
    <row r="7765" spans="5:13">
      <c r="E7765" s="473"/>
      <c r="F7765" s="473"/>
      <c r="G7765" s="473"/>
      <c r="H7765" s="473"/>
      <c r="I7765" s="473"/>
      <c r="J7765" s="473"/>
      <c r="K7765" s="478"/>
      <c r="L7765" s="473"/>
      <c r="M7765" s="473"/>
    </row>
    <row r="7766" spans="5:13">
      <c r="E7766" s="473"/>
      <c r="F7766" s="473"/>
      <c r="G7766" s="473"/>
      <c r="H7766" s="473"/>
      <c r="I7766" s="473"/>
      <c r="J7766" s="473"/>
      <c r="K7766" s="478"/>
      <c r="L7766" s="473"/>
      <c r="M7766" s="473"/>
    </row>
    <row r="7767" spans="5:13">
      <c r="E7767" s="473"/>
      <c r="F7767" s="473"/>
      <c r="G7767" s="473"/>
      <c r="H7767" s="473"/>
      <c r="I7767" s="473"/>
      <c r="J7767" s="473"/>
      <c r="K7767" s="478"/>
      <c r="L7767" s="473"/>
      <c r="M7767" s="473"/>
    </row>
    <row r="7768" spans="5:13">
      <c r="E7768" s="473"/>
      <c r="F7768" s="473"/>
      <c r="G7768" s="473"/>
      <c r="H7768" s="473"/>
      <c r="I7768" s="473"/>
      <c r="J7768" s="473"/>
      <c r="K7768" s="478"/>
      <c r="L7768" s="473"/>
      <c r="M7768" s="473"/>
    </row>
    <row r="7769" spans="5:13">
      <c r="E7769" s="473"/>
      <c r="F7769" s="473"/>
      <c r="G7769" s="473"/>
      <c r="H7769" s="473"/>
      <c r="I7769" s="473"/>
      <c r="J7769" s="473"/>
      <c r="K7769" s="478"/>
      <c r="L7769" s="473"/>
      <c r="M7769" s="473"/>
    </row>
    <row r="7770" spans="5:13">
      <c r="E7770" s="473"/>
      <c r="F7770" s="473"/>
      <c r="G7770" s="473"/>
      <c r="H7770" s="473"/>
      <c r="I7770" s="473"/>
      <c r="J7770" s="473"/>
      <c r="K7770" s="478"/>
      <c r="L7770" s="473"/>
      <c r="M7770" s="473"/>
    </row>
    <row r="7771" spans="5:13">
      <c r="E7771" s="473"/>
      <c r="F7771" s="473"/>
      <c r="G7771" s="473"/>
      <c r="H7771" s="473"/>
      <c r="I7771" s="473"/>
      <c r="J7771" s="473"/>
      <c r="K7771" s="478"/>
      <c r="L7771" s="473"/>
      <c r="M7771" s="473"/>
    </row>
    <row r="7772" spans="5:13">
      <c r="E7772" s="473"/>
      <c r="F7772" s="473"/>
      <c r="G7772" s="473"/>
      <c r="H7772" s="473"/>
      <c r="I7772" s="473"/>
      <c r="J7772" s="473"/>
      <c r="K7772" s="478"/>
      <c r="L7772" s="473"/>
      <c r="M7772" s="473"/>
    </row>
    <row r="7773" spans="5:13">
      <c r="E7773" s="473"/>
      <c r="F7773" s="473"/>
      <c r="G7773" s="473"/>
      <c r="H7773" s="473"/>
      <c r="I7773" s="473"/>
      <c r="J7773" s="473"/>
      <c r="K7773" s="478"/>
      <c r="L7773" s="473"/>
      <c r="M7773" s="473"/>
    </row>
    <row r="7774" spans="5:13">
      <c r="E7774" s="473"/>
      <c r="F7774" s="473"/>
      <c r="G7774" s="473"/>
      <c r="H7774" s="473"/>
      <c r="I7774" s="473"/>
      <c r="J7774" s="473"/>
      <c r="K7774" s="478"/>
      <c r="L7774" s="473"/>
      <c r="M7774" s="473"/>
    </row>
    <row r="7775" spans="5:13">
      <c r="E7775" s="473"/>
      <c r="F7775" s="473"/>
      <c r="G7775" s="473"/>
      <c r="H7775" s="473"/>
      <c r="I7775" s="473"/>
      <c r="J7775" s="473"/>
      <c r="K7775" s="478"/>
      <c r="L7775" s="473"/>
      <c r="M7775" s="473"/>
    </row>
    <row r="7776" spans="5:13">
      <c r="E7776" s="473"/>
      <c r="F7776" s="473"/>
      <c r="G7776" s="473"/>
      <c r="H7776" s="473"/>
      <c r="I7776" s="473"/>
      <c r="J7776" s="473"/>
      <c r="K7776" s="478"/>
      <c r="L7776" s="473"/>
      <c r="M7776" s="473"/>
    </row>
    <row r="7777" spans="5:13">
      <c r="E7777" s="473"/>
      <c r="F7777" s="473"/>
      <c r="G7777" s="473"/>
      <c r="H7777" s="473"/>
      <c r="I7777" s="473"/>
      <c r="J7777" s="473"/>
      <c r="K7777" s="478"/>
      <c r="L7777" s="473"/>
      <c r="M7777" s="473"/>
    </row>
    <row r="7778" spans="5:13">
      <c r="E7778" s="473"/>
      <c r="F7778" s="473"/>
      <c r="G7778" s="473"/>
      <c r="H7778" s="473"/>
      <c r="I7778" s="473"/>
      <c r="J7778" s="473"/>
      <c r="K7778" s="478"/>
      <c r="L7778" s="473"/>
      <c r="M7778" s="473"/>
    </row>
    <row r="7779" spans="5:13">
      <c r="E7779" s="473"/>
      <c r="F7779" s="473"/>
      <c r="G7779" s="473"/>
      <c r="H7779" s="473"/>
      <c r="I7779" s="473"/>
      <c r="J7779" s="473"/>
      <c r="K7779" s="478"/>
      <c r="L7779" s="473"/>
      <c r="M7779" s="473"/>
    </row>
    <row r="7780" spans="5:13">
      <c r="E7780" s="473"/>
      <c r="F7780" s="473"/>
      <c r="G7780" s="473"/>
      <c r="H7780" s="473"/>
      <c r="I7780" s="473"/>
      <c r="J7780" s="473"/>
      <c r="K7780" s="478"/>
      <c r="L7780" s="473"/>
      <c r="M7780" s="473"/>
    </row>
    <row r="7781" spans="5:13">
      <c r="E7781" s="473"/>
      <c r="F7781" s="473"/>
      <c r="G7781" s="473"/>
      <c r="H7781" s="473"/>
      <c r="I7781" s="473"/>
      <c r="J7781" s="473"/>
      <c r="K7781" s="478"/>
      <c r="L7781" s="473"/>
      <c r="M7781" s="473"/>
    </row>
    <row r="7782" spans="5:13">
      <c r="E7782" s="473"/>
      <c r="F7782" s="473"/>
      <c r="G7782" s="473"/>
      <c r="H7782" s="473"/>
      <c r="I7782" s="473"/>
      <c r="J7782" s="473"/>
      <c r="K7782" s="478"/>
      <c r="L7782" s="473"/>
      <c r="M7782" s="473"/>
    </row>
    <row r="7783" spans="5:13">
      <c r="E7783" s="473"/>
      <c r="F7783" s="473"/>
      <c r="G7783" s="473"/>
      <c r="H7783" s="473"/>
      <c r="I7783" s="473"/>
      <c r="J7783" s="473"/>
      <c r="K7783" s="478"/>
      <c r="L7783" s="473"/>
      <c r="M7783" s="473"/>
    </row>
    <row r="7784" spans="5:13">
      <c r="E7784" s="473"/>
      <c r="F7784" s="473"/>
      <c r="G7784" s="473"/>
      <c r="H7784" s="473"/>
      <c r="I7784" s="473"/>
      <c r="J7784" s="473"/>
      <c r="K7784" s="478"/>
      <c r="L7784" s="473"/>
      <c r="M7784" s="473"/>
    </row>
    <row r="7785" spans="5:13">
      <c r="E7785" s="473"/>
      <c r="F7785" s="473"/>
      <c r="G7785" s="473"/>
      <c r="H7785" s="473"/>
      <c r="I7785" s="473"/>
      <c r="J7785" s="473"/>
      <c r="K7785" s="478"/>
      <c r="L7785" s="473"/>
      <c r="M7785" s="473"/>
    </row>
    <row r="7786" spans="5:13">
      <c r="E7786" s="473"/>
      <c r="F7786" s="473"/>
      <c r="G7786" s="473"/>
      <c r="H7786" s="473"/>
      <c r="I7786" s="473"/>
      <c r="J7786" s="473"/>
      <c r="K7786" s="478"/>
      <c r="L7786" s="473"/>
      <c r="M7786" s="473"/>
    </row>
    <row r="7787" spans="5:13">
      <c r="E7787" s="473"/>
      <c r="F7787" s="473"/>
      <c r="G7787" s="473"/>
      <c r="H7787" s="473"/>
      <c r="I7787" s="473"/>
      <c r="J7787" s="473"/>
      <c r="K7787" s="478"/>
      <c r="L7787" s="473"/>
      <c r="M7787" s="473"/>
    </row>
    <row r="7788" spans="5:13">
      <c r="E7788" s="473"/>
      <c r="F7788" s="473"/>
      <c r="G7788" s="473"/>
      <c r="H7788" s="473"/>
      <c r="I7788" s="473"/>
      <c r="J7788" s="473"/>
      <c r="K7788" s="478"/>
      <c r="L7788" s="473"/>
      <c r="M7788" s="473"/>
    </row>
    <row r="7789" spans="5:13">
      <c r="E7789" s="473"/>
      <c r="F7789" s="473"/>
      <c r="G7789" s="473"/>
      <c r="H7789" s="473"/>
      <c r="I7789" s="473"/>
      <c r="J7789" s="473"/>
      <c r="K7789" s="478"/>
      <c r="L7789" s="473"/>
      <c r="M7789" s="473"/>
    </row>
    <row r="7790" spans="5:13">
      <c r="E7790" s="473"/>
      <c r="F7790" s="473"/>
      <c r="G7790" s="473"/>
      <c r="H7790" s="473"/>
      <c r="I7790" s="473"/>
      <c r="J7790" s="473"/>
      <c r="K7790" s="478"/>
      <c r="L7790" s="473"/>
      <c r="M7790" s="473"/>
    </row>
    <row r="7791" spans="5:13">
      <c r="E7791" s="473"/>
      <c r="F7791" s="473"/>
      <c r="G7791" s="473"/>
      <c r="H7791" s="473"/>
      <c r="I7791" s="473"/>
      <c r="J7791" s="473"/>
      <c r="K7791" s="478"/>
      <c r="L7791" s="473"/>
      <c r="M7791" s="473"/>
    </row>
    <row r="7792" spans="5:13">
      <c r="E7792" s="473"/>
      <c r="F7792" s="473"/>
      <c r="G7792" s="473"/>
      <c r="H7792" s="473"/>
      <c r="I7792" s="473"/>
      <c r="J7792" s="473"/>
      <c r="K7792" s="478"/>
      <c r="L7792" s="473"/>
      <c r="M7792" s="473"/>
    </row>
    <row r="7793" spans="5:13">
      <c r="E7793" s="473"/>
      <c r="F7793" s="473"/>
      <c r="G7793" s="473"/>
      <c r="H7793" s="473"/>
      <c r="I7793" s="473"/>
      <c r="J7793" s="473"/>
      <c r="K7793" s="478"/>
      <c r="L7793" s="473"/>
      <c r="M7793" s="473"/>
    </row>
    <row r="7794" spans="5:13">
      <c r="E7794" s="473"/>
      <c r="F7794" s="473"/>
      <c r="G7794" s="473"/>
      <c r="H7794" s="473"/>
      <c r="I7794" s="473"/>
      <c r="J7794" s="473"/>
      <c r="K7794" s="478"/>
      <c r="L7794" s="473"/>
      <c r="M7794" s="473"/>
    </row>
    <row r="7795" spans="5:13">
      <c r="E7795" s="473"/>
      <c r="F7795" s="473"/>
      <c r="G7795" s="473"/>
      <c r="H7795" s="473"/>
      <c r="I7795" s="473"/>
      <c r="J7795" s="473"/>
      <c r="K7795" s="478"/>
      <c r="L7795" s="473"/>
      <c r="M7795" s="473"/>
    </row>
    <row r="7796" spans="5:13">
      <c r="E7796" s="473"/>
      <c r="F7796" s="473"/>
      <c r="G7796" s="473"/>
      <c r="H7796" s="473"/>
      <c r="I7796" s="473"/>
      <c r="J7796" s="473"/>
      <c r="K7796" s="478"/>
      <c r="L7796" s="473"/>
      <c r="M7796" s="473"/>
    </row>
    <row r="7797" spans="5:13">
      <c r="E7797" s="473"/>
      <c r="F7797" s="473"/>
      <c r="G7797" s="473"/>
      <c r="H7797" s="473"/>
      <c r="I7797" s="473"/>
      <c r="J7797" s="473"/>
      <c r="K7797" s="478"/>
      <c r="L7797" s="473"/>
      <c r="M7797" s="473"/>
    </row>
    <row r="7798" spans="5:13">
      <c r="E7798" s="473"/>
      <c r="F7798" s="473"/>
      <c r="G7798" s="473"/>
      <c r="H7798" s="473"/>
      <c r="I7798" s="473"/>
      <c r="J7798" s="473"/>
      <c r="K7798" s="478"/>
      <c r="L7798" s="473"/>
      <c r="M7798" s="473"/>
    </row>
    <row r="7799" spans="5:13">
      <c r="E7799" s="473"/>
      <c r="F7799" s="473"/>
      <c r="G7799" s="473"/>
      <c r="H7799" s="473"/>
      <c r="I7799" s="473"/>
      <c r="J7799" s="473"/>
      <c r="K7799" s="478"/>
      <c r="L7799" s="473"/>
      <c r="M7799" s="473"/>
    </row>
    <row r="7800" spans="5:13">
      <c r="E7800" s="473"/>
      <c r="F7800" s="473"/>
      <c r="G7800" s="473"/>
      <c r="H7800" s="473"/>
      <c r="I7800" s="473"/>
      <c r="J7800" s="473"/>
      <c r="K7800" s="478"/>
      <c r="L7800" s="473"/>
      <c r="M7800" s="473"/>
    </row>
    <row r="7801" spans="5:13">
      <c r="E7801" s="473"/>
      <c r="F7801" s="473"/>
      <c r="G7801" s="473"/>
      <c r="H7801" s="473"/>
      <c r="I7801" s="473"/>
      <c r="J7801" s="473"/>
      <c r="K7801" s="478"/>
      <c r="L7801" s="473"/>
      <c r="M7801" s="473"/>
    </row>
    <row r="7802" spans="5:13">
      <c r="E7802" s="473"/>
      <c r="F7802" s="473"/>
      <c r="G7802" s="473"/>
      <c r="H7802" s="473"/>
      <c r="I7802" s="473"/>
      <c r="J7802" s="473"/>
      <c r="K7802" s="478"/>
      <c r="L7802" s="473"/>
      <c r="M7802" s="473"/>
    </row>
    <row r="7803" spans="5:13">
      <c r="E7803" s="473"/>
      <c r="F7803" s="473"/>
      <c r="G7803" s="473"/>
      <c r="H7803" s="473"/>
      <c r="I7803" s="473"/>
      <c r="J7803" s="473"/>
      <c r="K7803" s="478"/>
      <c r="L7803" s="473"/>
      <c r="M7803" s="473"/>
    </row>
    <row r="7804" spans="5:13">
      <c r="E7804" s="473"/>
      <c r="F7804" s="473"/>
      <c r="G7804" s="473"/>
      <c r="H7804" s="473"/>
      <c r="I7804" s="473"/>
      <c r="J7804" s="473"/>
      <c r="K7804" s="478"/>
      <c r="L7804" s="473"/>
      <c r="M7804" s="473"/>
    </row>
    <row r="7805" spans="5:13">
      <c r="E7805" s="473"/>
      <c r="F7805" s="473"/>
      <c r="G7805" s="473"/>
      <c r="H7805" s="473"/>
      <c r="I7805" s="473"/>
      <c r="J7805" s="473"/>
      <c r="K7805" s="478"/>
      <c r="L7805" s="473"/>
      <c r="M7805" s="473"/>
    </row>
    <row r="7806" spans="5:13">
      <c r="E7806" s="473"/>
      <c r="F7806" s="473"/>
      <c r="G7806" s="473"/>
      <c r="H7806" s="473"/>
      <c r="I7806" s="473"/>
      <c r="J7806" s="473"/>
      <c r="K7806" s="478"/>
      <c r="L7806" s="473"/>
      <c r="M7806" s="473"/>
    </row>
    <row r="7807" spans="5:13">
      <c r="E7807" s="473"/>
      <c r="F7807" s="473"/>
      <c r="G7807" s="473"/>
      <c r="H7807" s="473"/>
      <c r="I7807" s="473"/>
      <c r="J7807" s="473"/>
      <c r="K7807" s="478"/>
      <c r="L7807" s="473"/>
      <c r="M7807" s="473"/>
    </row>
    <row r="7808" spans="5:13">
      <c r="E7808" s="473"/>
      <c r="F7808" s="473"/>
      <c r="G7808" s="473"/>
      <c r="H7808" s="473"/>
      <c r="I7808" s="473"/>
      <c r="J7808" s="473"/>
      <c r="K7808" s="478"/>
      <c r="L7808" s="473"/>
      <c r="M7808" s="473"/>
    </row>
    <row r="7809" spans="5:13">
      <c r="E7809" s="473"/>
      <c r="F7809" s="473"/>
      <c r="G7809" s="473"/>
      <c r="H7809" s="473"/>
      <c r="I7809" s="473"/>
      <c r="J7809" s="473"/>
      <c r="K7809" s="478"/>
      <c r="L7809" s="473"/>
      <c r="M7809" s="473"/>
    </row>
    <row r="7810" spans="5:13">
      <c r="E7810" s="473"/>
      <c r="F7810" s="473"/>
      <c r="G7810" s="473"/>
      <c r="H7810" s="473"/>
      <c r="I7810" s="473"/>
      <c r="J7810" s="473"/>
      <c r="K7810" s="478"/>
      <c r="L7810" s="473"/>
      <c r="M7810" s="473"/>
    </row>
    <row r="7811" spans="5:13">
      <c r="E7811" s="473"/>
      <c r="F7811" s="473"/>
      <c r="G7811" s="473"/>
      <c r="H7811" s="473"/>
      <c r="I7811" s="473"/>
      <c r="J7811" s="473"/>
      <c r="K7811" s="478"/>
      <c r="L7811" s="473"/>
      <c r="M7811" s="473"/>
    </row>
    <row r="7812" spans="5:13">
      <c r="E7812" s="473"/>
      <c r="F7812" s="473"/>
      <c r="G7812" s="473"/>
      <c r="H7812" s="473"/>
      <c r="I7812" s="473"/>
      <c r="J7812" s="473"/>
      <c r="K7812" s="478"/>
      <c r="L7812" s="473"/>
      <c r="M7812" s="473"/>
    </row>
    <row r="7813" spans="5:13">
      <c r="E7813" s="473"/>
      <c r="F7813" s="473"/>
      <c r="G7813" s="473"/>
      <c r="H7813" s="473"/>
      <c r="I7813" s="473"/>
      <c r="J7813" s="473"/>
      <c r="K7813" s="478"/>
      <c r="L7813" s="473"/>
      <c r="M7813" s="473"/>
    </row>
    <row r="7814" spans="5:13">
      <c r="E7814" s="473"/>
      <c r="F7814" s="473"/>
      <c r="G7814" s="473"/>
      <c r="H7814" s="473"/>
      <c r="I7814" s="473"/>
      <c r="J7814" s="473"/>
      <c r="K7814" s="478"/>
      <c r="L7814" s="473"/>
      <c r="M7814" s="473"/>
    </row>
    <row r="7815" spans="5:13">
      <c r="E7815" s="473"/>
      <c r="F7815" s="473"/>
      <c r="G7815" s="473"/>
      <c r="H7815" s="473"/>
      <c r="I7815" s="473"/>
      <c r="J7815" s="473"/>
      <c r="K7815" s="478"/>
      <c r="L7815" s="473"/>
      <c r="M7815" s="473"/>
    </row>
    <row r="7816" spans="5:13">
      <c r="E7816" s="473"/>
      <c r="F7816" s="473"/>
      <c r="G7816" s="473"/>
      <c r="H7816" s="473"/>
      <c r="I7816" s="473"/>
      <c r="J7816" s="473"/>
      <c r="K7816" s="478"/>
      <c r="L7816" s="473"/>
      <c r="M7816" s="473"/>
    </row>
    <row r="7817" spans="5:13">
      <c r="E7817" s="473"/>
      <c r="F7817" s="473"/>
      <c r="G7817" s="473"/>
      <c r="H7817" s="473"/>
      <c r="I7817" s="473"/>
      <c r="J7817" s="473"/>
      <c r="K7817" s="478"/>
      <c r="L7817" s="473"/>
      <c r="M7817" s="473"/>
    </row>
    <row r="7818" spans="5:13">
      <c r="E7818" s="473"/>
      <c r="F7818" s="473"/>
      <c r="G7818" s="473"/>
      <c r="H7818" s="473"/>
      <c r="I7818" s="473"/>
      <c r="J7818" s="473"/>
      <c r="K7818" s="478"/>
      <c r="L7818" s="473"/>
      <c r="M7818" s="473"/>
    </row>
    <row r="7819" spans="5:13">
      <c r="E7819" s="473"/>
      <c r="F7819" s="473"/>
      <c r="G7819" s="473"/>
      <c r="H7819" s="473"/>
      <c r="I7819" s="473"/>
      <c r="J7819" s="473"/>
      <c r="K7819" s="478"/>
      <c r="L7819" s="473"/>
      <c r="M7819" s="473"/>
    </row>
    <row r="7820" spans="5:13">
      <c r="E7820" s="473"/>
      <c r="F7820" s="473"/>
      <c r="G7820" s="473"/>
      <c r="H7820" s="473"/>
      <c r="I7820" s="473"/>
      <c r="J7820" s="473"/>
      <c r="K7820" s="478"/>
      <c r="L7820" s="473"/>
      <c r="M7820" s="473"/>
    </row>
    <row r="7821" spans="5:13">
      <c r="E7821" s="473"/>
      <c r="F7821" s="473"/>
      <c r="G7821" s="473"/>
      <c r="H7821" s="473"/>
      <c r="I7821" s="473"/>
      <c r="J7821" s="473"/>
      <c r="K7821" s="478"/>
      <c r="L7821" s="473"/>
      <c r="M7821" s="473"/>
    </row>
    <row r="7822" spans="5:13">
      <c r="E7822" s="473"/>
      <c r="F7822" s="473"/>
      <c r="G7822" s="473"/>
      <c r="H7822" s="473"/>
      <c r="I7822" s="473"/>
      <c r="J7822" s="473"/>
      <c r="K7822" s="478"/>
      <c r="L7822" s="473"/>
      <c r="M7822" s="473"/>
    </row>
    <row r="7823" spans="5:13">
      <c r="E7823" s="473"/>
      <c r="F7823" s="473"/>
      <c r="G7823" s="473"/>
      <c r="H7823" s="473"/>
      <c r="I7823" s="473"/>
      <c r="J7823" s="473"/>
      <c r="K7823" s="478"/>
      <c r="L7823" s="473"/>
      <c r="M7823" s="473"/>
    </row>
    <row r="7824" spans="5:13">
      <c r="E7824" s="473"/>
      <c r="F7824" s="473"/>
      <c r="G7824" s="473"/>
      <c r="H7824" s="473"/>
      <c r="I7824" s="473"/>
      <c r="J7824" s="473"/>
      <c r="K7824" s="478"/>
      <c r="L7824" s="473"/>
      <c r="M7824" s="473"/>
    </row>
    <row r="7825" spans="5:13">
      <c r="E7825" s="473"/>
      <c r="F7825" s="473"/>
      <c r="G7825" s="473"/>
      <c r="H7825" s="473"/>
      <c r="I7825" s="473"/>
      <c r="J7825" s="473"/>
      <c r="K7825" s="478"/>
      <c r="L7825" s="473"/>
      <c r="M7825" s="473"/>
    </row>
    <row r="7826" spans="5:13">
      <c r="E7826" s="473"/>
      <c r="F7826" s="473"/>
      <c r="G7826" s="473"/>
      <c r="H7826" s="473"/>
      <c r="I7826" s="473"/>
      <c r="J7826" s="473"/>
      <c r="K7826" s="478"/>
      <c r="L7826" s="473"/>
      <c r="M7826" s="473"/>
    </row>
    <row r="7827" spans="5:13">
      <c r="E7827" s="473"/>
      <c r="F7827" s="473"/>
      <c r="G7827" s="473"/>
      <c r="H7827" s="473"/>
      <c r="I7827" s="473"/>
      <c r="J7827" s="473"/>
      <c r="K7827" s="478"/>
      <c r="L7827" s="473"/>
      <c r="M7827" s="473"/>
    </row>
    <row r="7828" spans="5:13">
      <c r="E7828" s="473"/>
      <c r="F7828" s="473"/>
      <c r="G7828" s="473"/>
      <c r="H7828" s="473"/>
      <c r="I7828" s="473"/>
      <c r="J7828" s="473"/>
      <c r="K7828" s="478"/>
      <c r="L7828" s="473"/>
      <c r="M7828" s="473"/>
    </row>
    <row r="7829" spans="5:13">
      <c r="E7829" s="473"/>
      <c r="F7829" s="473"/>
      <c r="G7829" s="473"/>
      <c r="H7829" s="473"/>
      <c r="I7829" s="473"/>
      <c r="J7829" s="473"/>
      <c r="K7829" s="478"/>
      <c r="L7829" s="473"/>
      <c r="M7829" s="473"/>
    </row>
    <row r="7830" spans="5:13">
      <c r="E7830" s="473"/>
      <c r="F7830" s="473"/>
      <c r="G7830" s="473"/>
      <c r="H7830" s="473"/>
      <c r="I7830" s="473"/>
      <c r="J7830" s="473"/>
      <c r="K7830" s="478"/>
      <c r="L7830" s="473"/>
      <c r="M7830" s="473"/>
    </row>
    <row r="7831" spans="5:13">
      <c r="E7831" s="473"/>
      <c r="F7831" s="473"/>
      <c r="G7831" s="473"/>
      <c r="H7831" s="473"/>
      <c r="I7831" s="473"/>
      <c r="J7831" s="473"/>
      <c r="K7831" s="478"/>
      <c r="L7831" s="473"/>
      <c r="M7831" s="473"/>
    </row>
    <row r="7832" spans="5:13">
      <c r="E7832" s="473"/>
      <c r="F7832" s="473"/>
      <c r="G7832" s="473"/>
      <c r="H7832" s="473"/>
      <c r="I7832" s="473"/>
      <c r="J7832" s="473"/>
      <c r="K7832" s="478"/>
      <c r="L7832" s="473"/>
      <c r="M7832" s="473"/>
    </row>
    <row r="7833" spans="5:13">
      <c r="E7833" s="473"/>
      <c r="F7833" s="473"/>
      <c r="G7833" s="473"/>
      <c r="H7833" s="473"/>
      <c r="I7833" s="473"/>
      <c r="J7833" s="473"/>
      <c r="K7833" s="478"/>
      <c r="L7833" s="473"/>
      <c r="M7833" s="473"/>
    </row>
    <row r="7834" spans="5:13">
      <c r="E7834" s="473"/>
      <c r="F7834" s="473"/>
      <c r="G7834" s="473"/>
      <c r="H7834" s="473"/>
      <c r="I7834" s="473"/>
      <c r="J7834" s="473"/>
      <c r="K7834" s="478"/>
      <c r="L7834" s="473"/>
      <c r="M7834" s="473"/>
    </row>
    <row r="7835" spans="5:13">
      <c r="E7835" s="473"/>
      <c r="F7835" s="473"/>
      <c r="G7835" s="473"/>
      <c r="H7835" s="473"/>
      <c r="I7835" s="473"/>
      <c r="J7835" s="473"/>
      <c r="K7835" s="478"/>
      <c r="L7835" s="473"/>
      <c r="M7835" s="473"/>
    </row>
    <row r="7836" spans="5:13">
      <c r="E7836" s="473"/>
      <c r="F7836" s="473"/>
      <c r="G7836" s="473"/>
      <c r="H7836" s="473"/>
      <c r="I7836" s="473"/>
      <c r="J7836" s="473"/>
      <c r="K7836" s="478"/>
      <c r="L7836" s="473"/>
      <c r="M7836" s="473"/>
    </row>
    <row r="7837" spans="5:13">
      <c r="E7837" s="473"/>
      <c r="F7837" s="473"/>
      <c r="G7837" s="473"/>
      <c r="H7837" s="473"/>
      <c r="I7837" s="473"/>
      <c r="J7837" s="473"/>
      <c r="K7837" s="478"/>
      <c r="L7837" s="473"/>
      <c r="M7837" s="473"/>
    </row>
    <row r="7838" spans="5:13">
      <c r="E7838" s="473"/>
      <c r="F7838" s="473"/>
      <c r="G7838" s="473"/>
      <c r="H7838" s="473"/>
      <c r="I7838" s="473"/>
      <c r="J7838" s="473"/>
      <c r="K7838" s="478"/>
      <c r="L7838" s="473"/>
      <c r="M7838" s="473"/>
    </row>
    <row r="7839" spans="5:13">
      <c r="E7839" s="473"/>
      <c r="F7839" s="473"/>
      <c r="G7839" s="473"/>
      <c r="H7839" s="473"/>
      <c r="I7839" s="473"/>
      <c r="J7839" s="473"/>
      <c r="K7839" s="478"/>
      <c r="L7839" s="473"/>
      <c r="M7839" s="473"/>
    </row>
    <row r="7840" spans="5:13">
      <c r="E7840" s="473"/>
      <c r="F7840" s="473"/>
      <c r="G7840" s="473"/>
      <c r="H7840" s="473"/>
      <c r="I7840" s="473"/>
      <c r="J7840" s="473"/>
      <c r="K7840" s="478"/>
      <c r="L7840" s="473"/>
      <c r="M7840" s="473"/>
    </row>
    <row r="7841" spans="5:13">
      <c r="E7841" s="473"/>
      <c r="F7841" s="473"/>
      <c r="G7841" s="473"/>
      <c r="H7841" s="473"/>
      <c r="I7841" s="473"/>
      <c r="J7841" s="473"/>
      <c r="K7841" s="478"/>
      <c r="L7841" s="473"/>
      <c r="M7841" s="473"/>
    </row>
    <row r="7842" spans="5:13">
      <c r="E7842" s="473"/>
      <c r="F7842" s="473"/>
      <c r="G7842" s="473"/>
      <c r="H7842" s="473"/>
      <c r="I7842" s="473"/>
      <c r="J7842" s="473"/>
      <c r="K7842" s="478"/>
      <c r="L7842" s="473"/>
      <c r="M7842" s="473"/>
    </row>
    <row r="7843" spans="5:13">
      <c r="E7843" s="473"/>
      <c r="F7843" s="473"/>
      <c r="G7843" s="473"/>
      <c r="H7843" s="473"/>
      <c r="I7843" s="473"/>
      <c r="J7843" s="473"/>
      <c r="K7843" s="478"/>
      <c r="L7843" s="473"/>
      <c r="M7843" s="473"/>
    </row>
    <row r="7844" spans="5:13">
      <c r="E7844" s="473"/>
      <c r="F7844" s="473"/>
      <c r="G7844" s="473"/>
      <c r="H7844" s="473"/>
      <c r="I7844" s="473"/>
      <c r="J7844" s="473"/>
      <c r="K7844" s="478"/>
      <c r="L7844" s="473"/>
      <c r="M7844" s="473"/>
    </row>
    <row r="7845" spans="5:13">
      <c r="E7845" s="473"/>
      <c r="F7845" s="473"/>
      <c r="G7845" s="473"/>
      <c r="H7845" s="473"/>
      <c r="I7845" s="473"/>
      <c r="J7845" s="473"/>
      <c r="K7845" s="478"/>
      <c r="L7845" s="473"/>
      <c r="M7845" s="473"/>
    </row>
    <row r="7846" spans="5:13">
      <c r="E7846" s="473"/>
      <c r="F7846" s="473"/>
      <c r="G7846" s="473"/>
      <c r="H7846" s="473"/>
      <c r="I7846" s="473"/>
      <c r="J7846" s="473"/>
      <c r="K7846" s="478"/>
      <c r="L7846" s="473"/>
      <c r="M7846" s="473"/>
    </row>
    <row r="7847" spans="5:13">
      <c r="E7847" s="473"/>
      <c r="F7847" s="473"/>
      <c r="G7847" s="473"/>
      <c r="H7847" s="473"/>
      <c r="I7847" s="473"/>
      <c r="J7847" s="473"/>
      <c r="K7847" s="478"/>
      <c r="L7847" s="473"/>
      <c r="M7847" s="473"/>
    </row>
    <row r="7848" spans="5:13">
      <c r="E7848" s="473"/>
      <c r="F7848" s="473"/>
      <c r="G7848" s="473"/>
      <c r="H7848" s="473"/>
      <c r="I7848" s="473"/>
      <c r="J7848" s="473"/>
      <c r="K7848" s="478"/>
      <c r="L7848" s="473"/>
      <c r="M7848" s="473"/>
    </row>
    <row r="7849" spans="5:13">
      <c r="E7849" s="473"/>
      <c r="F7849" s="473"/>
      <c r="G7849" s="473"/>
      <c r="H7849" s="473"/>
      <c r="I7849" s="473"/>
      <c r="J7849" s="473"/>
      <c r="K7849" s="478"/>
      <c r="L7849" s="473"/>
      <c r="M7849" s="473"/>
    </row>
    <row r="7850" spans="5:13">
      <c r="E7850" s="473"/>
      <c r="F7850" s="473"/>
      <c r="G7850" s="473"/>
      <c r="H7850" s="473"/>
      <c r="I7850" s="473"/>
      <c r="J7850" s="473"/>
      <c r="K7850" s="478"/>
      <c r="L7850" s="473"/>
      <c r="M7850" s="473"/>
    </row>
    <row r="7851" spans="5:13">
      <c r="E7851" s="473"/>
      <c r="F7851" s="473"/>
      <c r="G7851" s="473"/>
      <c r="H7851" s="473"/>
      <c r="I7851" s="473"/>
      <c r="J7851" s="473"/>
      <c r="K7851" s="478"/>
      <c r="L7851" s="473"/>
      <c r="M7851" s="473"/>
    </row>
    <row r="7852" spans="5:13">
      <c r="E7852" s="473"/>
      <c r="F7852" s="473"/>
      <c r="G7852" s="473"/>
      <c r="H7852" s="473"/>
      <c r="I7852" s="473"/>
      <c r="J7852" s="473"/>
      <c r="K7852" s="478"/>
      <c r="L7852" s="473"/>
      <c r="M7852" s="473"/>
    </row>
    <row r="7853" spans="5:13">
      <c r="E7853" s="473"/>
      <c r="F7853" s="473"/>
      <c r="G7853" s="473"/>
      <c r="H7853" s="473"/>
      <c r="I7853" s="473"/>
      <c r="J7853" s="473"/>
      <c r="K7853" s="478"/>
      <c r="L7853" s="473"/>
      <c r="M7853" s="473"/>
    </row>
    <row r="7854" spans="5:13">
      <c r="E7854" s="473"/>
      <c r="F7854" s="473"/>
      <c r="G7854" s="473"/>
      <c r="H7854" s="473"/>
      <c r="I7854" s="473"/>
      <c r="J7854" s="473"/>
      <c r="K7854" s="478"/>
      <c r="L7854" s="473"/>
      <c r="M7854" s="473"/>
    </row>
    <row r="7855" spans="5:13">
      <c r="E7855" s="473"/>
      <c r="F7855" s="473"/>
      <c r="G7855" s="473"/>
      <c r="H7855" s="473"/>
      <c r="I7855" s="473"/>
      <c r="J7855" s="473"/>
      <c r="K7855" s="478"/>
      <c r="L7855" s="473"/>
      <c r="M7855" s="473"/>
    </row>
    <row r="7856" spans="5:13">
      <c r="E7856" s="473"/>
      <c r="F7856" s="473"/>
      <c r="G7856" s="473"/>
      <c r="H7856" s="473"/>
      <c r="I7856" s="473"/>
      <c r="J7856" s="473"/>
      <c r="K7856" s="478"/>
      <c r="L7856" s="473"/>
      <c r="M7856" s="473"/>
    </row>
    <row r="7857" spans="5:13">
      <c r="E7857" s="473"/>
      <c r="F7857" s="473"/>
      <c r="G7857" s="473"/>
      <c r="H7857" s="473"/>
      <c r="I7857" s="473"/>
      <c r="J7857" s="473"/>
      <c r="K7857" s="478"/>
      <c r="L7857" s="473"/>
      <c r="M7857" s="473"/>
    </row>
    <row r="7858" spans="5:13">
      <c r="E7858" s="473"/>
      <c r="F7858" s="473"/>
      <c r="G7858" s="473"/>
      <c r="H7858" s="473"/>
      <c r="I7858" s="473"/>
      <c r="J7858" s="473"/>
      <c r="K7858" s="478"/>
      <c r="L7858" s="473"/>
      <c r="M7858" s="473"/>
    </row>
    <row r="7859" spans="5:13">
      <c r="E7859" s="473"/>
      <c r="F7859" s="473"/>
      <c r="G7859" s="473"/>
      <c r="H7859" s="473"/>
      <c r="I7859" s="473"/>
      <c r="J7859" s="473"/>
      <c r="K7859" s="478"/>
      <c r="L7859" s="473"/>
      <c r="M7859" s="473"/>
    </row>
    <row r="7860" spans="5:13">
      <c r="E7860" s="473"/>
      <c r="F7860" s="473"/>
      <c r="G7860" s="473"/>
      <c r="H7860" s="473"/>
      <c r="I7860" s="473"/>
      <c r="J7860" s="473"/>
      <c r="K7860" s="478"/>
      <c r="L7860" s="473"/>
      <c r="M7860" s="473"/>
    </row>
    <row r="7861" spans="5:13">
      <c r="E7861" s="473"/>
      <c r="F7861" s="473"/>
      <c r="G7861" s="473"/>
      <c r="H7861" s="473"/>
      <c r="I7861" s="473"/>
      <c r="J7861" s="473"/>
      <c r="K7861" s="478"/>
      <c r="L7861" s="473"/>
      <c r="M7861" s="473"/>
    </row>
    <row r="7862" spans="5:13">
      <c r="E7862" s="473"/>
      <c r="F7862" s="473"/>
      <c r="G7862" s="473"/>
      <c r="H7862" s="473"/>
      <c r="I7862" s="473"/>
      <c r="J7862" s="473"/>
      <c r="K7862" s="478"/>
      <c r="L7862" s="473"/>
      <c r="M7862" s="473"/>
    </row>
    <row r="7863" spans="5:13">
      <c r="E7863" s="473"/>
      <c r="F7863" s="473"/>
      <c r="G7863" s="473"/>
      <c r="H7863" s="473"/>
      <c r="I7863" s="473"/>
      <c r="J7863" s="473"/>
      <c r="K7863" s="478"/>
      <c r="L7863" s="473"/>
      <c r="M7863" s="473"/>
    </row>
    <row r="7864" spans="5:13">
      <c r="E7864" s="473"/>
      <c r="F7864" s="473"/>
      <c r="G7864" s="473"/>
      <c r="H7864" s="473"/>
      <c r="I7864" s="473"/>
      <c r="J7864" s="473"/>
      <c r="K7864" s="478"/>
      <c r="L7864" s="473"/>
      <c r="M7864" s="473"/>
    </row>
    <row r="7865" spans="5:13">
      <c r="E7865" s="473"/>
      <c r="F7865" s="473"/>
      <c r="G7865" s="473"/>
      <c r="H7865" s="473"/>
      <c r="I7865" s="473"/>
      <c r="J7865" s="473"/>
      <c r="K7865" s="478"/>
      <c r="L7865" s="473"/>
      <c r="M7865" s="473"/>
    </row>
    <row r="7866" spans="5:13">
      <c r="E7866" s="473"/>
      <c r="F7866" s="473"/>
      <c r="G7866" s="473"/>
      <c r="H7866" s="473"/>
      <c r="I7866" s="473"/>
      <c r="J7866" s="473"/>
      <c r="K7866" s="478"/>
      <c r="L7866" s="473"/>
      <c r="M7866" s="473"/>
    </row>
    <row r="7867" spans="5:13">
      <c r="E7867" s="473"/>
      <c r="F7867" s="473"/>
      <c r="G7867" s="473"/>
      <c r="H7867" s="473"/>
      <c r="I7867" s="473"/>
      <c r="J7867" s="473"/>
      <c r="K7867" s="478"/>
      <c r="L7867" s="473"/>
      <c r="M7867" s="473"/>
    </row>
    <row r="7868" spans="5:13">
      <c r="E7868" s="473"/>
      <c r="F7868" s="473"/>
      <c r="G7868" s="473"/>
      <c r="H7868" s="473"/>
      <c r="I7868" s="473"/>
      <c r="J7868" s="473"/>
      <c r="K7868" s="478"/>
      <c r="L7868" s="473"/>
      <c r="M7868" s="473"/>
    </row>
    <row r="7869" spans="5:13">
      <c r="E7869" s="473"/>
      <c r="F7869" s="473"/>
      <c r="G7869" s="473"/>
      <c r="H7869" s="473"/>
      <c r="I7869" s="473"/>
      <c r="J7869" s="473"/>
      <c r="K7869" s="478"/>
      <c r="L7869" s="473"/>
      <c r="M7869" s="473"/>
    </row>
    <row r="7870" spans="5:13">
      <c r="E7870" s="473"/>
      <c r="F7870" s="473"/>
      <c r="G7870" s="473"/>
      <c r="H7870" s="473"/>
      <c r="I7870" s="473"/>
      <c r="J7870" s="473"/>
      <c r="K7870" s="478"/>
      <c r="L7870" s="473"/>
      <c r="M7870" s="473"/>
    </row>
    <row r="7871" spans="5:13">
      <c r="E7871" s="473"/>
      <c r="F7871" s="473"/>
      <c r="G7871" s="473"/>
      <c r="H7871" s="473"/>
      <c r="I7871" s="473"/>
      <c r="J7871" s="473"/>
      <c r="K7871" s="478"/>
      <c r="L7871" s="473"/>
      <c r="M7871" s="473"/>
    </row>
    <row r="7872" spans="5:13">
      <c r="E7872" s="473"/>
      <c r="F7872" s="473"/>
      <c r="G7872" s="473"/>
      <c r="H7872" s="473"/>
      <c r="I7872" s="473"/>
      <c r="J7872" s="473"/>
      <c r="K7872" s="478"/>
      <c r="L7872" s="473"/>
      <c r="M7872" s="473"/>
    </row>
    <row r="7873" spans="5:13">
      <c r="E7873" s="473"/>
      <c r="F7873" s="473"/>
      <c r="G7873" s="473"/>
      <c r="H7873" s="473"/>
      <c r="I7873" s="473"/>
      <c r="J7873" s="473"/>
      <c r="K7873" s="478"/>
      <c r="L7873" s="473"/>
      <c r="M7873" s="473"/>
    </row>
    <row r="7874" spans="5:13">
      <c r="E7874" s="473"/>
      <c r="F7874" s="473"/>
      <c r="G7874" s="473"/>
      <c r="H7874" s="473"/>
      <c r="I7874" s="473"/>
      <c r="J7874" s="473"/>
      <c r="K7874" s="478"/>
      <c r="L7874" s="473"/>
      <c r="M7874" s="473"/>
    </row>
    <row r="7875" spans="5:13">
      <c r="E7875" s="473"/>
      <c r="F7875" s="473"/>
      <c r="G7875" s="473"/>
      <c r="H7875" s="473"/>
      <c r="I7875" s="473"/>
      <c r="J7875" s="473"/>
      <c r="K7875" s="478"/>
      <c r="L7875" s="473"/>
      <c r="M7875" s="473"/>
    </row>
    <row r="7876" spans="5:13">
      <c r="E7876" s="473"/>
      <c r="F7876" s="473"/>
      <c r="G7876" s="473"/>
      <c r="H7876" s="473"/>
      <c r="I7876" s="473"/>
      <c r="J7876" s="473"/>
      <c r="K7876" s="478"/>
      <c r="L7876" s="473"/>
      <c r="M7876" s="473"/>
    </row>
    <row r="7877" spans="5:13">
      <c r="E7877" s="473"/>
      <c r="F7877" s="473"/>
      <c r="G7877" s="473"/>
      <c r="H7877" s="473"/>
      <c r="I7877" s="473"/>
      <c r="J7877" s="473"/>
      <c r="K7877" s="478"/>
      <c r="L7877" s="473"/>
      <c r="M7877" s="473"/>
    </row>
    <row r="7878" spans="5:13">
      <c r="E7878" s="473"/>
      <c r="F7878" s="473"/>
      <c r="G7878" s="473"/>
      <c r="H7878" s="473"/>
      <c r="I7878" s="473"/>
      <c r="J7878" s="473"/>
      <c r="K7878" s="478"/>
      <c r="L7878" s="473"/>
      <c r="M7878" s="473"/>
    </row>
    <row r="7879" spans="5:13">
      <c r="E7879" s="473"/>
      <c r="F7879" s="473"/>
      <c r="G7879" s="473"/>
      <c r="H7879" s="473"/>
      <c r="I7879" s="473"/>
      <c r="J7879" s="473"/>
      <c r="K7879" s="478"/>
      <c r="L7879" s="473"/>
      <c r="M7879" s="473"/>
    </row>
    <row r="7880" spans="5:13">
      <c r="E7880" s="473"/>
      <c r="F7880" s="473"/>
      <c r="G7880" s="473"/>
      <c r="H7880" s="473"/>
      <c r="I7880" s="473"/>
      <c r="J7880" s="473"/>
      <c r="K7880" s="478"/>
      <c r="L7880" s="473"/>
      <c r="M7880" s="473"/>
    </row>
    <row r="7881" spans="5:13">
      <c r="E7881" s="473"/>
      <c r="F7881" s="473"/>
      <c r="G7881" s="473"/>
      <c r="H7881" s="473"/>
      <c r="I7881" s="473"/>
      <c r="J7881" s="473"/>
      <c r="K7881" s="478"/>
      <c r="L7881" s="473"/>
      <c r="M7881" s="473"/>
    </row>
    <row r="7882" spans="5:13">
      <c r="E7882" s="473"/>
      <c r="F7882" s="473"/>
      <c r="G7882" s="473"/>
      <c r="H7882" s="473"/>
      <c r="I7882" s="473"/>
      <c r="J7882" s="473"/>
      <c r="K7882" s="478"/>
      <c r="L7882" s="473"/>
      <c r="M7882" s="473"/>
    </row>
    <row r="7883" spans="5:13">
      <c r="E7883" s="473"/>
      <c r="F7883" s="473"/>
      <c r="G7883" s="473"/>
      <c r="H7883" s="473"/>
      <c r="I7883" s="473"/>
      <c r="J7883" s="473"/>
      <c r="K7883" s="478"/>
      <c r="L7883" s="473"/>
      <c r="M7883" s="473"/>
    </row>
    <row r="7884" spans="5:13">
      <c r="E7884" s="473"/>
      <c r="F7884" s="473"/>
      <c r="G7884" s="473"/>
      <c r="H7884" s="473"/>
      <c r="I7884" s="473"/>
      <c r="J7884" s="473"/>
      <c r="K7884" s="478"/>
      <c r="L7884" s="473"/>
      <c r="M7884" s="473"/>
    </row>
    <row r="7885" spans="5:13">
      <c r="E7885" s="473"/>
      <c r="F7885" s="473"/>
      <c r="G7885" s="473"/>
      <c r="H7885" s="473"/>
      <c r="I7885" s="473"/>
      <c r="J7885" s="473"/>
      <c r="K7885" s="478"/>
      <c r="L7885" s="473"/>
      <c r="M7885" s="473"/>
    </row>
    <row r="7886" spans="5:13">
      <c r="E7886" s="473"/>
      <c r="F7886" s="473"/>
      <c r="G7886" s="473"/>
      <c r="H7886" s="473"/>
      <c r="I7886" s="473"/>
      <c r="J7886" s="473"/>
      <c r="K7886" s="478"/>
      <c r="L7886" s="473"/>
      <c r="M7886" s="473"/>
    </row>
    <row r="7887" spans="5:13">
      <c r="E7887" s="473"/>
      <c r="F7887" s="473"/>
      <c r="G7887" s="473"/>
      <c r="H7887" s="473"/>
      <c r="I7887" s="473"/>
      <c r="J7887" s="473"/>
      <c r="K7887" s="478"/>
      <c r="L7887" s="473"/>
      <c r="M7887" s="473"/>
    </row>
    <row r="7888" spans="5:13">
      <c r="E7888" s="473"/>
      <c r="F7888" s="473"/>
      <c r="G7888" s="473"/>
      <c r="H7888" s="473"/>
      <c r="I7888" s="473"/>
      <c r="J7888" s="473"/>
      <c r="K7888" s="478"/>
      <c r="L7888" s="473"/>
      <c r="M7888" s="473"/>
    </row>
    <row r="7889" spans="5:13">
      <c r="E7889" s="473"/>
      <c r="F7889" s="473"/>
      <c r="G7889" s="473"/>
      <c r="H7889" s="473"/>
      <c r="I7889" s="473"/>
      <c r="J7889" s="473"/>
      <c r="K7889" s="478"/>
      <c r="L7889" s="473"/>
      <c r="M7889" s="473"/>
    </row>
    <row r="7890" spans="5:13">
      <c r="E7890" s="473"/>
      <c r="F7890" s="473"/>
      <c r="G7890" s="473"/>
      <c r="H7890" s="473"/>
      <c r="I7890" s="473"/>
      <c r="J7890" s="473"/>
      <c r="K7890" s="478"/>
      <c r="L7890" s="473"/>
      <c r="M7890" s="473"/>
    </row>
    <row r="7891" spans="5:13">
      <c r="E7891" s="473"/>
      <c r="F7891" s="473"/>
      <c r="G7891" s="473"/>
      <c r="H7891" s="473"/>
      <c r="I7891" s="473"/>
      <c r="J7891" s="473"/>
      <c r="K7891" s="478"/>
      <c r="L7891" s="473"/>
      <c r="M7891" s="473"/>
    </row>
    <row r="7892" spans="5:13">
      <c r="E7892" s="473"/>
      <c r="F7892" s="473"/>
      <c r="G7892" s="473"/>
      <c r="H7892" s="473"/>
      <c r="I7892" s="473"/>
      <c r="J7892" s="473"/>
      <c r="K7892" s="478"/>
      <c r="L7892" s="473"/>
      <c r="M7892" s="473"/>
    </row>
    <row r="7893" spans="5:13">
      <c r="E7893" s="473"/>
      <c r="F7893" s="473"/>
      <c r="G7893" s="473"/>
      <c r="H7893" s="473"/>
      <c r="I7893" s="473"/>
      <c r="J7893" s="473"/>
      <c r="K7893" s="478"/>
      <c r="L7893" s="473"/>
      <c r="M7893" s="473"/>
    </row>
    <row r="7894" spans="5:13">
      <c r="E7894" s="473"/>
      <c r="F7894" s="473"/>
      <c r="G7894" s="473"/>
      <c r="H7894" s="473"/>
      <c r="I7894" s="473"/>
      <c r="J7894" s="473"/>
      <c r="K7894" s="478"/>
      <c r="L7894" s="473"/>
      <c r="M7894" s="473"/>
    </row>
    <row r="7895" spans="5:13">
      <c r="E7895" s="473"/>
      <c r="F7895" s="473"/>
      <c r="G7895" s="473"/>
      <c r="H7895" s="473"/>
      <c r="I7895" s="473"/>
      <c r="J7895" s="473"/>
      <c r="K7895" s="478"/>
      <c r="L7895" s="473"/>
      <c r="M7895" s="473"/>
    </row>
    <row r="7896" spans="5:13">
      <c r="E7896" s="473"/>
      <c r="F7896" s="473"/>
      <c r="G7896" s="473"/>
      <c r="H7896" s="473"/>
      <c r="I7896" s="473"/>
      <c r="J7896" s="473"/>
      <c r="K7896" s="478"/>
      <c r="L7896" s="473"/>
      <c r="M7896" s="473"/>
    </row>
    <row r="7897" spans="5:13">
      <c r="E7897" s="473"/>
      <c r="F7897" s="473"/>
      <c r="G7897" s="473"/>
      <c r="H7897" s="473"/>
      <c r="I7897" s="473"/>
      <c r="J7897" s="473"/>
      <c r="K7897" s="478"/>
      <c r="L7897" s="473"/>
      <c r="M7897" s="473"/>
    </row>
    <row r="7898" spans="5:13">
      <c r="E7898" s="473"/>
      <c r="F7898" s="473"/>
      <c r="G7898" s="473"/>
      <c r="H7898" s="473"/>
      <c r="I7898" s="473"/>
      <c r="J7898" s="473"/>
      <c r="K7898" s="478"/>
      <c r="L7898" s="473"/>
      <c r="M7898" s="473"/>
    </row>
    <row r="7899" spans="5:13">
      <c r="E7899" s="473"/>
      <c r="F7899" s="473"/>
      <c r="G7899" s="473"/>
      <c r="H7899" s="473"/>
      <c r="I7899" s="473"/>
      <c r="J7899" s="473"/>
      <c r="K7899" s="478"/>
      <c r="L7899" s="473"/>
      <c r="M7899" s="473"/>
    </row>
    <row r="7900" spans="5:13">
      <c r="H7900" s="394"/>
    </row>
    <row r="7901" spans="5:13">
      <c r="H7901" s="394"/>
    </row>
    <row r="7902" spans="5:13">
      <c r="H7902" s="394"/>
    </row>
    <row r="7903" spans="5:13">
      <c r="H7903" s="394"/>
    </row>
    <row r="7904" spans="5:13">
      <c r="H7904" s="394"/>
    </row>
    <row r="7905" spans="8:8">
      <c r="H7905" s="394"/>
    </row>
    <row r="7906" spans="8:8">
      <c r="H7906" s="394"/>
    </row>
    <row r="7907" spans="8:8">
      <c r="H7907" s="394"/>
    </row>
    <row r="7908" spans="8:8">
      <c r="H7908" s="394"/>
    </row>
    <row r="7909" spans="8:8">
      <c r="H7909" s="394"/>
    </row>
    <row r="7910" spans="8:8">
      <c r="H7910" s="394"/>
    </row>
    <row r="7911" spans="8:8">
      <c r="H7911" s="394"/>
    </row>
    <row r="7912" spans="8:8">
      <c r="H7912" s="394"/>
    </row>
    <row r="7913" spans="8:8">
      <c r="H7913" s="394"/>
    </row>
    <row r="7914" spans="8:8">
      <c r="H7914" s="394"/>
    </row>
    <row r="7915" spans="8:8">
      <c r="H7915" s="394"/>
    </row>
    <row r="7916" spans="8:8">
      <c r="H7916" s="394"/>
    </row>
    <row r="7917" spans="8:8">
      <c r="H7917" s="394"/>
    </row>
    <row r="7918" spans="8:8">
      <c r="H7918" s="394"/>
    </row>
    <row r="7919" spans="8:8">
      <c r="H7919" s="394"/>
    </row>
    <row r="7920" spans="8:8">
      <c r="H7920" s="394"/>
    </row>
    <row r="7921" spans="8:8">
      <c r="H7921" s="394"/>
    </row>
    <row r="7922" spans="8:8">
      <c r="H7922" s="394"/>
    </row>
    <row r="7923" spans="8:8">
      <c r="H7923" s="394"/>
    </row>
    <row r="7924" spans="8:8">
      <c r="H7924" s="394"/>
    </row>
    <row r="7925" spans="8:8">
      <c r="H7925" s="394"/>
    </row>
    <row r="7926" spans="8:8">
      <c r="H7926" s="394"/>
    </row>
    <row r="7927" spans="8:8">
      <c r="H7927" s="394"/>
    </row>
    <row r="7928" spans="8:8">
      <c r="H7928" s="394"/>
    </row>
    <row r="7929" spans="8:8">
      <c r="H7929" s="394"/>
    </row>
    <row r="7930" spans="8:8">
      <c r="H7930" s="394"/>
    </row>
    <row r="7931" spans="8:8">
      <c r="H7931" s="394"/>
    </row>
    <row r="7932" spans="8:8">
      <c r="H7932" s="394"/>
    </row>
    <row r="7933" spans="8:8">
      <c r="H7933" s="394"/>
    </row>
    <row r="7934" spans="8:8">
      <c r="H7934" s="394"/>
    </row>
    <row r="7935" spans="8:8">
      <c r="H7935" s="394"/>
    </row>
    <row r="7936" spans="8:8">
      <c r="H7936" s="394"/>
    </row>
    <row r="7937" spans="8:8">
      <c r="H7937" s="394"/>
    </row>
    <row r="7938" spans="8:8">
      <c r="H7938" s="394"/>
    </row>
    <row r="7939" spans="8:8">
      <c r="H7939" s="394"/>
    </row>
    <row r="7940" spans="8:8">
      <c r="H7940" s="394"/>
    </row>
    <row r="7941" spans="8:8">
      <c r="H7941" s="394"/>
    </row>
    <row r="7942" spans="8:8">
      <c r="H7942" s="394"/>
    </row>
    <row r="7943" spans="8:8">
      <c r="H7943" s="394"/>
    </row>
    <row r="7944" spans="8:8">
      <c r="H7944" s="394"/>
    </row>
    <row r="7945" spans="8:8">
      <c r="H7945" s="394"/>
    </row>
    <row r="7946" spans="8:8">
      <c r="H7946" s="394"/>
    </row>
    <row r="7947" spans="8:8">
      <c r="H7947" s="394"/>
    </row>
    <row r="7948" spans="8:8">
      <c r="H7948" s="394"/>
    </row>
    <row r="7949" spans="8:8">
      <c r="H7949" s="394"/>
    </row>
    <row r="7950" spans="8:8">
      <c r="H7950" s="394"/>
    </row>
    <row r="7951" spans="8:8">
      <c r="H7951" s="394"/>
    </row>
    <row r="7952" spans="8:8">
      <c r="H7952" s="394"/>
    </row>
    <row r="7953" spans="8:8">
      <c r="H7953" s="394"/>
    </row>
    <row r="7954" spans="8:8">
      <c r="H7954" s="394"/>
    </row>
    <row r="7955" spans="8:8">
      <c r="H7955" s="394"/>
    </row>
    <row r="7956" spans="8:8">
      <c r="H7956" s="394"/>
    </row>
    <row r="7957" spans="8:8">
      <c r="H7957" s="394"/>
    </row>
    <row r="7958" spans="8:8">
      <c r="H7958" s="394"/>
    </row>
    <row r="7959" spans="8:8">
      <c r="H7959" s="394"/>
    </row>
    <row r="7960" spans="8:8">
      <c r="H7960" s="394"/>
    </row>
    <row r="7961" spans="8:8">
      <c r="H7961" s="394"/>
    </row>
    <row r="7962" spans="8:8">
      <c r="H7962" s="394"/>
    </row>
    <row r="7963" spans="8:8">
      <c r="H7963" s="394"/>
    </row>
    <row r="7964" spans="8:8">
      <c r="H7964" s="394"/>
    </row>
    <row r="7965" spans="8:8">
      <c r="H7965" s="394"/>
    </row>
    <row r="7966" spans="8:8">
      <c r="H7966" s="394"/>
    </row>
    <row r="7967" spans="8:8">
      <c r="H7967" s="394"/>
    </row>
    <row r="7968" spans="8:8">
      <c r="H7968" s="394"/>
    </row>
    <row r="7969" spans="8:8">
      <c r="H7969" s="394"/>
    </row>
    <row r="7970" spans="8:8">
      <c r="H7970" s="394"/>
    </row>
    <row r="7971" spans="8:8">
      <c r="H7971" s="394"/>
    </row>
    <row r="7972" spans="8:8">
      <c r="H7972" s="394"/>
    </row>
    <row r="7973" spans="8:8">
      <c r="H7973" s="394"/>
    </row>
    <row r="7974" spans="8:8">
      <c r="H7974" s="394"/>
    </row>
    <row r="7975" spans="8:8">
      <c r="H7975" s="394"/>
    </row>
    <row r="7976" spans="8:8">
      <c r="H7976" s="394"/>
    </row>
    <row r="7977" spans="8:8">
      <c r="H7977" s="394"/>
    </row>
    <row r="7978" spans="8:8">
      <c r="H7978" s="394"/>
    </row>
    <row r="7979" spans="8:8">
      <c r="H7979" s="394"/>
    </row>
    <row r="7980" spans="8:8">
      <c r="H7980" s="394"/>
    </row>
    <row r="7981" spans="8:8">
      <c r="H7981" s="394"/>
    </row>
    <row r="7982" spans="8:8">
      <c r="H7982" s="394"/>
    </row>
    <row r="7983" spans="8:8">
      <c r="H7983" s="394"/>
    </row>
    <row r="7984" spans="8:8">
      <c r="H7984" s="394"/>
    </row>
    <row r="7985" spans="8:8">
      <c r="H7985" s="394"/>
    </row>
    <row r="7986" spans="8:8">
      <c r="H7986" s="394"/>
    </row>
    <row r="7987" spans="8:8">
      <c r="H7987" s="394"/>
    </row>
    <row r="7988" spans="8:8">
      <c r="H7988" s="394"/>
    </row>
    <row r="7989" spans="8:8">
      <c r="H7989" s="394"/>
    </row>
    <row r="7990" spans="8:8">
      <c r="H7990" s="394"/>
    </row>
    <row r="7991" spans="8:8">
      <c r="H7991" s="394"/>
    </row>
    <row r="7992" spans="8:8">
      <c r="H7992" s="394"/>
    </row>
    <row r="7993" spans="8:8">
      <c r="H7993" s="394"/>
    </row>
    <row r="7994" spans="8:8">
      <c r="H7994" s="394"/>
    </row>
    <row r="7995" spans="8:8">
      <c r="H7995" s="394"/>
    </row>
    <row r="7996" spans="8:8">
      <c r="H7996" s="394"/>
    </row>
    <row r="7997" spans="8:8">
      <c r="H7997" s="394"/>
    </row>
    <row r="7998" spans="8:8">
      <c r="H7998" s="394"/>
    </row>
    <row r="7999" spans="8:8">
      <c r="H7999" s="394"/>
    </row>
    <row r="8000" spans="8:8">
      <c r="H8000" s="394"/>
    </row>
    <row r="8001" spans="8:8">
      <c r="H8001" s="394"/>
    </row>
    <row r="8002" spans="8:8">
      <c r="H8002" s="394"/>
    </row>
    <row r="8003" spans="8:8">
      <c r="H8003" s="394"/>
    </row>
    <row r="8004" spans="8:8">
      <c r="H8004" s="394"/>
    </row>
    <row r="8005" spans="8:8">
      <c r="H8005" s="394"/>
    </row>
    <row r="8006" spans="8:8">
      <c r="H8006" s="394"/>
    </row>
    <row r="8007" spans="8:8">
      <c r="H8007" s="394"/>
    </row>
    <row r="8008" spans="8:8">
      <c r="H8008" s="394"/>
    </row>
    <row r="8009" spans="8:8">
      <c r="H8009" s="394"/>
    </row>
    <row r="8010" spans="8:8">
      <c r="H8010" s="394"/>
    </row>
    <row r="8011" spans="8:8">
      <c r="H8011" s="394"/>
    </row>
    <row r="8012" spans="8:8">
      <c r="H8012" s="394"/>
    </row>
    <row r="8013" spans="8:8">
      <c r="H8013" s="394"/>
    </row>
    <row r="8014" spans="8:8">
      <c r="H8014" s="394"/>
    </row>
    <row r="8015" spans="8:8">
      <c r="H8015" s="394"/>
    </row>
    <row r="8016" spans="8:8">
      <c r="H8016" s="394"/>
    </row>
    <row r="8017" spans="8:8">
      <c r="H8017" s="394"/>
    </row>
    <row r="8018" spans="8:8">
      <c r="H8018" s="394"/>
    </row>
    <row r="8019" spans="8:8">
      <c r="H8019" s="394"/>
    </row>
    <row r="8020" spans="8:8">
      <c r="H8020" s="394"/>
    </row>
    <row r="8021" spans="8:8">
      <c r="H8021" s="394"/>
    </row>
    <row r="8022" spans="8:8">
      <c r="H8022" s="394"/>
    </row>
    <row r="8023" spans="8:8">
      <c r="H8023" s="394"/>
    </row>
    <row r="8024" spans="8:8">
      <c r="H8024" s="394"/>
    </row>
    <row r="8025" spans="8:8">
      <c r="H8025" s="394"/>
    </row>
    <row r="8026" spans="8:8">
      <c r="H8026" s="394"/>
    </row>
    <row r="8027" spans="8:8">
      <c r="H8027" s="394"/>
    </row>
    <row r="8028" spans="8:8">
      <c r="H8028" s="394"/>
    </row>
    <row r="8029" spans="8:8">
      <c r="H8029" s="394"/>
    </row>
    <row r="8030" spans="8:8">
      <c r="H8030" s="394"/>
    </row>
    <row r="8031" spans="8:8">
      <c r="H8031" s="394"/>
    </row>
    <row r="8032" spans="8:8">
      <c r="H8032" s="394"/>
    </row>
    <row r="8033" spans="8:8">
      <c r="H8033" s="394"/>
    </row>
    <row r="8034" spans="8:8">
      <c r="H8034" s="394"/>
    </row>
    <row r="8035" spans="8:8">
      <c r="H8035" s="394"/>
    </row>
    <row r="8036" spans="8:8">
      <c r="H8036" s="394"/>
    </row>
    <row r="8037" spans="8:8">
      <c r="H8037" s="394"/>
    </row>
    <row r="8038" spans="8:8">
      <c r="H8038" s="394"/>
    </row>
    <row r="8039" spans="8:8">
      <c r="H8039" s="394"/>
    </row>
    <row r="8040" spans="8:8">
      <c r="H8040" s="394"/>
    </row>
    <row r="8041" spans="8:8">
      <c r="H8041" s="394"/>
    </row>
    <row r="8042" spans="8:8">
      <c r="H8042" s="394"/>
    </row>
    <row r="8043" spans="8:8">
      <c r="H8043" s="394"/>
    </row>
    <row r="8044" spans="8:8">
      <c r="H8044" s="394"/>
    </row>
    <row r="8045" spans="8:8">
      <c r="H8045" s="394"/>
    </row>
    <row r="8046" spans="8:8">
      <c r="H8046" s="394"/>
    </row>
    <row r="8047" spans="8:8">
      <c r="H8047" s="394"/>
    </row>
    <row r="8048" spans="8:8">
      <c r="H8048" s="394"/>
    </row>
    <row r="8049" spans="8:8">
      <c r="H8049" s="394"/>
    </row>
    <row r="8050" spans="8:8">
      <c r="H8050" s="394"/>
    </row>
    <row r="8051" spans="8:8">
      <c r="H8051" s="394"/>
    </row>
    <row r="8052" spans="8:8">
      <c r="H8052" s="394"/>
    </row>
    <row r="8053" spans="8:8">
      <c r="H8053" s="394"/>
    </row>
    <row r="8054" spans="8:8">
      <c r="H8054" s="394"/>
    </row>
    <row r="8055" spans="8:8">
      <c r="H8055" s="394"/>
    </row>
    <row r="8056" spans="8:8">
      <c r="H8056" s="394"/>
    </row>
    <row r="8057" spans="8:8">
      <c r="H8057" s="394"/>
    </row>
    <row r="8058" spans="8:8">
      <c r="H8058" s="394"/>
    </row>
    <row r="8059" spans="8:8">
      <c r="H8059" s="394"/>
    </row>
    <row r="8060" spans="8:8">
      <c r="H8060" s="394"/>
    </row>
    <row r="8061" spans="8:8">
      <c r="H8061" s="394"/>
    </row>
    <row r="8062" spans="8:8">
      <c r="H8062" s="394"/>
    </row>
    <row r="8063" spans="8:8">
      <c r="H8063" s="394"/>
    </row>
    <row r="8064" spans="8:8">
      <c r="H8064" s="394"/>
    </row>
    <row r="8065" spans="8:8">
      <c r="H8065" s="394"/>
    </row>
    <row r="8066" spans="8:8">
      <c r="H8066" s="394"/>
    </row>
    <row r="8067" spans="8:8">
      <c r="H8067" s="394"/>
    </row>
    <row r="8068" spans="8:8">
      <c r="H8068" s="394"/>
    </row>
    <row r="8069" spans="8:8">
      <c r="H8069" s="394"/>
    </row>
    <row r="8070" spans="8:8">
      <c r="H8070" s="394"/>
    </row>
    <row r="8071" spans="8:8">
      <c r="H8071" s="394"/>
    </row>
    <row r="8072" spans="8:8">
      <c r="H8072" s="394"/>
    </row>
    <row r="8073" spans="8:8">
      <c r="H8073" s="394"/>
    </row>
    <row r="8074" spans="8:8">
      <c r="H8074" s="394"/>
    </row>
    <row r="8075" spans="8:8">
      <c r="H8075" s="394"/>
    </row>
    <row r="8076" spans="8:8">
      <c r="H8076" s="394"/>
    </row>
    <row r="8077" spans="8:8">
      <c r="H8077" s="394"/>
    </row>
    <row r="8078" spans="8:8">
      <c r="H8078" s="394"/>
    </row>
    <row r="8079" spans="8:8">
      <c r="H8079" s="394"/>
    </row>
    <row r="8080" spans="8:8">
      <c r="H8080" s="394"/>
    </row>
    <row r="8081" spans="8:8">
      <c r="H8081" s="394"/>
    </row>
    <row r="8082" spans="8:8">
      <c r="H8082" s="394"/>
    </row>
    <row r="8083" spans="8:8">
      <c r="H8083" s="394"/>
    </row>
    <row r="8084" spans="8:8">
      <c r="H8084" s="394"/>
    </row>
    <row r="8085" spans="8:8">
      <c r="H8085" s="394"/>
    </row>
    <row r="8086" spans="8:8">
      <c r="H8086" s="394"/>
    </row>
    <row r="8087" spans="8:8">
      <c r="H8087" s="394"/>
    </row>
    <row r="8088" spans="8:8">
      <c r="H8088" s="394"/>
    </row>
    <row r="8089" spans="8:8">
      <c r="H8089" s="394"/>
    </row>
    <row r="8090" spans="8:8">
      <c r="H8090" s="394"/>
    </row>
    <row r="8091" spans="8:8">
      <c r="H8091" s="394"/>
    </row>
    <row r="8092" spans="8:8">
      <c r="H8092" s="394"/>
    </row>
    <row r="8093" spans="8:8">
      <c r="H8093" s="394"/>
    </row>
    <row r="8094" spans="8:8">
      <c r="H8094" s="394"/>
    </row>
    <row r="8095" spans="8:8">
      <c r="H8095" s="394"/>
    </row>
    <row r="8096" spans="8:8">
      <c r="H8096" s="394"/>
    </row>
    <row r="8097" spans="8:8">
      <c r="H8097" s="394"/>
    </row>
    <row r="8098" spans="8:8">
      <c r="H8098" s="394"/>
    </row>
    <row r="8099" spans="8:8">
      <c r="H8099" s="394"/>
    </row>
    <row r="8100" spans="8:8">
      <c r="H8100" s="394"/>
    </row>
    <row r="8101" spans="8:8">
      <c r="H8101" s="394"/>
    </row>
    <row r="8102" spans="8:8">
      <c r="H8102" s="394"/>
    </row>
    <row r="8103" spans="8:8">
      <c r="H8103" s="394"/>
    </row>
    <row r="8104" spans="8:8">
      <c r="H8104" s="394"/>
    </row>
    <row r="8105" spans="8:8">
      <c r="H8105" s="394"/>
    </row>
    <row r="8106" spans="8:8">
      <c r="H8106" s="394"/>
    </row>
    <row r="8107" spans="8:8">
      <c r="H8107" s="394"/>
    </row>
    <row r="8108" spans="8:8">
      <c r="H8108" s="394"/>
    </row>
    <row r="8109" spans="8:8">
      <c r="H8109" s="394"/>
    </row>
    <row r="8110" spans="8:8">
      <c r="H8110" s="394"/>
    </row>
    <row r="8111" spans="8:8">
      <c r="H8111" s="394"/>
    </row>
    <row r="8112" spans="8:8">
      <c r="H8112" s="394"/>
    </row>
    <row r="8113" spans="8:8">
      <c r="H8113" s="394"/>
    </row>
    <row r="8114" spans="8:8">
      <c r="H8114" s="394"/>
    </row>
    <row r="8115" spans="8:8">
      <c r="H8115" s="394"/>
    </row>
    <row r="8116" spans="8:8">
      <c r="H8116" s="394"/>
    </row>
    <row r="8117" spans="8:8">
      <c r="H8117" s="394"/>
    </row>
    <row r="8118" spans="8:8">
      <c r="H8118" s="394"/>
    </row>
    <row r="8119" spans="8:8">
      <c r="H8119" s="394"/>
    </row>
    <row r="8120" spans="8:8">
      <c r="H8120" s="394"/>
    </row>
    <row r="8121" spans="8:8">
      <c r="H8121" s="394"/>
    </row>
    <row r="8122" spans="8:8">
      <c r="H8122" s="394"/>
    </row>
    <row r="8123" spans="8:8">
      <c r="H8123" s="394"/>
    </row>
    <row r="8124" spans="8:8">
      <c r="H8124" s="394"/>
    </row>
    <row r="8125" spans="8:8">
      <c r="H8125" s="394"/>
    </row>
    <row r="8126" spans="8:8">
      <c r="H8126" s="394"/>
    </row>
    <row r="8127" spans="8:8">
      <c r="H8127" s="394"/>
    </row>
    <row r="8128" spans="8:8">
      <c r="H8128" s="394"/>
    </row>
    <row r="8129" spans="8:8">
      <c r="H8129" s="394"/>
    </row>
    <row r="8130" spans="8:8">
      <c r="H8130" s="394"/>
    </row>
    <row r="8131" spans="8:8">
      <c r="H8131" s="394"/>
    </row>
    <row r="8132" spans="8:8">
      <c r="H8132" s="394"/>
    </row>
    <row r="8133" spans="8:8">
      <c r="H8133" s="394"/>
    </row>
    <row r="8134" spans="8:8">
      <c r="H8134" s="394"/>
    </row>
    <row r="8135" spans="8:8">
      <c r="H8135" s="394"/>
    </row>
    <row r="8136" spans="8:8">
      <c r="H8136" s="394"/>
    </row>
    <row r="8137" spans="8:8">
      <c r="H8137" s="394"/>
    </row>
    <row r="8138" spans="8:8">
      <c r="H8138" s="394"/>
    </row>
    <row r="8139" spans="8:8">
      <c r="H8139" s="394"/>
    </row>
    <row r="8140" spans="8:8">
      <c r="H8140" s="394"/>
    </row>
    <row r="8141" spans="8:8">
      <c r="H8141" s="394"/>
    </row>
    <row r="8142" spans="8:8">
      <c r="H8142" s="394"/>
    </row>
    <row r="8143" spans="8:8">
      <c r="H8143" s="394"/>
    </row>
    <row r="8144" spans="8:8">
      <c r="H8144" s="394"/>
    </row>
    <row r="8145" spans="8:8">
      <c r="H8145" s="394"/>
    </row>
    <row r="8146" spans="8:8">
      <c r="H8146" s="394"/>
    </row>
    <row r="8147" spans="8:8">
      <c r="H8147" s="394"/>
    </row>
    <row r="8148" spans="8:8">
      <c r="H8148" s="394"/>
    </row>
    <row r="8149" spans="8:8">
      <c r="H8149" s="394"/>
    </row>
    <row r="8150" spans="8:8">
      <c r="H8150" s="394"/>
    </row>
    <row r="8151" spans="8:8">
      <c r="H8151" s="394"/>
    </row>
    <row r="8152" spans="8:8">
      <c r="H8152" s="394"/>
    </row>
    <row r="8153" spans="8:8">
      <c r="H8153" s="394"/>
    </row>
    <row r="8154" spans="8:8">
      <c r="H8154" s="394"/>
    </row>
    <row r="8155" spans="8:8">
      <c r="H8155" s="394"/>
    </row>
    <row r="8156" spans="8:8">
      <c r="H8156" s="394"/>
    </row>
    <row r="8157" spans="8:8">
      <c r="H8157" s="394"/>
    </row>
    <row r="8158" spans="8:8">
      <c r="H8158" s="394"/>
    </row>
    <row r="8159" spans="8:8">
      <c r="H8159" s="394"/>
    </row>
    <row r="8160" spans="8:8">
      <c r="H8160" s="394"/>
    </row>
    <row r="8161" spans="8:8">
      <c r="H8161" s="394"/>
    </row>
    <row r="8162" spans="8:8">
      <c r="H8162" s="394"/>
    </row>
    <row r="8163" spans="8:8">
      <c r="H8163" s="394"/>
    </row>
    <row r="8164" spans="8:8">
      <c r="H8164" s="394"/>
    </row>
    <row r="8165" spans="8:8">
      <c r="H8165" s="394"/>
    </row>
    <row r="8166" spans="8:8">
      <c r="H8166" s="394"/>
    </row>
    <row r="8167" spans="8:8">
      <c r="H8167" s="394"/>
    </row>
    <row r="8168" spans="8:8">
      <c r="H8168" s="394"/>
    </row>
    <row r="8169" spans="8:8">
      <c r="H8169" s="394"/>
    </row>
    <row r="8170" spans="8:8">
      <c r="H8170" s="394"/>
    </row>
    <row r="8171" spans="8:8">
      <c r="H8171" s="394"/>
    </row>
    <row r="8172" spans="8:8">
      <c r="H8172" s="394"/>
    </row>
    <row r="8173" spans="8:8">
      <c r="H8173" s="394"/>
    </row>
    <row r="8174" spans="8:8">
      <c r="H8174" s="394"/>
    </row>
    <row r="8175" spans="8:8">
      <c r="H8175" s="394"/>
    </row>
    <row r="8176" spans="8:8">
      <c r="H8176" s="394"/>
    </row>
    <row r="8177" spans="8:8">
      <c r="H8177" s="394"/>
    </row>
    <row r="8178" spans="8:8">
      <c r="H8178" s="394"/>
    </row>
    <row r="8179" spans="8:8">
      <c r="H8179" s="394"/>
    </row>
    <row r="8180" spans="8:8">
      <c r="H8180" s="394"/>
    </row>
    <row r="8181" spans="8:8">
      <c r="H8181" s="394"/>
    </row>
    <row r="8182" spans="8:8">
      <c r="H8182" s="394"/>
    </row>
    <row r="8183" spans="8:8">
      <c r="H8183" s="394"/>
    </row>
    <row r="8184" spans="8:8">
      <c r="H8184" s="394"/>
    </row>
    <row r="8185" spans="8:8">
      <c r="H8185" s="394"/>
    </row>
    <row r="8186" spans="8:8">
      <c r="H8186" s="394"/>
    </row>
    <row r="8187" spans="8:8">
      <c r="H8187" s="394"/>
    </row>
    <row r="8188" spans="8:8">
      <c r="H8188" s="394"/>
    </row>
    <row r="8189" spans="8:8">
      <c r="H8189" s="394"/>
    </row>
    <row r="8190" spans="8:8">
      <c r="H8190" s="394"/>
    </row>
    <row r="8191" spans="8:8">
      <c r="H8191" s="394"/>
    </row>
    <row r="8192" spans="8:8">
      <c r="H8192" s="394"/>
    </row>
    <row r="8193" spans="8:8">
      <c r="H8193" s="394"/>
    </row>
    <row r="8194" spans="8:8">
      <c r="H8194" s="394"/>
    </row>
    <row r="8195" spans="8:8">
      <c r="H8195" s="394"/>
    </row>
    <row r="8196" spans="8:8">
      <c r="H8196" s="394"/>
    </row>
    <row r="8197" spans="8:8">
      <c r="H8197" s="394"/>
    </row>
    <row r="8198" spans="8:8">
      <c r="H8198" s="394"/>
    </row>
    <row r="8199" spans="8:8">
      <c r="H8199" s="394"/>
    </row>
    <row r="8200" spans="8:8">
      <c r="H8200" s="394"/>
    </row>
    <row r="8201" spans="8:8">
      <c r="H8201" s="394"/>
    </row>
    <row r="8202" spans="8:8">
      <c r="H8202" s="394"/>
    </row>
    <row r="8203" spans="8:8">
      <c r="H8203" s="394"/>
    </row>
    <row r="8204" spans="8:8">
      <c r="H8204" s="394"/>
    </row>
    <row r="8205" spans="8:8">
      <c r="H8205" s="394"/>
    </row>
    <row r="8206" spans="8:8">
      <c r="H8206" s="394"/>
    </row>
    <row r="8207" spans="8:8">
      <c r="H8207" s="394"/>
    </row>
    <row r="8208" spans="8:8">
      <c r="H8208" s="394"/>
    </row>
    <row r="8209" spans="8:8">
      <c r="H8209" s="394"/>
    </row>
    <row r="8210" spans="8:8">
      <c r="H8210" s="394"/>
    </row>
    <row r="8211" spans="8:8">
      <c r="H8211" s="394"/>
    </row>
    <row r="8212" spans="8:8">
      <c r="H8212" s="394"/>
    </row>
    <row r="8213" spans="8:8">
      <c r="H8213" s="394"/>
    </row>
    <row r="8214" spans="8:8">
      <c r="H8214" s="394"/>
    </row>
    <row r="8215" spans="8:8">
      <c r="H8215" s="394"/>
    </row>
    <row r="8216" spans="8:8">
      <c r="H8216" s="394"/>
    </row>
    <row r="8217" spans="8:8">
      <c r="H8217" s="394"/>
    </row>
    <row r="8218" spans="8:8">
      <c r="H8218" s="394"/>
    </row>
    <row r="8219" spans="8:8">
      <c r="H8219" s="394"/>
    </row>
    <row r="8220" spans="8:8">
      <c r="H8220" s="394"/>
    </row>
    <row r="8221" spans="8:8">
      <c r="H8221" s="394"/>
    </row>
    <row r="8222" spans="8:8">
      <c r="H8222" s="394"/>
    </row>
    <row r="8223" spans="8:8">
      <c r="H8223" s="394"/>
    </row>
    <row r="8224" spans="8:8">
      <c r="H8224" s="394"/>
    </row>
    <row r="8225" spans="8:8">
      <c r="H8225" s="394"/>
    </row>
    <row r="8226" spans="8:8">
      <c r="H8226" s="394"/>
    </row>
    <row r="8227" spans="8:8">
      <c r="H8227" s="394"/>
    </row>
    <row r="8228" spans="8:8">
      <c r="H8228" s="394"/>
    </row>
    <row r="8229" spans="8:8">
      <c r="H8229" s="394"/>
    </row>
    <row r="8230" spans="8:8">
      <c r="H8230" s="394"/>
    </row>
    <row r="8231" spans="8:8">
      <c r="H8231" s="394"/>
    </row>
    <row r="8232" spans="8:8">
      <c r="H8232" s="394"/>
    </row>
    <row r="8233" spans="8:8">
      <c r="H8233" s="394"/>
    </row>
    <row r="8234" spans="8:8">
      <c r="H8234" s="394"/>
    </row>
    <row r="8235" spans="8:8">
      <c r="H8235" s="394"/>
    </row>
    <row r="8236" spans="8:8">
      <c r="H8236" s="394"/>
    </row>
    <row r="8237" spans="8:8">
      <c r="H8237" s="394"/>
    </row>
    <row r="8238" spans="8:8">
      <c r="H8238" s="394"/>
    </row>
    <row r="8239" spans="8:8">
      <c r="H8239" s="394"/>
    </row>
    <row r="8240" spans="8:8">
      <c r="H8240" s="394"/>
    </row>
    <row r="8241" spans="8:8">
      <c r="H8241" s="394"/>
    </row>
    <row r="8242" spans="8:8">
      <c r="H8242" s="394"/>
    </row>
    <row r="8243" spans="8:8">
      <c r="H8243" s="394"/>
    </row>
    <row r="8244" spans="8:8">
      <c r="H8244" s="394"/>
    </row>
    <row r="8245" spans="8:8">
      <c r="H8245" s="394"/>
    </row>
    <row r="8246" spans="8:8">
      <c r="H8246" s="394"/>
    </row>
    <row r="8247" spans="8:8">
      <c r="H8247" s="394"/>
    </row>
    <row r="8248" spans="8:8">
      <c r="H8248" s="394"/>
    </row>
    <row r="8249" spans="8:8">
      <c r="H8249" s="394"/>
    </row>
    <row r="8250" spans="8:8">
      <c r="H8250" s="394"/>
    </row>
    <row r="8251" spans="8:8">
      <c r="H8251" s="394"/>
    </row>
    <row r="8252" spans="8:8">
      <c r="H8252" s="394"/>
    </row>
    <row r="8253" spans="8:8">
      <c r="H8253" s="394"/>
    </row>
    <row r="8254" spans="8:8">
      <c r="H8254" s="394"/>
    </row>
    <row r="8255" spans="8:8">
      <c r="H8255" s="394"/>
    </row>
    <row r="8256" spans="8:8">
      <c r="H8256" s="394"/>
    </row>
    <row r="8257" spans="8:8">
      <c r="H8257" s="394"/>
    </row>
    <row r="8258" spans="8:8">
      <c r="H8258" s="394"/>
    </row>
    <row r="8259" spans="8:8">
      <c r="H8259" s="394"/>
    </row>
    <row r="8260" spans="8:8">
      <c r="H8260" s="394"/>
    </row>
    <row r="8261" spans="8:8">
      <c r="H8261" s="394"/>
    </row>
    <row r="8262" spans="8:8">
      <c r="H8262" s="394"/>
    </row>
    <row r="8263" spans="8:8">
      <c r="H8263" s="394"/>
    </row>
    <row r="8264" spans="8:8">
      <c r="H8264" s="394"/>
    </row>
    <row r="8265" spans="8:8">
      <c r="H8265" s="394"/>
    </row>
    <row r="8266" spans="8:8">
      <c r="H8266" s="394"/>
    </row>
    <row r="8267" spans="8:8">
      <c r="H8267" s="394"/>
    </row>
    <row r="8268" spans="8:8">
      <c r="H8268" s="394"/>
    </row>
    <row r="8269" spans="8:8">
      <c r="H8269" s="394"/>
    </row>
    <row r="8270" spans="8:8">
      <c r="H8270" s="394"/>
    </row>
    <row r="8271" spans="8:8">
      <c r="H8271" s="394"/>
    </row>
    <row r="8272" spans="8:8">
      <c r="H8272" s="394"/>
    </row>
    <row r="8273" spans="8:8">
      <c r="H8273" s="394"/>
    </row>
    <row r="8274" spans="8:8">
      <c r="H8274" s="394"/>
    </row>
    <row r="8275" spans="8:8">
      <c r="H8275" s="394"/>
    </row>
    <row r="8276" spans="8:8">
      <c r="H8276" s="394"/>
    </row>
    <row r="8277" spans="8:8">
      <c r="H8277" s="394"/>
    </row>
    <row r="8278" spans="8:8">
      <c r="H8278" s="394"/>
    </row>
    <row r="8279" spans="8:8">
      <c r="H8279" s="394"/>
    </row>
    <row r="8280" spans="8:8">
      <c r="H8280" s="394"/>
    </row>
    <row r="8281" spans="8:8">
      <c r="H8281" s="394"/>
    </row>
    <row r="8282" spans="8:8">
      <c r="H8282" s="394"/>
    </row>
    <row r="8283" spans="8:8">
      <c r="H8283" s="394"/>
    </row>
    <row r="8284" spans="8:8">
      <c r="H8284" s="394"/>
    </row>
    <row r="8285" spans="8:8">
      <c r="H8285" s="394"/>
    </row>
    <row r="8286" spans="8:8">
      <c r="H8286" s="394"/>
    </row>
    <row r="8287" spans="8:8">
      <c r="H8287" s="394"/>
    </row>
    <row r="8288" spans="8:8">
      <c r="H8288" s="394"/>
    </row>
    <row r="8289" spans="8:8">
      <c r="H8289" s="394"/>
    </row>
    <row r="8290" spans="8:8">
      <c r="H8290" s="394"/>
    </row>
    <row r="8291" spans="8:8">
      <c r="H8291" s="394"/>
    </row>
  </sheetData>
  <mergeCells count="79">
    <mergeCell ref="H3966:J3966"/>
    <mergeCell ref="H2713:I2713"/>
    <mergeCell ref="I2390:J2390"/>
    <mergeCell ref="E2341:K2341"/>
    <mergeCell ref="F2370:G2370"/>
    <mergeCell ref="F2374:G2374"/>
    <mergeCell ref="I2374:J2374"/>
    <mergeCell ref="H3961:J3961"/>
    <mergeCell ref="H3962:J3962"/>
    <mergeCell ref="H3963:J3963"/>
    <mergeCell ref="H3964:J3964"/>
    <mergeCell ref="H3965:J3965"/>
    <mergeCell ref="H3978:J3978"/>
    <mergeCell ref="H3967:J3967"/>
    <mergeCell ref="H3968:J3968"/>
    <mergeCell ref="H3969:J3969"/>
    <mergeCell ref="H3970:J3970"/>
    <mergeCell ref="H3971:J3971"/>
    <mergeCell ref="H3972:J3972"/>
    <mergeCell ref="H3973:J3973"/>
    <mergeCell ref="H3974:J3974"/>
    <mergeCell ref="H3975:J3975"/>
    <mergeCell ref="H3976:J3976"/>
    <mergeCell ref="H3977:J3977"/>
    <mergeCell ref="H3990:J3990"/>
    <mergeCell ref="H3979:J3979"/>
    <mergeCell ref="H3980:J3980"/>
    <mergeCell ref="H3981:J3981"/>
    <mergeCell ref="H3982:J3982"/>
    <mergeCell ref="H3983:J3983"/>
    <mergeCell ref="H3984:J3984"/>
    <mergeCell ref="H3985:J3985"/>
    <mergeCell ref="H3986:J3986"/>
    <mergeCell ref="H3987:J3987"/>
    <mergeCell ref="H3988:J3988"/>
    <mergeCell ref="H3989:J3989"/>
    <mergeCell ref="H4002:J4002"/>
    <mergeCell ref="H3991:J3991"/>
    <mergeCell ref="H3992:J3992"/>
    <mergeCell ref="H3993:J3993"/>
    <mergeCell ref="H3994:J3994"/>
    <mergeCell ref="H3995:J3995"/>
    <mergeCell ref="H3996:J3996"/>
    <mergeCell ref="H3997:J3997"/>
    <mergeCell ref="H3998:J3998"/>
    <mergeCell ref="H3999:J3999"/>
    <mergeCell ref="H4000:J4000"/>
    <mergeCell ref="H4001:J4001"/>
    <mergeCell ref="H4014:J4014"/>
    <mergeCell ref="H4003:J4003"/>
    <mergeCell ref="H4004:J4004"/>
    <mergeCell ref="H4005:J4005"/>
    <mergeCell ref="H4006:J4006"/>
    <mergeCell ref="H4007:J4007"/>
    <mergeCell ref="H4008:J4008"/>
    <mergeCell ref="H4009:J4009"/>
    <mergeCell ref="H4010:J4010"/>
    <mergeCell ref="H4011:J4011"/>
    <mergeCell ref="H4012:J4012"/>
    <mergeCell ref="H4013:J4013"/>
    <mergeCell ref="H4026:J4026"/>
    <mergeCell ref="H4015:J4015"/>
    <mergeCell ref="H4016:J4016"/>
    <mergeCell ref="H4017:J4017"/>
    <mergeCell ref="H4018:J4018"/>
    <mergeCell ref="H4019:J4019"/>
    <mergeCell ref="H4020:J4020"/>
    <mergeCell ref="H4021:J4021"/>
    <mergeCell ref="H4022:J4022"/>
    <mergeCell ref="H4023:J4023"/>
    <mergeCell ref="H4024:J4024"/>
    <mergeCell ref="H4025:J4025"/>
    <mergeCell ref="H4027:J4027"/>
    <mergeCell ref="H4028:J4028"/>
    <mergeCell ref="H4033:J4033"/>
    <mergeCell ref="H4029:J4029"/>
    <mergeCell ref="H4030:J4030"/>
    <mergeCell ref="H4031:J4031"/>
    <mergeCell ref="H4032:J4032"/>
  </mergeCells>
  <phoneticPr fontId="0" type="noConversion"/>
  <pageMargins left="0.85" right="0.37" top="0.5" bottom="0.3" header="0.34" footer="0.18"/>
  <pageSetup paperSize="9" scale="85" orientation="portrait" r:id="rId1"/>
  <headerFooter alignWithMargins="0">
    <oddHeader>&amp;L2010 - 2011&amp;CElectrical Data&amp;R&amp;P</oddHeader>
  </headerFooter>
  <rowBreaks count="1" manualBreakCount="1">
    <brk id="3668" min="5" max="10" man="1"/>
  </rowBreaks>
  <drawing r:id="rId2"/>
</worksheet>
</file>

<file path=xl/worksheets/sheet5.xml><?xml version="1.0" encoding="utf-8"?>
<worksheet xmlns="http://schemas.openxmlformats.org/spreadsheetml/2006/main" xmlns:r="http://schemas.openxmlformats.org/officeDocument/2006/relationships">
  <sheetPr>
    <tabColor rgb="FFFFFF00"/>
  </sheetPr>
  <dimension ref="A1:K32"/>
  <sheetViews>
    <sheetView view="pageBreakPreview" zoomScale="85" zoomScaleNormal="75" zoomScaleSheetLayoutView="85" workbookViewId="0">
      <selection activeCell="D6" sqref="D6"/>
    </sheetView>
  </sheetViews>
  <sheetFormatPr defaultRowHeight="35.1" customHeight="1"/>
  <cols>
    <col min="1" max="1" width="4.21875" style="813" bestFit="1" customWidth="1"/>
    <col min="2" max="2" width="6.88671875" style="813" customWidth="1"/>
    <col min="3" max="3" width="32.77734375" style="813" bestFit="1" customWidth="1"/>
    <col min="4" max="4" width="14.109375" style="813" customWidth="1"/>
    <col min="5" max="5" width="5.5546875" style="813" bestFit="1" customWidth="1"/>
    <col min="6" max="6" width="13.5546875" style="813" customWidth="1"/>
    <col min="7" max="7" width="14.21875" style="813" customWidth="1"/>
    <col min="8" max="8" width="11" style="813" bestFit="1" customWidth="1"/>
    <col min="9" max="9" width="8.88671875" style="813"/>
    <col min="10" max="10" width="34.109375" style="813" customWidth="1"/>
    <col min="11" max="16384" width="8.88671875" style="813"/>
  </cols>
  <sheetData>
    <row r="1" spans="1:11" ht="28.5" customHeight="1">
      <c r="A1" s="1204" t="s">
        <v>4224</v>
      </c>
      <c r="B1" s="1204"/>
      <c r="C1" s="1204"/>
      <c r="D1" s="1204"/>
      <c r="E1" s="1204"/>
      <c r="F1" s="1204"/>
    </row>
    <row r="2" spans="1:11" ht="24" customHeight="1">
      <c r="A2" s="1204" t="s">
        <v>4620</v>
      </c>
      <c r="B2" s="1204"/>
      <c r="C2" s="1204"/>
      <c r="D2" s="1204"/>
      <c r="E2" s="1204"/>
      <c r="F2" s="1204"/>
    </row>
    <row r="3" spans="1:11" ht="57.75" customHeight="1">
      <c r="A3" s="1205" t="s">
        <v>4617</v>
      </c>
      <c r="B3" s="1205"/>
      <c r="C3" s="1205"/>
      <c r="D3" s="1205"/>
      <c r="E3" s="1205"/>
      <c r="F3" s="1205"/>
    </row>
    <row r="4" spans="1:11" ht="28.5" customHeight="1">
      <c r="A4" s="1204" t="s">
        <v>1068</v>
      </c>
      <c r="B4" s="1204"/>
      <c r="C4" s="1204"/>
      <c r="D4" s="1204"/>
      <c r="E4" s="1204"/>
      <c r="F4" s="1204"/>
    </row>
    <row r="5" spans="1:11" ht="39.75" customHeight="1">
      <c r="A5" s="1155" t="s">
        <v>229</v>
      </c>
      <c r="B5" s="1155" t="s">
        <v>1070</v>
      </c>
      <c r="C5" s="1155" t="s">
        <v>1860</v>
      </c>
      <c r="D5" s="1155" t="s">
        <v>100</v>
      </c>
      <c r="E5" s="1155" t="s">
        <v>227</v>
      </c>
      <c r="F5" s="1155" t="s">
        <v>994</v>
      </c>
      <c r="G5" s="815"/>
      <c r="H5" s="815"/>
      <c r="I5" s="815"/>
      <c r="J5" s="815"/>
    </row>
    <row r="6" spans="1:11" ht="38.25" customHeight="1">
      <c r="A6" s="890">
        <v>1</v>
      </c>
      <c r="B6" s="1156">
        <v>1</v>
      </c>
      <c r="C6" s="891" t="s">
        <v>4503</v>
      </c>
      <c r="D6" s="1156">
        <f>'Civil Abs '!F35</f>
        <v>933827.53</v>
      </c>
      <c r="E6" s="894" t="s">
        <v>4134</v>
      </c>
      <c r="F6" s="893">
        <f t="shared" ref="F6:F13" si="0">B6*D6</f>
        <v>933827.53</v>
      </c>
      <c r="G6" s="815">
        <v>701893.67</v>
      </c>
      <c r="H6" s="815">
        <f>G6-F6</f>
        <v>-231933.86</v>
      </c>
      <c r="I6" s="815"/>
      <c r="J6" s="815"/>
    </row>
    <row r="7" spans="1:11" ht="38.25" customHeight="1">
      <c r="A7" s="890">
        <v>2</v>
      </c>
      <c r="B7" s="1156">
        <v>1</v>
      </c>
      <c r="C7" s="892" t="s">
        <v>4504</v>
      </c>
      <c r="D7" s="1156">
        <f>'Electrical Abs'!F19</f>
        <v>209485.5</v>
      </c>
      <c r="E7" s="894" t="s">
        <v>4134</v>
      </c>
      <c r="F7" s="893">
        <f t="shared" si="0"/>
        <v>209485.5</v>
      </c>
      <c r="G7" s="815">
        <v>111482.5</v>
      </c>
      <c r="H7" s="815">
        <f t="shared" ref="H7:H24" si="1">G7-F7</f>
        <v>-98003</v>
      </c>
      <c r="I7" s="815"/>
      <c r="J7" s="1159"/>
      <c r="K7" s="815"/>
    </row>
    <row r="8" spans="1:11" ht="38.25" customHeight="1">
      <c r="A8" s="890">
        <v>3</v>
      </c>
      <c r="B8" s="1156">
        <v>1</v>
      </c>
      <c r="C8" s="892" t="s">
        <v>4505</v>
      </c>
      <c r="D8" s="1156">
        <f>'Plumbing Abs '!F14</f>
        <v>360446.42</v>
      </c>
      <c r="E8" s="894" t="s">
        <v>4134</v>
      </c>
      <c r="F8" s="893">
        <f t="shared" si="0"/>
        <v>360446.42</v>
      </c>
      <c r="G8" s="813">
        <v>264996.89</v>
      </c>
      <c r="H8" s="815">
        <f t="shared" si="1"/>
        <v>-95449.53</v>
      </c>
      <c r="J8" s="1159"/>
      <c r="K8" s="815"/>
    </row>
    <row r="9" spans="1:11" ht="38.25" customHeight="1">
      <c r="A9" s="890">
        <v>4</v>
      </c>
      <c r="B9" s="1156">
        <v>1</v>
      </c>
      <c r="C9" s="892" t="s">
        <v>4677</v>
      </c>
      <c r="D9" s="1156">
        <f>'CCTV Abs'!F16</f>
        <v>138377</v>
      </c>
      <c r="E9" s="894" t="s">
        <v>4134</v>
      </c>
      <c r="F9" s="893">
        <f t="shared" si="0"/>
        <v>138377</v>
      </c>
      <c r="G9" s="813">
        <v>125695</v>
      </c>
      <c r="H9" s="815">
        <f t="shared" si="1"/>
        <v>-12682</v>
      </c>
      <c r="J9" s="1159"/>
      <c r="K9" s="815"/>
    </row>
    <row r="10" spans="1:11" ht="38.25" customHeight="1">
      <c r="A10" s="890">
        <v>5</v>
      </c>
      <c r="B10" s="1156">
        <v>1</v>
      </c>
      <c r="C10" s="892" t="s">
        <v>4506</v>
      </c>
      <c r="D10" s="1156">
        <f>'Fire Abs'!F8</f>
        <v>33446</v>
      </c>
      <c r="E10" s="894" t="s">
        <v>4134</v>
      </c>
      <c r="F10" s="893">
        <f t="shared" si="0"/>
        <v>33446</v>
      </c>
      <c r="G10" s="813">
        <v>69775</v>
      </c>
      <c r="H10" s="815">
        <f t="shared" si="1"/>
        <v>36329</v>
      </c>
      <c r="J10" s="1159"/>
      <c r="K10" s="815"/>
    </row>
    <row r="11" spans="1:11" ht="38.25" customHeight="1">
      <c r="A11" s="890">
        <v>6</v>
      </c>
      <c r="B11" s="1156">
        <v>1</v>
      </c>
      <c r="C11" s="892" t="s">
        <v>4556</v>
      </c>
      <c r="D11" s="1156">
        <f>'Inverter Abs'!F9</f>
        <v>97400</v>
      </c>
      <c r="E11" s="894" t="s">
        <v>4134</v>
      </c>
      <c r="F11" s="893">
        <f t="shared" si="0"/>
        <v>97400</v>
      </c>
      <c r="G11" s="813">
        <v>73896</v>
      </c>
      <c r="H11" s="815">
        <f t="shared" si="1"/>
        <v>-23504</v>
      </c>
      <c r="J11" s="1159"/>
      <c r="K11" s="815"/>
    </row>
    <row r="12" spans="1:11" ht="45.75" customHeight="1">
      <c r="A12" s="890">
        <v>7</v>
      </c>
      <c r="B12" s="1156">
        <v>1</v>
      </c>
      <c r="C12" s="892" t="s">
        <v>4507</v>
      </c>
      <c r="D12" s="1156">
        <f>'Computer Abs'!F16</f>
        <v>253129</v>
      </c>
      <c r="E12" s="894" t="s">
        <v>4134</v>
      </c>
      <c r="F12" s="893">
        <f t="shared" si="0"/>
        <v>253129</v>
      </c>
      <c r="G12" s="813">
        <v>248035</v>
      </c>
      <c r="H12" s="815">
        <f t="shared" si="1"/>
        <v>-5094</v>
      </c>
      <c r="J12" s="1159"/>
      <c r="K12" s="815"/>
    </row>
    <row r="13" spans="1:11" ht="45.75" customHeight="1">
      <c r="A13" s="890">
        <v>8</v>
      </c>
      <c r="B13" s="1156">
        <v>1</v>
      </c>
      <c r="C13" s="892" t="s">
        <v>4557</v>
      </c>
      <c r="D13" s="1156">
        <f>'Furniture Abs'!F27</f>
        <v>979270</v>
      </c>
      <c r="E13" s="894" t="s">
        <v>4134</v>
      </c>
      <c r="F13" s="893">
        <f t="shared" si="0"/>
        <v>979270</v>
      </c>
      <c r="G13" s="813">
        <v>630100</v>
      </c>
      <c r="H13" s="815">
        <f t="shared" si="1"/>
        <v>-349170</v>
      </c>
      <c r="J13" s="1159"/>
      <c r="K13" s="815"/>
    </row>
    <row r="14" spans="1:11" ht="38.25" customHeight="1">
      <c r="A14" s="890">
        <v>9</v>
      </c>
      <c r="B14" s="1156">
        <v>1</v>
      </c>
      <c r="C14" s="1127" t="s">
        <v>4508</v>
      </c>
      <c r="D14" s="1156">
        <f>'RWH Abs'!F16</f>
        <v>53791.15</v>
      </c>
      <c r="E14" s="894" t="s">
        <v>4134</v>
      </c>
      <c r="F14" s="893">
        <f t="shared" ref="F14" si="2">B14*D14</f>
        <v>53791.15</v>
      </c>
      <c r="G14" s="813">
        <v>40671.85</v>
      </c>
      <c r="H14" s="815">
        <f t="shared" si="1"/>
        <v>-13119.3</v>
      </c>
      <c r="J14" s="1159"/>
      <c r="K14" s="815"/>
    </row>
    <row r="15" spans="1:11" ht="38.25" customHeight="1">
      <c r="A15" s="890">
        <v>10</v>
      </c>
      <c r="B15" s="1156">
        <v>1</v>
      </c>
      <c r="C15" s="892" t="s">
        <v>4541</v>
      </c>
      <c r="D15" s="1156">
        <f>' 2 wheeler Abs'!F11</f>
        <v>91635.76</v>
      </c>
      <c r="E15" s="894" t="s">
        <v>4134</v>
      </c>
      <c r="F15" s="893">
        <f>B15*D15</f>
        <v>91635.76</v>
      </c>
      <c r="G15" s="813">
        <v>310896.44</v>
      </c>
      <c r="H15" s="815">
        <f t="shared" si="1"/>
        <v>219260.68</v>
      </c>
      <c r="J15" s="1159"/>
      <c r="K15" s="815"/>
    </row>
    <row r="16" spans="1:11" ht="38.25" customHeight="1">
      <c r="A16" s="890"/>
      <c r="B16" s="1156"/>
      <c r="C16" s="1155" t="s">
        <v>4413</v>
      </c>
      <c r="D16" s="1156"/>
      <c r="E16" s="894"/>
      <c r="F16" s="895">
        <f>SUM(F6:F15)</f>
        <v>3150808.36</v>
      </c>
      <c r="G16" s="813">
        <v>2577442.35</v>
      </c>
      <c r="H16" s="815">
        <f t="shared" si="1"/>
        <v>-573366.01</v>
      </c>
      <c r="J16" s="1159"/>
      <c r="K16" s="815"/>
    </row>
    <row r="17" spans="1:11" ht="38.25" customHeight="1">
      <c r="A17" s="890">
        <v>11</v>
      </c>
      <c r="B17" s="1156"/>
      <c r="C17" s="892" t="s">
        <v>4332</v>
      </c>
      <c r="D17" s="1206" t="s">
        <v>667</v>
      </c>
      <c r="E17" s="1206"/>
      <c r="F17" s="893">
        <f>F16*12%</f>
        <v>378097</v>
      </c>
      <c r="G17" s="813">
        <v>309293.08</v>
      </c>
      <c r="H17" s="815">
        <f t="shared" si="1"/>
        <v>-68803.92</v>
      </c>
      <c r="J17" s="1159"/>
      <c r="K17" s="815"/>
    </row>
    <row r="18" spans="1:11" ht="38.25" customHeight="1">
      <c r="A18" s="890"/>
      <c r="B18" s="1156"/>
      <c r="C18" s="1155" t="s">
        <v>4558</v>
      </c>
      <c r="D18" s="1156"/>
      <c r="E18" s="894"/>
      <c r="F18" s="895">
        <f>SUM(F16:F17)</f>
        <v>3528905.36</v>
      </c>
      <c r="G18" s="813">
        <v>3386735.43</v>
      </c>
      <c r="H18" s="815">
        <f t="shared" si="1"/>
        <v>-142169.93</v>
      </c>
      <c r="J18" s="1160"/>
      <c r="K18" s="815"/>
    </row>
    <row r="19" spans="1:11" ht="38.25" customHeight="1">
      <c r="A19" s="890">
        <v>12</v>
      </c>
      <c r="B19" s="1156"/>
      <c r="C19" s="896" t="s">
        <v>4135</v>
      </c>
      <c r="D19" s="1206" t="s">
        <v>667</v>
      </c>
      <c r="E19" s="1206"/>
      <c r="F19" s="893">
        <f>F18*1%</f>
        <v>35289.050000000003</v>
      </c>
      <c r="G19" s="813">
        <v>33867.35</v>
      </c>
      <c r="H19" s="815">
        <f t="shared" si="1"/>
        <v>-1421.7</v>
      </c>
      <c r="J19" s="1161"/>
      <c r="K19" s="815"/>
    </row>
    <row r="20" spans="1:11" ht="38.25" customHeight="1">
      <c r="A20" s="890">
        <v>13</v>
      </c>
      <c r="B20" s="1156"/>
      <c r="C20" s="896" t="s">
        <v>4223</v>
      </c>
      <c r="D20" s="1206" t="s">
        <v>667</v>
      </c>
      <c r="E20" s="1206"/>
      <c r="F20" s="893">
        <f>F18*2.5%</f>
        <v>88222.63</v>
      </c>
      <c r="G20" s="813">
        <v>84668.39</v>
      </c>
      <c r="H20" s="815">
        <f t="shared" si="1"/>
        <v>-3554.24</v>
      </c>
      <c r="J20" s="1161"/>
      <c r="K20" s="815"/>
    </row>
    <row r="21" spans="1:11" ht="38.25" customHeight="1">
      <c r="A21" s="890">
        <v>14</v>
      </c>
      <c r="B21" s="1156"/>
      <c r="C21" s="896" t="s">
        <v>3332</v>
      </c>
      <c r="D21" s="1206" t="s">
        <v>667</v>
      </c>
      <c r="E21" s="1206"/>
      <c r="F21" s="893">
        <f>F18*7.5%</f>
        <v>264667.90000000002</v>
      </c>
      <c r="G21" s="813">
        <v>254005.16</v>
      </c>
      <c r="H21" s="815">
        <f t="shared" si="1"/>
        <v>-10662.74</v>
      </c>
      <c r="J21" s="1161"/>
      <c r="K21" s="815"/>
    </row>
    <row r="22" spans="1:11" ht="38.25" customHeight="1">
      <c r="A22" s="890">
        <v>15</v>
      </c>
      <c r="B22" s="1156"/>
      <c r="C22" s="896" t="s">
        <v>4559</v>
      </c>
      <c r="D22" s="1206" t="s">
        <v>667</v>
      </c>
      <c r="E22" s="1206"/>
      <c r="F22" s="893">
        <v>50000</v>
      </c>
      <c r="G22" s="813">
        <v>100000</v>
      </c>
      <c r="H22" s="815">
        <f t="shared" si="1"/>
        <v>50000</v>
      </c>
      <c r="J22" s="1161"/>
      <c r="K22" s="815"/>
    </row>
    <row r="23" spans="1:11" ht="33.75" customHeight="1">
      <c r="A23" s="890"/>
      <c r="B23" s="1156"/>
      <c r="C23" s="1207" t="s">
        <v>232</v>
      </c>
      <c r="D23" s="1207"/>
      <c r="E23" s="1207"/>
      <c r="F23" s="893">
        <f>SUM(F18:F22)</f>
        <v>3967084.94</v>
      </c>
      <c r="G23" s="813">
        <v>3859276.33</v>
      </c>
      <c r="H23" s="815">
        <f t="shared" si="1"/>
        <v>-107808.61</v>
      </c>
      <c r="J23" s="1161"/>
      <c r="K23" s="815"/>
    </row>
    <row r="24" spans="1:11" ht="33.75" customHeight="1">
      <c r="A24" s="890"/>
      <c r="B24" s="1156"/>
      <c r="C24" s="1204" t="s">
        <v>4034</v>
      </c>
      <c r="D24" s="1204"/>
      <c r="E24" s="1204"/>
      <c r="F24" s="895">
        <f>F23+15.06</f>
        <v>3967100</v>
      </c>
      <c r="G24" s="813">
        <v>3859276.33</v>
      </c>
      <c r="H24" s="815">
        <f t="shared" si="1"/>
        <v>-107823.67</v>
      </c>
      <c r="J24" s="1161"/>
      <c r="K24" s="815"/>
    </row>
    <row r="25" spans="1:11" ht="45" hidden="1" customHeight="1">
      <c r="A25" s="890">
        <v>17</v>
      </c>
      <c r="B25" s="1156"/>
      <c r="C25" s="896" t="s">
        <v>4509</v>
      </c>
      <c r="D25" s="1206" t="s">
        <v>667</v>
      </c>
      <c r="E25" s="1206"/>
      <c r="F25" s="893">
        <f>F24*12.5%</f>
        <v>495887.5</v>
      </c>
      <c r="J25" s="1161"/>
      <c r="K25" s="815"/>
    </row>
    <row r="26" spans="1:11" ht="33.75" hidden="1" customHeight="1">
      <c r="A26" s="890"/>
      <c r="B26" s="1156"/>
      <c r="C26" s="1207" t="s">
        <v>232</v>
      </c>
      <c r="D26" s="1207"/>
      <c r="E26" s="1207"/>
      <c r="F26" s="893">
        <f>SUM(F24:F25)</f>
        <v>4462987.5</v>
      </c>
      <c r="J26" s="1161"/>
      <c r="K26" s="815"/>
    </row>
    <row r="27" spans="1:11" ht="38.25" hidden="1" customHeight="1">
      <c r="A27" s="890"/>
      <c r="B27" s="1156"/>
      <c r="C27" s="1204" t="s">
        <v>4034</v>
      </c>
      <c r="D27" s="1204"/>
      <c r="E27" s="1204"/>
      <c r="F27" s="895">
        <f>F26+25</f>
        <v>4463012.5</v>
      </c>
      <c r="H27" s="813">
        <f>F23*12.5%</f>
        <v>495885.62</v>
      </c>
      <c r="J27" s="1161"/>
      <c r="K27" s="815"/>
    </row>
    <row r="28" spans="1:11" ht="35.1" customHeight="1">
      <c r="A28" s="1162"/>
      <c r="B28" s="1163"/>
      <c r="C28" s="1164"/>
      <c r="D28" s="1165"/>
      <c r="E28" s="1162"/>
      <c r="F28" s="1165">
        <v>4451370.3600000003</v>
      </c>
      <c r="G28" s="813">
        <f>F28-F24</f>
        <v>484270.36</v>
      </c>
      <c r="J28" s="1159"/>
      <c r="K28" s="815"/>
    </row>
    <row r="29" spans="1:11" ht="35.1" customHeight="1">
      <c r="A29" s="1162"/>
      <c r="B29" s="1163"/>
      <c r="C29" s="1164"/>
      <c r="D29" s="1165"/>
      <c r="E29" s="1162"/>
      <c r="F29" s="1165"/>
      <c r="J29" s="1159"/>
      <c r="K29" s="815"/>
    </row>
    <row r="30" spans="1:11" ht="35.1" customHeight="1">
      <c r="A30" s="1162"/>
      <c r="B30" s="1163"/>
      <c r="C30" s="1164"/>
      <c r="D30" s="1165"/>
      <c r="E30" s="1162"/>
      <c r="F30" s="1165"/>
      <c r="J30" s="1164"/>
      <c r="K30" s="815"/>
    </row>
    <row r="31" spans="1:11" ht="35.1" customHeight="1">
      <c r="A31" s="1162"/>
      <c r="B31" s="1163"/>
      <c r="C31" s="1164"/>
      <c r="D31" s="1165"/>
      <c r="E31" s="1162"/>
      <c r="F31" s="1165"/>
      <c r="J31" s="1160"/>
      <c r="K31" s="815"/>
    </row>
    <row r="32" spans="1:11" ht="35.1" customHeight="1">
      <c r="A32" s="1162"/>
      <c r="B32" s="1163"/>
      <c r="C32" s="1164"/>
      <c r="D32" s="1165"/>
      <c r="E32" s="1162"/>
      <c r="F32" s="1165"/>
      <c r="J32" s="815"/>
      <c r="K32" s="815"/>
    </row>
  </sheetData>
  <mergeCells count="14">
    <mergeCell ref="A1:F1"/>
    <mergeCell ref="C27:E27"/>
    <mergeCell ref="A3:F3"/>
    <mergeCell ref="D19:E19"/>
    <mergeCell ref="D20:E20"/>
    <mergeCell ref="D21:E21"/>
    <mergeCell ref="D17:E17"/>
    <mergeCell ref="D25:E25"/>
    <mergeCell ref="C24:E24"/>
    <mergeCell ref="C26:E26"/>
    <mergeCell ref="A2:F2"/>
    <mergeCell ref="D22:E22"/>
    <mergeCell ref="C23:E23"/>
    <mergeCell ref="A4:F4"/>
  </mergeCells>
  <phoneticPr fontId="0" type="noConversion"/>
  <printOptions horizontalCentered="1"/>
  <pageMargins left="0.75" right="0.25" top="0.75" bottom="0.5" header="0.2" footer="0.28000000000000003"/>
  <pageSetup paperSize="9" orientation="portrait" r:id="rId1"/>
  <headerFooter alignWithMargins="0"/>
  <rowBreaks count="1" manualBreakCount="1">
    <brk id="27" max="16383" man="1"/>
  </rowBreaks>
</worksheet>
</file>

<file path=xl/worksheets/sheet6.xml><?xml version="1.0" encoding="utf-8"?>
<worksheet xmlns="http://schemas.openxmlformats.org/spreadsheetml/2006/main" xmlns:r="http://schemas.openxmlformats.org/officeDocument/2006/relationships">
  <sheetPr filterMode="1"/>
  <dimension ref="A1:AV4628"/>
  <sheetViews>
    <sheetView showZeros="0" view="pageBreakPreview" topLeftCell="A513" zoomScaleNormal="75" workbookViewId="0">
      <selection activeCell="A4630" sqref="A4630"/>
    </sheetView>
  </sheetViews>
  <sheetFormatPr defaultRowHeight="15.75"/>
  <cols>
    <col min="1" max="1" width="6.6640625" customWidth="1"/>
    <col min="2" max="2" width="8.44140625" style="335" customWidth="1"/>
    <col min="3" max="3" width="48" customWidth="1"/>
    <col min="4" max="4" width="9.88671875" customWidth="1"/>
    <col min="5" max="5" width="7.21875" customWidth="1"/>
    <col min="6" max="6" width="13.6640625" customWidth="1"/>
    <col min="7" max="8" width="11.33203125" customWidth="1"/>
    <col min="9" max="9" width="8.33203125" customWidth="1"/>
    <col min="10" max="10" width="11.88671875" customWidth="1"/>
    <col min="11" max="11" width="8.33203125" customWidth="1"/>
    <col min="12" max="12" width="10.6640625" customWidth="1"/>
    <col min="13" max="13" width="8.21875" customWidth="1"/>
    <col min="14" max="14" width="10.77734375" customWidth="1"/>
    <col min="16" max="16" width="11.21875" customWidth="1"/>
    <col min="17" max="17" width="7.21875" customWidth="1"/>
    <col min="18" max="18" width="11.21875" customWidth="1"/>
    <col min="19" max="19" width="7.88671875" customWidth="1"/>
    <col min="20" max="20" width="11.6640625" customWidth="1"/>
    <col min="22" max="22" width="11.5546875" customWidth="1"/>
    <col min="31" max="31" width="10.109375" customWidth="1"/>
    <col min="33" max="33" width="12.5546875" customWidth="1"/>
    <col min="35" max="36" width="10" customWidth="1"/>
    <col min="37" max="37" width="11.109375" customWidth="1"/>
    <col min="41" max="41" width="12.6640625" customWidth="1"/>
    <col min="43" max="44" width="10" customWidth="1"/>
    <col min="45" max="45" width="12.5546875" customWidth="1"/>
    <col min="48" max="48" width="9.77734375" customWidth="1"/>
  </cols>
  <sheetData>
    <row r="1" spans="1:37" ht="26.25" customHeight="1">
      <c r="A1" s="1210" t="s">
        <v>731</v>
      </c>
      <c r="B1" s="1210"/>
      <c r="C1" s="1210"/>
      <c r="D1" s="1210"/>
      <c r="E1" s="1210"/>
      <c r="F1" s="1210"/>
      <c r="G1" s="125"/>
      <c r="H1" s="125"/>
      <c r="I1" s="125"/>
      <c r="J1" s="125"/>
      <c r="K1" s="125"/>
      <c r="L1" s="125"/>
      <c r="M1" s="125"/>
      <c r="N1" s="125"/>
      <c r="O1" s="125"/>
      <c r="P1" s="125"/>
      <c r="Q1" s="125"/>
      <c r="R1" s="125"/>
      <c r="S1" s="125"/>
      <c r="T1" s="125"/>
      <c r="U1" s="125"/>
      <c r="V1" s="125"/>
    </row>
    <row r="2" spans="1:37" ht="53.25" customHeight="1">
      <c r="A2" s="1209" t="str">
        <f>'Bldg+Dev'!A1:D1</f>
        <v>Name of work : Construction of 8 Nos. of PC/HC Quarters at Uthukottai in Thiruvallur District.under Phase-XVII for the year 2010-11</v>
      </c>
      <c r="B2" s="1209"/>
      <c r="C2" s="1209"/>
      <c r="D2" s="1209"/>
      <c r="E2" s="1209"/>
      <c r="F2" s="1209"/>
      <c r="G2" s="141"/>
      <c r="H2" s="141"/>
      <c r="I2" s="121"/>
      <c r="J2" s="121"/>
      <c r="K2" s="121"/>
      <c r="L2" s="121"/>
      <c r="M2" s="121"/>
      <c r="N2" s="121"/>
      <c r="O2" s="121"/>
      <c r="P2" s="121"/>
      <c r="Q2" s="121"/>
      <c r="R2" s="121"/>
      <c r="S2" s="121"/>
      <c r="T2" s="121"/>
      <c r="U2" s="121"/>
      <c r="V2" s="121"/>
    </row>
    <row r="3" spans="1:37" ht="24.75" customHeight="1">
      <c r="A3" s="141"/>
      <c r="B3" s="141"/>
      <c r="C3" s="148" t="s">
        <v>33</v>
      </c>
      <c r="D3" s="1209" t="s">
        <v>30</v>
      </c>
      <c r="E3" s="1209"/>
      <c r="F3" s="1209"/>
      <c r="G3" s="141"/>
      <c r="H3" s="141"/>
      <c r="I3" s="121"/>
      <c r="J3" s="121"/>
      <c r="K3" s="121"/>
      <c r="L3" s="121"/>
      <c r="M3" s="121"/>
      <c r="N3" s="121"/>
      <c r="O3" s="121"/>
      <c r="P3" s="121"/>
      <c r="Q3" s="121"/>
      <c r="R3" s="121"/>
      <c r="S3" s="121"/>
      <c r="T3" s="121"/>
      <c r="U3" s="121"/>
      <c r="V3" s="121"/>
    </row>
    <row r="4" spans="1:37" ht="53.25" hidden="1" customHeight="1">
      <c r="A4" s="141"/>
      <c r="B4" s="141"/>
      <c r="C4" s="141"/>
      <c r="D4" s="141"/>
      <c r="E4" s="141"/>
      <c r="F4" s="141"/>
      <c r="G4" s="141"/>
      <c r="H4" s="141"/>
      <c r="I4" s="121"/>
      <c r="J4" s="121"/>
      <c r="K4" s="121"/>
      <c r="L4" s="121"/>
      <c r="M4" s="121"/>
      <c r="N4" s="121"/>
      <c r="O4" s="121"/>
      <c r="P4" s="121"/>
      <c r="Q4" s="121"/>
      <c r="R4" s="121"/>
      <c r="S4" s="121"/>
      <c r="T4" s="121"/>
      <c r="U4" s="121"/>
      <c r="V4" s="121"/>
    </row>
    <row r="5" spans="1:37" ht="42.75" customHeight="1">
      <c r="A5" s="1212" t="s">
        <v>229</v>
      </c>
      <c r="B5" s="1212" t="s">
        <v>2185</v>
      </c>
      <c r="C5" s="1212" t="s">
        <v>1860</v>
      </c>
      <c r="D5" s="1212" t="s">
        <v>100</v>
      </c>
      <c r="E5" s="1215" t="s">
        <v>227</v>
      </c>
      <c r="F5" s="1212" t="s">
        <v>994</v>
      </c>
      <c r="G5" s="186"/>
      <c r="H5" s="186"/>
      <c r="I5" s="1214"/>
      <c r="J5" s="1211"/>
      <c r="K5" s="1211"/>
      <c r="L5" s="1211"/>
      <c r="M5" s="1208"/>
      <c r="N5" s="1208"/>
      <c r="O5" s="1208"/>
      <c r="P5" s="1208"/>
      <c r="Q5" s="1208"/>
      <c r="R5" s="1208"/>
      <c r="S5" s="1208"/>
      <c r="T5" s="1208"/>
      <c r="U5" s="1208"/>
      <c r="V5" s="1208"/>
    </row>
    <row r="6" spans="1:37" ht="18.75" customHeight="1">
      <c r="A6" s="1213"/>
      <c r="B6" s="1213"/>
      <c r="C6" s="1213"/>
      <c r="D6" s="1213"/>
      <c r="E6" s="1216"/>
      <c r="F6" s="1213"/>
      <c r="G6" s="187"/>
      <c r="H6" s="187"/>
      <c r="I6" s="126"/>
      <c r="J6" s="120"/>
      <c r="K6" s="120"/>
      <c r="L6" s="120"/>
      <c r="M6" s="120"/>
      <c r="N6" s="120"/>
      <c r="O6" s="120"/>
      <c r="P6" s="120"/>
      <c r="Q6" s="120"/>
      <c r="R6" s="120"/>
      <c r="S6" s="120"/>
      <c r="T6" s="120"/>
      <c r="U6" s="120"/>
      <c r="V6" s="120"/>
    </row>
    <row r="7" spans="1:37" ht="23.25" customHeight="1">
      <c r="A7" s="338">
        <f>'Bldg+Dev'!A5</f>
        <v>1.1000000000000001</v>
      </c>
      <c r="B7" s="339" t="str">
        <f>+'Bldg+Dev'!U5</f>
        <v>*</v>
      </c>
      <c r="C7" s="340" t="str">
        <f>'Bldg+Dev'!B5</f>
        <v>Earth work excavation in all soils (including refilling)</v>
      </c>
      <c r="D7" s="340">
        <f>'Bldg+Dev'!C5</f>
        <v>0</v>
      </c>
      <c r="E7" s="340" t="str">
        <f>'Bldg+Dev'!D5</f>
        <v/>
      </c>
      <c r="F7" s="340"/>
      <c r="G7" s="188"/>
      <c r="H7" s="188"/>
      <c r="I7" s="115"/>
      <c r="J7" s="115"/>
      <c r="K7" s="115"/>
      <c r="L7" s="115"/>
      <c r="M7" s="115"/>
      <c r="N7" s="115"/>
      <c r="O7" s="115"/>
      <c r="P7" s="115"/>
      <c r="Q7" s="115"/>
      <c r="R7" s="115"/>
      <c r="S7" s="115"/>
      <c r="T7" s="115"/>
      <c r="U7" s="115"/>
      <c r="V7" s="115"/>
    </row>
    <row r="8" spans="1:37" ht="23.25" customHeight="1">
      <c r="A8" s="338">
        <f>'Bldg+Dev'!A6</f>
        <v>0</v>
      </c>
      <c r="B8" s="340" t="e">
        <f>+'Bldg+Dev'!U6</f>
        <v>#REF!</v>
      </c>
      <c r="C8" s="340" t="str">
        <f>'Bldg+Dev'!B6</f>
        <v>a. 0 to 2 mt.</v>
      </c>
      <c r="D8" s="340">
        <f>'Bldg+Dev'!C6</f>
        <v>102.25</v>
      </c>
      <c r="E8" s="340" t="str">
        <f>'Bldg+Dev'!D6</f>
        <v>Cum.</v>
      </c>
      <c r="F8" s="340" t="e">
        <f>D8*B8</f>
        <v>#REF!</v>
      </c>
      <c r="G8" s="188"/>
      <c r="H8" s="188"/>
      <c r="I8" s="115"/>
      <c r="J8" s="115"/>
      <c r="K8" s="115"/>
      <c r="L8" s="115"/>
      <c r="M8" s="115"/>
      <c r="N8" s="115"/>
      <c r="O8" s="115"/>
      <c r="P8" s="115"/>
      <c r="Q8" s="115"/>
      <c r="R8" s="115"/>
      <c r="S8" s="115"/>
      <c r="T8" s="115"/>
      <c r="U8" s="115"/>
      <c r="V8" s="115"/>
    </row>
    <row r="9" spans="1:37" ht="35.1" hidden="1" customHeight="1">
      <c r="A9" s="338">
        <f>'Bldg+Dev'!A7</f>
        <v>0</v>
      </c>
      <c r="B9" s="340">
        <f>+'Bldg+Dev'!U7</f>
        <v>0</v>
      </c>
      <c r="C9" s="340" t="str">
        <f>'Bldg+Dev'!B7</f>
        <v>b. 2 to 3 mt.</v>
      </c>
      <c r="D9" s="340">
        <f>'Bldg+Dev'!C7</f>
        <v>106.45</v>
      </c>
      <c r="E9" s="340" t="str">
        <f>'Bldg+Dev'!D7</f>
        <v>Cum.</v>
      </c>
      <c r="F9" s="340">
        <f t="shared" ref="F9:F72" si="0">D9*B9</f>
        <v>0</v>
      </c>
      <c r="G9" s="188"/>
      <c r="H9" s="188"/>
      <c r="I9" s="115"/>
      <c r="J9" s="115"/>
      <c r="K9" s="115"/>
      <c r="L9" s="115"/>
      <c r="M9" s="115"/>
      <c r="N9" s="115"/>
      <c r="O9" s="115"/>
      <c r="P9" s="115"/>
      <c r="Q9" s="115"/>
      <c r="R9" s="115"/>
      <c r="S9" s="115"/>
      <c r="T9" s="115"/>
      <c r="U9" s="115"/>
      <c r="V9" s="115"/>
    </row>
    <row r="10" spans="1:37" ht="35.1" hidden="1" customHeight="1">
      <c r="A10" s="338">
        <f>'Bldg+Dev'!A8</f>
        <v>1.2</v>
      </c>
      <c r="B10" s="340">
        <f>+'Bldg+Dev'!U8</f>
        <v>0</v>
      </c>
      <c r="C10" s="340" t="str">
        <f>'Bldg+Dev'!B8</f>
        <v>Earth work excavation in all soils (excluding refilling)</v>
      </c>
      <c r="D10" s="340">
        <f>'Bldg+Dev'!C8</f>
        <v>0</v>
      </c>
      <c r="E10" s="340">
        <f>'Bldg+Dev'!D8</f>
        <v>0</v>
      </c>
      <c r="F10" s="340">
        <f t="shared" si="0"/>
        <v>0</v>
      </c>
      <c r="G10" s="188"/>
      <c r="H10" s="188"/>
      <c r="I10" s="115"/>
      <c r="J10" s="115"/>
      <c r="K10" s="115"/>
      <c r="L10" s="115"/>
      <c r="M10" s="115"/>
      <c r="N10" s="115"/>
      <c r="O10" s="115"/>
      <c r="P10" s="115"/>
      <c r="Q10" s="115"/>
      <c r="R10" s="115"/>
      <c r="S10" s="115"/>
      <c r="T10" s="115"/>
      <c r="U10" s="115"/>
      <c r="V10" s="115"/>
    </row>
    <row r="11" spans="1:37" ht="35.1" hidden="1" customHeight="1">
      <c r="A11" s="338">
        <f>'Bldg+Dev'!A9</f>
        <v>0</v>
      </c>
      <c r="B11" s="340">
        <f>+'Bldg+Dev'!U9</f>
        <v>15</v>
      </c>
      <c r="C11" s="340" t="str">
        <f>'Bldg+Dev'!B9</f>
        <v>a. 0 to 2 mt.</v>
      </c>
      <c r="D11" s="340">
        <f>'Bldg+Dev'!C9</f>
        <v>96.6</v>
      </c>
      <c r="E11" s="340" t="str">
        <f>'Bldg+Dev'!D9</f>
        <v>Cum.</v>
      </c>
      <c r="F11" s="340">
        <f t="shared" si="0"/>
        <v>1449</v>
      </c>
      <c r="G11" s="189"/>
      <c r="H11" s="189"/>
      <c r="I11" s="127"/>
      <c r="J11" s="117"/>
      <c r="K11" s="117"/>
      <c r="L11" s="117"/>
      <c r="M11" s="117"/>
      <c r="N11" s="117"/>
      <c r="O11" s="117"/>
      <c r="P11" s="117"/>
      <c r="Q11" s="117"/>
      <c r="R11" s="117"/>
      <c r="S11" s="117"/>
      <c r="T11" s="117"/>
      <c r="U11" s="118"/>
      <c r="V11" s="117"/>
    </row>
    <row r="12" spans="1:37" ht="35.1" hidden="1" customHeight="1">
      <c r="A12" s="338">
        <f>'Bldg+Dev'!A10</f>
        <v>0</v>
      </c>
      <c r="B12" s="340">
        <f>+'Bldg+Dev'!U10</f>
        <v>3</v>
      </c>
      <c r="C12" s="340" t="str">
        <f>'Bldg+Dev'!B10</f>
        <v>b. 2 to 3 mt.</v>
      </c>
      <c r="D12" s="340">
        <f>'Bldg+Dev'!C10</f>
        <v>100.8</v>
      </c>
      <c r="E12" s="340" t="str">
        <f>'Bldg+Dev'!D10</f>
        <v>Cum.</v>
      </c>
      <c r="F12" s="340">
        <f t="shared" si="0"/>
        <v>302.39999999999998</v>
      </c>
      <c r="G12" s="189"/>
      <c r="H12" s="189"/>
      <c r="I12" s="127"/>
      <c r="J12" s="117"/>
      <c r="K12" s="117"/>
      <c r="L12" s="117"/>
      <c r="M12" s="117"/>
      <c r="N12" s="117"/>
      <c r="O12" s="117"/>
      <c r="P12" s="117"/>
      <c r="Q12" s="117"/>
      <c r="R12" s="117"/>
      <c r="S12" s="117"/>
      <c r="T12" s="117"/>
      <c r="U12" s="117"/>
      <c r="V12" s="117"/>
    </row>
    <row r="13" spans="1:37" ht="44.25" hidden="1" customHeight="1">
      <c r="A13" s="338" t="e">
        <f>'Bldg+Dev'!#REF!</f>
        <v>#REF!</v>
      </c>
      <c r="B13" s="340" t="e">
        <f>+'Bldg+Dev'!#REF!</f>
        <v>#REF!</v>
      </c>
      <c r="C13" s="340" t="e">
        <f>'Bldg+Dev'!#REF!</f>
        <v>#REF!</v>
      </c>
      <c r="D13" s="340" t="e">
        <f>'Bldg+Dev'!#REF!</f>
        <v>#REF!</v>
      </c>
      <c r="E13" s="340" t="e">
        <f>'Bldg+Dev'!#REF!</f>
        <v>#REF!</v>
      </c>
      <c r="F13" s="340" t="e">
        <f t="shared" si="0"/>
        <v>#REF!</v>
      </c>
      <c r="G13" s="188"/>
      <c r="H13" s="188"/>
    </row>
    <row r="14" spans="1:37" ht="28.5" hidden="1" customHeight="1">
      <c r="A14" s="338" t="e">
        <f>'Bldg+Dev'!#REF!</f>
        <v>#REF!</v>
      </c>
      <c r="B14" s="340" t="e">
        <f>+'Bldg+Dev'!#REF!</f>
        <v>#REF!</v>
      </c>
      <c r="C14" s="340" t="e">
        <f>'Bldg+Dev'!#REF!</f>
        <v>#REF!</v>
      </c>
      <c r="D14" s="340" t="e">
        <f>'Bldg+Dev'!#REF!</f>
        <v>#REF!</v>
      </c>
      <c r="E14" s="340" t="e">
        <f>'Bldg+Dev'!#REF!</f>
        <v>#REF!</v>
      </c>
      <c r="F14" s="340" t="e">
        <f t="shared" si="0"/>
        <v>#REF!</v>
      </c>
      <c r="G14" s="188"/>
      <c r="H14" s="188"/>
    </row>
    <row r="15" spans="1:37" ht="35.1" hidden="1" customHeight="1">
      <c r="A15" s="338" t="e">
        <f>'Bldg+Dev'!#REF!</f>
        <v>#REF!</v>
      </c>
      <c r="B15" s="340" t="e">
        <f>+'Bldg+Dev'!#REF!</f>
        <v>#REF!</v>
      </c>
      <c r="C15" s="340" t="e">
        <f>'Bldg+Dev'!#REF!</f>
        <v>#REF!</v>
      </c>
      <c r="D15" s="340" t="e">
        <f>'Bldg+Dev'!#REF!</f>
        <v>#REF!</v>
      </c>
      <c r="E15" s="340" t="e">
        <f>'Bldg+Dev'!#REF!</f>
        <v>#REF!</v>
      </c>
      <c r="F15" s="340" t="e">
        <f t="shared" si="0"/>
        <v>#REF!</v>
      </c>
      <c r="G15" s="188"/>
      <c r="H15" s="188"/>
      <c r="AG15" s="38"/>
      <c r="AK15" s="38"/>
    </row>
    <row r="16" spans="1:37" ht="42.75" hidden="1" customHeight="1">
      <c r="A16" s="338">
        <f>'Bldg+Dev'!A11</f>
        <v>1.4</v>
      </c>
      <c r="B16" s="340">
        <f>+'Bldg+Dev'!U11</f>
        <v>0</v>
      </c>
      <c r="C16" s="340" t="str">
        <f>'Bldg+Dev'!B11</f>
        <v>Earth work excavation for Open foundation (including refilling)</v>
      </c>
      <c r="D16" s="340">
        <f>'Bldg+Dev'!C11</f>
        <v>0</v>
      </c>
      <c r="E16" s="340">
        <f>'Bldg+Dev'!D11</f>
        <v>0</v>
      </c>
      <c r="F16" s="340">
        <f t="shared" si="0"/>
        <v>0</v>
      </c>
      <c r="G16" s="199"/>
      <c r="H16" s="188"/>
    </row>
    <row r="17" spans="1:45" ht="35.1" hidden="1" customHeight="1">
      <c r="A17" s="338">
        <f>'Bldg+Dev'!A12</f>
        <v>0</v>
      </c>
      <c r="B17" s="340">
        <f>+'Bldg+Dev'!U12</f>
        <v>43.1</v>
      </c>
      <c r="C17" s="340" t="str">
        <f>'Bldg+Dev'!B12</f>
        <v>a. 0 to 2 mt.</v>
      </c>
      <c r="D17" s="340">
        <f>'Bldg+Dev'!C12</f>
        <v>53.95</v>
      </c>
      <c r="E17" s="340" t="str">
        <f>'Bldg+Dev'!D12</f>
        <v>Cum.</v>
      </c>
      <c r="F17" s="340">
        <f t="shared" si="0"/>
        <v>2325.25</v>
      </c>
      <c r="G17" s="199"/>
      <c r="H17" s="188"/>
    </row>
    <row r="18" spans="1:45" ht="35.1" hidden="1" customHeight="1">
      <c r="A18" s="338">
        <f>'Bldg+Dev'!A13</f>
        <v>0</v>
      </c>
      <c r="B18" s="340">
        <f>+'Bldg+Dev'!U13</f>
        <v>0</v>
      </c>
      <c r="C18" s="340" t="str">
        <f>'Bldg+Dev'!B13</f>
        <v>b. 2 to 3 mt.</v>
      </c>
      <c r="D18" s="340">
        <f>'Bldg+Dev'!C13</f>
        <v>58.15</v>
      </c>
      <c r="E18" s="340" t="str">
        <f>'Bldg+Dev'!D13</f>
        <v>Cum.</v>
      </c>
      <c r="F18" s="340">
        <f t="shared" si="0"/>
        <v>0</v>
      </c>
      <c r="G18" s="199"/>
      <c r="H18" s="188"/>
      <c r="AK18" s="38"/>
    </row>
    <row r="19" spans="1:45" ht="38.25" customHeight="1">
      <c r="A19" s="338">
        <f>'Bldg+Dev'!A14</f>
        <v>1.5</v>
      </c>
      <c r="B19" s="339">
        <f>+'Bldg+Dev'!U14</f>
        <v>0</v>
      </c>
      <c r="C19" s="340" t="str">
        <f>'Bldg+Dev'!B14</f>
        <v>Earth work excavation for Open foundation (excluding refilling)</v>
      </c>
      <c r="D19" s="340">
        <f>'Bldg+Dev'!C14</f>
        <v>0</v>
      </c>
      <c r="E19" s="340" t="str">
        <f>'Bldg+Dev'!D14</f>
        <v/>
      </c>
      <c r="F19" s="340"/>
      <c r="G19" s="199"/>
      <c r="H19" s="188"/>
      <c r="AS19" s="97"/>
    </row>
    <row r="20" spans="1:45" ht="35.1" customHeight="1">
      <c r="A20" s="338">
        <f>'Bldg+Dev'!A15</f>
        <v>0</v>
      </c>
      <c r="B20" s="340">
        <f>+'Bldg+Dev'!U15</f>
        <v>64</v>
      </c>
      <c r="C20" s="340" t="str">
        <f>'Bldg+Dev'!B15</f>
        <v>a. 0 to 2 mt.</v>
      </c>
      <c r="D20" s="340">
        <f>'Bldg+Dev'!C15</f>
        <v>48.3</v>
      </c>
      <c r="E20" s="340" t="str">
        <f>'Bldg+Dev'!D15</f>
        <v>Cum.</v>
      </c>
      <c r="F20" s="340">
        <f t="shared" si="0"/>
        <v>3091.2</v>
      </c>
      <c r="G20" s="199"/>
      <c r="H20" s="188"/>
      <c r="AG20" s="38"/>
      <c r="AO20" s="38"/>
    </row>
    <row r="21" spans="1:45" ht="35.1" hidden="1" customHeight="1">
      <c r="A21" s="338">
        <f>'Bldg+Dev'!A16</f>
        <v>0</v>
      </c>
      <c r="B21" s="340">
        <f>+'Bldg+Dev'!U16</f>
        <v>0</v>
      </c>
      <c r="C21" s="340" t="str">
        <f>'Bldg+Dev'!B16</f>
        <v>b. 2 to 3 mt.</v>
      </c>
      <c r="D21" s="340">
        <f>'Bldg+Dev'!C16</f>
        <v>52.5</v>
      </c>
      <c r="E21" s="340" t="str">
        <f>'Bldg+Dev'!D16</f>
        <v>Cum.</v>
      </c>
      <c r="F21" s="340">
        <f t="shared" si="0"/>
        <v>0</v>
      </c>
      <c r="G21" s="188"/>
      <c r="H21" s="188"/>
    </row>
    <row r="22" spans="1:45" ht="43.5" customHeight="1">
      <c r="A22" s="338" t="e">
        <f>'Bldg+Dev'!#REF!</f>
        <v>#REF!</v>
      </c>
      <c r="B22" s="339" t="e">
        <f>+'Bldg+Dev'!#REF!</f>
        <v>#REF!</v>
      </c>
      <c r="C22" s="340" t="e">
        <f>'Bldg+Dev'!#REF!</f>
        <v>#REF!</v>
      </c>
      <c r="D22" s="340" t="e">
        <f>'Bldg+Dev'!#REF!</f>
        <v>#REF!</v>
      </c>
      <c r="E22" s="340" t="e">
        <f>'Bldg+Dev'!#REF!</f>
        <v>#REF!</v>
      </c>
      <c r="F22" s="340"/>
      <c r="G22" s="188"/>
      <c r="H22" s="188"/>
    </row>
    <row r="23" spans="1:45" ht="28.5" customHeight="1">
      <c r="A23" s="338" t="e">
        <f>'Bldg+Dev'!#REF!</f>
        <v>#REF!</v>
      </c>
      <c r="B23" s="340" t="e">
        <f>+'Bldg+Dev'!#REF!</f>
        <v>#REF!</v>
      </c>
      <c r="C23" s="340" t="e">
        <f>'Bldg+Dev'!#REF!</f>
        <v>#REF!</v>
      </c>
      <c r="D23" s="340" t="e">
        <f>'Bldg+Dev'!#REF!</f>
        <v>#REF!</v>
      </c>
      <c r="E23" s="340" t="e">
        <f>'Bldg+Dev'!#REF!</f>
        <v>#REF!</v>
      </c>
      <c r="F23" s="340" t="e">
        <f t="shared" si="0"/>
        <v>#REF!</v>
      </c>
      <c r="G23" s="189"/>
      <c r="H23" s="189"/>
      <c r="I23" s="127"/>
      <c r="J23" s="117"/>
      <c r="K23" s="117"/>
      <c r="L23" s="117"/>
      <c r="M23" s="117"/>
      <c r="N23" s="117"/>
      <c r="O23" s="117"/>
      <c r="P23" s="117"/>
      <c r="Q23" s="117"/>
      <c r="R23" s="117"/>
      <c r="S23" s="117"/>
      <c r="T23" s="117"/>
      <c r="U23" s="118"/>
      <c r="V23" s="117"/>
      <c r="AK23" s="38"/>
    </row>
    <row r="24" spans="1:45" ht="35.1" hidden="1" customHeight="1">
      <c r="A24" s="338" t="e">
        <f>'Bldg+Dev'!#REF!</f>
        <v>#REF!</v>
      </c>
      <c r="B24" s="340" t="e">
        <f>+'Bldg+Dev'!#REF!</f>
        <v>#REF!</v>
      </c>
      <c r="C24" s="340" t="e">
        <f>'Bldg+Dev'!#REF!</f>
        <v>#REF!</v>
      </c>
      <c r="D24" s="340" t="e">
        <f>'Bldg+Dev'!#REF!</f>
        <v>#REF!</v>
      </c>
      <c r="E24" s="340" t="e">
        <f>'Bldg+Dev'!#REF!</f>
        <v>#REF!</v>
      </c>
      <c r="F24" s="340" t="e">
        <f t="shared" si="0"/>
        <v>#REF!</v>
      </c>
      <c r="G24" s="189"/>
      <c r="H24" s="189"/>
      <c r="I24" s="127"/>
      <c r="J24" s="117"/>
      <c r="K24" s="117"/>
      <c r="L24" s="117"/>
      <c r="M24" s="117"/>
      <c r="N24" s="117"/>
      <c r="O24" s="117"/>
      <c r="P24" s="117"/>
      <c r="Q24" s="117"/>
      <c r="R24" s="117"/>
      <c r="S24" s="117"/>
      <c r="T24" s="117"/>
      <c r="U24" s="117"/>
      <c r="V24" s="117"/>
      <c r="AO24" s="38"/>
    </row>
    <row r="25" spans="1:45" ht="44.25" hidden="1" customHeight="1">
      <c r="A25" s="338" t="e">
        <f>'Bldg+Dev'!#REF!</f>
        <v>#REF!</v>
      </c>
      <c r="B25" s="340" t="e">
        <f>+'Bldg+Dev'!#REF!</f>
        <v>#REF!</v>
      </c>
      <c r="C25" s="340" t="e">
        <f>'Bldg+Dev'!#REF!</f>
        <v>#REF!</v>
      </c>
      <c r="D25" s="340" t="e">
        <f>'Bldg+Dev'!#REF!</f>
        <v>#REF!</v>
      </c>
      <c r="E25" s="340" t="e">
        <f>'Bldg+Dev'!#REF!</f>
        <v>#REF!</v>
      </c>
      <c r="F25" s="340" t="e">
        <f t="shared" si="0"/>
        <v>#REF!</v>
      </c>
      <c r="G25" s="188"/>
      <c r="H25" s="188"/>
    </row>
    <row r="26" spans="1:45" ht="35.1" hidden="1" customHeight="1">
      <c r="A26" s="338" t="e">
        <f>'Bldg+Dev'!#REF!</f>
        <v>#REF!</v>
      </c>
      <c r="B26" s="340" t="e">
        <f>+'Bldg+Dev'!#REF!</f>
        <v>#REF!</v>
      </c>
      <c r="C26" s="340" t="e">
        <f>'Bldg+Dev'!#REF!</f>
        <v>#REF!</v>
      </c>
      <c r="D26" s="340" t="e">
        <f>'Bldg+Dev'!#REF!</f>
        <v>#REF!</v>
      </c>
      <c r="E26" s="340" t="e">
        <f>'Bldg+Dev'!#REF!</f>
        <v>#REF!</v>
      </c>
      <c r="F26" s="340" t="e">
        <f t="shared" si="0"/>
        <v>#REF!</v>
      </c>
      <c r="G26" s="188"/>
      <c r="H26" s="188"/>
      <c r="AG26" s="38"/>
    </row>
    <row r="27" spans="1:45" ht="35.1" hidden="1" customHeight="1">
      <c r="A27" s="338" t="e">
        <f>'Bldg+Dev'!#REF!</f>
        <v>#REF!</v>
      </c>
      <c r="B27" s="340" t="e">
        <f>+'Bldg+Dev'!#REF!</f>
        <v>#REF!</v>
      </c>
      <c r="C27" s="340" t="e">
        <f>'Bldg+Dev'!#REF!</f>
        <v>#REF!</v>
      </c>
      <c r="D27" s="340" t="e">
        <f>'Bldg+Dev'!#REF!</f>
        <v>#REF!</v>
      </c>
      <c r="E27" s="340" t="e">
        <f>'Bldg+Dev'!#REF!</f>
        <v>#REF!</v>
      </c>
      <c r="F27" s="340" t="e">
        <f t="shared" si="0"/>
        <v>#REF!</v>
      </c>
      <c r="G27" s="188"/>
      <c r="H27" s="188"/>
      <c r="AK27" s="38"/>
    </row>
    <row r="28" spans="1:45" ht="43.5" hidden="1" customHeight="1">
      <c r="A28" s="338" t="e">
        <f>'Bldg+Dev'!#REF!</f>
        <v>#REF!</v>
      </c>
      <c r="B28" s="340" t="e">
        <f>+'Bldg+Dev'!#REF!</f>
        <v>#REF!</v>
      </c>
      <c r="C28" s="340" t="e">
        <f>'Bldg+Dev'!#REF!</f>
        <v>#REF!</v>
      </c>
      <c r="D28" s="340" t="e">
        <f>'Bldg+Dev'!#REF!</f>
        <v>#REF!</v>
      </c>
      <c r="E28" s="340" t="e">
        <f>'Bldg+Dev'!#REF!</f>
        <v>#REF!</v>
      </c>
      <c r="F28" s="340" t="e">
        <f t="shared" si="0"/>
        <v>#REF!</v>
      </c>
      <c r="G28" s="188"/>
      <c r="H28" s="188"/>
    </row>
    <row r="29" spans="1:45" ht="27.75" hidden="1" customHeight="1">
      <c r="A29" s="338" t="e">
        <f>'Bldg+Dev'!#REF!</f>
        <v>#REF!</v>
      </c>
      <c r="B29" s="340" t="e">
        <f>+'Bldg+Dev'!#REF!</f>
        <v>#REF!</v>
      </c>
      <c r="C29" s="340" t="e">
        <f>'Bldg+Dev'!#REF!</f>
        <v>#REF!</v>
      </c>
      <c r="D29" s="340" t="e">
        <f>'Bldg+Dev'!#REF!</f>
        <v>#REF!</v>
      </c>
      <c r="E29" s="340" t="e">
        <f>'Bldg+Dev'!#REF!</f>
        <v>#REF!</v>
      </c>
      <c r="F29" s="340" t="e">
        <f t="shared" si="0"/>
        <v>#REF!</v>
      </c>
      <c r="G29" s="188"/>
      <c r="H29" s="188"/>
    </row>
    <row r="30" spans="1:45" ht="27.75" hidden="1" customHeight="1">
      <c r="A30" s="338">
        <f>'Bldg+Dev'!A17</f>
        <v>0</v>
      </c>
      <c r="B30" s="340">
        <f>+'Bldg+Dev'!U17</f>
        <v>0</v>
      </c>
      <c r="C30" s="340" t="str">
        <f>'Bldg+Dev'!B17</f>
        <v>b. 2 to 3 mt.</v>
      </c>
      <c r="D30" s="340">
        <f>'Bldg+Dev'!C17</f>
        <v>76.13</v>
      </c>
      <c r="E30" s="340" t="str">
        <f>'Bldg+Dev'!D17</f>
        <v>Cum.</v>
      </c>
      <c r="F30" s="340">
        <f t="shared" si="0"/>
        <v>0</v>
      </c>
      <c r="G30" s="188"/>
      <c r="H30" s="188"/>
      <c r="AG30" s="38"/>
    </row>
    <row r="31" spans="1:45" ht="35.1" hidden="1" customHeight="1">
      <c r="A31" s="338" t="e">
        <f>'Bldg+Dev'!#REF!</f>
        <v>#REF!</v>
      </c>
      <c r="B31" s="340" t="e">
        <f>+'Bldg+Dev'!#REF!</f>
        <v>#REF!</v>
      </c>
      <c r="C31" s="340" t="e">
        <f>'Bldg+Dev'!#REF!</f>
        <v>#REF!</v>
      </c>
      <c r="D31" s="340" t="e">
        <f>'Bldg+Dev'!#REF!</f>
        <v>#REF!</v>
      </c>
      <c r="E31" s="340" t="e">
        <f>'Bldg+Dev'!#REF!</f>
        <v>#REF!</v>
      </c>
      <c r="F31" s="340" t="e">
        <f t="shared" si="0"/>
        <v>#REF!</v>
      </c>
      <c r="G31" s="188"/>
      <c r="H31" s="188"/>
      <c r="AK31" s="38"/>
    </row>
    <row r="32" spans="1:45" ht="35.1" hidden="1" customHeight="1">
      <c r="A32" s="338" t="e">
        <f>'Bldg+Dev'!#REF!</f>
        <v>#REF!</v>
      </c>
      <c r="B32" s="340" t="e">
        <f>+'Bldg+Dev'!#REF!</f>
        <v>#REF!</v>
      </c>
      <c r="C32" s="340" t="e">
        <f>'Bldg+Dev'!#REF!</f>
        <v>#REF!</v>
      </c>
      <c r="D32" s="340" t="e">
        <f>'Bldg+Dev'!#REF!</f>
        <v>#REF!</v>
      </c>
      <c r="E32" s="340" t="e">
        <f>'Bldg+Dev'!#REF!</f>
        <v>#REF!</v>
      </c>
      <c r="F32" s="340" t="e">
        <f t="shared" si="0"/>
        <v>#REF!</v>
      </c>
      <c r="G32" s="188"/>
      <c r="H32" s="188"/>
      <c r="AE32" s="97"/>
      <c r="AS32" s="97"/>
    </row>
    <row r="33" spans="1:45" ht="35.1" hidden="1" customHeight="1">
      <c r="A33" s="338" t="e">
        <f>'Bldg+Dev'!#REF!</f>
        <v>#REF!</v>
      </c>
      <c r="B33" s="340" t="e">
        <f>+'Bldg+Dev'!#REF!</f>
        <v>#REF!</v>
      </c>
      <c r="C33" s="340" t="e">
        <f>'Bldg+Dev'!#REF!</f>
        <v>#REF!</v>
      </c>
      <c r="D33" s="340" t="e">
        <f>'Bldg+Dev'!#REF!</f>
        <v>#REF!</v>
      </c>
      <c r="E33" s="340" t="e">
        <f>'Bldg+Dev'!#REF!</f>
        <v>#REF!</v>
      </c>
      <c r="F33" s="340" t="e">
        <f t="shared" si="0"/>
        <v>#REF!</v>
      </c>
      <c r="G33" s="188"/>
      <c r="H33" s="188"/>
    </row>
    <row r="34" spans="1:45" ht="35.1" hidden="1" customHeight="1">
      <c r="A34" s="338" t="e">
        <f>'Bldg+Dev'!#REF!</f>
        <v>#REF!</v>
      </c>
      <c r="B34" s="340" t="e">
        <f>+'Bldg+Dev'!#REF!</f>
        <v>#REF!</v>
      </c>
      <c r="C34" s="340" t="e">
        <f>'Bldg+Dev'!#REF!</f>
        <v>#REF!</v>
      </c>
      <c r="D34" s="340" t="e">
        <f>'Bldg+Dev'!#REF!</f>
        <v>#REF!</v>
      </c>
      <c r="E34" s="340" t="e">
        <f>'Bldg+Dev'!#REF!</f>
        <v>#REF!</v>
      </c>
      <c r="F34" s="340" t="e">
        <f t="shared" si="0"/>
        <v>#REF!</v>
      </c>
      <c r="G34" s="188"/>
      <c r="H34" s="188"/>
    </row>
    <row r="35" spans="1:45" ht="35.1" hidden="1" customHeight="1">
      <c r="A35" s="338" t="e">
        <f>'Bldg+Dev'!#REF!</f>
        <v>#REF!</v>
      </c>
      <c r="B35" s="340" t="e">
        <f>+'Bldg+Dev'!#REF!</f>
        <v>#REF!</v>
      </c>
      <c r="C35" s="340" t="e">
        <f>'Bldg+Dev'!#REF!</f>
        <v>#REF!</v>
      </c>
      <c r="D35" s="340" t="e">
        <f>'Bldg+Dev'!#REF!</f>
        <v>#REF!</v>
      </c>
      <c r="E35" s="340" t="e">
        <f>'Bldg+Dev'!#REF!</f>
        <v>#REF!</v>
      </c>
      <c r="F35" s="340" t="e">
        <f t="shared" si="0"/>
        <v>#REF!</v>
      </c>
      <c r="G35" s="188"/>
      <c r="H35" s="188"/>
      <c r="AK35" s="38"/>
    </row>
    <row r="36" spans="1:45" ht="35.1" hidden="1" customHeight="1">
      <c r="A36" s="338" t="e">
        <f>'Bldg+Dev'!#REF!</f>
        <v>#REF!</v>
      </c>
      <c r="B36" s="340" t="e">
        <f>+'Bldg+Dev'!#REF!</f>
        <v>#REF!</v>
      </c>
      <c r="C36" s="340" t="e">
        <f>'Bldg+Dev'!#REF!</f>
        <v>#REF!</v>
      </c>
      <c r="D36" s="340" t="e">
        <f>'Bldg+Dev'!#REF!</f>
        <v>#REF!</v>
      </c>
      <c r="E36" s="340" t="e">
        <f>'Bldg+Dev'!#REF!</f>
        <v>#REF!</v>
      </c>
      <c r="F36" s="340" t="e">
        <f t="shared" si="0"/>
        <v>#REF!</v>
      </c>
      <c r="G36" s="188"/>
      <c r="H36" s="188"/>
    </row>
    <row r="37" spans="1:45" ht="35.1" hidden="1" customHeight="1">
      <c r="A37" s="338" t="e">
        <f>'Bldg+Dev'!#REF!</f>
        <v>#REF!</v>
      </c>
      <c r="B37" s="340" t="e">
        <f>+'Bldg+Dev'!#REF!</f>
        <v>#REF!</v>
      </c>
      <c r="C37" s="340" t="e">
        <f>'Bldg+Dev'!#REF!</f>
        <v>#REF!</v>
      </c>
      <c r="D37" s="340" t="e">
        <f>'Bldg+Dev'!#REF!</f>
        <v>#REF!</v>
      </c>
      <c r="E37" s="340" t="e">
        <f>'Bldg+Dev'!#REF!</f>
        <v>#REF!</v>
      </c>
      <c r="F37" s="340" t="e">
        <f t="shared" si="0"/>
        <v>#REF!</v>
      </c>
      <c r="G37" s="188"/>
      <c r="H37" s="188"/>
    </row>
    <row r="38" spans="1:45" ht="27.75" customHeight="1">
      <c r="A38" s="338">
        <f>'Bldg+Dev'!A18</f>
        <v>2.1</v>
      </c>
      <c r="B38" s="340" t="e">
        <f>+'Bldg+Dev'!U18</f>
        <v>#REF!</v>
      </c>
      <c r="C38" s="340" t="str">
        <f>'Bldg+Dev'!B18</f>
        <v>Filling sand</v>
      </c>
      <c r="D38" s="340">
        <f>'Bldg+Dev'!C18</f>
        <v>755.94</v>
      </c>
      <c r="E38" s="340" t="str">
        <f>'Bldg+Dev'!D18</f>
        <v>Cum.</v>
      </c>
      <c r="F38" s="340" t="e">
        <f t="shared" si="0"/>
        <v>#REF!</v>
      </c>
      <c r="G38" s="188"/>
      <c r="H38" s="188"/>
      <c r="AK38" s="38"/>
    </row>
    <row r="39" spans="1:45" ht="35.1" hidden="1" customHeight="1">
      <c r="A39" s="338">
        <f>'Bldg+Dev'!A19</f>
        <v>2.2000000000000002</v>
      </c>
      <c r="B39" s="340">
        <f>+'Bldg+Dev'!U19</f>
        <v>0</v>
      </c>
      <c r="C39" s="340" t="str">
        <f>'Bldg+Dev'!B19</f>
        <v>Sand Gravel Mix</v>
      </c>
      <c r="D39" s="340">
        <f>'Bldg+Dev'!C19</f>
        <v>776.91</v>
      </c>
      <c r="E39" s="340" t="str">
        <f>'Bldg+Dev'!D19</f>
        <v>Cum.</v>
      </c>
      <c r="F39" s="340">
        <f t="shared" si="0"/>
        <v>0</v>
      </c>
      <c r="G39" s="188"/>
      <c r="H39" s="188"/>
    </row>
    <row r="40" spans="1:45" ht="35.1" hidden="1" customHeight="1">
      <c r="A40" s="338" t="e">
        <f>'Bldg+Dev'!#REF!</f>
        <v>#REF!</v>
      </c>
      <c r="B40" s="340" t="e">
        <f>+'Bldg+Dev'!#REF!</f>
        <v>#REF!</v>
      </c>
      <c r="C40" s="340" t="e">
        <f>'Bldg+Dev'!#REF!</f>
        <v>#REF!</v>
      </c>
      <c r="D40" s="340" t="e">
        <f>'Bldg+Dev'!#REF!</f>
        <v>#REF!</v>
      </c>
      <c r="E40" s="340" t="e">
        <f>'Bldg+Dev'!#REF!</f>
        <v>#REF!</v>
      </c>
      <c r="F40" s="340" t="e">
        <f t="shared" si="0"/>
        <v>#REF!</v>
      </c>
      <c r="G40" s="188"/>
      <c r="H40" s="188"/>
      <c r="AS40" s="38"/>
    </row>
    <row r="41" spans="1:45" ht="35.1" hidden="1" customHeight="1">
      <c r="A41" s="338" t="e">
        <f>'Bldg+Dev'!#REF!</f>
        <v>#REF!</v>
      </c>
      <c r="B41" s="340" t="e">
        <f>+'Bldg+Dev'!#REF!</f>
        <v>#REF!</v>
      </c>
      <c r="C41" s="340" t="e">
        <f>'Bldg+Dev'!#REF!</f>
        <v>#REF!</v>
      </c>
      <c r="D41" s="340" t="e">
        <f>'Bldg+Dev'!#REF!</f>
        <v>#REF!</v>
      </c>
      <c r="E41" s="340" t="e">
        <f>'Bldg+Dev'!#REF!</f>
        <v>#REF!</v>
      </c>
      <c r="F41" s="340" t="e">
        <f t="shared" si="0"/>
        <v>#REF!</v>
      </c>
      <c r="G41" s="188"/>
      <c r="H41" s="188"/>
    </row>
    <row r="42" spans="1:45" ht="35.1" hidden="1" customHeight="1">
      <c r="A42" s="338" t="e">
        <f>'Bldg+Dev'!#REF!</f>
        <v>#REF!</v>
      </c>
      <c r="B42" s="340" t="e">
        <f>+'Bldg+Dev'!#REF!</f>
        <v>#REF!</v>
      </c>
      <c r="C42" s="340" t="e">
        <f>'Bldg+Dev'!#REF!</f>
        <v>#REF!</v>
      </c>
      <c r="D42" s="340" t="e">
        <f>'Bldg+Dev'!#REF!</f>
        <v>#REF!</v>
      </c>
      <c r="E42" s="340" t="e">
        <f>'Bldg+Dev'!#REF!</f>
        <v>#REF!</v>
      </c>
      <c r="F42" s="340" t="e">
        <f t="shared" si="0"/>
        <v>#REF!</v>
      </c>
      <c r="G42" s="189"/>
      <c r="H42" s="189"/>
      <c r="I42" s="127"/>
      <c r="J42" s="117"/>
      <c r="K42" s="117"/>
      <c r="L42" s="117"/>
      <c r="M42" s="117"/>
      <c r="N42" s="117"/>
      <c r="O42" s="117"/>
      <c r="P42" s="117"/>
      <c r="Q42" s="117"/>
      <c r="R42" s="117"/>
      <c r="S42" s="117"/>
      <c r="T42" s="117"/>
      <c r="U42" s="117"/>
      <c r="V42" s="117"/>
      <c r="AK42" s="38"/>
    </row>
    <row r="43" spans="1:45" ht="27.75" customHeight="1">
      <c r="A43" s="338">
        <f>'Bldg+Dev'!A20</f>
        <v>2.6</v>
      </c>
      <c r="B43" s="340">
        <f>+'Bldg+Dev'!U20</f>
        <v>3.6</v>
      </c>
      <c r="C43" s="340" t="str">
        <f>'Bldg+Dev'!B20</f>
        <v>Supply and filling of 40 mm HBSJ</v>
      </c>
      <c r="D43" s="340">
        <f>'Bldg+Dev'!C20</f>
        <v>934.74</v>
      </c>
      <c r="E43" s="340" t="str">
        <f>'Bldg+Dev'!D20</f>
        <v>Cum.</v>
      </c>
      <c r="F43" s="340">
        <f t="shared" si="0"/>
        <v>3365.06</v>
      </c>
      <c r="G43" s="188"/>
      <c r="H43" s="188"/>
    </row>
    <row r="44" spans="1:45" ht="27.75" customHeight="1">
      <c r="A44" s="338">
        <f>'Bldg+Dev'!A21</f>
        <v>2.7</v>
      </c>
      <c r="B44" s="340">
        <f>+'Bldg+Dev'!U21</f>
        <v>1.8</v>
      </c>
      <c r="C44" s="340" t="str">
        <f>'Bldg+Dev'!B21</f>
        <v>Supply and filling of 20 mm HBSJ</v>
      </c>
      <c r="D44" s="340">
        <f>'Bldg+Dev'!C21</f>
        <v>1253.74</v>
      </c>
      <c r="E44" s="340" t="str">
        <f>'Bldg+Dev'!D21</f>
        <v>Cum.</v>
      </c>
      <c r="F44" s="340">
        <f t="shared" si="0"/>
        <v>2256.73</v>
      </c>
      <c r="G44" s="188"/>
      <c r="H44" s="188"/>
      <c r="AS44" s="38"/>
    </row>
    <row r="45" spans="1:45" ht="27.75" customHeight="1">
      <c r="A45" s="338">
        <f>'Bldg+Dev'!A22</f>
        <v>3.1</v>
      </c>
      <c r="B45" s="340" t="e">
        <f>+'Bldg+Dev'!U22</f>
        <v>#REF!</v>
      </c>
      <c r="C45" s="340" t="str">
        <f>'Bldg+Dev'!B22</f>
        <v>C.C.1:5:10 for Foundation &amp; Basement</v>
      </c>
      <c r="D45" s="340">
        <f>'Bldg+Dev'!C22</f>
        <v>2798.38</v>
      </c>
      <c r="E45" s="340" t="str">
        <f>'Bldg+Dev'!D22</f>
        <v>Cum.</v>
      </c>
      <c r="F45" s="340" t="e">
        <f t="shared" si="0"/>
        <v>#REF!</v>
      </c>
      <c r="G45" s="188"/>
      <c r="H45" s="188"/>
    </row>
    <row r="46" spans="1:45" ht="38.25" customHeight="1">
      <c r="A46" s="338">
        <f>'Bldg+Dev'!A23</f>
        <v>3.2</v>
      </c>
      <c r="B46" s="340">
        <f>+'Bldg+Dev'!U23</f>
        <v>23</v>
      </c>
      <c r="C46" s="340" t="str">
        <f>'Bldg+Dev'!B23</f>
        <v>P.C.C. 1:2:4 for Foundation &amp; Basement and other similar works</v>
      </c>
      <c r="D46" s="340">
        <f>'Bldg+Dev'!C23</f>
        <v>4174.12</v>
      </c>
      <c r="E46" s="340" t="str">
        <f>'Bldg+Dev'!D23</f>
        <v>Cum.</v>
      </c>
      <c r="F46" s="340">
        <f t="shared" si="0"/>
        <v>96004.76</v>
      </c>
      <c r="G46" s="188"/>
      <c r="H46" s="188"/>
    </row>
    <row r="47" spans="1:45" ht="28.5" customHeight="1">
      <c r="A47" s="338">
        <f>'Bldg+Dev'!A24</f>
        <v>3.3</v>
      </c>
      <c r="B47" s="340">
        <f>+'Bldg+Dev'!U24</f>
        <v>3</v>
      </c>
      <c r="C47" s="340" t="str">
        <f>'Bldg+Dev'!B24</f>
        <v>P.C.C. 1:8:16 using 20 mm broken brick jelly</v>
      </c>
      <c r="D47" s="340">
        <f>'Bldg+Dev'!C24</f>
        <v>2306.3000000000002</v>
      </c>
      <c r="E47" s="340" t="str">
        <f>'Bldg+Dev'!D24</f>
        <v>Cum.</v>
      </c>
      <c r="F47" s="340">
        <f t="shared" si="0"/>
        <v>6918.9</v>
      </c>
      <c r="G47" s="189"/>
      <c r="H47" s="189"/>
      <c r="I47" s="127"/>
      <c r="J47" s="117"/>
      <c r="K47" s="117"/>
      <c r="L47" s="117"/>
      <c r="M47" s="117"/>
      <c r="N47" s="117"/>
      <c r="O47" s="117"/>
      <c r="P47" s="117"/>
      <c r="Q47" s="117"/>
      <c r="R47" s="117"/>
      <c r="S47" s="117"/>
      <c r="T47" s="117"/>
      <c r="U47" s="117"/>
      <c r="V47" s="117"/>
    </row>
    <row r="48" spans="1:45" ht="41.25" hidden="1" customHeight="1">
      <c r="A48" s="338" t="e">
        <f>'Bldg+Dev'!#REF!</f>
        <v>#REF!</v>
      </c>
      <c r="B48" s="340" t="e">
        <f>+'Bldg+Dev'!#REF!</f>
        <v>#REF!</v>
      </c>
      <c r="C48" s="340" t="e">
        <f>'Bldg+Dev'!#REF!</f>
        <v>#REF!</v>
      </c>
      <c r="D48" s="340" t="e">
        <f>'Bldg+Dev'!#REF!</f>
        <v>#REF!</v>
      </c>
      <c r="E48" s="340" t="e">
        <f>'Bldg+Dev'!#REF!</f>
        <v>#REF!</v>
      </c>
      <c r="F48" s="340" t="e">
        <f t="shared" si="0"/>
        <v>#REF!</v>
      </c>
      <c r="G48" s="189"/>
      <c r="H48" s="189"/>
      <c r="I48" s="127"/>
      <c r="J48" s="117"/>
      <c r="K48" s="117"/>
      <c r="L48" s="117"/>
      <c r="M48" s="117"/>
      <c r="N48" s="117"/>
      <c r="O48" s="117"/>
      <c r="P48" s="117"/>
      <c r="Q48" s="117"/>
      <c r="R48" s="117"/>
      <c r="S48" s="117"/>
      <c r="T48" s="117"/>
      <c r="U48" s="117"/>
      <c r="V48" s="117"/>
    </row>
    <row r="49" spans="1:22" ht="35.1" hidden="1" customHeight="1">
      <c r="A49" s="338" t="e">
        <f>'Bldg+Dev'!#REF!</f>
        <v>#REF!</v>
      </c>
      <c r="B49" s="340" t="e">
        <f>+'Bldg+Dev'!#REF!</f>
        <v>#REF!</v>
      </c>
      <c r="C49" s="340" t="e">
        <f>'Bldg+Dev'!#REF!</f>
        <v>#REF!</v>
      </c>
      <c r="D49" s="340" t="e">
        <f>'Bldg+Dev'!#REF!</f>
        <v>#REF!</v>
      </c>
      <c r="E49" s="340" t="e">
        <f>'Bldg+Dev'!#REF!</f>
        <v>#REF!</v>
      </c>
      <c r="F49" s="340" t="e">
        <f t="shared" si="0"/>
        <v>#REF!</v>
      </c>
      <c r="G49" s="189"/>
      <c r="H49" s="189"/>
      <c r="I49" s="127"/>
      <c r="J49" s="117"/>
      <c r="K49" s="117"/>
      <c r="L49" s="117"/>
      <c r="M49" s="117"/>
      <c r="N49" s="117"/>
      <c r="O49" s="117"/>
      <c r="P49" s="117"/>
      <c r="Q49" s="117"/>
      <c r="R49" s="117"/>
      <c r="S49" s="117"/>
      <c r="T49" s="117"/>
      <c r="U49" s="117"/>
      <c r="V49" s="117"/>
    </row>
    <row r="50" spans="1:22" ht="84.75" hidden="1" customHeight="1">
      <c r="A50" s="338" t="e">
        <f>'Bldg+Dev'!#REF!</f>
        <v>#REF!</v>
      </c>
      <c r="B50" s="340" t="e">
        <f>+'Bldg+Dev'!#REF!</f>
        <v>#REF!</v>
      </c>
      <c r="C50" s="340" t="e">
        <f>'Bldg+Dev'!#REF!</f>
        <v>#REF!</v>
      </c>
      <c r="D50" s="340" t="e">
        <f>'Bldg+Dev'!#REF!</f>
        <v>#REF!</v>
      </c>
      <c r="E50" s="340" t="e">
        <f>'Bldg+Dev'!#REF!</f>
        <v>#REF!</v>
      </c>
      <c r="F50" s="340" t="e">
        <f t="shared" si="0"/>
        <v>#REF!</v>
      </c>
      <c r="G50" s="189"/>
      <c r="H50" s="189"/>
      <c r="I50" s="127"/>
      <c r="J50" s="117"/>
      <c r="K50" s="117"/>
      <c r="L50" s="117"/>
      <c r="M50" s="117"/>
      <c r="N50" s="117"/>
      <c r="O50" s="117"/>
      <c r="P50" s="117"/>
      <c r="Q50" s="117"/>
      <c r="R50" s="117"/>
      <c r="S50" s="117"/>
      <c r="T50" s="117"/>
      <c r="U50" s="117"/>
      <c r="V50" s="117"/>
    </row>
    <row r="51" spans="1:22" ht="52.5" hidden="1" customHeight="1">
      <c r="A51" s="338" t="e">
        <f>'Bldg+Dev'!#REF!</f>
        <v>#REF!</v>
      </c>
      <c r="B51" s="340" t="e">
        <f>+'Bldg+Dev'!#REF!</f>
        <v>#REF!</v>
      </c>
      <c r="C51" s="340" t="e">
        <f>'Bldg+Dev'!#REF!</f>
        <v>#REF!</v>
      </c>
      <c r="D51" s="340" t="e">
        <f>'Bldg+Dev'!#REF!</f>
        <v>#REF!</v>
      </c>
      <c r="E51" s="340" t="e">
        <f>'Bldg+Dev'!#REF!</f>
        <v>#REF!</v>
      </c>
      <c r="F51" s="340" t="e">
        <f t="shared" si="0"/>
        <v>#REF!</v>
      </c>
      <c r="G51" s="189"/>
      <c r="H51" s="189"/>
      <c r="I51" s="127"/>
      <c r="J51" s="117"/>
      <c r="K51" s="117"/>
      <c r="L51" s="117"/>
      <c r="M51" s="117"/>
      <c r="N51" s="117"/>
      <c r="O51" s="117"/>
      <c r="P51" s="117"/>
      <c r="Q51" s="117"/>
      <c r="R51" s="117"/>
      <c r="S51" s="117"/>
      <c r="T51" s="117"/>
      <c r="U51" s="117"/>
      <c r="V51" s="117"/>
    </row>
    <row r="52" spans="1:22" ht="28.5" customHeight="1">
      <c r="A52" s="338">
        <f>'Bldg+Dev'!A25</f>
        <v>4.0999999999999996</v>
      </c>
      <c r="B52" s="340" t="e">
        <f>+'Bldg+Dev'!U25</f>
        <v>#REF!</v>
      </c>
      <c r="C52" s="340" t="str">
        <f>'Bldg+Dev'!B25</f>
        <v>R.C.C. 1:2:4 Foundation and Basement</v>
      </c>
      <c r="D52" s="340">
        <f>'Bldg+Dev'!C25</f>
        <v>4863.82</v>
      </c>
      <c r="E52" s="340" t="str">
        <f>'Bldg+Dev'!D25</f>
        <v>Cum.</v>
      </c>
      <c r="F52" s="340" t="e">
        <f t="shared" si="0"/>
        <v>#REF!</v>
      </c>
      <c r="G52" s="188"/>
      <c r="H52" s="188"/>
    </row>
    <row r="53" spans="1:22" ht="28.5" customHeight="1">
      <c r="A53" s="338">
        <f>'Bldg+Dev'!A26</f>
        <v>4.2</v>
      </c>
      <c r="B53" s="340">
        <f>+'Bldg+Dev'!U26</f>
        <v>1.3</v>
      </c>
      <c r="C53" s="340" t="str">
        <f>'Bldg+Dev'!B26</f>
        <v>R.C.C. 1: 11/2: 3 Foundation and Basement</v>
      </c>
      <c r="D53" s="340">
        <f>'Bldg+Dev'!C26</f>
        <v>5466.94</v>
      </c>
      <c r="E53" s="340" t="str">
        <f>'Bldg+Dev'!D26</f>
        <v>Cum.</v>
      </c>
      <c r="F53" s="340">
        <f t="shared" si="0"/>
        <v>7107.02</v>
      </c>
      <c r="G53" s="188"/>
      <c r="H53" s="188"/>
    </row>
    <row r="54" spans="1:22" ht="28.5" hidden="1" customHeight="1">
      <c r="A54" s="338">
        <f>'Bldg+Dev'!A27</f>
        <v>5</v>
      </c>
      <c r="B54" s="340">
        <f>+'Bldg+Dev'!U27</f>
        <v>0</v>
      </c>
      <c r="C54" s="340" t="str">
        <f>'Bldg+Dev'!B27</f>
        <v>R.R. masonry in C.M. 1:5 Foundation and Basment</v>
      </c>
      <c r="D54" s="340">
        <f>'Bldg+Dev'!C27</f>
        <v>2783.51</v>
      </c>
      <c r="E54" s="340" t="str">
        <f>'Bldg+Dev'!D27</f>
        <v>Cum.</v>
      </c>
      <c r="F54" s="340">
        <f t="shared" si="0"/>
        <v>0</v>
      </c>
      <c r="G54" s="188"/>
      <c r="H54" s="188"/>
    </row>
    <row r="55" spans="1:22" ht="54.95" hidden="1" customHeight="1">
      <c r="A55" s="338" t="e">
        <f>'Bldg+Dev'!#REF!</f>
        <v>#REF!</v>
      </c>
      <c r="B55" s="340" t="e">
        <f>+'Bldg+Dev'!#REF!</f>
        <v>#REF!</v>
      </c>
      <c r="C55" s="340" t="e">
        <f>'Bldg+Dev'!#REF!</f>
        <v>#REF!</v>
      </c>
      <c r="D55" s="340" t="e">
        <f>'Bldg+Dev'!#REF!</f>
        <v>#REF!</v>
      </c>
      <c r="E55" s="340" t="e">
        <f>'Bldg+Dev'!#REF!</f>
        <v>#REF!</v>
      </c>
      <c r="F55" s="340" t="e">
        <f t="shared" si="0"/>
        <v>#REF!</v>
      </c>
      <c r="G55" s="188"/>
      <c r="H55" s="188"/>
    </row>
    <row r="56" spans="1:22" ht="52.5" customHeight="1">
      <c r="A56" s="338">
        <f>'Bldg+Dev'!A28</f>
        <v>6.2</v>
      </c>
      <c r="B56" s="340" t="e">
        <f>+'Bldg+Dev'!U28</f>
        <v>#REF!</v>
      </c>
      <c r="C56" s="340" t="str">
        <f>'Bldg+Dev'!B28</f>
        <v>Brick work in C.M. 1:5 (F&amp; B) using chamber Burnt bricks of size 23 x 11.4 x 7.5 cm (9" x 4 1/2"x 3")</v>
      </c>
      <c r="D56" s="340">
        <f>'Bldg+Dev'!C28</f>
        <v>4076.14</v>
      </c>
      <c r="E56" s="340" t="str">
        <f>'Bldg+Dev'!D28</f>
        <v>Cum.</v>
      </c>
      <c r="F56" s="340" t="e">
        <f t="shared" si="0"/>
        <v>#REF!</v>
      </c>
      <c r="G56" s="189"/>
      <c r="H56" s="189"/>
      <c r="I56" s="127"/>
      <c r="J56" s="117"/>
      <c r="K56" s="117"/>
      <c r="L56" s="117"/>
      <c r="M56" s="117"/>
      <c r="N56" s="117"/>
      <c r="O56" s="117"/>
      <c r="P56" s="117"/>
      <c r="Q56" s="117"/>
      <c r="R56" s="117"/>
      <c r="S56" s="117"/>
      <c r="T56" s="117"/>
      <c r="U56" s="117"/>
      <c r="V56" s="117"/>
    </row>
    <row r="57" spans="1:22" ht="54.95" hidden="1" customHeight="1">
      <c r="A57" s="338" t="e">
        <f>'Bldg+Dev'!#REF!</f>
        <v>#REF!</v>
      </c>
      <c r="B57" s="340" t="e">
        <f>+'Bldg+Dev'!#REF!</f>
        <v>#REF!</v>
      </c>
      <c r="C57" s="340" t="e">
        <f>'Bldg+Dev'!#REF!</f>
        <v>#REF!</v>
      </c>
      <c r="D57" s="340" t="e">
        <f>'Bldg+Dev'!#REF!</f>
        <v>#REF!</v>
      </c>
      <c r="E57" s="340" t="e">
        <f>'Bldg+Dev'!#REF!</f>
        <v>#REF!</v>
      </c>
      <c r="F57" s="340" t="e">
        <f t="shared" si="0"/>
        <v>#REF!</v>
      </c>
      <c r="G57" s="188"/>
      <c r="H57" s="188"/>
    </row>
    <row r="58" spans="1:22" ht="54.95" hidden="1" customHeight="1">
      <c r="A58" s="338" t="e">
        <f>'Bldg+Dev'!#REF!</f>
        <v>#REF!</v>
      </c>
      <c r="B58" s="340" t="e">
        <f>+'Bldg+Dev'!#REF!</f>
        <v>#REF!</v>
      </c>
      <c r="C58" s="340" t="e">
        <f>'Bldg+Dev'!#REF!</f>
        <v>#REF!</v>
      </c>
      <c r="D58" s="340" t="e">
        <f>'Bldg+Dev'!#REF!</f>
        <v>#REF!</v>
      </c>
      <c r="E58" s="340" t="e">
        <f>'Bldg+Dev'!#REF!</f>
        <v>#REF!</v>
      </c>
      <c r="F58" s="340" t="e">
        <f t="shared" si="0"/>
        <v>#REF!</v>
      </c>
      <c r="G58" s="188"/>
      <c r="H58" s="188"/>
    </row>
    <row r="59" spans="1:22" ht="54.95" hidden="1" customHeight="1">
      <c r="A59" s="338" t="e">
        <f>'Bldg+Dev'!#REF!</f>
        <v>#REF!</v>
      </c>
      <c r="B59" s="340" t="e">
        <f>+'Bldg+Dev'!#REF!</f>
        <v>#REF!</v>
      </c>
      <c r="C59" s="340" t="e">
        <f>'Bldg+Dev'!#REF!</f>
        <v>#REF!</v>
      </c>
      <c r="D59" s="340" t="e">
        <f>'Bldg+Dev'!#REF!</f>
        <v>#REF!</v>
      </c>
      <c r="E59" s="340" t="e">
        <f>'Bldg+Dev'!#REF!</f>
        <v>#REF!</v>
      </c>
      <c r="F59" s="340" t="e">
        <f t="shared" si="0"/>
        <v>#REF!</v>
      </c>
      <c r="G59" s="188"/>
      <c r="H59" s="188"/>
    </row>
    <row r="60" spans="1:22" ht="54.95" hidden="1" customHeight="1">
      <c r="A60" s="338" t="e">
        <f>'Bldg+Dev'!#REF!</f>
        <v>#REF!</v>
      </c>
      <c r="B60" s="340" t="e">
        <f>+'Bldg+Dev'!#REF!</f>
        <v>#REF!</v>
      </c>
      <c r="C60" s="340" t="e">
        <f>'Bldg+Dev'!#REF!</f>
        <v>#REF!</v>
      </c>
      <c r="D60" s="340" t="e">
        <f>'Bldg+Dev'!#REF!</f>
        <v>#REF!</v>
      </c>
      <c r="E60" s="340" t="e">
        <f>'Bldg+Dev'!#REF!</f>
        <v>#REF!</v>
      </c>
      <c r="F60" s="340" t="e">
        <f t="shared" si="0"/>
        <v>#REF!</v>
      </c>
      <c r="G60" s="188"/>
      <c r="H60" s="188"/>
    </row>
    <row r="61" spans="1:22" ht="54.95" hidden="1" customHeight="1">
      <c r="A61" s="338" t="e">
        <f>'Bldg+Dev'!#REF!</f>
        <v>#REF!</v>
      </c>
      <c r="B61" s="340" t="e">
        <f>+'Bldg+Dev'!#REF!</f>
        <v>#REF!</v>
      </c>
      <c r="C61" s="340" t="e">
        <f>'Bldg+Dev'!#REF!</f>
        <v>#REF!</v>
      </c>
      <c r="D61" s="340" t="e">
        <f>'Bldg+Dev'!#REF!</f>
        <v>#REF!</v>
      </c>
      <c r="E61" s="340" t="e">
        <f>'Bldg+Dev'!#REF!</f>
        <v>#REF!</v>
      </c>
      <c r="F61" s="340" t="e">
        <f t="shared" si="0"/>
        <v>#REF!</v>
      </c>
      <c r="G61" s="188"/>
      <c r="H61" s="188"/>
    </row>
    <row r="62" spans="1:22" ht="43.5" hidden="1" customHeight="1">
      <c r="A62" s="338">
        <f>'Bldg+Dev'!A29</f>
        <v>7.2</v>
      </c>
      <c r="B62" s="340">
        <f>+'Bldg+Dev'!U29</f>
        <v>7.2</v>
      </c>
      <c r="C62" s="340" t="str">
        <f>'Bldg+Dev'!B29</f>
        <v>Supply and fixing of Bituminous filler pad, 20 mm tk. for expansion joint</v>
      </c>
      <c r="D62" s="340">
        <f>'Bldg+Dev'!C29</f>
        <v>430</v>
      </c>
      <c r="E62" s="340" t="str">
        <f>'Bldg+Dev'!D29</f>
        <v>Sqm.</v>
      </c>
      <c r="F62" s="340">
        <f t="shared" si="0"/>
        <v>3096</v>
      </c>
      <c r="G62" s="188"/>
      <c r="H62" s="188"/>
    </row>
    <row r="63" spans="1:22" ht="54.95" hidden="1" customHeight="1">
      <c r="A63" s="338">
        <f>'Bldg+Dev'!A30</f>
        <v>7.3</v>
      </c>
      <c r="B63" s="340">
        <f>+'Bldg+Dev'!U30</f>
        <v>0</v>
      </c>
      <c r="C63" s="340" t="str">
        <f>'Bldg+Dev'!B30</f>
        <v>Damp Proof Course in C.M. 1:4, 12 MM thick mixed with Water proofing compound</v>
      </c>
      <c r="D63" s="340">
        <f>'Bldg+Dev'!C30</f>
        <v>150.31</v>
      </c>
      <c r="E63" s="340" t="str">
        <f>'Bldg+Dev'!D30</f>
        <v>Sqm.</v>
      </c>
      <c r="F63" s="340">
        <f t="shared" si="0"/>
        <v>0</v>
      </c>
      <c r="G63" s="188"/>
      <c r="H63" s="188"/>
    </row>
    <row r="64" spans="1:22" ht="24.75" customHeight="1">
      <c r="A64" s="338">
        <f>'Bldg+Dev'!A31</f>
        <v>8.1</v>
      </c>
      <c r="B64" s="339">
        <f>+'Bldg+Dev'!U31</f>
        <v>0</v>
      </c>
      <c r="C64" s="340" t="str">
        <f>'Bldg+Dev'!B31</f>
        <v>R.C.C.1:2:4</v>
      </c>
      <c r="D64" s="340">
        <f>'Bldg+Dev'!C31</f>
        <v>0</v>
      </c>
      <c r="E64" s="340">
        <f>'Bldg+Dev'!D31</f>
        <v>0</v>
      </c>
      <c r="F64" s="340"/>
      <c r="G64" s="189"/>
      <c r="H64" s="189"/>
      <c r="I64" s="127"/>
      <c r="J64" s="117"/>
      <c r="K64" s="117"/>
      <c r="L64" s="117"/>
      <c r="M64" s="117"/>
      <c r="N64" s="117"/>
      <c r="O64" s="117"/>
      <c r="P64" s="117"/>
      <c r="Q64" s="117"/>
      <c r="R64" s="117"/>
      <c r="S64" s="117"/>
      <c r="T64" s="117"/>
      <c r="U64" s="117"/>
      <c r="V64" s="117"/>
    </row>
    <row r="65" spans="1:22" ht="24.75" customHeight="1">
      <c r="A65" s="338">
        <f>'Bldg+Dev'!A32</f>
        <v>0</v>
      </c>
      <c r="B65" s="340" t="e">
        <f>+'Bldg+Dev'!U32</f>
        <v>#REF!</v>
      </c>
      <c r="C65" s="340" t="str">
        <f>'Bldg+Dev'!B32</f>
        <v>a. In Ground floor</v>
      </c>
      <c r="D65" s="340">
        <f>'Bldg+Dev'!C32</f>
        <v>4908.47</v>
      </c>
      <c r="E65" s="340" t="str">
        <f>'Bldg+Dev'!D32</f>
        <v>Cum.</v>
      </c>
      <c r="F65" s="340" t="e">
        <f t="shared" si="0"/>
        <v>#REF!</v>
      </c>
      <c r="G65" s="188"/>
      <c r="H65" s="188"/>
    </row>
    <row r="66" spans="1:22" ht="24.75" customHeight="1">
      <c r="A66" s="338">
        <f>'Bldg+Dev'!A33</f>
        <v>0</v>
      </c>
      <c r="B66" s="340">
        <f>+'Bldg+Dev'!U33</f>
        <v>0</v>
      </c>
      <c r="C66" s="340" t="str">
        <f>'Bldg+Dev'!B33</f>
        <v>b. In First floor</v>
      </c>
      <c r="D66" s="340">
        <f>'Bldg+Dev'!C33</f>
        <v>4997.47</v>
      </c>
      <c r="E66" s="340" t="str">
        <f>'Bldg+Dev'!D33</f>
        <v>Cum.</v>
      </c>
      <c r="F66" s="340">
        <f t="shared" si="0"/>
        <v>0</v>
      </c>
      <c r="G66" s="188"/>
      <c r="H66" s="188"/>
    </row>
    <row r="67" spans="1:22" ht="24.75" customHeight="1">
      <c r="A67" s="338">
        <f>'Bldg+Dev'!A34</f>
        <v>0</v>
      </c>
      <c r="B67" s="340">
        <f>+'Bldg+Dev'!U34</f>
        <v>0</v>
      </c>
      <c r="C67" s="340" t="str">
        <f>'Bldg+Dev'!B34</f>
        <v>c. In Second floor</v>
      </c>
      <c r="D67" s="340">
        <f>'Bldg+Dev'!C34</f>
        <v>5086.47</v>
      </c>
      <c r="E67" s="340" t="str">
        <f>'Bldg+Dev'!D34</f>
        <v>Cum.</v>
      </c>
      <c r="F67" s="340">
        <f t="shared" si="0"/>
        <v>0</v>
      </c>
      <c r="G67" s="189"/>
      <c r="H67" s="189"/>
      <c r="I67" s="127"/>
      <c r="J67" s="117"/>
      <c r="K67" s="117"/>
      <c r="L67" s="117"/>
      <c r="M67" s="117"/>
      <c r="N67" s="117"/>
      <c r="O67" s="117"/>
      <c r="P67" s="117"/>
      <c r="Q67" s="117"/>
      <c r="R67" s="117"/>
      <c r="S67" s="117"/>
      <c r="T67" s="117"/>
      <c r="U67" s="117"/>
      <c r="V67" s="117"/>
    </row>
    <row r="68" spans="1:22" ht="24.75" customHeight="1">
      <c r="A68" s="338">
        <f>'Bldg+Dev'!A35</f>
        <v>0</v>
      </c>
      <c r="B68" s="340">
        <f>+'Bldg+Dev'!U35</f>
        <v>0</v>
      </c>
      <c r="C68" s="340" t="str">
        <f>'Bldg+Dev'!B35</f>
        <v>d. In Third floor</v>
      </c>
      <c r="D68" s="340">
        <f>'Bldg+Dev'!C35</f>
        <v>5175.47</v>
      </c>
      <c r="E68" s="340" t="str">
        <f>'Bldg+Dev'!D35</f>
        <v>Cum.</v>
      </c>
      <c r="F68" s="340">
        <f t="shared" si="0"/>
        <v>0</v>
      </c>
      <c r="G68" s="188"/>
      <c r="H68" s="188"/>
    </row>
    <row r="69" spans="1:22" ht="28.5" customHeight="1">
      <c r="A69" s="338">
        <f>'Bldg+Dev'!A36</f>
        <v>0</v>
      </c>
      <c r="B69" s="340">
        <f>+'Bldg+Dev'!U36</f>
        <v>0</v>
      </c>
      <c r="C69" s="340" t="str">
        <f>'Bldg+Dev'!B36</f>
        <v>e.  In Fourth floor</v>
      </c>
      <c r="D69" s="340">
        <f>'Bldg+Dev'!C36</f>
        <v>5264.47</v>
      </c>
      <c r="E69" s="340" t="str">
        <f>'Bldg+Dev'!D36</f>
        <v>Cum.</v>
      </c>
      <c r="F69" s="340">
        <f t="shared" si="0"/>
        <v>0</v>
      </c>
      <c r="G69" s="188"/>
      <c r="H69" s="188"/>
    </row>
    <row r="70" spans="1:22" ht="35.1" hidden="1" customHeight="1">
      <c r="A70" s="338" t="e">
        <f>'Bldg+Dev'!#REF!</f>
        <v>#REF!</v>
      </c>
      <c r="B70" s="340" t="e">
        <f>+'Bldg+Dev'!#REF!</f>
        <v>#REF!</v>
      </c>
      <c r="C70" s="340" t="e">
        <f>'Bldg+Dev'!#REF!</f>
        <v>#REF!</v>
      </c>
      <c r="D70" s="340" t="e">
        <f>'Bldg+Dev'!#REF!</f>
        <v>#REF!</v>
      </c>
      <c r="E70" s="340" t="e">
        <f>'Bldg+Dev'!#REF!</f>
        <v>#REF!</v>
      </c>
      <c r="F70" s="340" t="e">
        <f t="shared" si="0"/>
        <v>#REF!</v>
      </c>
      <c r="G70" s="188"/>
      <c r="H70" s="188"/>
    </row>
    <row r="71" spans="1:22" ht="35.1" hidden="1" customHeight="1">
      <c r="A71" s="338" t="e">
        <f>'Bldg+Dev'!#REF!</f>
        <v>#REF!</v>
      </c>
      <c r="B71" s="340" t="e">
        <f>+'Bldg+Dev'!#REF!</f>
        <v>#REF!</v>
      </c>
      <c r="C71" s="340" t="e">
        <f>'Bldg+Dev'!#REF!</f>
        <v>#REF!</v>
      </c>
      <c r="D71" s="340" t="e">
        <f>'Bldg+Dev'!#REF!</f>
        <v>#REF!</v>
      </c>
      <c r="E71" s="340" t="e">
        <f>'Bldg+Dev'!#REF!</f>
        <v>#REF!</v>
      </c>
      <c r="F71" s="340" t="e">
        <f t="shared" si="0"/>
        <v>#REF!</v>
      </c>
      <c r="G71" s="188"/>
      <c r="H71" s="188"/>
    </row>
    <row r="72" spans="1:22" ht="35.1" hidden="1" customHeight="1">
      <c r="A72" s="338" t="e">
        <f>'Bldg+Dev'!#REF!</f>
        <v>#REF!</v>
      </c>
      <c r="B72" s="340" t="e">
        <f>+'Bldg+Dev'!#REF!</f>
        <v>#REF!</v>
      </c>
      <c r="C72" s="340" t="e">
        <f>'Bldg+Dev'!#REF!</f>
        <v>#REF!</v>
      </c>
      <c r="D72" s="340" t="e">
        <f>'Bldg+Dev'!#REF!</f>
        <v>#REF!</v>
      </c>
      <c r="E72" s="340" t="e">
        <f>'Bldg+Dev'!#REF!</f>
        <v>#REF!</v>
      </c>
      <c r="F72" s="340" t="e">
        <f t="shared" si="0"/>
        <v>#REF!</v>
      </c>
      <c r="G72" s="188"/>
      <c r="H72" s="188"/>
    </row>
    <row r="73" spans="1:22" ht="35.1" hidden="1" customHeight="1">
      <c r="A73" s="338" t="e">
        <f>'Bldg+Dev'!#REF!</f>
        <v>#REF!</v>
      </c>
      <c r="B73" s="340" t="e">
        <f>+'Bldg+Dev'!#REF!</f>
        <v>#REF!</v>
      </c>
      <c r="C73" s="340" t="e">
        <f>'Bldg+Dev'!#REF!</f>
        <v>#REF!</v>
      </c>
      <c r="D73" s="340" t="e">
        <f>'Bldg+Dev'!#REF!</f>
        <v>#REF!</v>
      </c>
      <c r="E73" s="340" t="e">
        <f>'Bldg+Dev'!#REF!</f>
        <v>#REF!</v>
      </c>
      <c r="F73" s="340" t="e">
        <f t="shared" ref="F73:F136" si="1">D73*B73</f>
        <v>#REF!</v>
      </c>
      <c r="G73" s="188"/>
      <c r="H73" s="188"/>
    </row>
    <row r="74" spans="1:22" ht="35.1" hidden="1" customHeight="1">
      <c r="A74" s="338" t="e">
        <f>'Bldg+Dev'!#REF!</f>
        <v>#REF!</v>
      </c>
      <c r="B74" s="340" t="e">
        <f>+'Bldg+Dev'!#REF!</f>
        <v>#REF!</v>
      </c>
      <c r="C74" s="340" t="e">
        <f>'Bldg+Dev'!#REF!</f>
        <v>#REF!</v>
      </c>
      <c r="D74" s="340" t="e">
        <f>'Bldg+Dev'!#REF!</f>
        <v>#REF!</v>
      </c>
      <c r="E74" s="340" t="e">
        <f>'Bldg+Dev'!#REF!</f>
        <v>#REF!</v>
      </c>
      <c r="F74" s="340" t="e">
        <f t="shared" si="1"/>
        <v>#REF!</v>
      </c>
      <c r="G74" s="188"/>
      <c r="H74" s="188"/>
    </row>
    <row r="75" spans="1:22" ht="35.1" hidden="1" customHeight="1">
      <c r="A75" s="338" t="e">
        <f>'Bldg+Dev'!#REF!</f>
        <v>#REF!</v>
      </c>
      <c r="B75" s="340" t="e">
        <f>+'Bldg+Dev'!#REF!</f>
        <v>#REF!</v>
      </c>
      <c r="C75" s="340" t="e">
        <f>'Bldg+Dev'!#REF!</f>
        <v>#REF!</v>
      </c>
      <c r="D75" s="340" t="e">
        <f>'Bldg+Dev'!#REF!</f>
        <v>#REF!</v>
      </c>
      <c r="E75" s="340" t="e">
        <f>'Bldg+Dev'!#REF!</f>
        <v>#REF!</v>
      </c>
      <c r="F75" s="340" t="e">
        <f t="shared" si="1"/>
        <v>#REF!</v>
      </c>
      <c r="G75" s="188"/>
      <c r="H75" s="188"/>
    </row>
    <row r="76" spans="1:22" ht="44.25" hidden="1" customHeight="1">
      <c r="A76" s="338" t="e">
        <f>'Bldg+Dev'!#REF!</f>
        <v>#REF!</v>
      </c>
      <c r="B76" s="340" t="e">
        <f>+'Bldg+Dev'!#REF!</f>
        <v>#REF!</v>
      </c>
      <c r="C76" s="340" t="e">
        <f>'Bldg+Dev'!#REF!</f>
        <v>#REF!</v>
      </c>
      <c r="D76" s="340" t="e">
        <f>'Bldg+Dev'!#REF!</f>
        <v>#REF!</v>
      </c>
      <c r="E76" s="340" t="e">
        <f>'Bldg+Dev'!#REF!</f>
        <v>#REF!</v>
      </c>
      <c r="F76" s="340" t="e">
        <f t="shared" si="1"/>
        <v>#REF!</v>
      </c>
      <c r="G76" s="188"/>
      <c r="H76" s="188"/>
    </row>
    <row r="77" spans="1:22" ht="35.1" hidden="1" customHeight="1">
      <c r="A77" s="338" t="e">
        <f>'Bldg+Dev'!#REF!</f>
        <v>#REF!</v>
      </c>
      <c r="B77" s="340" t="e">
        <f>+'Bldg+Dev'!#REF!</f>
        <v>#REF!</v>
      </c>
      <c r="C77" s="340" t="e">
        <f>'Bldg+Dev'!#REF!</f>
        <v>#REF!</v>
      </c>
      <c r="D77" s="340" t="e">
        <f>'Bldg+Dev'!#REF!</f>
        <v>#REF!</v>
      </c>
      <c r="E77" s="340" t="e">
        <f>'Bldg+Dev'!#REF!</f>
        <v>#REF!</v>
      </c>
      <c r="F77" s="340" t="e">
        <f t="shared" si="1"/>
        <v>#REF!</v>
      </c>
      <c r="G77" s="188"/>
      <c r="H77" s="188"/>
    </row>
    <row r="78" spans="1:22" ht="35.1" hidden="1" customHeight="1">
      <c r="A78" s="338" t="e">
        <f>'Bldg+Dev'!#REF!</f>
        <v>#REF!</v>
      </c>
      <c r="B78" s="340" t="e">
        <f>+'Bldg+Dev'!#REF!</f>
        <v>#REF!</v>
      </c>
      <c r="C78" s="340" t="e">
        <f>'Bldg+Dev'!#REF!</f>
        <v>#REF!</v>
      </c>
      <c r="D78" s="340" t="e">
        <f>'Bldg+Dev'!#REF!</f>
        <v>#REF!</v>
      </c>
      <c r="E78" s="340" t="e">
        <f>'Bldg+Dev'!#REF!</f>
        <v>#REF!</v>
      </c>
      <c r="F78" s="340" t="e">
        <f t="shared" si="1"/>
        <v>#REF!</v>
      </c>
      <c r="G78" s="188"/>
      <c r="H78" s="188"/>
    </row>
    <row r="79" spans="1:22" ht="35.1" hidden="1" customHeight="1">
      <c r="A79" s="338" t="e">
        <f>'Bldg+Dev'!#REF!</f>
        <v>#REF!</v>
      </c>
      <c r="B79" s="340" t="e">
        <f>+'Bldg+Dev'!#REF!</f>
        <v>#REF!</v>
      </c>
      <c r="C79" s="340" t="e">
        <f>'Bldg+Dev'!#REF!</f>
        <v>#REF!</v>
      </c>
      <c r="D79" s="340" t="e">
        <f>'Bldg+Dev'!#REF!</f>
        <v>#REF!</v>
      </c>
      <c r="E79" s="340" t="e">
        <f>'Bldg+Dev'!#REF!</f>
        <v>#REF!</v>
      </c>
      <c r="F79" s="340" t="e">
        <f t="shared" si="1"/>
        <v>#REF!</v>
      </c>
      <c r="G79" s="188"/>
      <c r="H79" s="188"/>
    </row>
    <row r="80" spans="1:22" ht="35.1" hidden="1" customHeight="1">
      <c r="A80" s="338" t="e">
        <f>'Bldg+Dev'!#REF!</f>
        <v>#REF!</v>
      </c>
      <c r="B80" s="340" t="e">
        <f>+'Bldg+Dev'!#REF!</f>
        <v>#REF!</v>
      </c>
      <c r="C80" s="340" t="e">
        <f>'Bldg+Dev'!#REF!</f>
        <v>#REF!</v>
      </c>
      <c r="D80" s="340" t="e">
        <f>'Bldg+Dev'!#REF!</f>
        <v>#REF!</v>
      </c>
      <c r="E80" s="340" t="e">
        <f>'Bldg+Dev'!#REF!</f>
        <v>#REF!</v>
      </c>
      <c r="F80" s="340" t="e">
        <f t="shared" si="1"/>
        <v>#REF!</v>
      </c>
      <c r="G80" s="188"/>
      <c r="H80" s="188"/>
    </row>
    <row r="81" spans="1:8" ht="35.1" hidden="1" customHeight="1">
      <c r="A81" s="338" t="e">
        <f>'Bldg+Dev'!#REF!</f>
        <v>#REF!</v>
      </c>
      <c r="B81" s="340" t="e">
        <f>+'Bldg+Dev'!#REF!</f>
        <v>#REF!</v>
      </c>
      <c r="C81" s="340" t="e">
        <f>'Bldg+Dev'!#REF!</f>
        <v>#REF!</v>
      </c>
      <c r="D81" s="340" t="e">
        <f>'Bldg+Dev'!#REF!</f>
        <v>#REF!</v>
      </c>
      <c r="E81" s="340" t="e">
        <f>'Bldg+Dev'!#REF!</f>
        <v>#REF!</v>
      </c>
      <c r="F81" s="340" t="e">
        <f t="shared" si="1"/>
        <v>#REF!</v>
      </c>
      <c r="G81" s="188"/>
      <c r="H81" s="188"/>
    </row>
    <row r="82" spans="1:8" ht="42.75" customHeight="1">
      <c r="A82" s="338">
        <f>'Bldg+Dev'!A37</f>
        <v>9.1999999999999993</v>
      </c>
      <c r="B82" s="339">
        <f>+'Bldg+Dev'!U37</f>
        <v>0</v>
      </c>
      <c r="C82" s="340" t="str">
        <f>'Bldg+Dev'!B37</f>
        <v>Brick work in C.M. 1:6 using chamber Burnt bricks of size 23 x 11.4 x 7.5 cm (9" x 4 1/2"x 3")</v>
      </c>
      <c r="D82" s="340">
        <f>'Bldg+Dev'!C37</f>
        <v>0</v>
      </c>
      <c r="E82" s="340">
        <f>'Bldg+Dev'!D37</f>
        <v>0</v>
      </c>
      <c r="F82" s="340"/>
      <c r="G82" s="188"/>
      <c r="H82" s="188"/>
    </row>
    <row r="83" spans="1:8" ht="23.25" customHeight="1">
      <c r="A83" s="338">
        <f>'Bldg+Dev'!A38</f>
        <v>0</v>
      </c>
      <c r="B83" s="340" t="e">
        <f>+'Bldg+Dev'!U38</f>
        <v>#REF!</v>
      </c>
      <c r="C83" s="340" t="str">
        <f>'Bldg+Dev'!B38</f>
        <v>a. In Ground Floor</v>
      </c>
      <c r="D83" s="340">
        <f>'Bldg+Dev'!C38</f>
        <v>4041.44</v>
      </c>
      <c r="E83" s="340" t="str">
        <f>'Bldg+Dev'!D38</f>
        <v>Cum.</v>
      </c>
      <c r="F83" s="340" t="e">
        <f t="shared" si="1"/>
        <v>#REF!</v>
      </c>
      <c r="G83" s="188"/>
      <c r="H83" s="188"/>
    </row>
    <row r="84" spans="1:8" ht="23.25" customHeight="1">
      <c r="A84" s="338">
        <f>'Bldg+Dev'!A39</f>
        <v>0</v>
      </c>
      <c r="B84" s="340">
        <f>+'Bldg+Dev'!U39</f>
        <v>0</v>
      </c>
      <c r="C84" s="340" t="str">
        <f>'Bldg+Dev'!B39</f>
        <v>b. In First Floor</v>
      </c>
      <c r="D84" s="340">
        <f>'Bldg+Dev'!C39</f>
        <v>4106.74</v>
      </c>
      <c r="E84" s="340" t="str">
        <f>'Bldg+Dev'!D39</f>
        <v>Cum.</v>
      </c>
      <c r="F84" s="340">
        <f t="shared" si="1"/>
        <v>0</v>
      </c>
      <c r="G84" s="188"/>
      <c r="H84" s="188"/>
    </row>
    <row r="85" spans="1:8" ht="23.25" customHeight="1">
      <c r="A85" s="338">
        <f>'Bldg+Dev'!A40</f>
        <v>0</v>
      </c>
      <c r="B85" s="340">
        <f>+'Bldg+Dev'!U40</f>
        <v>0</v>
      </c>
      <c r="C85" s="340" t="str">
        <f>'Bldg+Dev'!B40</f>
        <v>c. In Second Floor</v>
      </c>
      <c r="D85" s="340">
        <f>'Bldg+Dev'!C40</f>
        <v>4172.04</v>
      </c>
      <c r="E85" s="340" t="str">
        <f>'Bldg+Dev'!D40</f>
        <v>Cum.</v>
      </c>
      <c r="F85" s="340">
        <f t="shared" si="1"/>
        <v>0</v>
      </c>
      <c r="G85" s="188"/>
      <c r="H85" s="188"/>
    </row>
    <row r="86" spans="1:8" ht="23.25" customHeight="1">
      <c r="A86" s="338">
        <f>'Bldg+Dev'!A41</f>
        <v>0</v>
      </c>
      <c r="B86" s="340">
        <f>+'Bldg+Dev'!U41</f>
        <v>0</v>
      </c>
      <c r="C86" s="340" t="str">
        <f>'Bldg+Dev'!B41</f>
        <v>d. In Third Floor</v>
      </c>
      <c r="D86" s="340">
        <f>'Bldg+Dev'!C41</f>
        <v>4237.34</v>
      </c>
      <c r="E86" s="340" t="str">
        <f>'Bldg+Dev'!D41</f>
        <v>Cum.</v>
      </c>
      <c r="F86" s="340">
        <f t="shared" si="1"/>
        <v>0</v>
      </c>
      <c r="G86" s="188"/>
      <c r="H86" s="188"/>
    </row>
    <row r="87" spans="1:8" ht="23.25" customHeight="1">
      <c r="A87" s="338">
        <f>'Bldg+Dev'!A42</f>
        <v>0</v>
      </c>
      <c r="B87" s="340">
        <f>+'Bldg+Dev'!U42</f>
        <v>0</v>
      </c>
      <c r="C87" s="340" t="str">
        <f>'Bldg+Dev'!B42</f>
        <v>e. In Fourth Floor</v>
      </c>
      <c r="D87" s="340">
        <f>'Bldg+Dev'!C42</f>
        <v>4302.6400000000003</v>
      </c>
      <c r="E87" s="340" t="str">
        <f>'Bldg+Dev'!D42</f>
        <v>Cum.</v>
      </c>
      <c r="F87" s="340">
        <f t="shared" si="1"/>
        <v>0</v>
      </c>
      <c r="G87" s="188"/>
      <c r="H87" s="188"/>
    </row>
    <row r="88" spans="1:8" ht="47.25" hidden="1" customHeight="1">
      <c r="A88" s="338" t="e">
        <f>'Bldg+Dev'!#REF!</f>
        <v>#REF!</v>
      </c>
      <c r="B88" s="340" t="e">
        <f>+'Bldg+Dev'!#REF!</f>
        <v>#REF!</v>
      </c>
      <c r="C88" s="340" t="e">
        <f>'Bldg+Dev'!#REF!</f>
        <v>#REF!</v>
      </c>
      <c r="D88" s="340" t="e">
        <f>'Bldg+Dev'!#REF!</f>
        <v>#REF!</v>
      </c>
      <c r="E88" s="340" t="e">
        <f>'Bldg+Dev'!#REF!</f>
        <v>#REF!</v>
      </c>
      <c r="F88" s="340" t="e">
        <f t="shared" si="1"/>
        <v>#REF!</v>
      </c>
      <c r="G88" s="188"/>
      <c r="H88" s="188"/>
    </row>
    <row r="89" spans="1:8" ht="35.1" hidden="1" customHeight="1">
      <c r="A89" s="338" t="e">
        <f>'Bldg+Dev'!#REF!</f>
        <v>#REF!</v>
      </c>
      <c r="B89" s="340" t="e">
        <f>+'Bldg+Dev'!#REF!</f>
        <v>#REF!</v>
      </c>
      <c r="C89" s="340" t="e">
        <f>'Bldg+Dev'!#REF!</f>
        <v>#REF!</v>
      </c>
      <c r="D89" s="340" t="e">
        <f>'Bldg+Dev'!#REF!</f>
        <v>#REF!</v>
      </c>
      <c r="E89" s="340" t="e">
        <f>'Bldg+Dev'!#REF!</f>
        <v>#REF!</v>
      </c>
      <c r="F89" s="340" t="e">
        <f t="shared" si="1"/>
        <v>#REF!</v>
      </c>
      <c r="G89" s="188"/>
      <c r="H89" s="188"/>
    </row>
    <row r="90" spans="1:8" ht="35.1" hidden="1" customHeight="1">
      <c r="A90" s="338" t="e">
        <f>'Bldg+Dev'!#REF!</f>
        <v>#REF!</v>
      </c>
      <c r="B90" s="340" t="e">
        <f>+'Bldg+Dev'!#REF!</f>
        <v>#REF!</v>
      </c>
      <c r="C90" s="340" t="e">
        <f>'Bldg+Dev'!#REF!</f>
        <v>#REF!</v>
      </c>
      <c r="D90" s="340" t="e">
        <f>'Bldg+Dev'!#REF!</f>
        <v>#REF!</v>
      </c>
      <c r="E90" s="340" t="e">
        <f>'Bldg+Dev'!#REF!</f>
        <v>#REF!</v>
      </c>
      <c r="F90" s="340" t="e">
        <f t="shared" si="1"/>
        <v>#REF!</v>
      </c>
      <c r="G90" s="188"/>
      <c r="H90" s="188"/>
    </row>
    <row r="91" spans="1:8" ht="35.1" hidden="1" customHeight="1">
      <c r="A91" s="338" t="e">
        <f>'Bldg+Dev'!#REF!</f>
        <v>#REF!</v>
      </c>
      <c r="B91" s="340" t="e">
        <f>+'Bldg+Dev'!#REF!</f>
        <v>#REF!</v>
      </c>
      <c r="C91" s="340" t="e">
        <f>'Bldg+Dev'!#REF!</f>
        <v>#REF!</v>
      </c>
      <c r="D91" s="340" t="e">
        <f>'Bldg+Dev'!#REF!</f>
        <v>#REF!</v>
      </c>
      <c r="E91" s="340" t="e">
        <f>'Bldg+Dev'!#REF!</f>
        <v>#REF!</v>
      </c>
      <c r="F91" s="340" t="e">
        <f t="shared" si="1"/>
        <v>#REF!</v>
      </c>
      <c r="G91" s="188"/>
      <c r="H91" s="188"/>
    </row>
    <row r="92" spans="1:8" ht="35.1" hidden="1" customHeight="1">
      <c r="A92" s="338" t="e">
        <f>'Bldg+Dev'!#REF!</f>
        <v>#REF!</v>
      </c>
      <c r="B92" s="340" t="e">
        <f>+'Bldg+Dev'!#REF!</f>
        <v>#REF!</v>
      </c>
      <c r="C92" s="340" t="e">
        <f>'Bldg+Dev'!#REF!</f>
        <v>#REF!</v>
      </c>
      <c r="D92" s="340" t="e">
        <f>'Bldg+Dev'!#REF!</f>
        <v>#REF!</v>
      </c>
      <c r="E92" s="340" t="e">
        <f>'Bldg+Dev'!#REF!</f>
        <v>#REF!</v>
      </c>
      <c r="F92" s="340" t="e">
        <f t="shared" si="1"/>
        <v>#REF!</v>
      </c>
      <c r="G92" s="188"/>
      <c r="H92" s="188"/>
    </row>
    <row r="93" spans="1:8" ht="35.1" hidden="1" customHeight="1">
      <c r="A93" s="338" t="e">
        <f>'Bldg+Dev'!#REF!</f>
        <v>#REF!</v>
      </c>
      <c r="B93" s="340" t="e">
        <f>+'Bldg+Dev'!#REF!</f>
        <v>#REF!</v>
      </c>
      <c r="C93" s="340" t="e">
        <f>'Bldg+Dev'!#REF!</f>
        <v>#REF!</v>
      </c>
      <c r="D93" s="340" t="e">
        <f>'Bldg+Dev'!#REF!</f>
        <v>#REF!</v>
      </c>
      <c r="E93" s="340" t="e">
        <f>'Bldg+Dev'!#REF!</f>
        <v>#REF!</v>
      </c>
      <c r="F93" s="340" t="e">
        <f t="shared" si="1"/>
        <v>#REF!</v>
      </c>
      <c r="G93" s="188"/>
      <c r="H93" s="188"/>
    </row>
    <row r="94" spans="1:8" ht="51.75" hidden="1" customHeight="1">
      <c r="A94" s="338" t="e">
        <f>'Bldg+Dev'!#REF!</f>
        <v>#REF!</v>
      </c>
      <c r="B94" s="340" t="e">
        <f>+'Bldg+Dev'!#REF!</f>
        <v>#REF!</v>
      </c>
      <c r="C94" s="340" t="e">
        <f>'Bldg+Dev'!#REF!</f>
        <v>#REF!</v>
      </c>
      <c r="D94" s="340" t="e">
        <f>'Bldg+Dev'!#REF!</f>
        <v>#REF!</v>
      </c>
      <c r="E94" s="340" t="e">
        <f>'Bldg+Dev'!#REF!</f>
        <v>#REF!</v>
      </c>
      <c r="F94" s="340" t="e">
        <f t="shared" si="1"/>
        <v>#REF!</v>
      </c>
      <c r="G94" s="188"/>
      <c r="H94" s="188"/>
    </row>
    <row r="95" spans="1:8" ht="35.1" hidden="1" customHeight="1">
      <c r="A95" s="338" t="e">
        <f>'Bldg+Dev'!#REF!</f>
        <v>#REF!</v>
      </c>
      <c r="B95" s="340" t="e">
        <f>+'Bldg+Dev'!#REF!</f>
        <v>#REF!</v>
      </c>
      <c r="C95" s="340" t="e">
        <f>'Bldg+Dev'!#REF!</f>
        <v>#REF!</v>
      </c>
      <c r="D95" s="340" t="e">
        <f>'Bldg+Dev'!#REF!</f>
        <v>#REF!</v>
      </c>
      <c r="E95" s="340" t="e">
        <f>'Bldg+Dev'!#REF!</f>
        <v>#REF!</v>
      </c>
      <c r="F95" s="340" t="e">
        <f t="shared" si="1"/>
        <v>#REF!</v>
      </c>
      <c r="G95" s="188"/>
      <c r="H95" s="188"/>
    </row>
    <row r="96" spans="1:8" ht="35.1" hidden="1" customHeight="1">
      <c r="A96" s="338" t="e">
        <f>'Bldg+Dev'!#REF!</f>
        <v>#REF!</v>
      </c>
      <c r="B96" s="340" t="e">
        <f>+'Bldg+Dev'!#REF!</f>
        <v>#REF!</v>
      </c>
      <c r="C96" s="340" t="e">
        <f>'Bldg+Dev'!#REF!</f>
        <v>#REF!</v>
      </c>
      <c r="D96" s="340" t="e">
        <f>'Bldg+Dev'!#REF!</f>
        <v>#REF!</v>
      </c>
      <c r="E96" s="340" t="e">
        <f>'Bldg+Dev'!#REF!</f>
        <v>#REF!</v>
      </c>
      <c r="F96" s="340" t="e">
        <f t="shared" si="1"/>
        <v>#REF!</v>
      </c>
      <c r="G96" s="188"/>
      <c r="H96" s="188"/>
    </row>
    <row r="97" spans="1:8" ht="35.1" hidden="1" customHeight="1">
      <c r="A97" s="338" t="e">
        <f>'Bldg+Dev'!#REF!</f>
        <v>#REF!</v>
      </c>
      <c r="B97" s="340" t="e">
        <f>+'Bldg+Dev'!#REF!</f>
        <v>#REF!</v>
      </c>
      <c r="C97" s="340" t="e">
        <f>'Bldg+Dev'!#REF!</f>
        <v>#REF!</v>
      </c>
      <c r="D97" s="340" t="e">
        <f>'Bldg+Dev'!#REF!</f>
        <v>#REF!</v>
      </c>
      <c r="E97" s="340" t="e">
        <f>'Bldg+Dev'!#REF!</f>
        <v>#REF!</v>
      </c>
      <c r="F97" s="340" t="e">
        <f t="shared" si="1"/>
        <v>#REF!</v>
      </c>
      <c r="G97" s="188"/>
      <c r="H97" s="188"/>
    </row>
    <row r="98" spans="1:8" ht="35.1" hidden="1" customHeight="1">
      <c r="A98" s="338" t="e">
        <f>'Bldg+Dev'!#REF!</f>
        <v>#REF!</v>
      </c>
      <c r="B98" s="340" t="e">
        <f>+'Bldg+Dev'!#REF!</f>
        <v>#REF!</v>
      </c>
      <c r="C98" s="340" t="e">
        <f>'Bldg+Dev'!#REF!</f>
        <v>#REF!</v>
      </c>
      <c r="D98" s="340" t="e">
        <f>'Bldg+Dev'!#REF!</f>
        <v>#REF!</v>
      </c>
      <c r="E98" s="340" t="e">
        <f>'Bldg+Dev'!#REF!</f>
        <v>#REF!</v>
      </c>
      <c r="F98" s="340" t="e">
        <f t="shared" si="1"/>
        <v>#REF!</v>
      </c>
      <c r="G98" s="188"/>
      <c r="H98" s="188"/>
    </row>
    <row r="99" spans="1:8" ht="35.1" hidden="1" customHeight="1">
      <c r="A99" s="338" t="e">
        <f>'Bldg+Dev'!#REF!</f>
        <v>#REF!</v>
      </c>
      <c r="B99" s="340" t="e">
        <f>+'Bldg+Dev'!#REF!</f>
        <v>#REF!</v>
      </c>
      <c r="C99" s="340" t="e">
        <f>'Bldg+Dev'!#REF!</f>
        <v>#REF!</v>
      </c>
      <c r="D99" s="340" t="e">
        <f>'Bldg+Dev'!#REF!</f>
        <v>#REF!</v>
      </c>
      <c r="E99" s="340" t="e">
        <f>'Bldg+Dev'!#REF!</f>
        <v>#REF!</v>
      </c>
      <c r="F99" s="340" t="e">
        <f t="shared" si="1"/>
        <v>#REF!</v>
      </c>
      <c r="G99" s="188"/>
      <c r="H99" s="188"/>
    </row>
    <row r="100" spans="1:8" ht="61.5" hidden="1" customHeight="1">
      <c r="A100" s="338" t="e">
        <f>'Bldg+Dev'!#REF!</f>
        <v>#REF!</v>
      </c>
      <c r="B100" s="340" t="e">
        <f>+'Bldg+Dev'!#REF!</f>
        <v>#REF!</v>
      </c>
      <c r="C100" s="340" t="e">
        <f>'Bldg+Dev'!#REF!</f>
        <v>#REF!</v>
      </c>
      <c r="D100" s="340" t="e">
        <f>'Bldg+Dev'!#REF!</f>
        <v>#REF!</v>
      </c>
      <c r="E100" s="340" t="e">
        <f>'Bldg+Dev'!#REF!</f>
        <v>#REF!</v>
      </c>
      <c r="F100" s="340" t="e">
        <f t="shared" si="1"/>
        <v>#REF!</v>
      </c>
      <c r="G100" s="188"/>
      <c r="H100" s="188"/>
    </row>
    <row r="101" spans="1:8" ht="35.1" hidden="1" customHeight="1">
      <c r="A101" s="338" t="e">
        <f>'Bldg+Dev'!#REF!</f>
        <v>#REF!</v>
      </c>
      <c r="B101" s="340" t="e">
        <f>+'Bldg+Dev'!#REF!</f>
        <v>#REF!</v>
      </c>
      <c r="C101" s="340" t="e">
        <f>'Bldg+Dev'!#REF!</f>
        <v>#REF!</v>
      </c>
      <c r="D101" s="340" t="e">
        <f>'Bldg+Dev'!#REF!</f>
        <v>#REF!</v>
      </c>
      <c r="E101" s="340" t="e">
        <f>'Bldg+Dev'!#REF!</f>
        <v>#REF!</v>
      </c>
      <c r="F101" s="340" t="e">
        <f t="shared" si="1"/>
        <v>#REF!</v>
      </c>
      <c r="G101" s="188"/>
      <c r="H101" s="188"/>
    </row>
    <row r="102" spans="1:8" ht="35.1" hidden="1" customHeight="1">
      <c r="A102" s="338" t="e">
        <f>'Bldg+Dev'!#REF!</f>
        <v>#REF!</v>
      </c>
      <c r="B102" s="340" t="e">
        <f>+'Bldg+Dev'!#REF!</f>
        <v>#REF!</v>
      </c>
      <c r="C102" s="340" t="e">
        <f>'Bldg+Dev'!#REF!</f>
        <v>#REF!</v>
      </c>
      <c r="D102" s="340" t="e">
        <f>'Bldg+Dev'!#REF!</f>
        <v>#REF!</v>
      </c>
      <c r="E102" s="340" t="e">
        <f>'Bldg+Dev'!#REF!</f>
        <v>#REF!</v>
      </c>
      <c r="F102" s="340" t="e">
        <f t="shared" si="1"/>
        <v>#REF!</v>
      </c>
      <c r="G102" s="188"/>
      <c r="H102" s="188"/>
    </row>
    <row r="103" spans="1:8" ht="35.1" hidden="1" customHeight="1">
      <c r="A103" s="338" t="e">
        <f>'Bldg+Dev'!#REF!</f>
        <v>#REF!</v>
      </c>
      <c r="B103" s="340" t="e">
        <f>+'Bldg+Dev'!#REF!</f>
        <v>#REF!</v>
      </c>
      <c r="C103" s="340" t="e">
        <f>'Bldg+Dev'!#REF!</f>
        <v>#REF!</v>
      </c>
      <c r="D103" s="340" t="e">
        <f>'Bldg+Dev'!#REF!</f>
        <v>#REF!</v>
      </c>
      <c r="E103" s="340" t="e">
        <f>'Bldg+Dev'!#REF!</f>
        <v>#REF!</v>
      </c>
      <c r="F103" s="340" t="e">
        <f t="shared" si="1"/>
        <v>#REF!</v>
      </c>
      <c r="G103" s="188"/>
      <c r="H103" s="188"/>
    </row>
    <row r="104" spans="1:8" ht="35.1" hidden="1" customHeight="1">
      <c r="A104" s="338" t="e">
        <f>'Bldg+Dev'!#REF!</f>
        <v>#REF!</v>
      </c>
      <c r="B104" s="340" t="e">
        <f>+'Bldg+Dev'!#REF!</f>
        <v>#REF!</v>
      </c>
      <c r="C104" s="340" t="e">
        <f>'Bldg+Dev'!#REF!</f>
        <v>#REF!</v>
      </c>
      <c r="D104" s="340" t="e">
        <f>'Bldg+Dev'!#REF!</f>
        <v>#REF!</v>
      </c>
      <c r="E104" s="340" t="e">
        <f>'Bldg+Dev'!#REF!</f>
        <v>#REF!</v>
      </c>
      <c r="F104" s="340" t="e">
        <f t="shared" si="1"/>
        <v>#REF!</v>
      </c>
      <c r="G104" s="188"/>
      <c r="H104" s="188"/>
    </row>
    <row r="105" spans="1:8" ht="35.1" hidden="1" customHeight="1">
      <c r="A105" s="338" t="e">
        <f>'Bldg+Dev'!#REF!</f>
        <v>#REF!</v>
      </c>
      <c r="B105" s="340" t="e">
        <f>+'Bldg+Dev'!#REF!</f>
        <v>#REF!</v>
      </c>
      <c r="C105" s="340" t="e">
        <f>'Bldg+Dev'!#REF!</f>
        <v>#REF!</v>
      </c>
      <c r="D105" s="340" t="e">
        <f>'Bldg+Dev'!#REF!</f>
        <v>#REF!</v>
      </c>
      <c r="E105" s="340" t="e">
        <f>'Bldg+Dev'!#REF!</f>
        <v>#REF!</v>
      </c>
      <c r="F105" s="340" t="e">
        <f t="shared" si="1"/>
        <v>#REF!</v>
      </c>
      <c r="G105" s="188"/>
      <c r="H105" s="188"/>
    </row>
    <row r="106" spans="1:8" ht="54.75" hidden="1" customHeight="1">
      <c r="A106" s="338" t="e">
        <f>'Bldg+Dev'!#REF!</f>
        <v>#REF!</v>
      </c>
      <c r="B106" s="340" t="e">
        <f>+'Bldg+Dev'!#REF!</f>
        <v>#REF!</v>
      </c>
      <c r="C106" s="340" t="e">
        <f>'Bldg+Dev'!#REF!</f>
        <v>#REF!</v>
      </c>
      <c r="D106" s="340" t="e">
        <f>'Bldg+Dev'!#REF!</f>
        <v>#REF!</v>
      </c>
      <c r="E106" s="340" t="e">
        <f>'Bldg+Dev'!#REF!</f>
        <v>#REF!</v>
      </c>
      <c r="F106" s="340" t="e">
        <f t="shared" si="1"/>
        <v>#REF!</v>
      </c>
      <c r="G106" s="188"/>
      <c r="H106" s="188"/>
    </row>
    <row r="107" spans="1:8" ht="35.1" hidden="1" customHeight="1">
      <c r="A107" s="338" t="e">
        <f>'Bldg+Dev'!#REF!</f>
        <v>#REF!</v>
      </c>
      <c r="B107" s="340" t="e">
        <f>+'Bldg+Dev'!#REF!</f>
        <v>#REF!</v>
      </c>
      <c r="C107" s="340" t="e">
        <f>'Bldg+Dev'!#REF!</f>
        <v>#REF!</v>
      </c>
      <c r="D107" s="340" t="e">
        <f>'Bldg+Dev'!#REF!</f>
        <v>#REF!</v>
      </c>
      <c r="E107" s="340" t="e">
        <f>'Bldg+Dev'!#REF!</f>
        <v>#REF!</v>
      </c>
      <c r="F107" s="340" t="e">
        <f t="shared" si="1"/>
        <v>#REF!</v>
      </c>
      <c r="G107" s="188"/>
      <c r="H107" s="188"/>
    </row>
    <row r="108" spans="1:8" ht="35.1" hidden="1" customHeight="1">
      <c r="A108" s="338" t="e">
        <f>'Bldg+Dev'!#REF!</f>
        <v>#REF!</v>
      </c>
      <c r="B108" s="340" t="e">
        <f>+'Bldg+Dev'!#REF!</f>
        <v>#REF!</v>
      </c>
      <c r="C108" s="340" t="e">
        <f>'Bldg+Dev'!#REF!</f>
        <v>#REF!</v>
      </c>
      <c r="D108" s="340" t="e">
        <f>'Bldg+Dev'!#REF!</f>
        <v>#REF!</v>
      </c>
      <c r="E108" s="340" t="e">
        <f>'Bldg+Dev'!#REF!</f>
        <v>#REF!</v>
      </c>
      <c r="F108" s="340" t="e">
        <f t="shared" si="1"/>
        <v>#REF!</v>
      </c>
      <c r="G108" s="188"/>
      <c r="H108" s="188"/>
    </row>
    <row r="109" spans="1:8" ht="35.1" hidden="1" customHeight="1">
      <c r="A109" s="338" t="e">
        <f>'Bldg+Dev'!#REF!</f>
        <v>#REF!</v>
      </c>
      <c r="B109" s="340" t="e">
        <f>+'Bldg+Dev'!#REF!</f>
        <v>#REF!</v>
      </c>
      <c r="C109" s="340" t="e">
        <f>'Bldg+Dev'!#REF!</f>
        <v>#REF!</v>
      </c>
      <c r="D109" s="340" t="e">
        <f>'Bldg+Dev'!#REF!</f>
        <v>#REF!</v>
      </c>
      <c r="E109" s="340" t="e">
        <f>'Bldg+Dev'!#REF!</f>
        <v>#REF!</v>
      </c>
      <c r="F109" s="340" t="e">
        <f t="shared" si="1"/>
        <v>#REF!</v>
      </c>
      <c r="G109" s="188"/>
      <c r="H109" s="188"/>
    </row>
    <row r="110" spans="1:8" ht="35.1" hidden="1" customHeight="1">
      <c r="A110" s="338" t="e">
        <f>'Bldg+Dev'!#REF!</f>
        <v>#REF!</v>
      </c>
      <c r="B110" s="340" t="e">
        <f>+'Bldg+Dev'!#REF!</f>
        <v>#REF!</v>
      </c>
      <c r="C110" s="340" t="e">
        <f>'Bldg+Dev'!#REF!</f>
        <v>#REF!</v>
      </c>
      <c r="D110" s="340" t="e">
        <f>'Bldg+Dev'!#REF!</f>
        <v>#REF!</v>
      </c>
      <c r="E110" s="340" t="e">
        <f>'Bldg+Dev'!#REF!</f>
        <v>#REF!</v>
      </c>
      <c r="F110" s="340" t="e">
        <f t="shared" si="1"/>
        <v>#REF!</v>
      </c>
      <c r="G110" s="188"/>
      <c r="H110" s="188"/>
    </row>
    <row r="111" spans="1:8" ht="35.1" hidden="1" customHeight="1">
      <c r="A111" s="338">
        <f>'Bldg+Dev'!A43</f>
        <v>0</v>
      </c>
      <c r="B111" s="340">
        <f>+'Bldg+Dev'!U43</f>
        <v>0</v>
      </c>
      <c r="C111" s="340" t="str">
        <f>'Bldg+Dev'!B43</f>
        <v>e. In Fourth Floor</v>
      </c>
      <c r="D111" s="340">
        <f>'Bldg+Dev'!C43</f>
        <v>0</v>
      </c>
      <c r="E111" s="340" t="str">
        <f>'Bldg+Dev'!D43</f>
        <v>Cum.</v>
      </c>
      <c r="F111" s="340">
        <f t="shared" si="1"/>
        <v>0</v>
      </c>
      <c r="G111" s="188"/>
      <c r="H111" s="188"/>
    </row>
    <row r="112" spans="1:8" ht="55.5" hidden="1" customHeight="1">
      <c r="A112" s="338" t="e">
        <f>'Bldg+Dev'!#REF!</f>
        <v>#REF!</v>
      </c>
      <c r="B112" s="340" t="e">
        <f>+'Bldg+Dev'!#REF!</f>
        <v>#REF!</v>
      </c>
      <c r="C112" s="340" t="e">
        <f>'Bldg+Dev'!#REF!</f>
        <v>#REF!</v>
      </c>
      <c r="D112" s="340" t="e">
        <f>'Bldg+Dev'!#REF!</f>
        <v>#REF!</v>
      </c>
      <c r="E112" s="340" t="e">
        <f>'Bldg+Dev'!#REF!</f>
        <v>#REF!</v>
      </c>
      <c r="F112" s="340" t="e">
        <f t="shared" si="1"/>
        <v>#REF!</v>
      </c>
      <c r="G112" s="188"/>
      <c r="H112" s="188"/>
    </row>
    <row r="113" spans="1:8" ht="35.1" hidden="1" customHeight="1">
      <c r="A113" s="338" t="e">
        <f>'Bldg+Dev'!#REF!</f>
        <v>#REF!</v>
      </c>
      <c r="B113" s="340" t="e">
        <f>+'Bldg+Dev'!#REF!</f>
        <v>#REF!</v>
      </c>
      <c r="C113" s="340" t="e">
        <f>'Bldg+Dev'!#REF!</f>
        <v>#REF!</v>
      </c>
      <c r="D113" s="340" t="e">
        <f>'Bldg+Dev'!#REF!</f>
        <v>#REF!</v>
      </c>
      <c r="E113" s="340" t="e">
        <f>'Bldg+Dev'!#REF!</f>
        <v>#REF!</v>
      </c>
      <c r="F113" s="340" t="e">
        <f t="shared" si="1"/>
        <v>#REF!</v>
      </c>
      <c r="G113" s="188"/>
      <c r="H113" s="188"/>
    </row>
    <row r="114" spans="1:8" ht="35.1" hidden="1" customHeight="1">
      <c r="A114" s="338" t="e">
        <f>'Bldg+Dev'!#REF!</f>
        <v>#REF!</v>
      </c>
      <c r="B114" s="340" t="e">
        <f>+'Bldg+Dev'!#REF!</f>
        <v>#REF!</v>
      </c>
      <c r="C114" s="340" t="e">
        <f>'Bldg+Dev'!#REF!</f>
        <v>#REF!</v>
      </c>
      <c r="D114" s="340" t="e">
        <f>'Bldg+Dev'!#REF!</f>
        <v>#REF!</v>
      </c>
      <c r="E114" s="340" t="e">
        <f>'Bldg+Dev'!#REF!</f>
        <v>#REF!</v>
      </c>
      <c r="F114" s="340" t="e">
        <f t="shared" si="1"/>
        <v>#REF!</v>
      </c>
      <c r="G114" s="188"/>
      <c r="H114" s="188"/>
    </row>
    <row r="115" spans="1:8" ht="35.1" hidden="1" customHeight="1">
      <c r="A115" s="338" t="e">
        <f>'Bldg+Dev'!#REF!</f>
        <v>#REF!</v>
      </c>
      <c r="B115" s="340" t="e">
        <f>+'Bldg+Dev'!#REF!</f>
        <v>#REF!</v>
      </c>
      <c r="C115" s="340" t="e">
        <f>'Bldg+Dev'!#REF!</f>
        <v>#REF!</v>
      </c>
      <c r="D115" s="340" t="e">
        <f>'Bldg+Dev'!#REF!</f>
        <v>#REF!</v>
      </c>
      <c r="E115" s="340" t="e">
        <f>'Bldg+Dev'!#REF!</f>
        <v>#REF!</v>
      </c>
      <c r="F115" s="340" t="e">
        <f t="shared" si="1"/>
        <v>#REF!</v>
      </c>
      <c r="G115" s="188"/>
      <c r="H115" s="188"/>
    </row>
    <row r="116" spans="1:8" ht="35.1" hidden="1" customHeight="1">
      <c r="A116" s="338" t="e">
        <f>'Bldg+Dev'!#REF!</f>
        <v>#REF!</v>
      </c>
      <c r="B116" s="340" t="e">
        <f>+'Bldg+Dev'!#REF!</f>
        <v>#REF!</v>
      </c>
      <c r="C116" s="340" t="e">
        <f>'Bldg+Dev'!#REF!</f>
        <v>#REF!</v>
      </c>
      <c r="D116" s="340" t="e">
        <f>'Bldg+Dev'!#REF!</f>
        <v>#REF!</v>
      </c>
      <c r="E116" s="340" t="e">
        <f>'Bldg+Dev'!#REF!</f>
        <v>#REF!</v>
      </c>
      <c r="F116" s="340" t="e">
        <f t="shared" si="1"/>
        <v>#REF!</v>
      </c>
      <c r="G116" s="188"/>
      <c r="H116" s="188"/>
    </row>
    <row r="117" spans="1:8" ht="35.1" hidden="1" customHeight="1">
      <c r="A117" s="338" t="e">
        <f>'Bldg+Dev'!#REF!</f>
        <v>#REF!</v>
      </c>
      <c r="B117" s="340" t="e">
        <f>+'Bldg+Dev'!#REF!</f>
        <v>#REF!</v>
      </c>
      <c r="C117" s="340" t="e">
        <f>'Bldg+Dev'!#REF!</f>
        <v>#REF!</v>
      </c>
      <c r="D117" s="340" t="e">
        <f>'Bldg+Dev'!#REF!</f>
        <v>#REF!</v>
      </c>
      <c r="E117" s="340" t="e">
        <f>'Bldg+Dev'!#REF!</f>
        <v>#REF!</v>
      </c>
      <c r="F117" s="340" t="e">
        <f t="shared" si="1"/>
        <v>#REF!</v>
      </c>
      <c r="G117" s="188"/>
      <c r="H117" s="188"/>
    </row>
    <row r="118" spans="1:8" ht="35.1" hidden="1" customHeight="1">
      <c r="A118" s="338" t="e">
        <f>'Bldg+Dev'!#REF!</f>
        <v>#REF!</v>
      </c>
      <c r="B118" s="340" t="e">
        <f>+'Bldg+Dev'!#REF!</f>
        <v>#REF!</v>
      </c>
      <c r="C118" s="340" t="e">
        <f>'Bldg+Dev'!#REF!</f>
        <v>#REF!</v>
      </c>
      <c r="D118" s="340" t="e">
        <f>'Bldg+Dev'!#REF!</f>
        <v>#REF!</v>
      </c>
      <c r="E118" s="340" t="e">
        <f>'Bldg+Dev'!#REF!</f>
        <v>#REF!</v>
      </c>
      <c r="F118" s="340" t="e">
        <f t="shared" si="1"/>
        <v>#REF!</v>
      </c>
      <c r="G118" s="188"/>
      <c r="H118" s="188"/>
    </row>
    <row r="119" spans="1:8" ht="61.5" customHeight="1">
      <c r="A119" s="338">
        <f>'Bldg+Dev'!A44</f>
        <v>10.199999999999999</v>
      </c>
      <c r="B119" s="339">
        <f>+'Bldg+Dev'!U44</f>
        <v>0</v>
      </c>
      <c r="C119" s="340" t="str">
        <f>'Bldg+Dev'!B44</f>
        <v>Brick partition work in C.M. 1:4 using chamber Burnt bricks of size 23 x 11.4 x 7.5 cm (9" x 4 1/2"x 3") 114 mm tk (B.P.)</v>
      </c>
      <c r="D119" s="340">
        <f>'Bldg+Dev'!C44</f>
        <v>0</v>
      </c>
      <c r="E119" s="340">
        <f>'Bldg+Dev'!D44</f>
        <v>0</v>
      </c>
      <c r="F119" s="340"/>
      <c r="G119" s="188"/>
      <c r="H119" s="188"/>
    </row>
    <row r="120" spans="1:8" ht="21.75" customHeight="1">
      <c r="A120" s="338">
        <f>'Bldg+Dev'!A45</f>
        <v>0</v>
      </c>
      <c r="B120" s="340">
        <f>+'Bldg+Dev'!U45</f>
        <v>80.3</v>
      </c>
      <c r="C120" s="340" t="str">
        <f>'Bldg+Dev'!B45</f>
        <v>a. In Foundation and basement</v>
      </c>
      <c r="D120" s="340">
        <f>'Bldg+Dev'!C45</f>
        <v>491.86</v>
      </c>
      <c r="E120" s="340" t="str">
        <f>'Bldg+Dev'!D45</f>
        <v>Sqm.</v>
      </c>
      <c r="F120" s="340">
        <f t="shared" si="1"/>
        <v>39496.36</v>
      </c>
      <c r="G120" s="188"/>
      <c r="H120" s="188"/>
    </row>
    <row r="121" spans="1:8" ht="21.75" customHeight="1">
      <c r="A121" s="338">
        <f>'Bldg+Dev'!A46</f>
        <v>0</v>
      </c>
      <c r="B121" s="340" t="e">
        <f>+'Bldg+Dev'!U46</f>
        <v>#REF!</v>
      </c>
      <c r="C121" s="340" t="str">
        <f>'Bldg+Dev'!B46</f>
        <v>b. In Ground Floor</v>
      </c>
      <c r="D121" s="340">
        <f>'Bldg+Dev'!C46</f>
        <v>495.57</v>
      </c>
      <c r="E121" s="340" t="str">
        <f>'Bldg+Dev'!D46</f>
        <v>Sqm.</v>
      </c>
      <c r="F121" s="340" t="e">
        <f t="shared" si="1"/>
        <v>#REF!</v>
      </c>
      <c r="G121" s="188"/>
      <c r="H121" s="188"/>
    </row>
    <row r="122" spans="1:8" ht="21.75" customHeight="1">
      <c r="A122" s="338">
        <f>'Bldg+Dev'!A47</f>
        <v>0</v>
      </c>
      <c r="B122" s="340">
        <f>+'Bldg+Dev'!U47</f>
        <v>0</v>
      </c>
      <c r="C122" s="340" t="str">
        <f>'Bldg+Dev'!B47</f>
        <v>c. In First Floor</v>
      </c>
      <c r="D122" s="340">
        <f>'Bldg+Dev'!C47</f>
        <v>503.01</v>
      </c>
      <c r="E122" s="340" t="str">
        <f>'Bldg+Dev'!D47</f>
        <v>Sqm.</v>
      </c>
      <c r="F122" s="340">
        <f t="shared" si="1"/>
        <v>0</v>
      </c>
      <c r="G122" s="188"/>
      <c r="H122" s="188"/>
    </row>
    <row r="123" spans="1:8" ht="21.75" customHeight="1">
      <c r="A123" s="338">
        <f>'Bldg+Dev'!A48</f>
        <v>0</v>
      </c>
      <c r="B123" s="340">
        <f>+'Bldg+Dev'!U48</f>
        <v>0</v>
      </c>
      <c r="C123" s="340" t="str">
        <f>'Bldg+Dev'!B48</f>
        <v>d. In Second Floor</v>
      </c>
      <c r="D123" s="340">
        <f>'Bldg+Dev'!C48</f>
        <v>510.45</v>
      </c>
      <c r="E123" s="340" t="str">
        <f>'Bldg+Dev'!D48</f>
        <v>Sqm.</v>
      </c>
      <c r="F123" s="340">
        <f t="shared" si="1"/>
        <v>0</v>
      </c>
      <c r="G123" s="188"/>
      <c r="H123" s="188"/>
    </row>
    <row r="124" spans="1:8" ht="21.75" customHeight="1">
      <c r="A124" s="338">
        <f>'Bldg+Dev'!A49</f>
        <v>0</v>
      </c>
      <c r="B124" s="340">
        <f>+'Bldg+Dev'!U49</f>
        <v>0</v>
      </c>
      <c r="C124" s="340" t="str">
        <f>'Bldg+Dev'!B49</f>
        <v>e. In Third Floor</v>
      </c>
      <c r="D124" s="340">
        <f>'Bldg+Dev'!C49</f>
        <v>517.89</v>
      </c>
      <c r="E124" s="340" t="str">
        <f>'Bldg+Dev'!D49</f>
        <v>Sqm.</v>
      </c>
      <c r="F124" s="340">
        <f t="shared" si="1"/>
        <v>0</v>
      </c>
      <c r="G124" s="188"/>
      <c r="H124" s="188"/>
    </row>
    <row r="125" spans="1:8" ht="21.75" customHeight="1">
      <c r="A125" s="338">
        <f>'Bldg+Dev'!A50</f>
        <v>0</v>
      </c>
      <c r="B125" s="340">
        <f>+'Bldg+Dev'!U50</f>
        <v>0</v>
      </c>
      <c r="C125" s="340" t="str">
        <f>'Bldg+Dev'!B50</f>
        <v>f. In Fourth Floor</v>
      </c>
      <c r="D125" s="340">
        <f>'Bldg+Dev'!C50</f>
        <v>525.33000000000004</v>
      </c>
      <c r="E125" s="340" t="str">
        <f>'Bldg+Dev'!D50</f>
        <v>Sqm.</v>
      </c>
      <c r="F125" s="340">
        <f t="shared" si="1"/>
        <v>0</v>
      </c>
      <c r="G125" s="188"/>
      <c r="H125" s="188"/>
    </row>
    <row r="126" spans="1:8" ht="53.25" hidden="1" customHeight="1">
      <c r="A126" s="338" t="e">
        <f>'Bldg+Dev'!#REF!</f>
        <v>#REF!</v>
      </c>
      <c r="B126" s="340" t="e">
        <f>+'Bldg+Dev'!#REF!</f>
        <v>#REF!</v>
      </c>
      <c r="C126" s="340" t="e">
        <f>'Bldg+Dev'!#REF!</f>
        <v>#REF!</v>
      </c>
      <c r="D126" s="340" t="e">
        <f>'Bldg+Dev'!#REF!</f>
        <v>#REF!</v>
      </c>
      <c r="E126" s="340" t="e">
        <f>'Bldg+Dev'!#REF!</f>
        <v>#REF!</v>
      </c>
      <c r="F126" s="340" t="e">
        <f t="shared" si="1"/>
        <v>#REF!</v>
      </c>
      <c r="G126" s="188"/>
      <c r="H126" s="188"/>
    </row>
    <row r="127" spans="1:8" ht="35.1" hidden="1" customHeight="1">
      <c r="A127" s="338" t="e">
        <f>'Bldg+Dev'!#REF!</f>
        <v>#REF!</v>
      </c>
      <c r="B127" s="340" t="e">
        <f>+'Bldg+Dev'!#REF!</f>
        <v>#REF!</v>
      </c>
      <c r="C127" s="340" t="e">
        <f>'Bldg+Dev'!#REF!</f>
        <v>#REF!</v>
      </c>
      <c r="D127" s="340" t="e">
        <f>'Bldg+Dev'!#REF!</f>
        <v>#REF!</v>
      </c>
      <c r="E127" s="340" t="e">
        <f>'Bldg+Dev'!#REF!</f>
        <v>#REF!</v>
      </c>
      <c r="F127" s="340" t="e">
        <f t="shared" si="1"/>
        <v>#REF!</v>
      </c>
      <c r="G127" s="188"/>
      <c r="H127" s="188"/>
    </row>
    <row r="128" spans="1:8" ht="35.1" hidden="1" customHeight="1">
      <c r="A128" s="338" t="e">
        <f>'Bldg+Dev'!#REF!</f>
        <v>#REF!</v>
      </c>
      <c r="B128" s="340" t="e">
        <f>+'Bldg+Dev'!#REF!</f>
        <v>#REF!</v>
      </c>
      <c r="C128" s="340" t="e">
        <f>'Bldg+Dev'!#REF!</f>
        <v>#REF!</v>
      </c>
      <c r="D128" s="340" t="e">
        <f>'Bldg+Dev'!#REF!</f>
        <v>#REF!</v>
      </c>
      <c r="E128" s="340" t="e">
        <f>'Bldg+Dev'!#REF!</f>
        <v>#REF!</v>
      </c>
      <c r="F128" s="340" t="e">
        <f t="shared" si="1"/>
        <v>#REF!</v>
      </c>
      <c r="G128" s="188"/>
      <c r="H128" s="188"/>
    </row>
    <row r="129" spans="1:8" ht="35.1" hidden="1" customHeight="1">
      <c r="A129" s="338" t="e">
        <f>'Bldg+Dev'!#REF!</f>
        <v>#REF!</v>
      </c>
      <c r="B129" s="340" t="e">
        <f>+'Bldg+Dev'!#REF!</f>
        <v>#REF!</v>
      </c>
      <c r="C129" s="340" t="e">
        <f>'Bldg+Dev'!#REF!</f>
        <v>#REF!</v>
      </c>
      <c r="D129" s="340" t="e">
        <f>'Bldg+Dev'!#REF!</f>
        <v>#REF!</v>
      </c>
      <c r="E129" s="340" t="e">
        <f>'Bldg+Dev'!#REF!</f>
        <v>#REF!</v>
      </c>
      <c r="F129" s="340" t="e">
        <f t="shared" si="1"/>
        <v>#REF!</v>
      </c>
      <c r="G129" s="188"/>
      <c r="H129" s="188"/>
    </row>
    <row r="130" spans="1:8" ht="35.1" hidden="1" customHeight="1">
      <c r="A130" s="338" t="e">
        <f>'Bldg+Dev'!#REF!</f>
        <v>#REF!</v>
      </c>
      <c r="B130" s="340" t="e">
        <f>+'Bldg+Dev'!#REF!</f>
        <v>#REF!</v>
      </c>
      <c r="C130" s="340" t="e">
        <f>'Bldg+Dev'!#REF!</f>
        <v>#REF!</v>
      </c>
      <c r="D130" s="340" t="e">
        <f>'Bldg+Dev'!#REF!</f>
        <v>#REF!</v>
      </c>
      <c r="E130" s="340" t="e">
        <f>'Bldg+Dev'!#REF!</f>
        <v>#REF!</v>
      </c>
      <c r="F130" s="340" t="e">
        <f t="shared" si="1"/>
        <v>#REF!</v>
      </c>
      <c r="G130" s="188"/>
      <c r="H130" s="188"/>
    </row>
    <row r="131" spans="1:8" ht="35.1" hidden="1" customHeight="1">
      <c r="A131" s="338" t="e">
        <f>'Bldg+Dev'!#REF!</f>
        <v>#REF!</v>
      </c>
      <c r="B131" s="340" t="e">
        <f>+'Bldg+Dev'!#REF!</f>
        <v>#REF!</v>
      </c>
      <c r="C131" s="340" t="e">
        <f>'Bldg+Dev'!#REF!</f>
        <v>#REF!</v>
      </c>
      <c r="D131" s="340" t="e">
        <f>'Bldg+Dev'!#REF!</f>
        <v>#REF!</v>
      </c>
      <c r="E131" s="340" t="e">
        <f>'Bldg+Dev'!#REF!</f>
        <v>#REF!</v>
      </c>
      <c r="F131" s="340" t="e">
        <f t="shared" si="1"/>
        <v>#REF!</v>
      </c>
      <c r="G131" s="188"/>
      <c r="H131" s="188"/>
    </row>
    <row r="132" spans="1:8" ht="35.1" hidden="1" customHeight="1">
      <c r="A132" s="338" t="e">
        <f>'Bldg+Dev'!#REF!</f>
        <v>#REF!</v>
      </c>
      <c r="B132" s="340" t="e">
        <f>+'Bldg+Dev'!#REF!</f>
        <v>#REF!</v>
      </c>
      <c r="C132" s="340" t="e">
        <f>'Bldg+Dev'!#REF!</f>
        <v>#REF!</v>
      </c>
      <c r="D132" s="340" t="e">
        <f>'Bldg+Dev'!#REF!</f>
        <v>#REF!</v>
      </c>
      <c r="E132" s="340" t="e">
        <f>'Bldg+Dev'!#REF!</f>
        <v>#REF!</v>
      </c>
      <c r="F132" s="340" t="e">
        <f t="shared" si="1"/>
        <v>#REF!</v>
      </c>
      <c r="G132" s="188"/>
      <c r="H132" s="188"/>
    </row>
    <row r="133" spans="1:8" ht="56.25" hidden="1" customHeight="1">
      <c r="A133" s="338" t="e">
        <f>'Bldg+Dev'!#REF!</f>
        <v>#REF!</v>
      </c>
      <c r="B133" s="340" t="e">
        <f>+'Bldg+Dev'!#REF!</f>
        <v>#REF!</v>
      </c>
      <c r="C133" s="340" t="e">
        <f>'Bldg+Dev'!#REF!</f>
        <v>#REF!</v>
      </c>
      <c r="D133" s="340" t="e">
        <f>'Bldg+Dev'!#REF!</f>
        <v>#REF!</v>
      </c>
      <c r="E133" s="340" t="e">
        <f>'Bldg+Dev'!#REF!</f>
        <v>#REF!</v>
      </c>
      <c r="F133" s="340" t="e">
        <f t="shared" si="1"/>
        <v>#REF!</v>
      </c>
      <c r="G133" s="188"/>
      <c r="H133" s="188"/>
    </row>
    <row r="134" spans="1:8" ht="35.1" hidden="1" customHeight="1">
      <c r="A134" s="338" t="e">
        <f>'Bldg+Dev'!#REF!</f>
        <v>#REF!</v>
      </c>
      <c r="B134" s="340" t="e">
        <f>+'Bldg+Dev'!#REF!</f>
        <v>#REF!</v>
      </c>
      <c r="C134" s="340" t="e">
        <f>'Bldg+Dev'!#REF!</f>
        <v>#REF!</v>
      </c>
      <c r="D134" s="340" t="e">
        <f>'Bldg+Dev'!#REF!</f>
        <v>#REF!</v>
      </c>
      <c r="E134" s="340" t="e">
        <f>'Bldg+Dev'!#REF!</f>
        <v>#REF!</v>
      </c>
      <c r="F134" s="340" t="e">
        <f t="shared" si="1"/>
        <v>#REF!</v>
      </c>
      <c r="G134" s="188"/>
      <c r="H134" s="188"/>
    </row>
    <row r="135" spans="1:8" ht="35.1" hidden="1" customHeight="1">
      <c r="A135" s="338" t="e">
        <f>'Bldg+Dev'!#REF!</f>
        <v>#REF!</v>
      </c>
      <c r="B135" s="340" t="e">
        <f>+'Bldg+Dev'!#REF!</f>
        <v>#REF!</v>
      </c>
      <c r="C135" s="340" t="e">
        <f>'Bldg+Dev'!#REF!</f>
        <v>#REF!</v>
      </c>
      <c r="D135" s="340" t="e">
        <f>'Bldg+Dev'!#REF!</f>
        <v>#REF!</v>
      </c>
      <c r="E135" s="340" t="e">
        <f>'Bldg+Dev'!#REF!</f>
        <v>#REF!</v>
      </c>
      <c r="F135" s="340" t="e">
        <f t="shared" si="1"/>
        <v>#REF!</v>
      </c>
      <c r="G135" s="188"/>
      <c r="H135" s="188"/>
    </row>
    <row r="136" spans="1:8" ht="35.1" hidden="1" customHeight="1">
      <c r="A136" s="338" t="e">
        <f>'Bldg+Dev'!#REF!</f>
        <v>#REF!</v>
      </c>
      <c r="B136" s="340" t="e">
        <f>+'Bldg+Dev'!#REF!</f>
        <v>#REF!</v>
      </c>
      <c r="C136" s="340" t="e">
        <f>'Bldg+Dev'!#REF!</f>
        <v>#REF!</v>
      </c>
      <c r="D136" s="340" t="e">
        <f>'Bldg+Dev'!#REF!</f>
        <v>#REF!</v>
      </c>
      <c r="E136" s="340" t="e">
        <f>'Bldg+Dev'!#REF!</f>
        <v>#REF!</v>
      </c>
      <c r="F136" s="340" t="e">
        <f t="shared" si="1"/>
        <v>#REF!</v>
      </c>
      <c r="G136" s="188"/>
      <c r="H136" s="188"/>
    </row>
    <row r="137" spans="1:8" ht="35.1" hidden="1" customHeight="1">
      <c r="A137" s="338" t="e">
        <f>'Bldg+Dev'!#REF!</f>
        <v>#REF!</v>
      </c>
      <c r="B137" s="340" t="e">
        <f>+'Bldg+Dev'!#REF!</f>
        <v>#REF!</v>
      </c>
      <c r="C137" s="340" t="e">
        <f>'Bldg+Dev'!#REF!</f>
        <v>#REF!</v>
      </c>
      <c r="D137" s="340" t="e">
        <f>'Bldg+Dev'!#REF!</f>
        <v>#REF!</v>
      </c>
      <c r="E137" s="340" t="e">
        <f>'Bldg+Dev'!#REF!</f>
        <v>#REF!</v>
      </c>
      <c r="F137" s="340" t="e">
        <f t="shared" ref="F137:F200" si="2">D137*B137</f>
        <v>#REF!</v>
      </c>
      <c r="G137" s="188"/>
      <c r="H137" s="188"/>
    </row>
    <row r="138" spans="1:8" ht="35.1" hidden="1" customHeight="1">
      <c r="A138" s="338" t="e">
        <f>'Bldg+Dev'!#REF!</f>
        <v>#REF!</v>
      </c>
      <c r="B138" s="340" t="e">
        <f>+'Bldg+Dev'!#REF!</f>
        <v>#REF!</v>
      </c>
      <c r="C138" s="340" t="e">
        <f>'Bldg+Dev'!#REF!</f>
        <v>#REF!</v>
      </c>
      <c r="D138" s="340" t="e">
        <f>'Bldg+Dev'!#REF!</f>
        <v>#REF!</v>
      </c>
      <c r="E138" s="340" t="e">
        <f>'Bldg+Dev'!#REF!</f>
        <v>#REF!</v>
      </c>
      <c r="F138" s="340" t="e">
        <f t="shared" si="2"/>
        <v>#REF!</v>
      </c>
      <c r="G138" s="188"/>
      <c r="H138" s="188"/>
    </row>
    <row r="139" spans="1:8" ht="35.1" hidden="1" customHeight="1">
      <c r="A139" s="338" t="e">
        <f>'Bldg+Dev'!#REF!</f>
        <v>#REF!</v>
      </c>
      <c r="B139" s="340" t="e">
        <f>+'Bldg+Dev'!#REF!</f>
        <v>#REF!</v>
      </c>
      <c r="C139" s="340" t="e">
        <f>'Bldg+Dev'!#REF!</f>
        <v>#REF!</v>
      </c>
      <c r="D139" s="340" t="e">
        <f>'Bldg+Dev'!#REF!</f>
        <v>#REF!</v>
      </c>
      <c r="E139" s="340" t="e">
        <f>'Bldg+Dev'!#REF!</f>
        <v>#REF!</v>
      </c>
      <c r="F139" s="340" t="e">
        <f t="shared" si="2"/>
        <v>#REF!</v>
      </c>
      <c r="G139" s="188"/>
      <c r="H139" s="188"/>
    </row>
    <row r="140" spans="1:8" ht="67.5" hidden="1" customHeight="1">
      <c r="A140" s="338" t="e">
        <f>'Bldg+Dev'!#REF!</f>
        <v>#REF!</v>
      </c>
      <c r="B140" s="340" t="e">
        <f>+'Bldg+Dev'!#REF!</f>
        <v>#REF!</v>
      </c>
      <c r="C140" s="340" t="e">
        <f>'Bldg+Dev'!#REF!</f>
        <v>#REF!</v>
      </c>
      <c r="D140" s="340" t="e">
        <f>'Bldg+Dev'!#REF!</f>
        <v>#REF!</v>
      </c>
      <c r="E140" s="340" t="e">
        <f>'Bldg+Dev'!#REF!</f>
        <v>#REF!</v>
      </c>
      <c r="F140" s="340" t="e">
        <f t="shared" si="2"/>
        <v>#REF!</v>
      </c>
      <c r="G140" s="188"/>
      <c r="H140" s="188"/>
    </row>
    <row r="141" spans="1:8" ht="35.1" hidden="1" customHeight="1">
      <c r="A141" s="338" t="e">
        <f>'Bldg+Dev'!#REF!</f>
        <v>#REF!</v>
      </c>
      <c r="B141" s="340" t="e">
        <f>+'Bldg+Dev'!#REF!</f>
        <v>#REF!</v>
      </c>
      <c r="C141" s="340" t="e">
        <f>'Bldg+Dev'!#REF!</f>
        <v>#REF!</v>
      </c>
      <c r="D141" s="340" t="e">
        <f>'Bldg+Dev'!#REF!</f>
        <v>#REF!</v>
      </c>
      <c r="E141" s="340" t="e">
        <f>'Bldg+Dev'!#REF!</f>
        <v>#REF!</v>
      </c>
      <c r="F141" s="340" t="e">
        <f t="shared" si="2"/>
        <v>#REF!</v>
      </c>
      <c r="G141" s="188"/>
      <c r="H141" s="188"/>
    </row>
    <row r="142" spans="1:8" ht="35.1" hidden="1" customHeight="1">
      <c r="A142" s="338" t="e">
        <f>'Bldg+Dev'!#REF!</f>
        <v>#REF!</v>
      </c>
      <c r="B142" s="340" t="e">
        <f>+'Bldg+Dev'!#REF!</f>
        <v>#REF!</v>
      </c>
      <c r="C142" s="340" t="e">
        <f>'Bldg+Dev'!#REF!</f>
        <v>#REF!</v>
      </c>
      <c r="D142" s="340" t="e">
        <f>'Bldg+Dev'!#REF!</f>
        <v>#REF!</v>
      </c>
      <c r="E142" s="340" t="e">
        <f>'Bldg+Dev'!#REF!</f>
        <v>#REF!</v>
      </c>
      <c r="F142" s="340" t="e">
        <f t="shared" si="2"/>
        <v>#REF!</v>
      </c>
      <c r="G142" s="188"/>
      <c r="H142" s="188"/>
    </row>
    <row r="143" spans="1:8" ht="35.1" hidden="1" customHeight="1">
      <c r="A143" s="338" t="e">
        <f>'Bldg+Dev'!#REF!</f>
        <v>#REF!</v>
      </c>
      <c r="B143" s="340" t="e">
        <f>+'Bldg+Dev'!#REF!</f>
        <v>#REF!</v>
      </c>
      <c r="C143" s="340" t="e">
        <f>'Bldg+Dev'!#REF!</f>
        <v>#REF!</v>
      </c>
      <c r="D143" s="340" t="e">
        <f>'Bldg+Dev'!#REF!</f>
        <v>#REF!</v>
      </c>
      <c r="E143" s="340" t="e">
        <f>'Bldg+Dev'!#REF!</f>
        <v>#REF!</v>
      </c>
      <c r="F143" s="340" t="e">
        <f t="shared" si="2"/>
        <v>#REF!</v>
      </c>
      <c r="G143" s="188"/>
      <c r="H143" s="188"/>
    </row>
    <row r="144" spans="1:8" ht="35.1" hidden="1" customHeight="1">
      <c r="A144" s="338" t="e">
        <f>'Bldg+Dev'!#REF!</f>
        <v>#REF!</v>
      </c>
      <c r="B144" s="340" t="e">
        <f>+'Bldg+Dev'!#REF!</f>
        <v>#REF!</v>
      </c>
      <c r="C144" s="340" t="e">
        <f>'Bldg+Dev'!#REF!</f>
        <v>#REF!</v>
      </c>
      <c r="D144" s="340" t="e">
        <f>'Bldg+Dev'!#REF!</f>
        <v>#REF!</v>
      </c>
      <c r="E144" s="340" t="e">
        <f>'Bldg+Dev'!#REF!</f>
        <v>#REF!</v>
      </c>
      <c r="F144" s="340" t="e">
        <f t="shared" si="2"/>
        <v>#REF!</v>
      </c>
      <c r="G144" s="188"/>
      <c r="H144" s="188"/>
    </row>
    <row r="145" spans="1:22" ht="35.1" hidden="1" customHeight="1">
      <c r="A145" s="338" t="e">
        <f>'Bldg+Dev'!#REF!</f>
        <v>#REF!</v>
      </c>
      <c r="B145" s="340" t="e">
        <f>+'Bldg+Dev'!#REF!</f>
        <v>#REF!</v>
      </c>
      <c r="C145" s="340" t="e">
        <f>'Bldg+Dev'!#REF!</f>
        <v>#REF!</v>
      </c>
      <c r="D145" s="340" t="e">
        <f>'Bldg+Dev'!#REF!</f>
        <v>#REF!</v>
      </c>
      <c r="E145" s="340" t="e">
        <f>'Bldg+Dev'!#REF!</f>
        <v>#REF!</v>
      </c>
      <c r="F145" s="340" t="e">
        <f t="shared" si="2"/>
        <v>#REF!</v>
      </c>
      <c r="G145" s="189"/>
      <c r="H145" s="189"/>
      <c r="I145" s="127"/>
      <c r="J145" s="117"/>
      <c r="K145" s="117"/>
      <c r="L145" s="117"/>
      <c r="M145" s="117"/>
      <c r="N145" s="117"/>
      <c r="O145" s="117"/>
      <c r="P145" s="117"/>
      <c r="Q145" s="117"/>
      <c r="R145" s="117"/>
      <c r="S145" s="117"/>
      <c r="T145" s="117"/>
      <c r="U145" s="118"/>
      <c r="V145" s="117"/>
    </row>
    <row r="146" spans="1:22" ht="35.1" hidden="1" customHeight="1">
      <c r="A146" s="338" t="e">
        <f>'Bldg+Dev'!#REF!</f>
        <v>#REF!</v>
      </c>
      <c r="B146" s="340" t="e">
        <f>+'Bldg+Dev'!#REF!</f>
        <v>#REF!</v>
      </c>
      <c r="C146" s="340" t="e">
        <f>'Bldg+Dev'!#REF!</f>
        <v>#REF!</v>
      </c>
      <c r="D146" s="340" t="e">
        <f>'Bldg+Dev'!#REF!</f>
        <v>#REF!</v>
      </c>
      <c r="E146" s="340" t="e">
        <f>'Bldg+Dev'!#REF!</f>
        <v>#REF!</v>
      </c>
      <c r="F146" s="340" t="e">
        <f t="shared" si="2"/>
        <v>#REF!</v>
      </c>
      <c r="G146" s="189"/>
      <c r="H146" s="189"/>
      <c r="I146" s="127"/>
      <c r="J146" s="117"/>
      <c r="K146" s="117"/>
      <c r="L146" s="117"/>
      <c r="M146" s="117"/>
      <c r="N146" s="117"/>
      <c r="O146" s="117"/>
      <c r="P146" s="117"/>
      <c r="Q146" s="117"/>
      <c r="R146" s="117"/>
      <c r="S146" s="117"/>
      <c r="T146" s="117"/>
      <c r="U146" s="117"/>
      <c r="V146" s="117"/>
    </row>
    <row r="147" spans="1:22" ht="60.75" hidden="1" customHeight="1">
      <c r="A147" s="338" t="e">
        <f>'Bldg+Dev'!#REF!</f>
        <v>#REF!</v>
      </c>
      <c r="B147" s="340" t="e">
        <f>+'Bldg+Dev'!#REF!</f>
        <v>#REF!</v>
      </c>
      <c r="C147" s="340" t="e">
        <f>'Bldg+Dev'!#REF!</f>
        <v>#REF!</v>
      </c>
      <c r="D147" s="340" t="e">
        <f>'Bldg+Dev'!#REF!</f>
        <v>#REF!</v>
      </c>
      <c r="E147" s="340" t="e">
        <f>'Bldg+Dev'!#REF!</f>
        <v>#REF!</v>
      </c>
      <c r="F147" s="340" t="e">
        <f t="shared" si="2"/>
        <v>#REF!</v>
      </c>
      <c r="G147" s="188"/>
      <c r="H147" s="188"/>
    </row>
    <row r="148" spans="1:22" ht="35.1" hidden="1" customHeight="1">
      <c r="A148" s="338" t="e">
        <f>'Bldg+Dev'!#REF!</f>
        <v>#REF!</v>
      </c>
      <c r="B148" s="340" t="e">
        <f>+'Bldg+Dev'!#REF!</f>
        <v>#REF!</v>
      </c>
      <c r="C148" s="340" t="e">
        <f>'Bldg+Dev'!#REF!</f>
        <v>#REF!</v>
      </c>
      <c r="D148" s="340" t="e">
        <f>'Bldg+Dev'!#REF!</f>
        <v>#REF!</v>
      </c>
      <c r="E148" s="340" t="e">
        <f>'Bldg+Dev'!#REF!</f>
        <v>#REF!</v>
      </c>
      <c r="F148" s="340" t="e">
        <f t="shared" si="2"/>
        <v>#REF!</v>
      </c>
      <c r="G148" s="188"/>
      <c r="H148" s="188"/>
    </row>
    <row r="149" spans="1:22" ht="35.1" hidden="1" customHeight="1">
      <c r="A149" s="338" t="e">
        <f>'Bldg+Dev'!#REF!</f>
        <v>#REF!</v>
      </c>
      <c r="B149" s="340" t="e">
        <f>+'Bldg+Dev'!#REF!</f>
        <v>#REF!</v>
      </c>
      <c r="C149" s="340" t="e">
        <f>'Bldg+Dev'!#REF!</f>
        <v>#REF!</v>
      </c>
      <c r="D149" s="340" t="e">
        <f>'Bldg+Dev'!#REF!</f>
        <v>#REF!</v>
      </c>
      <c r="E149" s="340" t="e">
        <f>'Bldg+Dev'!#REF!</f>
        <v>#REF!</v>
      </c>
      <c r="F149" s="340" t="e">
        <f t="shared" si="2"/>
        <v>#REF!</v>
      </c>
      <c r="G149" s="188"/>
      <c r="H149" s="188"/>
    </row>
    <row r="150" spans="1:22" ht="35.1" hidden="1" customHeight="1">
      <c r="A150" s="338" t="e">
        <f>'Bldg+Dev'!#REF!</f>
        <v>#REF!</v>
      </c>
      <c r="B150" s="340" t="e">
        <f>+'Bldg+Dev'!#REF!</f>
        <v>#REF!</v>
      </c>
      <c r="C150" s="340" t="e">
        <f>'Bldg+Dev'!#REF!</f>
        <v>#REF!</v>
      </c>
      <c r="D150" s="340" t="e">
        <f>'Bldg+Dev'!#REF!</f>
        <v>#REF!</v>
      </c>
      <c r="E150" s="340" t="e">
        <f>'Bldg+Dev'!#REF!</f>
        <v>#REF!</v>
      </c>
      <c r="F150" s="340" t="e">
        <f t="shared" si="2"/>
        <v>#REF!</v>
      </c>
      <c r="G150" s="188"/>
      <c r="H150" s="188"/>
    </row>
    <row r="151" spans="1:22" ht="35.1" hidden="1" customHeight="1">
      <c r="A151" s="338" t="e">
        <f>'Bldg+Dev'!#REF!</f>
        <v>#REF!</v>
      </c>
      <c r="B151" s="340" t="e">
        <f>+'Bldg+Dev'!#REF!</f>
        <v>#REF!</v>
      </c>
      <c r="C151" s="340" t="e">
        <f>'Bldg+Dev'!#REF!</f>
        <v>#REF!</v>
      </c>
      <c r="D151" s="340" t="e">
        <f>'Bldg+Dev'!#REF!</f>
        <v>#REF!</v>
      </c>
      <c r="E151" s="340" t="e">
        <f>'Bldg+Dev'!#REF!</f>
        <v>#REF!</v>
      </c>
      <c r="F151" s="340" t="e">
        <f t="shared" si="2"/>
        <v>#REF!</v>
      </c>
      <c r="G151" s="188"/>
      <c r="H151" s="188"/>
    </row>
    <row r="152" spans="1:22" ht="35.1" hidden="1" customHeight="1">
      <c r="A152" s="338" t="e">
        <f>'Bldg+Dev'!#REF!</f>
        <v>#REF!</v>
      </c>
      <c r="B152" s="340" t="e">
        <f>+'Bldg+Dev'!#REF!</f>
        <v>#REF!</v>
      </c>
      <c r="C152" s="340" t="e">
        <f>'Bldg+Dev'!#REF!</f>
        <v>#REF!</v>
      </c>
      <c r="D152" s="340" t="e">
        <f>'Bldg+Dev'!#REF!</f>
        <v>#REF!</v>
      </c>
      <c r="E152" s="340" t="e">
        <f>'Bldg+Dev'!#REF!</f>
        <v>#REF!</v>
      </c>
      <c r="F152" s="340" t="e">
        <f t="shared" si="2"/>
        <v>#REF!</v>
      </c>
      <c r="G152" s="188"/>
      <c r="H152" s="188"/>
    </row>
    <row r="153" spans="1:22" ht="35.1" hidden="1" customHeight="1">
      <c r="A153" s="338" t="e">
        <f>'Bldg+Dev'!#REF!</f>
        <v>#REF!</v>
      </c>
      <c r="B153" s="340" t="e">
        <f>+'Bldg+Dev'!#REF!</f>
        <v>#REF!</v>
      </c>
      <c r="C153" s="340" t="e">
        <f>'Bldg+Dev'!#REF!</f>
        <v>#REF!</v>
      </c>
      <c r="D153" s="340" t="e">
        <f>'Bldg+Dev'!#REF!</f>
        <v>#REF!</v>
      </c>
      <c r="E153" s="340" t="e">
        <f>'Bldg+Dev'!#REF!</f>
        <v>#REF!</v>
      </c>
      <c r="F153" s="340" t="e">
        <f t="shared" si="2"/>
        <v>#REF!</v>
      </c>
      <c r="G153" s="188"/>
      <c r="H153" s="188"/>
    </row>
    <row r="154" spans="1:22" ht="69.75" hidden="1" customHeight="1">
      <c r="A154" s="338" t="e">
        <f>'Bldg+Dev'!#REF!</f>
        <v>#REF!</v>
      </c>
      <c r="B154" s="340" t="e">
        <f>+'Bldg+Dev'!#REF!</f>
        <v>#REF!</v>
      </c>
      <c r="C154" s="340" t="e">
        <f>'Bldg+Dev'!#REF!</f>
        <v>#REF!</v>
      </c>
      <c r="D154" s="340" t="e">
        <f>'Bldg+Dev'!#REF!</f>
        <v>#REF!</v>
      </c>
      <c r="E154" s="340" t="e">
        <f>'Bldg+Dev'!#REF!</f>
        <v>#REF!</v>
      </c>
      <c r="F154" s="340" t="e">
        <f t="shared" si="2"/>
        <v>#REF!</v>
      </c>
      <c r="G154" s="188"/>
      <c r="H154" s="188"/>
    </row>
    <row r="155" spans="1:22" ht="35.1" hidden="1" customHeight="1">
      <c r="A155" s="338" t="e">
        <f>'Bldg+Dev'!#REF!</f>
        <v>#REF!</v>
      </c>
      <c r="B155" s="340" t="e">
        <f>+'Bldg+Dev'!#REF!</f>
        <v>#REF!</v>
      </c>
      <c r="C155" s="340" t="e">
        <f>'Bldg+Dev'!#REF!</f>
        <v>#REF!</v>
      </c>
      <c r="D155" s="340" t="e">
        <f>'Bldg+Dev'!#REF!</f>
        <v>#REF!</v>
      </c>
      <c r="E155" s="340" t="e">
        <f>'Bldg+Dev'!#REF!</f>
        <v>#REF!</v>
      </c>
      <c r="F155" s="340" t="e">
        <f t="shared" si="2"/>
        <v>#REF!</v>
      </c>
      <c r="G155" s="188"/>
      <c r="H155" s="188"/>
    </row>
    <row r="156" spans="1:22" ht="35.1" hidden="1" customHeight="1">
      <c r="A156" s="338" t="e">
        <f>'Bldg+Dev'!#REF!</f>
        <v>#REF!</v>
      </c>
      <c r="B156" s="340" t="e">
        <f>+'Bldg+Dev'!#REF!</f>
        <v>#REF!</v>
      </c>
      <c r="C156" s="340" t="e">
        <f>'Bldg+Dev'!#REF!</f>
        <v>#REF!</v>
      </c>
      <c r="D156" s="340" t="e">
        <f>'Bldg+Dev'!#REF!</f>
        <v>#REF!</v>
      </c>
      <c r="E156" s="340" t="e">
        <f>'Bldg+Dev'!#REF!</f>
        <v>#REF!</v>
      </c>
      <c r="F156" s="340" t="e">
        <f t="shared" si="2"/>
        <v>#REF!</v>
      </c>
      <c r="G156" s="188"/>
      <c r="H156" s="188"/>
    </row>
    <row r="157" spans="1:22" ht="35.1" hidden="1" customHeight="1">
      <c r="A157" s="338" t="e">
        <f>'Bldg+Dev'!#REF!</f>
        <v>#REF!</v>
      </c>
      <c r="B157" s="340" t="e">
        <f>+'Bldg+Dev'!#REF!</f>
        <v>#REF!</v>
      </c>
      <c r="C157" s="340" t="e">
        <f>'Bldg+Dev'!#REF!</f>
        <v>#REF!</v>
      </c>
      <c r="D157" s="340" t="e">
        <f>'Bldg+Dev'!#REF!</f>
        <v>#REF!</v>
      </c>
      <c r="E157" s="340" t="e">
        <f>'Bldg+Dev'!#REF!</f>
        <v>#REF!</v>
      </c>
      <c r="F157" s="340" t="e">
        <f t="shared" si="2"/>
        <v>#REF!</v>
      </c>
      <c r="G157" s="188"/>
      <c r="H157" s="188"/>
    </row>
    <row r="158" spans="1:22" ht="35.1" hidden="1" customHeight="1">
      <c r="A158" s="338" t="e">
        <f>'Bldg+Dev'!#REF!</f>
        <v>#REF!</v>
      </c>
      <c r="B158" s="340" t="e">
        <f>+'Bldg+Dev'!#REF!</f>
        <v>#REF!</v>
      </c>
      <c r="C158" s="340" t="e">
        <f>'Bldg+Dev'!#REF!</f>
        <v>#REF!</v>
      </c>
      <c r="D158" s="340" t="e">
        <f>'Bldg+Dev'!#REF!</f>
        <v>#REF!</v>
      </c>
      <c r="E158" s="340" t="e">
        <f>'Bldg+Dev'!#REF!</f>
        <v>#REF!</v>
      </c>
      <c r="F158" s="340" t="e">
        <f t="shared" si="2"/>
        <v>#REF!</v>
      </c>
      <c r="G158" s="188"/>
      <c r="H158" s="188"/>
    </row>
    <row r="159" spans="1:22" ht="35.1" hidden="1" customHeight="1">
      <c r="A159" s="338" t="e">
        <f>'Bldg+Dev'!#REF!</f>
        <v>#REF!</v>
      </c>
      <c r="B159" s="340" t="e">
        <f>+'Bldg+Dev'!#REF!</f>
        <v>#REF!</v>
      </c>
      <c r="C159" s="340" t="e">
        <f>'Bldg+Dev'!#REF!</f>
        <v>#REF!</v>
      </c>
      <c r="D159" s="340" t="e">
        <f>'Bldg+Dev'!#REF!</f>
        <v>#REF!</v>
      </c>
      <c r="E159" s="340" t="e">
        <f>'Bldg+Dev'!#REF!</f>
        <v>#REF!</v>
      </c>
      <c r="F159" s="340" t="e">
        <f t="shared" si="2"/>
        <v>#REF!</v>
      </c>
      <c r="G159" s="188"/>
      <c r="H159" s="188"/>
    </row>
    <row r="160" spans="1:22" ht="43.5" customHeight="1">
      <c r="A160" s="338" t="e">
        <f>'Bldg+Dev'!#REF!</f>
        <v>#REF!</v>
      </c>
      <c r="B160" s="339" t="e">
        <f>+'Bldg+Dev'!#REF!</f>
        <v>#REF!</v>
      </c>
      <c r="C160" s="340" t="e">
        <f>'Bldg+Dev'!#REF!</f>
        <v>#REF!</v>
      </c>
      <c r="D160" s="340" t="e">
        <f>'Bldg+Dev'!#REF!</f>
        <v>#REF!</v>
      </c>
      <c r="E160" s="340" t="e">
        <f>'Bldg+Dev'!#REF!</f>
        <v>#REF!</v>
      </c>
      <c r="F160" s="340"/>
      <c r="G160" s="188"/>
      <c r="H160" s="188"/>
    </row>
    <row r="161" spans="1:8" ht="22.5" customHeight="1">
      <c r="A161" s="338" t="e">
        <f>'Bldg+Dev'!#REF!</f>
        <v>#REF!</v>
      </c>
      <c r="B161" s="340" t="e">
        <f>+'Bldg+Dev'!#REF!</f>
        <v>#REF!</v>
      </c>
      <c r="C161" s="340" t="e">
        <f>'Bldg+Dev'!#REF!</f>
        <v>#REF!</v>
      </c>
      <c r="D161" s="340" t="e">
        <f>'Bldg+Dev'!#REF!</f>
        <v>#REF!</v>
      </c>
      <c r="E161" s="340" t="e">
        <f>'Bldg+Dev'!#REF!</f>
        <v>#REF!</v>
      </c>
      <c r="F161" s="340" t="e">
        <f t="shared" si="2"/>
        <v>#REF!</v>
      </c>
      <c r="G161" s="188"/>
      <c r="H161" s="188"/>
    </row>
    <row r="162" spans="1:8" ht="22.5" customHeight="1">
      <c r="A162" s="338" t="e">
        <f>'Bldg+Dev'!#REF!</f>
        <v>#REF!</v>
      </c>
      <c r="B162" s="340" t="e">
        <f>+'Bldg+Dev'!#REF!</f>
        <v>#REF!</v>
      </c>
      <c r="C162" s="340" t="e">
        <f>'Bldg+Dev'!#REF!</f>
        <v>#REF!</v>
      </c>
      <c r="D162" s="340" t="e">
        <f>'Bldg+Dev'!#REF!</f>
        <v>#REF!</v>
      </c>
      <c r="E162" s="340" t="e">
        <f>'Bldg+Dev'!#REF!</f>
        <v>#REF!</v>
      </c>
      <c r="F162" s="340" t="e">
        <f t="shared" si="2"/>
        <v>#REF!</v>
      </c>
      <c r="G162" s="188"/>
      <c r="H162" s="188"/>
    </row>
    <row r="163" spans="1:8" ht="22.5" customHeight="1">
      <c r="A163" s="338" t="e">
        <f>'Bldg+Dev'!#REF!</f>
        <v>#REF!</v>
      </c>
      <c r="B163" s="340" t="e">
        <f>+'Bldg+Dev'!#REF!</f>
        <v>#REF!</v>
      </c>
      <c r="C163" s="340" t="e">
        <f>'Bldg+Dev'!#REF!</f>
        <v>#REF!</v>
      </c>
      <c r="D163" s="340" t="e">
        <f>'Bldg+Dev'!#REF!</f>
        <v>#REF!</v>
      </c>
      <c r="E163" s="340" t="e">
        <f>'Bldg+Dev'!#REF!</f>
        <v>#REF!</v>
      </c>
      <c r="F163" s="340" t="e">
        <f t="shared" si="2"/>
        <v>#REF!</v>
      </c>
      <c r="G163" s="188"/>
      <c r="H163" s="188"/>
    </row>
    <row r="164" spans="1:8" ht="22.5" customHeight="1">
      <c r="A164" s="338" t="e">
        <f>'Bldg+Dev'!#REF!</f>
        <v>#REF!</v>
      </c>
      <c r="B164" s="340" t="e">
        <f>+'Bldg+Dev'!#REF!</f>
        <v>#REF!</v>
      </c>
      <c r="C164" s="340" t="e">
        <f>'Bldg+Dev'!#REF!</f>
        <v>#REF!</v>
      </c>
      <c r="D164" s="340" t="e">
        <f>'Bldg+Dev'!#REF!</f>
        <v>#REF!</v>
      </c>
      <c r="E164" s="340" t="e">
        <f>'Bldg+Dev'!#REF!</f>
        <v>#REF!</v>
      </c>
      <c r="F164" s="340" t="e">
        <f t="shared" si="2"/>
        <v>#REF!</v>
      </c>
      <c r="G164" s="188"/>
      <c r="H164" s="188"/>
    </row>
    <row r="165" spans="1:8" ht="35.1" hidden="1" customHeight="1">
      <c r="A165" s="338" t="e">
        <f>'Bldg+Dev'!#REF!</f>
        <v>#REF!</v>
      </c>
      <c r="B165" s="340" t="e">
        <f>+'Bldg+Dev'!#REF!</f>
        <v>#REF!</v>
      </c>
      <c r="C165" s="340" t="e">
        <f>'Bldg+Dev'!#REF!</f>
        <v>#REF!</v>
      </c>
      <c r="D165" s="340" t="e">
        <f>'Bldg+Dev'!#REF!</f>
        <v>#REF!</v>
      </c>
      <c r="E165" s="340" t="e">
        <f>'Bldg+Dev'!#REF!</f>
        <v>#REF!</v>
      </c>
      <c r="F165" s="340" t="e">
        <f t="shared" si="2"/>
        <v>#REF!</v>
      </c>
      <c r="G165" s="188"/>
      <c r="H165" s="188"/>
    </row>
    <row r="166" spans="1:8" ht="56.25" hidden="1" customHeight="1">
      <c r="A166" s="338" t="e">
        <f>'Bldg+Dev'!#REF!</f>
        <v>#REF!</v>
      </c>
      <c r="B166" s="340" t="e">
        <f>+'Bldg+Dev'!#REF!</f>
        <v>#REF!</v>
      </c>
      <c r="C166" s="340" t="e">
        <f>'Bldg+Dev'!#REF!</f>
        <v>#REF!</v>
      </c>
      <c r="D166" s="340" t="e">
        <f>'Bldg+Dev'!#REF!</f>
        <v>#REF!</v>
      </c>
      <c r="E166" s="340" t="e">
        <f>'Bldg+Dev'!#REF!</f>
        <v>#REF!</v>
      </c>
      <c r="F166" s="340" t="e">
        <f t="shared" si="2"/>
        <v>#REF!</v>
      </c>
      <c r="G166" s="188"/>
      <c r="H166" s="188"/>
    </row>
    <row r="167" spans="1:8" ht="35.1" hidden="1" customHeight="1">
      <c r="A167" s="338" t="e">
        <f>'Bldg+Dev'!#REF!</f>
        <v>#REF!</v>
      </c>
      <c r="B167" s="340" t="e">
        <f>+'Bldg+Dev'!#REF!</f>
        <v>#REF!</v>
      </c>
      <c r="C167" s="340" t="e">
        <f>'Bldg+Dev'!#REF!</f>
        <v>#REF!</v>
      </c>
      <c r="D167" s="340" t="e">
        <f>'Bldg+Dev'!#REF!</f>
        <v>#REF!</v>
      </c>
      <c r="E167" s="340" t="e">
        <f>'Bldg+Dev'!#REF!</f>
        <v>#REF!</v>
      </c>
      <c r="F167" s="340" t="e">
        <f t="shared" si="2"/>
        <v>#REF!</v>
      </c>
      <c r="G167" s="188"/>
      <c r="H167" s="188"/>
    </row>
    <row r="168" spans="1:8" ht="35.1" hidden="1" customHeight="1">
      <c r="A168" s="338" t="e">
        <f>'Bldg+Dev'!#REF!</f>
        <v>#REF!</v>
      </c>
      <c r="B168" s="340" t="e">
        <f>+'Bldg+Dev'!#REF!</f>
        <v>#REF!</v>
      </c>
      <c r="C168" s="340" t="e">
        <f>'Bldg+Dev'!#REF!</f>
        <v>#REF!</v>
      </c>
      <c r="D168" s="340" t="e">
        <f>'Bldg+Dev'!#REF!</f>
        <v>#REF!</v>
      </c>
      <c r="E168" s="340" t="e">
        <f>'Bldg+Dev'!#REF!</f>
        <v>#REF!</v>
      </c>
      <c r="F168" s="340" t="e">
        <f t="shared" si="2"/>
        <v>#REF!</v>
      </c>
      <c r="G168" s="188"/>
      <c r="H168" s="188"/>
    </row>
    <row r="169" spans="1:8" ht="35.1" hidden="1" customHeight="1">
      <c r="A169" s="338" t="e">
        <f>'Bldg+Dev'!#REF!</f>
        <v>#REF!</v>
      </c>
      <c r="B169" s="340" t="e">
        <f>+'Bldg+Dev'!#REF!</f>
        <v>#REF!</v>
      </c>
      <c r="C169" s="340" t="e">
        <f>'Bldg+Dev'!#REF!</f>
        <v>#REF!</v>
      </c>
      <c r="D169" s="340" t="e">
        <f>'Bldg+Dev'!#REF!</f>
        <v>#REF!</v>
      </c>
      <c r="E169" s="340" t="e">
        <f>'Bldg+Dev'!#REF!</f>
        <v>#REF!</v>
      </c>
      <c r="F169" s="340" t="e">
        <f t="shared" si="2"/>
        <v>#REF!</v>
      </c>
      <c r="G169" s="188"/>
      <c r="H169" s="188"/>
    </row>
    <row r="170" spans="1:8" ht="35.1" hidden="1" customHeight="1">
      <c r="A170" s="338" t="e">
        <f>'Bldg+Dev'!#REF!</f>
        <v>#REF!</v>
      </c>
      <c r="B170" s="340" t="e">
        <f>+'Bldg+Dev'!#REF!</f>
        <v>#REF!</v>
      </c>
      <c r="C170" s="340" t="e">
        <f>'Bldg+Dev'!#REF!</f>
        <v>#REF!</v>
      </c>
      <c r="D170" s="340" t="e">
        <f>'Bldg+Dev'!#REF!</f>
        <v>#REF!</v>
      </c>
      <c r="E170" s="340" t="e">
        <f>'Bldg+Dev'!#REF!</f>
        <v>#REF!</v>
      </c>
      <c r="F170" s="340" t="e">
        <f t="shared" si="2"/>
        <v>#REF!</v>
      </c>
      <c r="G170" s="188"/>
      <c r="H170" s="188"/>
    </row>
    <row r="171" spans="1:8" ht="35.1" hidden="1" customHeight="1">
      <c r="A171" s="338" t="e">
        <f>'Bldg+Dev'!#REF!</f>
        <v>#REF!</v>
      </c>
      <c r="B171" s="340" t="e">
        <f>+'Bldg+Dev'!#REF!</f>
        <v>#REF!</v>
      </c>
      <c r="C171" s="340" t="e">
        <f>'Bldg+Dev'!#REF!</f>
        <v>#REF!</v>
      </c>
      <c r="D171" s="340" t="e">
        <f>'Bldg+Dev'!#REF!</f>
        <v>#REF!</v>
      </c>
      <c r="E171" s="340" t="e">
        <f>'Bldg+Dev'!#REF!</f>
        <v>#REF!</v>
      </c>
      <c r="F171" s="340" t="e">
        <f t="shared" si="2"/>
        <v>#REF!</v>
      </c>
      <c r="G171" s="188"/>
      <c r="H171" s="188"/>
    </row>
    <row r="172" spans="1:8" ht="52.5" hidden="1" customHeight="1">
      <c r="A172" s="338" t="e">
        <f>'Bldg+Dev'!#REF!</f>
        <v>#REF!</v>
      </c>
      <c r="B172" s="340" t="e">
        <f>+'Bldg+Dev'!#REF!</f>
        <v>#REF!</v>
      </c>
      <c r="C172" s="340" t="e">
        <f>'Bldg+Dev'!#REF!</f>
        <v>#REF!</v>
      </c>
      <c r="D172" s="340" t="e">
        <f>'Bldg+Dev'!#REF!</f>
        <v>#REF!</v>
      </c>
      <c r="E172" s="340" t="e">
        <f>'Bldg+Dev'!#REF!</f>
        <v>#REF!</v>
      </c>
      <c r="F172" s="340" t="e">
        <f t="shared" si="2"/>
        <v>#REF!</v>
      </c>
      <c r="G172" s="188"/>
      <c r="H172" s="188"/>
    </row>
    <row r="173" spans="1:8" ht="35.1" hidden="1" customHeight="1">
      <c r="A173" s="338" t="e">
        <f>'Bldg+Dev'!#REF!</f>
        <v>#REF!</v>
      </c>
      <c r="B173" s="340" t="e">
        <f>+'Bldg+Dev'!#REF!</f>
        <v>#REF!</v>
      </c>
      <c r="C173" s="340" t="e">
        <f>'Bldg+Dev'!#REF!</f>
        <v>#REF!</v>
      </c>
      <c r="D173" s="340" t="e">
        <f>'Bldg+Dev'!#REF!</f>
        <v>#REF!</v>
      </c>
      <c r="E173" s="340" t="e">
        <f>'Bldg+Dev'!#REF!</f>
        <v>#REF!</v>
      </c>
      <c r="F173" s="340" t="e">
        <f t="shared" si="2"/>
        <v>#REF!</v>
      </c>
      <c r="G173" s="188"/>
      <c r="H173" s="188"/>
    </row>
    <row r="174" spans="1:8" ht="35.1" hidden="1" customHeight="1">
      <c r="A174" s="338" t="e">
        <f>'Bldg+Dev'!#REF!</f>
        <v>#REF!</v>
      </c>
      <c r="B174" s="340" t="e">
        <f>+'Bldg+Dev'!#REF!</f>
        <v>#REF!</v>
      </c>
      <c r="C174" s="340" t="e">
        <f>'Bldg+Dev'!#REF!</f>
        <v>#REF!</v>
      </c>
      <c r="D174" s="340" t="e">
        <f>'Bldg+Dev'!#REF!</f>
        <v>#REF!</v>
      </c>
      <c r="E174" s="340" t="e">
        <f>'Bldg+Dev'!#REF!</f>
        <v>#REF!</v>
      </c>
      <c r="F174" s="340" t="e">
        <f t="shared" si="2"/>
        <v>#REF!</v>
      </c>
      <c r="G174" s="188"/>
      <c r="H174" s="188"/>
    </row>
    <row r="175" spans="1:8" ht="35.1" hidden="1" customHeight="1">
      <c r="A175" s="338" t="e">
        <f>'Bldg+Dev'!#REF!</f>
        <v>#REF!</v>
      </c>
      <c r="B175" s="340" t="e">
        <f>+'Bldg+Dev'!#REF!</f>
        <v>#REF!</v>
      </c>
      <c r="C175" s="340" t="e">
        <f>'Bldg+Dev'!#REF!</f>
        <v>#REF!</v>
      </c>
      <c r="D175" s="340" t="e">
        <f>'Bldg+Dev'!#REF!</f>
        <v>#REF!</v>
      </c>
      <c r="E175" s="340" t="e">
        <f>'Bldg+Dev'!#REF!</f>
        <v>#REF!</v>
      </c>
      <c r="F175" s="340" t="e">
        <f t="shared" si="2"/>
        <v>#REF!</v>
      </c>
      <c r="G175" s="188"/>
      <c r="H175" s="188"/>
    </row>
    <row r="176" spans="1:8" ht="35.1" hidden="1" customHeight="1">
      <c r="A176" s="338" t="e">
        <f>'Bldg+Dev'!#REF!</f>
        <v>#REF!</v>
      </c>
      <c r="B176" s="340" t="e">
        <f>+'Bldg+Dev'!#REF!</f>
        <v>#REF!</v>
      </c>
      <c r="C176" s="340" t="e">
        <f>'Bldg+Dev'!#REF!</f>
        <v>#REF!</v>
      </c>
      <c r="D176" s="340" t="e">
        <f>'Bldg+Dev'!#REF!</f>
        <v>#REF!</v>
      </c>
      <c r="E176" s="340" t="e">
        <f>'Bldg+Dev'!#REF!</f>
        <v>#REF!</v>
      </c>
      <c r="F176" s="340" t="e">
        <f t="shared" si="2"/>
        <v>#REF!</v>
      </c>
      <c r="G176" s="188"/>
      <c r="H176" s="188"/>
    </row>
    <row r="177" spans="1:8" ht="35.1" hidden="1" customHeight="1">
      <c r="A177" s="338" t="e">
        <f>'Bldg+Dev'!#REF!</f>
        <v>#REF!</v>
      </c>
      <c r="B177" s="340" t="e">
        <f>+'Bldg+Dev'!#REF!</f>
        <v>#REF!</v>
      </c>
      <c r="C177" s="340" t="e">
        <f>'Bldg+Dev'!#REF!</f>
        <v>#REF!</v>
      </c>
      <c r="D177" s="340" t="e">
        <f>'Bldg+Dev'!#REF!</f>
        <v>#REF!</v>
      </c>
      <c r="E177" s="340" t="e">
        <f>'Bldg+Dev'!#REF!</f>
        <v>#REF!</v>
      </c>
      <c r="F177" s="340" t="e">
        <f t="shared" si="2"/>
        <v>#REF!</v>
      </c>
      <c r="G177" s="188"/>
      <c r="H177" s="188"/>
    </row>
    <row r="178" spans="1:8" ht="61.5" hidden="1" customHeight="1">
      <c r="A178" s="338" t="e">
        <f>'Bldg+Dev'!#REF!</f>
        <v>#REF!</v>
      </c>
      <c r="B178" s="340" t="e">
        <f>+'Bldg+Dev'!#REF!</f>
        <v>#REF!</v>
      </c>
      <c r="C178" s="340" t="e">
        <f>'Bldg+Dev'!#REF!</f>
        <v>#REF!</v>
      </c>
      <c r="D178" s="340" t="e">
        <f>'Bldg+Dev'!#REF!</f>
        <v>#REF!</v>
      </c>
      <c r="E178" s="340" t="e">
        <f>'Bldg+Dev'!#REF!</f>
        <v>#REF!</v>
      </c>
      <c r="F178" s="340" t="e">
        <f t="shared" si="2"/>
        <v>#REF!</v>
      </c>
      <c r="G178" s="188"/>
      <c r="H178" s="188"/>
    </row>
    <row r="179" spans="1:8" ht="35.1" hidden="1" customHeight="1">
      <c r="A179" s="338" t="e">
        <f>'Bldg+Dev'!#REF!</f>
        <v>#REF!</v>
      </c>
      <c r="B179" s="340" t="e">
        <f>+'Bldg+Dev'!#REF!</f>
        <v>#REF!</v>
      </c>
      <c r="C179" s="340" t="e">
        <f>'Bldg+Dev'!#REF!</f>
        <v>#REF!</v>
      </c>
      <c r="D179" s="340" t="e">
        <f>'Bldg+Dev'!#REF!</f>
        <v>#REF!</v>
      </c>
      <c r="E179" s="340" t="e">
        <f>'Bldg+Dev'!#REF!</f>
        <v>#REF!</v>
      </c>
      <c r="F179" s="340" t="e">
        <f t="shared" si="2"/>
        <v>#REF!</v>
      </c>
      <c r="G179" s="188"/>
      <c r="H179" s="188"/>
    </row>
    <row r="180" spans="1:8" ht="35.1" hidden="1" customHeight="1">
      <c r="A180" s="338" t="e">
        <f>'Bldg+Dev'!#REF!</f>
        <v>#REF!</v>
      </c>
      <c r="B180" s="340" t="e">
        <f>+'Bldg+Dev'!#REF!</f>
        <v>#REF!</v>
      </c>
      <c r="C180" s="340" t="e">
        <f>'Bldg+Dev'!#REF!</f>
        <v>#REF!</v>
      </c>
      <c r="D180" s="340" t="e">
        <f>'Bldg+Dev'!#REF!</f>
        <v>#REF!</v>
      </c>
      <c r="E180" s="340" t="e">
        <f>'Bldg+Dev'!#REF!</f>
        <v>#REF!</v>
      </c>
      <c r="F180" s="340" t="e">
        <f t="shared" si="2"/>
        <v>#REF!</v>
      </c>
      <c r="G180" s="188"/>
      <c r="H180" s="188"/>
    </row>
    <row r="181" spans="1:8" ht="35.1" hidden="1" customHeight="1">
      <c r="A181" s="338" t="e">
        <f>'Bldg+Dev'!#REF!</f>
        <v>#REF!</v>
      </c>
      <c r="B181" s="340" t="e">
        <f>+'Bldg+Dev'!#REF!</f>
        <v>#REF!</v>
      </c>
      <c r="C181" s="340" t="e">
        <f>'Bldg+Dev'!#REF!</f>
        <v>#REF!</v>
      </c>
      <c r="D181" s="340" t="e">
        <f>'Bldg+Dev'!#REF!</f>
        <v>#REF!</v>
      </c>
      <c r="E181" s="340" t="e">
        <f>'Bldg+Dev'!#REF!</f>
        <v>#REF!</v>
      </c>
      <c r="F181" s="340" t="e">
        <f t="shared" si="2"/>
        <v>#REF!</v>
      </c>
      <c r="G181" s="188"/>
      <c r="H181" s="188"/>
    </row>
    <row r="182" spans="1:8" ht="35.1" hidden="1" customHeight="1">
      <c r="A182" s="338" t="e">
        <f>'Bldg+Dev'!#REF!</f>
        <v>#REF!</v>
      </c>
      <c r="B182" s="340" t="e">
        <f>+'Bldg+Dev'!#REF!</f>
        <v>#REF!</v>
      </c>
      <c r="C182" s="340" t="e">
        <f>'Bldg+Dev'!#REF!</f>
        <v>#REF!</v>
      </c>
      <c r="D182" s="340" t="e">
        <f>'Bldg+Dev'!#REF!</f>
        <v>#REF!</v>
      </c>
      <c r="E182" s="340" t="e">
        <f>'Bldg+Dev'!#REF!</f>
        <v>#REF!</v>
      </c>
      <c r="F182" s="340" t="e">
        <f t="shared" si="2"/>
        <v>#REF!</v>
      </c>
      <c r="G182" s="188"/>
      <c r="H182" s="188"/>
    </row>
    <row r="183" spans="1:8" ht="35.1" hidden="1" customHeight="1">
      <c r="A183" s="338" t="e">
        <f>'Bldg+Dev'!#REF!</f>
        <v>#REF!</v>
      </c>
      <c r="B183" s="340" t="e">
        <f>+'Bldg+Dev'!#REF!</f>
        <v>#REF!</v>
      </c>
      <c r="C183" s="340" t="e">
        <f>'Bldg+Dev'!#REF!</f>
        <v>#REF!</v>
      </c>
      <c r="D183" s="340" t="e">
        <f>'Bldg+Dev'!#REF!</f>
        <v>#REF!</v>
      </c>
      <c r="E183" s="340" t="e">
        <f>'Bldg+Dev'!#REF!</f>
        <v>#REF!</v>
      </c>
      <c r="F183" s="340" t="e">
        <f t="shared" si="2"/>
        <v>#REF!</v>
      </c>
      <c r="G183" s="188"/>
      <c r="H183" s="188"/>
    </row>
    <row r="184" spans="1:8" ht="54.95" hidden="1" customHeight="1">
      <c r="A184" s="338" t="e">
        <f>'Bldg+Dev'!#REF!</f>
        <v>#REF!</v>
      </c>
      <c r="B184" s="340" t="e">
        <f>+'Bldg+Dev'!#REF!</f>
        <v>#REF!</v>
      </c>
      <c r="C184" s="340" t="e">
        <f>'Bldg+Dev'!#REF!</f>
        <v>#REF!</v>
      </c>
      <c r="D184" s="340" t="e">
        <f>'Bldg+Dev'!#REF!</f>
        <v>#REF!</v>
      </c>
      <c r="E184" s="340" t="e">
        <f>'Bldg+Dev'!#REF!</f>
        <v>#REF!</v>
      </c>
      <c r="F184" s="340" t="e">
        <f t="shared" si="2"/>
        <v>#REF!</v>
      </c>
      <c r="G184" s="188"/>
      <c r="H184" s="188"/>
    </row>
    <row r="185" spans="1:8" ht="35.1" hidden="1" customHeight="1">
      <c r="A185" s="338" t="e">
        <f>'Bldg+Dev'!#REF!</f>
        <v>#REF!</v>
      </c>
      <c r="B185" s="340" t="e">
        <f>+'Bldg+Dev'!#REF!</f>
        <v>#REF!</v>
      </c>
      <c r="C185" s="340" t="e">
        <f>'Bldg+Dev'!#REF!</f>
        <v>#REF!</v>
      </c>
      <c r="D185" s="340" t="e">
        <f>'Bldg+Dev'!#REF!</f>
        <v>#REF!</v>
      </c>
      <c r="E185" s="340" t="e">
        <f>'Bldg+Dev'!#REF!</f>
        <v>#REF!</v>
      </c>
      <c r="F185" s="340" t="e">
        <f t="shared" si="2"/>
        <v>#REF!</v>
      </c>
      <c r="G185" s="188"/>
      <c r="H185" s="188"/>
    </row>
    <row r="186" spans="1:8" ht="35.1" hidden="1" customHeight="1">
      <c r="A186" s="338" t="e">
        <f>'Bldg+Dev'!#REF!</f>
        <v>#REF!</v>
      </c>
      <c r="B186" s="340" t="e">
        <f>+'Bldg+Dev'!#REF!</f>
        <v>#REF!</v>
      </c>
      <c r="C186" s="340" t="e">
        <f>'Bldg+Dev'!#REF!</f>
        <v>#REF!</v>
      </c>
      <c r="D186" s="340" t="e">
        <f>'Bldg+Dev'!#REF!</f>
        <v>#REF!</v>
      </c>
      <c r="E186" s="340" t="e">
        <f>'Bldg+Dev'!#REF!</f>
        <v>#REF!</v>
      </c>
      <c r="F186" s="340" t="e">
        <f t="shared" si="2"/>
        <v>#REF!</v>
      </c>
      <c r="G186" s="188"/>
      <c r="H186" s="188"/>
    </row>
    <row r="187" spans="1:8" ht="35.1" hidden="1" customHeight="1">
      <c r="A187" s="338" t="e">
        <f>'Bldg+Dev'!#REF!</f>
        <v>#REF!</v>
      </c>
      <c r="B187" s="340" t="e">
        <f>+'Bldg+Dev'!#REF!</f>
        <v>#REF!</v>
      </c>
      <c r="C187" s="340" t="e">
        <f>'Bldg+Dev'!#REF!</f>
        <v>#REF!</v>
      </c>
      <c r="D187" s="340" t="e">
        <f>'Bldg+Dev'!#REF!</f>
        <v>#REF!</v>
      </c>
      <c r="E187" s="340" t="e">
        <f>'Bldg+Dev'!#REF!</f>
        <v>#REF!</v>
      </c>
      <c r="F187" s="340" t="e">
        <f t="shared" si="2"/>
        <v>#REF!</v>
      </c>
      <c r="G187" s="188"/>
      <c r="H187" s="188"/>
    </row>
    <row r="188" spans="1:8" ht="35.1" hidden="1" customHeight="1">
      <c r="A188" s="338" t="e">
        <f>'Bldg+Dev'!#REF!</f>
        <v>#REF!</v>
      </c>
      <c r="B188" s="340" t="e">
        <f>+'Bldg+Dev'!#REF!</f>
        <v>#REF!</v>
      </c>
      <c r="C188" s="340" t="e">
        <f>'Bldg+Dev'!#REF!</f>
        <v>#REF!</v>
      </c>
      <c r="D188" s="340" t="e">
        <f>'Bldg+Dev'!#REF!</f>
        <v>#REF!</v>
      </c>
      <c r="E188" s="340" t="e">
        <f>'Bldg+Dev'!#REF!</f>
        <v>#REF!</v>
      </c>
      <c r="F188" s="340" t="e">
        <f t="shared" si="2"/>
        <v>#REF!</v>
      </c>
      <c r="G188" s="188"/>
      <c r="H188" s="188"/>
    </row>
    <row r="189" spans="1:8" ht="35.1" hidden="1" customHeight="1">
      <c r="A189" s="338" t="e">
        <f>'Bldg+Dev'!#REF!</f>
        <v>#REF!</v>
      </c>
      <c r="B189" s="340" t="e">
        <f>+'Bldg+Dev'!#REF!</f>
        <v>#REF!</v>
      </c>
      <c r="C189" s="340" t="e">
        <f>'Bldg+Dev'!#REF!</f>
        <v>#REF!</v>
      </c>
      <c r="D189" s="340" t="e">
        <f>'Bldg+Dev'!#REF!</f>
        <v>#REF!</v>
      </c>
      <c r="E189" s="340" t="e">
        <f>'Bldg+Dev'!#REF!</f>
        <v>#REF!</v>
      </c>
      <c r="F189" s="340" t="e">
        <f t="shared" si="2"/>
        <v>#REF!</v>
      </c>
      <c r="G189" s="188"/>
      <c r="H189" s="188"/>
    </row>
    <row r="190" spans="1:8" ht="39" customHeight="1">
      <c r="A190" s="338" t="e">
        <f>'Bldg+Dev'!#REF!</f>
        <v>#REF!</v>
      </c>
      <c r="B190" s="339" t="e">
        <f>+'Bldg+Dev'!#REF!</f>
        <v>#REF!</v>
      </c>
      <c r="C190" s="340" t="e">
        <f>'Bldg+Dev'!#REF!</f>
        <v>#REF!</v>
      </c>
      <c r="D190" s="340" t="e">
        <f>'Bldg+Dev'!#REF!</f>
        <v>#REF!</v>
      </c>
      <c r="E190" s="340" t="e">
        <f>'Bldg+Dev'!#REF!</f>
        <v>#REF!</v>
      </c>
      <c r="F190" s="340"/>
      <c r="G190" s="188"/>
      <c r="H190" s="188"/>
    </row>
    <row r="191" spans="1:8" ht="21.75" customHeight="1">
      <c r="A191" s="338" t="e">
        <f>'Bldg+Dev'!#REF!</f>
        <v>#REF!</v>
      </c>
      <c r="B191" s="340" t="e">
        <f>+'Bldg+Dev'!#REF!</f>
        <v>#REF!</v>
      </c>
      <c r="C191" s="340" t="e">
        <f>'Bldg+Dev'!#REF!</f>
        <v>#REF!</v>
      </c>
      <c r="D191" s="340" t="e">
        <f>'Bldg+Dev'!#REF!</f>
        <v>#REF!</v>
      </c>
      <c r="E191" s="340" t="e">
        <f>'Bldg+Dev'!#REF!</f>
        <v>#REF!</v>
      </c>
      <c r="F191" s="340" t="e">
        <f t="shared" si="2"/>
        <v>#REF!</v>
      </c>
      <c r="G191" s="188"/>
      <c r="H191" s="188"/>
    </row>
    <row r="192" spans="1:8" ht="21.75" customHeight="1">
      <c r="A192" s="338" t="e">
        <f>'Bldg+Dev'!#REF!</f>
        <v>#REF!</v>
      </c>
      <c r="B192" s="340" t="e">
        <f>+'Bldg+Dev'!#REF!</f>
        <v>#REF!</v>
      </c>
      <c r="C192" s="340" t="e">
        <f>'Bldg+Dev'!#REF!</f>
        <v>#REF!</v>
      </c>
      <c r="D192" s="340" t="e">
        <f>'Bldg+Dev'!#REF!</f>
        <v>#REF!</v>
      </c>
      <c r="E192" s="340" t="e">
        <f>'Bldg+Dev'!#REF!</f>
        <v>#REF!</v>
      </c>
      <c r="F192" s="340" t="e">
        <f t="shared" si="2"/>
        <v>#REF!</v>
      </c>
      <c r="G192" s="188"/>
      <c r="H192" s="188"/>
    </row>
    <row r="193" spans="1:22" ht="21.75" customHeight="1">
      <c r="A193" s="338" t="e">
        <f>'Bldg+Dev'!#REF!</f>
        <v>#REF!</v>
      </c>
      <c r="B193" s="340" t="e">
        <f>+'Bldg+Dev'!#REF!</f>
        <v>#REF!</v>
      </c>
      <c r="C193" s="340" t="e">
        <f>'Bldg+Dev'!#REF!</f>
        <v>#REF!</v>
      </c>
      <c r="D193" s="340" t="e">
        <f>'Bldg+Dev'!#REF!</f>
        <v>#REF!</v>
      </c>
      <c r="E193" s="340" t="e">
        <f>'Bldg+Dev'!#REF!</f>
        <v>#REF!</v>
      </c>
      <c r="F193" s="340" t="e">
        <f t="shared" si="2"/>
        <v>#REF!</v>
      </c>
      <c r="G193" s="188"/>
      <c r="H193" s="188"/>
    </row>
    <row r="194" spans="1:22" ht="21.75" customHeight="1">
      <c r="A194" s="338" t="e">
        <f>'Bldg+Dev'!#REF!</f>
        <v>#REF!</v>
      </c>
      <c r="B194" s="340" t="e">
        <f>+'Bldg+Dev'!#REF!</f>
        <v>#REF!</v>
      </c>
      <c r="C194" s="340" t="e">
        <f>'Bldg+Dev'!#REF!</f>
        <v>#REF!</v>
      </c>
      <c r="D194" s="340" t="e">
        <f>'Bldg+Dev'!#REF!</f>
        <v>#REF!</v>
      </c>
      <c r="E194" s="340" t="e">
        <f>'Bldg+Dev'!#REF!</f>
        <v>#REF!</v>
      </c>
      <c r="F194" s="340" t="e">
        <f t="shared" si="2"/>
        <v>#REF!</v>
      </c>
      <c r="G194" s="188"/>
      <c r="H194" s="188"/>
    </row>
    <row r="195" spans="1:22" ht="35.1" hidden="1" customHeight="1">
      <c r="A195" s="338" t="e">
        <f>'Bldg+Dev'!#REF!</f>
        <v>#REF!</v>
      </c>
      <c r="B195" s="340" t="e">
        <f>+'Bldg+Dev'!#REF!</f>
        <v>#REF!</v>
      </c>
      <c r="C195" s="340" t="e">
        <f>'Bldg+Dev'!#REF!</f>
        <v>#REF!</v>
      </c>
      <c r="D195" s="340" t="e">
        <f>'Bldg+Dev'!#REF!</f>
        <v>#REF!</v>
      </c>
      <c r="E195" s="340" t="e">
        <f>'Bldg+Dev'!#REF!</f>
        <v>#REF!</v>
      </c>
      <c r="F195" s="340" t="e">
        <f t="shared" si="2"/>
        <v>#REF!</v>
      </c>
      <c r="G195" s="188"/>
      <c r="H195" s="188"/>
    </row>
    <row r="196" spans="1:22" ht="54.95" hidden="1" customHeight="1">
      <c r="A196" s="338" t="e">
        <f>'Bldg+Dev'!#REF!</f>
        <v>#REF!</v>
      </c>
      <c r="B196" s="340" t="e">
        <f>+'Bldg+Dev'!#REF!</f>
        <v>#REF!</v>
      </c>
      <c r="C196" s="340" t="e">
        <f>'Bldg+Dev'!#REF!</f>
        <v>#REF!</v>
      </c>
      <c r="D196" s="340" t="e">
        <f>'Bldg+Dev'!#REF!</f>
        <v>#REF!</v>
      </c>
      <c r="E196" s="340" t="e">
        <f>'Bldg+Dev'!#REF!</f>
        <v>#REF!</v>
      </c>
      <c r="F196" s="340" t="e">
        <f t="shared" si="2"/>
        <v>#REF!</v>
      </c>
      <c r="G196" s="188"/>
      <c r="H196" s="188"/>
    </row>
    <row r="197" spans="1:22" ht="35.1" hidden="1" customHeight="1">
      <c r="A197" s="338" t="e">
        <f>'Bldg+Dev'!#REF!</f>
        <v>#REF!</v>
      </c>
      <c r="B197" s="340" t="e">
        <f>+'Bldg+Dev'!#REF!</f>
        <v>#REF!</v>
      </c>
      <c r="C197" s="340" t="e">
        <f>'Bldg+Dev'!#REF!</f>
        <v>#REF!</v>
      </c>
      <c r="D197" s="340" t="e">
        <f>'Bldg+Dev'!#REF!</f>
        <v>#REF!</v>
      </c>
      <c r="E197" s="340" t="e">
        <f>'Bldg+Dev'!#REF!</f>
        <v>#REF!</v>
      </c>
      <c r="F197" s="340" t="e">
        <f t="shared" si="2"/>
        <v>#REF!</v>
      </c>
      <c r="G197" s="188"/>
      <c r="H197" s="188"/>
    </row>
    <row r="198" spans="1:22" ht="35.1" hidden="1" customHeight="1">
      <c r="A198" s="338" t="e">
        <f>'Bldg+Dev'!#REF!</f>
        <v>#REF!</v>
      </c>
      <c r="B198" s="340" t="e">
        <f>+'Bldg+Dev'!#REF!</f>
        <v>#REF!</v>
      </c>
      <c r="C198" s="340" t="e">
        <f>'Bldg+Dev'!#REF!</f>
        <v>#REF!</v>
      </c>
      <c r="D198" s="340" t="e">
        <f>'Bldg+Dev'!#REF!</f>
        <v>#REF!</v>
      </c>
      <c r="E198" s="340" t="e">
        <f>'Bldg+Dev'!#REF!</f>
        <v>#REF!</v>
      </c>
      <c r="F198" s="340" t="e">
        <f t="shared" si="2"/>
        <v>#REF!</v>
      </c>
      <c r="G198" s="188"/>
      <c r="H198" s="188"/>
    </row>
    <row r="199" spans="1:22" ht="35.1" hidden="1" customHeight="1">
      <c r="A199" s="338" t="e">
        <f>'Bldg+Dev'!#REF!</f>
        <v>#REF!</v>
      </c>
      <c r="B199" s="340" t="e">
        <f>+'Bldg+Dev'!#REF!</f>
        <v>#REF!</v>
      </c>
      <c r="C199" s="340" t="e">
        <f>'Bldg+Dev'!#REF!</f>
        <v>#REF!</v>
      </c>
      <c r="D199" s="340" t="e">
        <f>'Bldg+Dev'!#REF!</f>
        <v>#REF!</v>
      </c>
      <c r="E199" s="340" t="e">
        <f>'Bldg+Dev'!#REF!</f>
        <v>#REF!</v>
      </c>
      <c r="F199" s="340" t="e">
        <f t="shared" si="2"/>
        <v>#REF!</v>
      </c>
      <c r="G199" s="188"/>
      <c r="H199" s="188"/>
    </row>
    <row r="200" spans="1:22" ht="35.1" hidden="1" customHeight="1">
      <c r="A200" s="338" t="e">
        <f>'Bldg+Dev'!#REF!</f>
        <v>#REF!</v>
      </c>
      <c r="B200" s="340" t="e">
        <f>+'Bldg+Dev'!#REF!</f>
        <v>#REF!</v>
      </c>
      <c r="C200" s="340" t="e">
        <f>'Bldg+Dev'!#REF!</f>
        <v>#REF!</v>
      </c>
      <c r="D200" s="340" t="e">
        <f>'Bldg+Dev'!#REF!</f>
        <v>#REF!</v>
      </c>
      <c r="E200" s="340" t="e">
        <f>'Bldg+Dev'!#REF!</f>
        <v>#REF!</v>
      </c>
      <c r="F200" s="340" t="e">
        <f t="shared" si="2"/>
        <v>#REF!</v>
      </c>
      <c r="G200" s="188"/>
      <c r="H200" s="188"/>
    </row>
    <row r="201" spans="1:22" ht="35.1" hidden="1" customHeight="1">
      <c r="A201" s="338" t="e">
        <f>'Bldg+Dev'!#REF!</f>
        <v>#REF!</v>
      </c>
      <c r="B201" s="340" t="e">
        <f>+'Bldg+Dev'!#REF!</f>
        <v>#REF!</v>
      </c>
      <c r="C201" s="340" t="e">
        <f>'Bldg+Dev'!#REF!</f>
        <v>#REF!</v>
      </c>
      <c r="D201" s="340" t="e">
        <f>'Bldg+Dev'!#REF!</f>
        <v>#REF!</v>
      </c>
      <c r="E201" s="340" t="e">
        <f>'Bldg+Dev'!#REF!</f>
        <v>#REF!</v>
      </c>
      <c r="F201" s="340" t="e">
        <f t="shared" ref="F201:F264" si="3">D201*B201</f>
        <v>#REF!</v>
      </c>
      <c r="G201" s="188"/>
      <c r="H201" s="188"/>
    </row>
    <row r="202" spans="1:22" ht="21.75" customHeight="1">
      <c r="A202" s="338">
        <f>'Bldg+Dev'!A51</f>
        <v>13.1</v>
      </c>
      <c r="B202" s="340" t="e">
        <f>+'Bldg+Dev'!U51</f>
        <v>#REF!</v>
      </c>
      <c r="C202" s="340" t="str">
        <f>'Bldg+Dev'!B51</f>
        <v>Filling with Excavated Earth</v>
      </c>
      <c r="D202" s="340">
        <f>'Bldg+Dev'!C51</f>
        <v>16.96</v>
      </c>
      <c r="E202" s="340" t="str">
        <f>'Bldg+Dev'!D51</f>
        <v>Cum.</v>
      </c>
      <c r="F202" s="340" t="e">
        <f t="shared" si="3"/>
        <v>#REF!</v>
      </c>
      <c r="G202" s="188"/>
      <c r="H202" s="188"/>
    </row>
    <row r="203" spans="1:22" ht="54.95" hidden="1" customHeight="1">
      <c r="A203" s="338">
        <f>'Bldg+Dev'!A52</f>
        <v>13.2</v>
      </c>
      <c r="B203" s="340">
        <f>+'Bldg+Dev'!U52</f>
        <v>0</v>
      </c>
      <c r="C203" s="340" t="str">
        <f>'Bldg+Dev'!B52</f>
        <v>Filling with Excavated Earth Mixed with lime in the proporation 1:4 (one of lime &amp; four of earth)</v>
      </c>
      <c r="D203" s="340">
        <f>'Bldg+Dev'!C52</f>
        <v>0</v>
      </c>
      <c r="E203" s="340" t="str">
        <f>'Bldg+Dev'!D52</f>
        <v>Cum.</v>
      </c>
      <c r="F203" s="340">
        <f t="shared" si="3"/>
        <v>0</v>
      </c>
      <c r="G203" s="188"/>
      <c r="H203" s="188"/>
    </row>
    <row r="204" spans="1:22" ht="21.75" customHeight="1">
      <c r="A204" s="338" t="e">
        <f>'Bldg+Dev'!#REF!</f>
        <v>#REF!</v>
      </c>
      <c r="B204" s="339" t="e">
        <f>+'Bldg+Dev'!#REF!</f>
        <v>#REF!</v>
      </c>
      <c r="C204" s="340" t="e">
        <f>'Bldg+Dev'!#REF!</f>
        <v>#REF!</v>
      </c>
      <c r="D204" s="340" t="e">
        <f>'Bldg+Dev'!#REF!</f>
        <v>#REF!</v>
      </c>
      <c r="E204" s="340" t="e">
        <f>'Bldg+Dev'!#REF!</f>
        <v>#REF!</v>
      </c>
      <c r="F204" s="340"/>
      <c r="G204" s="188"/>
      <c r="H204" s="188"/>
    </row>
    <row r="205" spans="1:22" ht="21.75" customHeight="1">
      <c r="A205" s="338" t="e">
        <f>'Bldg+Dev'!#REF!</f>
        <v>#REF!</v>
      </c>
      <c r="B205" s="340" t="e">
        <f>+'Bldg+Dev'!#REF!</f>
        <v>#REF!</v>
      </c>
      <c r="C205" s="340" t="e">
        <f>'Bldg+Dev'!#REF!</f>
        <v>#REF!</v>
      </c>
      <c r="D205" s="340" t="e">
        <f>'Bldg+Dev'!#REF!</f>
        <v>#REF!</v>
      </c>
      <c r="E205" s="340" t="e">
        <f>'Bldg+Dev'!#REF!</f>
        <v>#REF!</v>
      </c>
      <c r="F205" s="340" t="e">
        <f t="shared" si="3"/>
        <v>#REF!</v>
      </c>
      <c r="G205" s="188"/>
      <c r="H205" s="188"/>
    </row>
    <row r="206" spans="1:22" ht="21.75" customHeight="1">
      <c r="A206" s="338" t="e">
        <f>'Bldg+Dev'!#REF!</f>
        <v>#REF!</v>
      </c>
      <c r="B206" s="340" t="e">
        <f>+'Bldg+Dev'!#REF!</f>
        <v>#REF!</v>
      </c>
      <c r="C206" s="340" t="e">
        <f>'Bldg+Dev'!#REF!</f>
        <v>#REF!</v>
      </c>
      <c r="D206" s="340" t="e">
        <f>'Bldg+Dev'!#REF!</f>
        <v>#REF!</v>
      </c>
      <c r="E206" s="340" t="e">
        <f>'Bldg+Dev'!#REF!</f>
        <v>#REF!</v>
      </c>
      <c r="F206" s="340" t="e">
        <f t="shared" si="3"/>
        <v>#REF!</v>
      </c>
      <c r="G206" s="188"/>
      <c r="H206" s="188"/>
    </row>
    <row r="207" spans="1:22" ht="21.75" customHeight="1">
      <c r="A207" s="338" t="e">
        <f>'Bldg+Dev'!#REF!</f>
        <v>#REF!</v>
      </c>
      <c r="B207" s="340" t="e">
        <f>+'Bldg+Dev'!#REF!</f>
        <v>#REF!</v>
      </c>
      <c r="C207" s="340" t="e">
        <f>'Bldg+Dev'!#REF!</f>
        <v>#REF!</v>
      </c>
      <c r="D207" s="340" t="e">
        <f>'Bldg+Dev'!#REF!</f>
        <v>#REF!</v>
      </c>
      <c r="E207" s="340" t="e">
        <f>'Bldg+Dev'!#REF!</f>
        <v>#REF!</v>
      </c>
      <c r="F207" s="340" t="e">
        <f t="shared" si="3"/>
        <v>#REF!</v>
      </c>
      <c r="G207" s="189"/>
      <c r="H207" s="189"/>
      <c r="I207" s="127"/>
      <c r="J207" s="117"/>
      <c r="K207" s="117"/>
      <c r="L207" s="117"/>
      <c r="M207" s="117"/>
      <c r="N207" s="117"/>
      <c r="O207" s="117"/>
      <c r="P207" s="117"/>
      <c r="Q207" s="117"/>
      <c r="R207" s="117"/>
      <c r="S207" s="117"/>
      <c r="T207" s="117"/>
      <c r="U207" s="117"/>
      <c r="V207" s="117"/>
    </row>
    <row r="208" spans="1:22" ht="21.75" customHeight="1">
      <c r="A208" s="338" t="e">
        <f>'Bldg+Dev'!#REF!</f>
        <v>#REF!</v>
      </c>
      <c r="B208" s="340" t="e">
        <f>+'Bldg+Dev'!#REF!</f>
        <v>#REF!</v>
      </c>
      <c r="C208" s="340" t="e">
        <f>'Bldg+Dev'!#REF!</f>
        <v>#REF!</v>
      </c>
      <c r="D208" s="340" t="e">
        <f>'Bldg+Dev'!#REF!</f>
        <v>#REF!</v>
      </c>
      <c r="E208" s="340" t="e">
        <f>'Bldg+Dev'!#REF!</f>
        <v>#REF!</v>
      </c>
      <c r="F208" s="340" t="e">
        <f t="shared" si="3"/>
        <v>#REF!</v>
      </c>
      <c r="G208" s="188"/>
      <c r="H208" s="188"/>
    </row>
    <row r="209" spans="1:22" ht="35.1" hidden="1" customHeight="1">
      <c r="A209" s="338" t="e">
        <f>'Bldg+Dev'!#REF!</f>
        <v>#REF!</v>
      </c>
      <c r="B209" s="340" t="e">
        <f>+'Bldg+Dev'!#REF!</f>
        <v>#REF!</v>
      </c>
      <c r="C209" s="340" t="e">
        <f>'Bldg+Dev'!#REF!</f>
        <v>#REF!</v>
      </c>
      <c r="D209" s="340" t="e">
        <f>'Bldg+Dev'!#REF!</f>
        <v>#REF!</v>
      </c>
      <c r="E209" s="340" t="e">
        <f>'Bldg+Dev'!#REF!</f>
        <v>#REF!</v>
      </c>
      <c r="F209" s="340" t="e">
        <f t="shared" si="3"/>
        <v>#REF!</v>
      </c>
      <c r="G209" s="188"/>
      <c r="H209" s="188"/>
    </row>
    <row r="210" spans="1:22" ht="21.75" customHeight="1">
      <c r="A210" s="338" t="e">
        <f>'Bldg+Dev'!#REF!</f>
        <v>#REF!</v>
      </c>
      <c r="B210" s="339" t="e">
        <f>+'Bldg+Dev'!#REF!</f>
        <v>#REF!</v>
      </c>
      <c r="C210" s="340" t="e">
        <f>'Bldg+Dev'!#REF!</f>
        <v>#REF!</v>
      </c>
      <c r="D210" s="340" t="e">
        <f>'Bldg+Dev'!#REF!</f>
        <v>#REF!</v>
      </c>
      <c r="E210" s="340" t="e">
        <f>'Bldg+Dev'!#REF!</f>
        <v>#REF!</v>
      </c>
      <c r="F210" s="340"/>
      <c r="G210" s="188"/>
      <c r="H210" s="188"/>
    </row>
    <row r="211" spans="1:22" ht="21.75" customHeight="1">
      <c r="A211" s="338" t="e">
        <f>'Bldg+Dev'!#REF!</f>
        <v>#REF!</v>
      </c>
      <c r="B211" s="340" t="e">
        <f>+'Bldg+Dev'!#REF!</f>
        <v>#REF!</v>
      </c>
      <c r="C211" s="340" t="e">
        <f>'Bldg+Dev'!#REF!</f>
        <v>#REF!</v>
      </c>
      <c r="D211" s="340" t="e">
        <f>'Bldg+Dev'!#REF!</f>
        <v>#REF!</v>
      </c>
      <c r="E211" s="340" t="e">
        <f>'Bldg+Dev'!#REF!</f>
        <v>#REF!</v>
      </c>
      <c r="F211" s="340" t="e">
        <f t="shared" si="3"/>
        <v>#REF!</v>
      </c>
      <c r="G211" s="188"/>
      <c r="H211" s="188"/>
    </row>
    <row r="212" spans="1:22" ht="21.75" customHeight="1">
      <c r="A212" s="338" t="e">
        <f>'Bldg+Dev'!#REF!</f>
        <v>#REF!</v>
      </c>
      <c r="B212" s="340" t="e">
        <f>+'Bldg+Dev'!#REF!</f>
        <v>#REF!</v>
      </c>
      <c r="C212" s="340" t="e">
        <f>'Bldg+Dev'!#REF!</f>
        <v>#REF!</v>
      </c>
      <c r="D212" s="340" t="e">
        <f>'Bldg+Dev'!#REF!</f>
        <v>#REF!</v>
      </c>
      <c r="E212" s="340" t="e">
        <f>'Bldg+Dev'!#REF!</f>
        <v>#REF!</v>
      </c>
      <c r="F212" s="340" t="e">
        <f t="shared" si="3"/>
        <v>#REF!</v>
      </c>
      <c r="G212" s="188"/>
      <c r="H212" s="188"/>
    </row>
    <row r="213" spans="1:22" ht="21.75" customHeight="1">
      <c r="A213" s="338" t="e">
        <f>'Bldg+Dev'!#REF!</f>
        <v>#REF!</v>
      </c>
      <c r="B213" s="340" t="e">
        <f>+'Bldg+Dev'!#REF!</f>
        <v>#REF!</v>
      </c>
      <c r="C213" s="340" t="e">
        <f>'Bldg+Dev'!#REF!</f>
        <v>#REF!</v>
      </c>
      <c r="D213" s="340" t="e">
        <f>'Bldg+Dev'!#REF!</f>
        <v>#REF!</v>
      </c>
      <c r="E213" s="340" t="e">
        <f>'Bldg+Dev'!#REF!</f>
        <v>#REF!</v>
      </c>
      <c r="F213" s="340" t="e">
        <f t="shared" si="3"/>
        <v>#REF!</v>
      </c>
      <c r="G213" s="188"/>
      <c r="H213" s="188"/>
    </row>
    <row r="214" spans="1:22" ht="21.75" customHeight="1">
      <c r="A214" s="338" t="e">
        <f>'Bldg+Dev'!#REF!</f>
        <v>#REF!</v>
      </c>
      <c r="B214" s="340" t="e">
        <f>+'Bldg+Dev'!#REF!</f>
        <v>#REF!</v>
      </c>
      <c r="C214" s="340" t="e">
        <f>'Bldg+Dev'!#REF!</f>
        <v>#REF!</v>
      </c>
      <c r="D214" s="340" t="e">
        <f>'Bldg+Dev'!#REF!</f>
        <v>#REF!</v>
      </c>
      <c r="E214" s="340" t="e">
        <f>'Bldg+Dev'!#REF!</f>
        <v>#REF!</v>
      </c>
      <c r="F214" s="340" t="e">
        <f t="shared" si="3"/>
        <v>#REF!</v>
      </c>
      <c r="G214" s="188"/>
      <c r="H214" s="188"/>
    </row>
    <row r="215" spans="1:22" ht="21.75" customHeight="1">
      <c r="A215" s="338" t="e">
        <f>'Bldg+Dev'!#REF!</f>
        <v>#REF!</v>
      </c>
      <c r="B215" s="340" t="e">
        <f>+'Bldg+Dev'!#REF!</f>
        <v>#REF!</v>
      </c>
      <c r="C215" s="340" t="e">
        <f>'Bldg+Dev'!#REF!</f>
        <v>#REF!</v>
      </c>
      <c r="D215" s="340" t="e">
        <f>'Bldg+Dev'!#REF!</f>
        <v>#REF!</v>
      </c>
      <c r="E215" s="340" t="e">
        <f>'Bldg+Dev'!#REF!</f>
        <v>#REF!</v>
      </c>
      <c r="F215" s="340" t="e">
        <f t="shared" si="3"/>
        <v>#REF!</v>
      </c>
      <c r="G215" s="189"/>
      <c r="H215" s="189"/>
      <c r="I215" s="127"/>
      <c r="J215" s="117"/>
      <c r="L215" s="117"/>
      <c r="M215" s="117"/>
      <c r="N215" s="117"/>
      <c r="O215" s="117"/>
      <c r="P215" s="117"/>
      <c r="Q215" s="117"/>
      <c r="R215" s="117"/>
      <c r="S215" s="117"/>
      <c r="T215" s="117"/>
      <c r="U215" s="118"/>
      <c r="V215" s="117"/>
    </row>
    <row r="216" spans="1:22" ht="35.1" hidden="1" customHeight="1">
      <c r="A216" s="338" t="e">
        <f>'Bldg+Dev'!#REF!</f>
        <v>#REF!</v>
      </c>
      <c r="B216" s="340" t="e">
        <f>+'Bldg+Dev'!#REF!</f>
        <v>#REF!</v>
      </c>
      <c r="C216" s="340" t="e">
        <f>'Bldg+Dev'!#REF!</f>
        <v>#REF!</v>
      </c>
      <c r="D216" s="340" t="e">
        <f>'Bldg+Dev'!#REF!</f>
        <v>#REF!</v>
      </c>
      <c r="E216" s="340" t="e">
        <f>'Bldg+Dev'!#REF!</f>
        <v>#REF!</v>
      </c>
      <c r="F216" s="340" t="e">
        <f t="shared" si="3"/>
        <v>#REF!</v>
      </c>
      <c r="G216" s="189"/>
      <c r="H216" s="189"/>
      <c r="I216" s="127"/>
      <c r="J216" s="117"/>
      <c r="L216" s="117"/>
      <c r="M216" s="117"/>
      <c r="N216" s="117"/>
      <c r="O216" s="117"/>
      <c r="P216" s="117"/>
      <c r="Q216" s="117"/>
      <c r="R216" s="117"/>
      <c r="S216" s="117"/>
      <c r="T216" s="117"/>
      <c r="U216" s="117"/>
      <c r="V216" s="117"/>
    </row>
    <row r="217" spans="1:22" ht="35.1" hidden="1" customHeight="1">
      <c r="A217" s="338" t="e">
        <f>'Bldg+Dev'!#REF!</f>
        <v>#REF!</v>
      </c>
      <c r="B217" s="340" t="e">
        <f>+'Bldg+Dev'!#REF!</f>
        <v>#REF!</v>
      </c>
      <c r="C217" s="340" t="e">
        <f>'Bldg+Dev'!#REF!</f>
        <v>#REF!</v>
      </c>
      <c r="D217" s="340" t="e">
        <f>'Bldg+Dev'!#REF!</f>
        <v>#REF!</v>
      </c>
      <c r="E217" s="340" t="e">
        <f>'Bldg+Dev'!#REF!</f>
        <v>#REF!</v>
      </c>
      <c r="F217" s="340" t="e">
        <f t="shared" si="3"/>
        <v>#REF!</v>
      </c>
      <c r="G217" s="188"/>
      <c r="H217" s="188"/>
      <c r="I217" s="185"/>
      <c r="J217" s="185"/>
    </row>
    <row r="218" spans="1:22" ht="35.1" hidden="1" customHeight="1">
      <c r="A218" s="338" t="e">
        <f>'Bldg+Dev'!#REF!</f>
        <v>#REF!</v>
      </c>
      <c r="B218" s="340" t="e">
        <f>+'Bldg+Dev'!#REF!</f>
        <v>#REF!</v>
      </c>
      <c r="C218" s="340" t="e">
        <f>'Bldg+Dev'!#REF!</f>
        <v>#REF!</v>
      </c>
      <c r="D218" s="340" t="e">
        <f>'Bldg+Dev'!#REF!</f>
        <v>#REF!</v>
      </c>
      <c r="E218" s="340" t="e">
        <f>'Bldg+Dev'!#REF!</f>
        <v>#REF!</v>
      </c>
      <c r="F218" s="340" t="e">
        <f t="shared" si="3"/>
        <v>#REF!</v>
      </c>
      <c r="G218" s="188"/>
      <c r="H218" s="188"/>
      <c r="I218" s="185"/>
      <c r="J218" s="185"/>
    </row>
    <row r="219" spans="1:22" ht="35.1" hidden="1" customHeight="1">
      <c r="A219" s="338" t="e">
        <f>'Bldg+Dev'!#REF!</f>
        <v>#REF!</v>
      </c>
      <c r="B219" s="340" t="e">
        <f>+'Bldg+Dev'!#REF!</f>
        <v>#REF!</v>
      </c>
      <c r="C219" s="340" t="e">
        <f>'Bldg+Dev'!#REF!</f>
        <v>#REF!</v>
      </c>
      <c r="D219" s="340" t="e">
        <f>'Bldg+Dev'!#REF!</f>
        <v>#REF!</v>
      </c>
      <c r="E219" s="340" t="e">
        <f>'Bldg+Dev'!#REF!</f>
        <v>#REF!</v>
      </c>
      <c r="F219" s="340" t="e">
        <f t="shared" si="3"/>
        <v>#REF!</v>
      </c>
      <c r="G219" s="188"/>
      <c r="H219" s="188"/>
    </row>
    <row r="220" spans="1:22" ht="35.1" hidden="1" customHeight="1">
      <c r="A220" s="338" t="e">
        <f>'Bldg+Dev'!#REF!</f>
        <v>#REF!</v>
      </c>
      <c r="B220" s="340" t="e">
        <f>+'Bldg+Dev'!#REF!</f>
        <v>#REF!</v>
      </c>
      <c r="C220" s="340" t="e">
        <f>'Bldg+Dev'!#REF!</f>
        <v>#REF!</v>
      </c>
      <c r="D220" s="340" t="e">
        <f>'Bldg+Dev'!#REF!</f>
        <v>#REF!</v>
      </c>
      <c r="E220" s="340" t="e">
        <f>'Bldg+Dev'!#REF!</f>
        <v>#REF!</v>
      </c>
      <c r="F220" s="340" t="e">
        <f t="shared" si="3"/>
        <v>#REF!</v>
      </c>
      <c r="G220" s="188"/>
      <c r="H220" s="188"/>
    </row>
    <row r="221" spans="1:22" ht="35.1" hidden="1" customHeight="1">
      <c r="A221" s="338" t="e">
        <f>'Bldg+Dev'!#REF!</f>
        <v>#REF!</v>
      </c>
      <c r="B221" s="340" t="e">
        <f>+'Bldg+Dev'!#REF!</f>
        <v>#REF!</v>
      </c>
      <c r="C221" s="340" t="e">
        <f>'Bldg+Dev'!#REF!</f>
        <v>#REF!</v>
      </c>
      <c r="D221" s="340" t="e">
        <f>'Bldg+Dev'!#REF!</f>
        <v>#REF!</v>
      </c>
      <c r="E221" s="340" t="e">
        <f>'Bldg+Dev'!#REF!</f>
        <v>#REF!</v>
      </c>
      <c r="F221" s="340" t="e">
        <f t="shared" si="3"/>
        <v>#REF!</v>
      </c>
      <c r="G221" s="188"/>
      <c r="H221" s="188"/>
    </row>
    <row r="222" spans="1:22" ht="35.1" hidden="1" customHeight="1">
      <c r="A222" s="338" t="e">
        <f>'Bldg+Dev'!#REF!</f>
        <v>#REF!</v>
      </c>
      <c r="B222" s="340" t="e">
        <f>+'Bldg+Dev'!#REF!</f>
        <v>#REF!</v>
      </c>
      <c r="C222" s="340" t="e">
        <f>'Bldg+Dev'!#REF!</f>
        <v>#REF!</v>
      </c>
      <c r="D222" s="340" t="e">
        <f>'Bldg+Dev'!#REF!</f>
        <v>#REF!</v>
      </c>
      <c r="E222" s="340" t="e">
        <f>'Bldg+Dev'!#REF!</f>
        <v>#REF!</v>
      </c>
      <c r="F222" s="340" t="e">
        <f t="shared" si="3"/>
        <v>#REF!</v>
      </c>
      <c r="G222" s="188"/>
      <c r="H222" s="188"/>
    </row>
    <row r="223" spans="1:22" ht="35.1" hidden="1" customHeight="1">
      <c r="A223" s="338" t="e">
        <f>'Bldg+Dev'!#REF!</f>
        <v>#REF!</v>
      </c>
      <c r="B223" s="340" t="e">
        <f>+'Bldg+Dev'!#REF!</f>
        <v>#REF!</v>
      </c>
      <c r="C223" s="340" t="e">
        <f>'Bldg+Dev'!#REF!</f>
        <v>#REF!</v>
      </c>
      <c r="D223" s="340" t="e">
        <f>'Bldg+Dev'!#REF!</f>
        <v>#REF!</v>
      </c>
      <c r="E223" s="340" t="e">
        <f>'Bldg+Dev'!#REF!</f>
        <v>#REF!</v>
      </c>
      <c r="F223" s="340" t="e">
        <f t="shared" si="3"/>
        <v>#REF!</v>
      </c>
      <c r="G223" s="188"/>
      <c r="H223" s="188"/>
    </row>
    <row r="224" spans="1:22" ht="35.1" hidden="1" customHeight="1">
      <c r="A224" s="338" t="e">
        <f>'Bldg+Dev'!#REF!</f>
        <v>#REF!</v>
      </c>
      <c r="B224" s="340" t="e">
        <f>+'Bldg+Dev'!#REF!</f>
        <v>#REF!</v>
      </c>
      <c r="C224" s="340" t="e">
        <f>'Bldg+Dev'!#REF!</f>
        <v>#REF!</v>
      </c>
      <c r="D224" s="340" t="e">
        <f>'Bldg+Dev'!#REF!</f>
        <v>#REF!</v>
      </c>
      <c r="E224" s="340" t="e">
        <f>'Bldg+Dev'!#REF!</f>
        <v>#REF!</v>
      </c>
      <c r="F224" s="340" t="e">
        <f t="shared" si="3"/>
        <v>#REF!</v>
      </c>
      <c r="G224" s="188"/>
      <c r="H224" s="188"/>
    </row>
    <row r="225" spans="1:8" ht="35.1" hidden="1" customHeight="1">
      <c r="A225" s="338" t="e">
        <f>'Bldg+Dev'!#REF!</f>
        <v>#REF!</v>
      </c>
      <c r="B225" s="340" t="e">
        <f>+'Bldg+Dev'!#REF!</f>
        <v>#REF!</v>
      </c>
      <c r="C225" s="340" t="e">
        <f>'Bldg+Dev'!#REF!</f>
        <v>#REF!</v>
      </c>
      <c r="D225" s="340" t="e">
        <f>'Bldg+Dev'!#REF!</f>
        <v>#REF!</v>
      </c>
      <c r="E225" s="340" t="e">
        <f>'Bldg+Dev'!#REF!</f>
        <v>#REF!</v>
      </c>
      <c r="F225" s="340" t="e">
        <f t="shared" si="3"/>
        <v>#REF!</v>
      </c>
      <c r="G225" s="188"/>
      <c r="H225" s="188"/>
    </row>
    <row r="226" spans="1:8" ht="35.1" hidden="1" customHeight="1">
      <c r="A226" s="338" t="e">
        <f>'Bldg+Dev'!#REF!</f>
        <v>#REF!</v>
      </c>
      <c r="B226" s="340" t="e">
        <f>+'Bldg+Dev'!#REF!</f>
        <v>#REF!</v>
      </c>
      <c r="C226" s="340" t="e">
        <f>'Bldg+Dev'!#REF!</f>
        <v>#REF!</v>
      </c>
      <c r="D226" s="340" t="e">
        <f>'Bldg+Dev'!#REF!</f>
        <v>#REF!</v>
      </c>
      <c r="E226" s="340" t="e">
        <f>'Bldg+Dev'!#REF!</f>
        <v>#REF!</v>
      </c>
      <c r="F226" s="340" t="e">
        <f t="shared" si="3"/>
        <v>#REF!</v>
      </c>
      <c r="G226" s="188"/>
      <c r="H226" s="188"/>
    </row>
    <row r="227" spans="1:8" ht="35.1" hidden="1" customHeight="1">
      <c r="A227" s="338" t="e">
        <f>'Bldg+Dev'!#REF!</f>
        <v>#REF!</v>
      </c>
      <c r="B227" s="340" t="e">
        <f>+'Bldg+Dev'!#REF!</f>
        <v>#REF!</v>
      </c>
      <c r="C227" s="340" t="e">
        <f>'Bldg+Dev'!#REF!</f>
        <v>#REF!</v>
      </c>
      <c r="D227" s="340" t="e">
        <f>'Bldg+Dev'!#REF!</f>
        <v>#REF!</v>
      </c>
      <c r="E227" s="340" t="e">
        <f>'Bldg+Dev'!#REF!</f>
        <v>#REF!</v>
      </c>
      <c r="F227" s="340" t="e">
        <f t="shared" si="3"/>
        <v>#REF!</v>
      </c>
      <c r="G227" s="188"/>
      <c r="H227" s="188"/>
    </row>
    <row r="228" spans="1:8" ht="35.1" hidden="1" customHeight="1">
      <c r="A228" s="338" t="e">
        <f>'Bldg+Dev'!#REF!</f>
        <v>#REF!</v>
      </c>
      <c r="B228" s="340" t="e">
        <f>+'Bldg+Dev'!#REF!</f>
        <v>#REF!</v>
      </c>
      <c r="C228" s="340" t="e">
        <f>'Bldg+Dev'!#REF!</f>
        <v>#REF!</v>
      </c>
      <c r="D228" s="340" t="e">
        <f>'Bldg+Dev'!#REF!</f>
        <v>#REF!</v>
      </c>
      <c r="E228" s="340" t="e">
        <f>'Bldg+Dev'!#REF!</f>
        <v>#REF!</v>
      </c>
      <c r="F228" s="340" t="e">
        <f t="shared" si="3"/>
        <v>#REF!</v>
      </c>
      <c r="G228" s="188"/>
      <c r="H228" s="188"/>
    </row>
    <row r="229" spans="1:8" ht="21.75" customHeight="1">
      <c r="A229" s="338" t="e">
        <f>'Bldg+Dev'!#REF!</f>
        <v>#REF!</v>
      </c>
      <c r="B229" s="339" t="e">
        <f>+'Bldg+Dev'!#REF!</f>
        <v>#REF!</v>
      </c>
      <c r="C229" s="340" t="e">
        <f>'Bldg+Dev'!#REF!</f>
        <v>#REF!</v>
      </c>
      <c r="D229" s="340" t="e">
        <f>'Bldg+Dev'!#REF!</f>
        <v>#REF!</v>
      </c>
      <c r="E229" s="340" t="e">
        <f>'Bldg+Dev'!#REF!</f>
        <v>#REF!</v>
      </c>
      <c r="F229" s="340"/>
      <c r="G229" s="188"/>
      <c r="H229" s="188"/>
    </row>
    <row r="230" spans="1:8" ht="21.75" customHeight="1">
      <c r="A230" s="338" t="e">
        <f>'Bldg+Dev'!#REF!</f>
        <v>#REF!</v>
      </c>
      <c r="B230" s="340" t="e">
        <f>+'Bldg+Dev'!#REF!</f>
        <v>#REF!</v>
      </c>
      <c r="C230" s="340" t="e">
        <f>'Bldg+Dev'!#REF!</f>
        <v>#REF!</v>
      </c>
      <c r="D230" s="340" t="e">
        <f>'Bldg+Dev'!#REF!</f>
        <v>#REF!</v>
      </c>
      <c r="E230" s="340" t="e">
        <f>'Bldg+Dev'!#REF!</f>
        <v>#REF!</v>
      </c>
      <c r="F230" s="340" t="e">
        <f t="shared" si="3"/>
        <v>#REF!</v>
      </c>
      <c r="G230" s="188"/>
      <c r="H230" s="188"/>
    </row>
    <row r="231" spans="1:8" ht="21.75" customHeight="1">
      <c r="A231" s="338" t="e">
        <f>'Bldg+Dev'!#REF!</f>
        <v>#REF!</v>
      </c>
      <c r="B231" s="340" t="e">
        <f>+'Bldg+Dev'!#REF!</f>
        <v>#REF!</v>
      </c>
      <c r="C231" s="340" t="e">
        <f>'Bldg+Dev'!#REF!</f>
        <v>#REF!</v>
      </c>
      <c r="D231" s="340" t="e">
        <f>'Bldg+Dev'!#REF!</f>
        <v>#REF!</v>
      </c>
      <c r="E231" s="340" t="e">
        <f>'Bldg+Dev'!#REF!</f>
        <v>#REF!</v>
      </c>
      <c r="F231" s="340" t="e">
        <f t="shared" si="3"/>
        <v>#REF!</v>
      </c>
      <c r="G231" s="188"/>
      <c r="H231" s="188"/>
    </row>
    <row r="232" spans="1:8" ht="21.75" customHeight="1">
      <c r="A232" s="338" t="e">
        <f>'Bldg+Dev'!#REF!</f>
        <v>#REF!</v>
      </c>
      <c r="B232" s="340" t="e">
        <f>+'Bldg+Dev'!#REF!</f>
        <v>#REF!</v>
      </c>
      <c r="C232" s="340" t="e">
        <f>'Bldg+Dev'!#REF!</f>
        <v>#REF!</v>
      </c>
      <c r="D232" s="340" t="e">
        <f>'Bldg+Dev'!#REF!</f>
        <v>#REF!</v>
      </c>
      <c r="E232" s="340" t="e">
        <f>'Bldg+Dev'!#REF!</f>
        <v>#REF!</v>
      </c>
      <c r="F232" s="340" t="e">
        <f t="shared" si="3"/>
        <v>#REF!</v>
      </c>
      <c r="G232" s="188"/>
      <c r="H232" s="188"/>
    </row>
    <row r="233" spans="1:8" ht="21.75" customHeight="1">
      <c r="A233" s="338" t="e">
        <f>'Bldg+Dev'!#REF!</f>
        <v>#REF!</v>
      </c>
      <c r="B233" s="340" t="e">
        <f>+'Bldg+Dev'!#REF!</f>
        <v>#REF!</v>
      </c>
      <c r="C233" s="340" t="e">
        <f>'Bldg+Dev'!#REF!</f>
        <v>#REF!</v>
      </c>
      <c r="D233" s="340" t="e">
        <f>'Bldg+Dev'!#REF!</f>
        <v>#REF!</v>
      </c>
      <c r="E233" s="340" t="e">
        <f>'Bldg+Dev'!#REF!</f>
        <v>#REF!</v>
      </c>
      <c r="F233" s="340" t="e">
        <f t="shared" si="3"/>
        <v>#REF!</v>
      </c>
      <c r="G233" s="188"/>
      <c r="H233" s="188"/>
    </row>
    <row r="234" spans="1:8" ht="21.75" customHeight="1">
      <c r="A234" s="338" t="e">
        <f>'Bldg+Dev'!#REF!</f>
        <v>#REF!</v>
      </c>
      <c r="B234" s="340" t="e">
        <f>+'Bldg+Dev'!#REF!</f>
        <v>#REF!</v>
      </c>
      <c r="C234" s="340" t="e">
        <f>'Bldg+Dev'!#REF!</f>
        <v>#REF!</v>
      </c>
      <c r="D234" s="340" t="e">
        <f>'Bldg+Dev'!#REF!</f>
        <v>#REF!</v>
      </c>
      <c r="E234" s="340" t="e">
        <f>'Bldg+Dev'!#REF!</f>
        <v>#REF!</v>
      </c>
      <c r="F234" s="340" t="e">
        <f t="shared" si="3"/>
        <v>#REF!</v>
      </c>
      <c r="G234" s="188"/>
      <c r="H234" s="188"/>
    </row>
    <row r="235" spans="1:8" ht="49.5" hidden="1" customHeight="1">
      <c r="A235" s="338" t="e">
        <f>'Bldg+Dev'!#REF!</f>
        <v>#REF!</v>
      </c>
      <c r="B235" s="340" t="e">
        <f>+'Bldg+Dev'!#REF!</f>
        <v>#REF!</v>
      </c>
      <c r="C235" s="340" t="e">
        <f>'Bldg+Dev'!#REF!</f>
        <v>#REF!</v>
      </c>
      <c r="D235" s="340" t="e">
        <f>'Bldg+Dev'!#REF!</f>
        <v>#REF!</v>
      </c>
      <c r="E235" s="340" t="e">
        <f>'Bldg+Dev'!#REF!</f>
        <v>#REF!</v>
      </c>
      <c r="F235" s="340" t="e">
        <f t="shared" si="3"/>
        <v>#REF!</v>
      </c>
      <c r="G235" s="188"/>
      <c r="H235" s="188"/>
    </row>
    <row r="236" spans="1:8" ht="35.1" hidden="1" customHeight="1">
      <c r="A236" s="338" t="e">
        <f>'Bldg+Dev'!#REF!</f>
        <v>#REF!</v>
      </c>
      <c r="B236" s="340" t="e">
        <f>+'Bldg+Dev'!#REF!</f>
        <v>#REF!</v>
      </c>
      <c r="C236" s="340" t="e">
        <f>'Bldg+Dev'!#REF!</f>
        <v>#REF!</v>
      </c>
      <c r="D236" s="340" t="e">
        <f>'Bldg+Dev'!#REF!</f>
        <v>#REF!</v>
      </c>
      <c r="E236" s="340" t="e">
        <f>'Bldg+Dev'!#REF!</f>
        <v>#REF!</v>
      </c>
      <c r="F236" s="340" t="e">
        <f t="shared" si="3"/>
        <v>#REF!</v>
      </c>
      <c r="G236" s="188"/>
      <c r="H236" s="188"/>
    </row>
    <row r="237" spans="1:8" ht="35.1" hidden="1" customHeight="1">
      <c r="A237" s="338" t="e">
        <f>'Bldg+Dev'!#REF!</f>
        <v>#REF!</v>
      </c>
      <c r="B237" s="340" t="e">
        <f>+'Bldg+Dev'!#REF!</f>
        <v>#REF!</v>
      </c>
      <c r="C237" s="340" t="e">
        <f>'Bldg+Dev'!#REF!</f>
        <v>#REF!</v>
      </c>
      <c r="D237" s="340" t="e">
        <f>'Bldg+Dev'!#REF!</f>
        <v>#REF!</v>
      </c>
      <c r="E237" s="340" t="e">
        <f>'Bldg+Dev'!#REF!</f>
        <v>#REF!</v>
      </c>
      <c r="F237" s="340" t="e">
        <f t="shared" si="3"/>
        <v>#REF!</v>
      </c>
      <c r="G237" s="188"/>
      <c r="H237" s="188"/>
    </row>
    <row r="238" spans="1:8" ht="35.1" hidden="1" customHeight="1">
      <c r="A238" s="338" t="e">
        <f>'Bldg+Dev'!#REF!</f>
        <v>#REF!</v>
      </c>
      <c r="B238" s="340" t="e">
        <f>+'Bldg+Dev'!#REF!</f>
        <v>#REF!</v>
      </c>
      <c r="C238" s="340" t="e">
        <f>'Bldg+Dev'!#REF!</f>
        <v>#REF!</v>
      </c>
      <c r="D238" s="340" t="e">
        <f>'Bldg+Dev'!#REF!</f>
        <v>#REF!</v>
      </c>
      <c r="E238" s="340" t="e">
        <f>'Bldg+Dev'!#REF!</f>
        <v>#REF!</v>
      </c>
      <c r="F238" s="340" t="e">
        <f t="shared" si="3"/>
        <v>#REF!</v>
      </c>
      <c r="G238" s="188"/>
      <c r="H238" s="188"/>
    </row>
    <row r="239" spans="1:8" ht="35.1" hidden="1" customHeight="1">
      <c r="A239" s="338" t="e">
        <f>'Bldg+Dev'!#REF!</f>
        <v>#REF!</v>
      </c>
      <c r="B239" s="340" t="e">
        <f>+'Bldg+Dev'!#REF!</f>
        <v>#REF!</v>
      </c>
      <c r="C239" s="340" t="e">
        <f>'Bldg+Dev'!#REF!</f>
        <v>#REF!</v>
      </c>
      <c r="D239" s="340" t="e">
        <f>'Bldg+Dev'!#REF!</f>
        <v>#REF!</v>
      </c>
      <c r="E239" s="340" t="e">
        <f>'Bldg+Dev'!#REF!</f>
        <v>#REF!</v>
      </c>
      <c r="F239" s="340" t="e">
        <f t="shared" si="3"/>
        <v>#REF!</v>
      </c>
      <c r="G239" s="188"/>
      <c r="H239" s="188"/>
    </row>
    <row r="240" spans="1:8" ht="35.1" hidden="1" customHeight="1">
      <c r="A240" s="338" t="e">
        <f>'Bldg+Dev'!#REF!</f>
        <v>#REF!</v>
      </c>
      <c r="B240" s="340" t="e">
        <f>+'Bldg+Dev'!#REF!</f>
        <v>#REF!</v>
      </c>
      <c r="C240" s="340" t="e">
        <f>'Bldg+Dev'!#REF!</f>
        <v>#REF!</v>
      </c>
      <c r="D240" s="340" t="e">
        <f>'Bldg+Dev'!#REF!</f>
        <v>#REF!</v>
      </c>
      <c r="E240" s="340" t="e">
        <f>'Bldg+Dev'!#REF!</f>
        <v>#REF!</v>
      </c>
      <c r="F240" s="340" t="e">
        <f t="shared" si="3"/>
        <v>#REF!</v>
      </c>
      <c r="G240" s="188"/>
      <c r="H240" s="188"/>
    </row>
    <row r="241" spans="1:8" ht="54.95" hidden="1" customHeight="1">
      <c r="A241" s="338" t="e">
        <f>'Bldg+Dev'!#REF!</f>
        <v>#REF!</v>
      </c>
      <c r="B241" s="340" t="e">
        <f>+'Bldg+Dev'!#REF!</f>
        <v>#REF!</v>
      </c>
      <c r="C241" s="340" t="e">
        <f>'Bldg+Dev'!#REF!</f>
        <v>#REF!</v>
      </c>
      <c r="D241" s="340" t="e">
        <f>'Bldg+Dev'!#REF!</f>
        <v>#REF!</v>
      </c>
      <c r="E241" s="340" t="e">
        <f>'Bldg+Dev'!#REF!</f>
        <v>#REF!</v>
      </c>
      <c r="F241" s="340" t="e">
        <f t="shared" si="3"/>
        <v>#REF!</v>
      </c>
      <c r="G241" s="188"/>
      <c r="H241" s="188"/>
    </row>
    <row r="242" spans="1:8" ht="35.1" hidden="1" customHeight="1">
      <c r="A242" s="338" t="e">
        <f>'Bldg+Dev'!#REF!</f>
        <v>#REF!</v>
      </c>
      <c r="B242" s="340" t="e">
        <f>+'Bldg+Dev'!#REF!</f>
        <v>#REF!</v>
      </c>
      <c r="C242" s="340" t="e">
        <f>'Bldg+Dev'!#REF!</f>
        <v>#REF!</v>
      </c>
      <c r="D242" s="340" t="e">
        <f>'Bldg+Dev'!#REF!</f>
        <v>#REF!</v>
      </c>
      <c r="E242" s="340" t="e">
        <f>'Bldg+Dev'!#REF!</f>
        <v>#REF!</v>
      </c>
      <c r="F242" s="340" t="e">
        <f t="shared" si="3"/>
        <v>#REF!</v>
      </c>
      <c r="G242" s="188"/>
      <c r="H242" s="188"/>
    </row>
    <row r="243" spans="1:8" ht="35.1" hidden="1" customHeight="1">
      <c r="A243" s="338" t="e">
        <f>'Bldg+Dev'!#REF!</f>
        <v>#REF!</v>
      </c>
      <c r="B243" s="340" t="e">
        <f>+'Bldg+Dev'!#REF!</f>
        <v>#REF!</v>
      </c>
      <c r="C243" s="340" t="e">
        <f>'Bldg+Dev'!#REF!</f>
        <v>#REF!</v>
      </c>
      <c r="D243" s="340" t="e">
        <f>'Bldg+Dev'!#REF!</f>
        <v>#REF!</v>
      </c>
      <c r="E243" s="340" t="e">
        <f>'Bldg+Dev'!#REF!</f>
        <v>#REF!</v>
      </c>
      <c r="F243" s="340" t="e">
        <f t="shared" si="3"/>
        <v>#REF!</v>
      </c>
      <c r="G243" s="188"/>
      <c r="H243" s="188"/>
    </row>
    <row r="244" spans="1:8" ht="35.1" hidden="1" customHeight="1">
      <c r="A244" s="338" t="e">
        <f>'Bldg+Dev'!#REF!</f>
        <v>#REF!</v>
      </c>
      <c r="B244" s="340" t="e">
        <f>+'Bldg+Dev'!#REF!</f>
        <v>#REF!</v>
      </c>
      <c r="C244" s="340" t="e">
        <f>'Bldg+Dev'!#REF!</f>
        <v>#REF!</v>
      </c>
      <c r="D244" s="340" t="e">
        <f>'Bldg+Dev'!#REF!</f>
        <v>#REF!</v>
      </c>
      <c r="E244" s="340" t="e">
        <f>'Bldg+Dev'!#REF!</f>
        <v>#REF!</v>
      </c>
      <c r="F244" s="340" t="e">
        <f t="shared" si="3"/>
        <v>#REF!</v>
      </c>
      <c r="G244" s="188"/>
      <c r="H244" s="188"/>
    </row>
    <row r="245" spans="1:8" ht="35.1" hidden="1" customHeight="1">
      <c r="A245" s="338" t="e">
        <f>'Bldg+Dev'!#REF!</f>
        <v>#REF!</v>
      </c>
      <c r="B245" s="340" t="e">
        <f>+'Bldg+Dev'!#REF!</f>
        <v>#REF!</v>
      </c>
      <c r="C245" s="340" t="e">
        <f>'Bldg+Dev'!#REF!</f>
        <v>#REF!</v>
      </c>
      <c r="D245" s="340" t="e">
        <f>'Bldg+Dev'!#REF!</f>
        <v>#REF!</v>
      </c>
      <c r="E245" s="340" t="e">
        <f>'Bldg+Dev'!#REF!</f>
        <v>#REF!</v>
      </c>
      <c r="F245" s="340" t="e">
        <f t="shared" si="3"/>
        <v>#REF!</v>
      </c>
      <c r="G245" s="188"/>
      <c r="H245" s="188"/>
    </row>
    <row r="246" spans="1:8" ht="35.1" hidden="1" customHeight="1">
      <c r="A246" s="338" t="e">
        <f>'Bldg+Dev'!#REF!</f>
        <v>#REF!</v>
      </c>
      <c r="B246" s="340" t="e">
        <f>+'Bldg+Dev'!#REF!</f>
        <v>#REF!</v>
      </c>
      <c r="C246" s="340" t="e">
        <f>'Bldg+Dev'!#REF!</f>
        <v>#REF!</v>
      </c>
      <c r="D246" s="340" t="e">
        <f>'Bldg+Dev'!#REF!</f>
        <v>#REF!</v>
      </c>
      <c r="E246" s="340" t="e">
        <f>'Bldg+Dev'!#REF!</f>
        <v>#REF!</v>
      </c>
      <c r="F246" s="340" t="e">
        <f t="shared" si="3"/>
        <v>#REF!</v>
      </c>
      <c r="G246" s="188"/>
      <c r="H246" s="188"/>
    </row>
    <row r="247" spans="1:8" ht="35.1" hidden="1" customHeight="1">
      <c r="A247" s="338" t="e">
        <f>'Bldg+Dev'!#REF!</f>
        <v>#REF!</v>
      </c>
      <c r="B247" s="340" t="e">
        <f>+'Bldg+Dev'!#REF!</f>
        <v>#REF!</v>
      </c>
      <c r="C247" s="340" t="e">
        <f>'Bldg+Dev'!#REF!</f>
        <v>#REF!</v>
      </c>
      <c r="D247" s="340" t="e">
        <f>'Bldg+Dev'!#REF!</f>
        <v>#REF!</v>
      </c>
      <c r="E247" s="340" t="e">
        <f>'Bldg+Dev'!#REF!</f>
        <v>#REF!</v>
      </c>
      <c r="F247" s="340" t="e">
        <f t="shared" si="3"/>
        <v>#REF!</v>
      </c>
      <c r="G247" s="188"/>
      <c r="H247" s="188"/>
    </row>
    <row r="248" spans="1:8" ht="35.1" hidden="1" customHeight="1">
      <c r="A248" s="338" t="e">
        <f>'Bldg+Dev'!#REF!</f>
        <v>#REF!</v>
      </c>
      <c r="B248" s="340" t="e">
        <f>+'Bldg+Dev'!#REF!</f>
        <v>#REF!</v>
      </c>
      <c r="C248" s="340" t="e">
        <f>'Bldg+Dev'!#REF!</f>
        <v>#REF!</v>
      </c>
      <c r="D248" s="340" t="e">
        <f>'Bldg+Dev'!#REF!</f>
        <v>#REF!</v>
      </c>
      <c r="E248" s="340" t="e">
        <f>'Bldg+Dev'!#REF!</f>
        <v>#REF!</v>
      </c>
      <c r="F248" s="340" t="e">
        <f t="shared" si="3"/>
        <v>#REF!</v>
      </c>
      <c r="G248" s="188"/>
      <c r="H248" s="188"/>
    </row>
    <row r="249" spans="1:8" ht="35.1" hidden="1" customHeight="1">
      <c r="A249" s="338" t="e">
        <f>'Bldg+Dev'!#REF!</f>
        <v>#REF!</v>
      </c>
      <c r="B249" s="340" t="e">
        <f>+'Bldg+Dev'!#REF!</f>
        <v>#REF!</v>
      </c>
      <c r="C249" s="340" t="e">
        <f>'Bldg+Dev'!#REF!</f>
        <v>#REF!</v>
      </c>
      <c r="D249" s="340" t="e">
        <f>'Bldg+Dev'!#REF!</f>
        <v>#REF!</v>
      </c>
      <c r="E249" s="340" t="e">
        <f>'Bldg+Dev'!#REF!</f>
        <v>#REF!</v>
      </c>
      <c r="F249" s="340" t="e">
        <f t="shared" si="3"/>
        <v>#REF!</v>
      </c>
      <c r="G249" s="188"/>
      <c r="H249" s="188"/>
    </row>
    <row r="250" spans="1:8" ht="35.1" hidden="1" customHeight="1">
      <c r="A250" s="338" t="e">
        <f>'Bldg+Dev'!#REF!</f>
        <v>#REF!</v>
      </c>
      <c r="B250" s="340" t="e">
        <f>+'Bldg+Dev'!#REF!</f>
        <v>#REF!</v>
      </c>
      <c r="C250" s="340" t="e">
        <f>'Bldg+Dev'!#REF!</f>
        <v>#REF!</v>
      </c>
      <c r="D250" s="340" t="e">
        <f>'Bldg+Dev'!#REF!</f>
        <v>#REF!</v>
      </c>
      <c r="E250" s="340" t="e">
        <f>'Bldg+Dev'!#REF!</f>
        <v>#REF!</v>
      </c>
      <c r="F250" s="340" t="e">
        <f t="shared" si="3"/>
        <v>#REF!</v>
      </c>
      <c r="G250" s="188"/>
      <c r="H250" s="188"/>
    </row>
    <row r="251" spans="1:8" ht="35.1" hidden="1" customHeight="1">
      <c r="A251" s="338" t="e">
        <f>'Bldg+Dev'!#REF!</f>
        <v>#REF!</v>
      </c>
      <c r="B251" s="340" t="e">
        <f>+'Bldg+Dev'!#REF!</f>
        <v>#REF!</v>
      </c>
      <c r="C251" s="340" t="e">
        <f>'Bldg+Dev'!#REF!</f>
        <v>#REF!</v>
      </c>
      <c r="D251" s="340" t="e">
        <f>'Bldg+Dev'!#REF!</f>
        <v>#REF!</v>
      </c>
      <c r="E251" s="340" t="e">
        <f>'Bldg+Dev'!#REF!</f>
        <v>#REF!</v>
      </c>
      <c r="F251" s="340" t="e">
        <f t="shared" si="3"/>
        <v>#REF!</v>
      </c>
      <c r="G251" s="188"/>
      <c r="H251" s="188"/>
    </row>
    <row r="252" spans="1:8" ht="35.1" hidden="1" customHeight="1">
      <c r="A252" s="338" t="e">
        <f>'Bldg+Dev'!#REF!</f>
        <v>#REF!</v>
      </c>
      <c r="B252" s="340" t="e">
        <f>+'Bldg+Dev'!#REF!</f>
        <v>#REF!</v>
      </c>
      <c r="C252" s="340" t="e">
        <f>'Bldg+Dev'!#REF!</f>
        <v>#REF!</v>
      </c>
      <c r="D252" s="340" t="e">
        <f>'Bldg+Dev'!#REF!</f>
        <v>#REF!</v>
      </c>
      <c r="E252" s="340" t="e">
        <f>'Bldg+Dev'!#REF!</f>
        <v>#REF!</v>
      </c>
      <c r="F252" s="340" t="e">
        <f t="shared" si="3"/>
        <v>#REF!</v>
      </c>
      <c r="G252" s="188"/>
      <c r="H252" s="188"/>
    </row>
    <row r="253" spans="1:8" ht="35.1" hidden="1" customHeight="1">
      <c r="A253" s="338" t="e">
        <f>'Bldg+Dev'!#REF!</f>
        <v>#REF!</v>
      </c>
      <c r="B253" s="340" t="e">
        <f>+'Bldg+Dev'!#REF!</f>
        <v>#REF!</v>
      </c>
      <c r="C253" s="340" t="e">
        <f>'Bldg+Dev'!#REF!</f>
        <v>#REF!</v>
      </c>
      <c r="D253" s="340" t="e">
        <f>'Bldg+Dev'!#REF!</f>
        <v>#REF!</v>
      </c>
      <c r="E253" s="340" t="e">
        <f>'Bldg+Dev'!#REF!</f>
        <v>#REF!</v>
      </c>
      <c r="F253" s="340" t="e">
        <f t="shared" si="3"/>
        <v>#REF!</v>
      </c>
      <c r="G253" s="188"/>
      <c r="H253" s="188"/>
    </row>
    <row r="254" spans="1:8" ht="35.1" hidden="1" customHeight="1">
      <c r="A254" s="338" t="e">
        <f>'Bldg+Dev'!#REF!</f>
        <v>#REF!</v>
      </c>
      <c r="B254" s="340" t="e">
        <f>+'Bldg+Dev'!#REF!</f>
        <v>#REF!</v>
      </c>
      <c r="C254" s="340" t="e">
        <f>'Bldg+Dev'!#REF!</f>
        <v>#REF!</v>
      </c>
      <c r="D254" s="340" t="e">
        <f>'Bldg+Dev'!#REF!</f>
        <v>#REF!</v>
      </c>
      <c r="E254" s="340" t="e">
        <f>'Bldg+Dev'!#REF!</f>
        <v>#REF!</v>
      </c>
      <c r="F254" s="340" t="e">
        <f t="shared" si="3"/>
        <v>#REF!</v>
      </c>
      <c r="G254" s="188"/>
      <c r="H254" s="188"/>
    </row>
    <row r="255" spans="1:8" ht="35.1" hidden="1" customHeight="1">
      <c r="A255" s="338" t="e">
        <f>'Bldg+Dev'!#REF!</f>
        <v>#REF!</v>
      </c>
      <c r="B255" s="340" t="e">
        <f>+'Bldg+Dev'!#REF!</f>
        <v>#REF!</v>
      </c>
      <c r="C255" s="340" t="e">
        <f>'Bldg+Dev'!#REF!</f>
        <v>#REF!</v>
      </c>
      <c r="D255" s="340" t="e">
        <f>'Bldg+Dev'!#REF!</f>
        <v>#REF!</v>
      </c>
      <c r="E255" s="340" t="e">
        <f>'Bldg+Dev'!#REF!</f>
        <v>#REF!</v>
      </c>
      <c r="F255" s="340" t="e">
        <f t="shared" si="3"/>
        <v>#REF!</v>
      </c>
      <c r="G255" s="188"/>
      <c r="H255" s="188"/>
    </row>
    <row r="256" spans="1:8" ht="35.1" hidden="1" customHeight="1">
      <c r="A256" s="338" t="e">
        <f>'Bldg+Dev'!#REF!</f>
        <v>#REF!</v>
      </c>
      <c r="B256" s="340" t="e">
        <f>+'Bldg+Dev'!#REF!</f>
        <v>#REF!</v>
      </c>
      <c r="C256" s="340" t="e">
        <f>'Bldg+Dev'!#REF!</f>
        <v>#REF!</v>
      </c>
      <c r="D256" s="340" t="e">
        <f>'Bldg+Dev'!#REF!</f>
        <v>#REF!</v>
      </c>
      <c r="E256" s="340" t="e">
        <f>'Bldg+Dev'!#REF!</f>
        <v>#REF!</v>
      </c>
      <c r="F256" s="340" t="e">
        <f t="shared" si="3"/>
        <v>#REF!</v>
      </c>
      <c r="G256" s="188"/>
      <c r="H256" s="188"/>
    </row>
    <row r="257" spans="1:8" ht="35.1" hidden="1" customHeight="1">
      <c r="A257" s="338" t="e">
        <f>'Bldg+Dev'!#REF!</f>
        <v>#REF!</v>
      </c>
      <c r="B257" s="340" t="e">
        <f>+'Bldg+Dev'!#REF!</f>
        <v>#REF!</v>
      </c>
      <c r="C257" s="340" t="e">
        <f>'Bldg+Dev'!#REF!</f>
        <v>#REF!</v>
      </c>
      <c r="D257" s="340" t="e">
        <f>'Bldg+Dev'!#REF!</f>
        <v>#REF!</v>
      </c>
      <c r="E257" s="340" t="e">
        <f>'Bldg+Dev'!#REF!</f>
        <v>#REF!</v>
      </c>
      <c r="F257" s="340" t="e">
        <f t="shared" si="3"/>
        <v>#REF!</v>
      </c>
      <c r="G257" s="188"/>
      <c r="H257" s="188"/>
    </row>
    <row r="258" spans="1:8" ht="35.1" hidden="1" customHeight="1">
      <c r="A258" s="338" t="e">
        <f>'Bldg+Dev'!#REF!</f>
        <v>#REF!</v>
      </c>
      <c r="B258" s="340" t="e">
        <f>+'Bldg+Dev'!#REF!</f>
        <v>#REF!</v>
      </c>
      <c r="C258" s="340" t="e">
        <f>'Bldg+Dev'!#REF!</f>
        <v>#REF!</v>
      </c>
      <c r="D258" s="340" t="e">
        <f>'Bldg+Dev'!#REF!</f>
        <v>#REF!</v>
      </c>
      <c r="E258" s="340" t="e">
        <f>'Bldg+Dev'!#REF!</f>
        <v>#REF!</v>
      </c>
      <c r="F258" s="340" t="e">
        <f t="shared" si="3"/>
        <v>#REF!</v>
      </c>
      <c r="G258" s="188"/>
      <c r="H258" s="188"/>
    </row>
    <row r="259" spans="1:8" ht="35.1" hidden="1" customHeight="1">
      <c r="A259" s="338" t="e">
        <f>'Bldg+Dev'!#REF!</f>
        <v>#REF!</v>
      </c>
      <c r="B259" s="340" t="e">
        <f>+'Bldg+Dev'!#REF!</f>
        <v>#REF!</v>
      </c>
      <c r="C259" s="340" t="e">
        <f>'Bldg+Dev'!#REF!</f>
        <v>#REF!</v>
      </c>
      <c r="D259" s="340" t="e">
        <f>'Bldg+Dev'!#REF!</f>
        <v>#REF!</v>
      </c>
      <c r="E259" s="340" t="e">
        <f>'Bldg+Dev'!#REF!</f>
        <v>#REF!</v>
      </c>
      <c r="F259" s="340" t="e">
        <f t="shared" si="3"/>
        <v>#REF!</v>
      </c>
      <c r="G259" s="188"/>
      <c r="H259" s="188"/>
    </row>
    <row r="260" spans="1:8" ht="35.1" hidden="1" customHeight="1">
      <c r="A260" s="338" t="e">
        <f>'Bldg+Dev'!#REF!</f>
        <v>#REF!</v>
      </c>
      <c r="B260" s="340" t="e">
        <f>+'Bldg+Dev'!#REF!</f>
        <v>#REF!</v>
      </c>
      <c r="C260" s="340" t="e">
        <f>'Bldg+Dev'!#REF!</f>
        <v>#REF!</v>
      </c>
      <c r="D260" s="340" t="e">
        <f>'Bldg+Dev'!#REF!</f>
        <v>#REF!</v>
      </c>
      <c r="E260" s="340" t="e">
        <f>'Bldg+Dev'!#REF!</f>
        <v>#REF!</v>
      </c>
      <c r="F260" s="340" t="e">
        <f t="shared" si="3"/>
        <v>#REF!</v>
      </c>
      <c r="G260" s="188"/>
      <c r="H260" s="188"/>
    </row>
    <row r="261" spans="1:8" ht="35.1" hidden="1" customHeight="1">
      <c r="A261" s="338" t="e">
        <f>'Bldg+Dev'!#REF!</f>
        <v>#REF!</v>
      </c>
      <c r="B261" s="340" t="e">
        <f>+'Bldg+Dev'!#REF!</f>
        <v>#REF!</v>
      </c>
      <c r="C261" s="340" t="e">
        <f>'Bldg+Dev'!#REF!</f>
        <v>#REF!</v>
      </c>
      <c r="D261" s="340" t="e">
        <f>'Bldg+Dev'!#REF!</f>
        <v>#REF!</v>
      </c>
      <c r="E261" s="340" t="e">
        <f>'Bldg+Dev'!#REF!</f>
        <v>#REF!</v>
      </c>
      <c r="F261" s="340" t="e">
        <f t="shared" si="3"/>
        <v>#REF!</v>
      </c>
      <c r="G261" s="188"/>
      <c r="H261" s="188"/>
    </row>
    <row r="262" spans="1:8" ht="35.1" hidden="1" customHeight="1">
      <c r="A262" s="338" t="e">
        <f>'Bldg+Dev'!#REF!</f>
        <v>#REF!</v>
      </c>
      <c r="B262" s="340" t="e">
        <f>+'Bldg+Dev'!#REF!</f>
        <v>#REF!</v>
      </c>
      <c r="C262" s="340" t="e">
        <f>'Bldg+Dev'!#REF!</f>
        <v>#REF!</v>
      </c>
      <c r="D262" s="340" t="e">
        <f>'Bldg+Dev'!#REF!</f>
        <v>#REF!</v>
      </c>
      <c r="E262" s="340" t="e">
        <f>'Bldg+Dev'!#REF!</f>
        <v>#REF!</v>
      </c>
      <c r="F262" s="340" t="e">
        <f t="shared" si="3"/>
        <v>#REF!</v>
      </c>
      <c r="G262" s="188"/>
      <c r="H262" s="188"/>
    </row>
    <row r="263" spans="1:8" ht="49.5" hidden="1" customHeight="1">
      <c r="A263" s="338" t="e">
        <f>'Bldg+Dev'!#REF!</f>
        <v>#REF!</v>
      </c>
      <c r="B263" s="340" t="e">
        <f>+'Bldg+Dev'!#REF!</f>
        <v>#REF!</v>
      </c>
      <c r="C263" s="340" t="e">
        <f>'Bldg+Dev'!#REF!</f>
        <v>#REF!</v>
      </c>
      <c r="D263" s="340" t="e">
        <f>'Bldg+Dev'!#REF!</f>
        <v>#REF!</v>
      </c>
      <c r="E263" s="340" t="e">
        <f>'Bldg+Dev'!#REF!</f>
        <v>#REF!</v>
      </c>
      <c r="F263" s="340" t="e">
        <f t="shared" si="3"/>
        <v>#REF!</v>
      </c>
      <c r="G263" s="188"/>
      <c r="H263" s="188"/>
    </row>
    <row r="264" spans="1:8" ht="35.1" hidden="1" customHeight="1">
      <c r="A264" s="338" t="e">
        <f>'Bldg+Dev'!#REF!</f>
        <v>#REF!</v>
      </c>
      <c r="B264" s="340" t="e">
        <f>+'Bldg+Dev'!#REF!</f>
        <v>#REF!</v>
      </c>
      <c r="C264" s="340" t="e">
        <f>'Bldg+Dev'!#REF!</f>
        <v>#REF!</v>
      </c>
      <c r="D264" s="340" t="e">
        <f>'Bldg+Dev'!#REF!</f>
        <v>#REF!</v>
      </c>
      <c r="E264" s="340" t="e">
        <f>'Bldg+Dev'!#REF!</f>
        <v>#REF!</v>
      </c>
      <c r="F264" s="340" t="e">
        <f t="shared" si="3"/>
        <v>#REF!</v>
      </c>
      <c r="G264" s="188"/>
      <c r="H264" s="188"/>
    </row>
    <row r="265" spans="1:8" ht="35.1" hidden="1" customHeight="1">
      <c r="A265" s="338" t="e">
        <f>'Bldg+Dev'!#REF!</f>
        <v>#REF!</v>
      </c>
      <c r="B265" s="340" t="e">
        <f>+'Bldg+Dev'!#REF!</f>
        <v>#REF!</v>
      </c>
      <c r="C265" s="340" t="e">
        <f>'Bldg+Dev'!#REF!</f>
        <v>#REF!</v>
      </c>
      <c r="D265" s="340" t="e">
        <f>'Bldg+Dev'!#REF!</f>
        <v>#REF!</v>
      </c>
      <c r="E265" s="340" t="e">
        <f>'Bldg+Dev'!#REF!</f>
        <v>#REF!</v>
      </c>
      <c r="F265" s="340" t="e">
        <f t="shared" ref="F265:F328" si="4">D265*B265</f>
        <v>#REF!</v>
      </c>
      <c r="G265" s="188"/>
      <c r="H265" s="188"/>
    </row>
    <row r="266" spans="1:8" ht="35.1" hidden="1" customHeight="1">
      <c r="A266" s="338" t="e">
        <f>'Bldg+Dev'!#REF!</f>
        <v>#REF!</v>
      </c>
      <c r="B266" s="340" t="e">
        <f>+'Bldg+Dev'!#REF!</f>
        <v>#REF!</v>
      </c>
      <c r="C266" s="340" t="e">
        <f>'Bldg+Dev'!#REF!</f>
        <v>#REF!</v>
      </c>
      <c r="D266" s="340" t="e">
        <f>'Bldg+Dev'!#REF!</f>
        <v>#REF!</v>
      </c>
      <c r="E266" s="340" t="e">
        <f>'Bldg+Dev'!#REF!</f>
        <v>#REF!</v>
      </c>
      <c r="F266" s="340" t="e">
        <f t="shared" si="4"/>
        <v>#REF!</v>
      </c>
      <c r="G266" s="188"/>
      <c r="H266" s="188"/>
    </row>
    <row r="267" spans="1:8" ht="35.1" hidden="1" customHeight="1">
      <c r="A267" s="338" t="e">
        <f>'Bldg+Dev'!#REF!</f>
        <v>#REF!</v>
      </c>
      <c r="B267" s="340" t="e">
        <f>+'Bldg+Dev'!#REF!</f>
        <v>#REF!</v>
      </c>
      <c r="C267" s="340" t="e">
        <f>'Bldg+Dev'!#REF!</f>
        <v>#REF!</v>
      </c>
      <c r="D267" s="340" t="e">
        <f>'Bldg+Dev'!#REF!</f>
        <v>#REF!</v>
      </c>
      <c r="E267" s="340" t="e">
        <f>'Bldg+Dev'!#REF!</f>
        <v>#REF!</v>
      </c>
      <c r="F267" s="340" t="e">
        <f t="shared" si="4"/>
        <v>#REF!</v>
      </c>
      <c r="G267" s="188"/>
      <c r="H267" s="188"/>
    </row>
    <row r="268" spans="1:8" ht="35.1" hidden="1" customHeight="1">
      <c r="A268" s="338" t="e">
        <f>'Bldg+Dev'!#REF!</f>
        <v>#REF!</v>
      </c>
      <c r="B268" s="340" t="e">
        <f>+'Bldg+Dev'!#REF!</f>
        <v>#REF!</v>
      </c>
      <c r="C268" s="340" t="e">
        <f>'Bldg+Dev'!#REF!</f>
        <v>#REF!</v>
      </c>
      <c r="D268" s="340" t="e">
        <f>'Bldg+Dev'!#REF!</f>
        <v>#REF!</v>
      </c>
      <c r="E268" s="340" t="e">
        <f>'Bldg+Dev'!#REF!</f>
        <v>#REF!</v>
      </c>
      <c r="F268" s="340" t="e">
        <f t="shared" si="4"/>
        <v>#REF!</v>
      </c>
      <c r="G268" s="188"/>
      <c r="H268" s="188"/>
    </row>
    <row r="269" spans="1:8" ht="49.5" hidden="1" customHeight="1">
      <c r="A269" s="338" t="e">
        <f>'Bldg+Dev'!#REF!</f>
        <v>#REF!</v>
      </c>
      <c r="B269" s="340" t="e">
        <f>+'Bldg+Dev'!#REF!</f>
        <v>#REF!</v>
      </c>
      <c r="C269" s="340" t="e">
        <f>'Bldg+Dev'!#REF!</f>
        <v>#REF!</v>
      </c>
      <c r="D269" s="340" t="e">
        <f>'Bldg+Dev'!#REF!</f>
        <v>#REF!</v>
      </c>
      <c r="E269" s="340" t="e">
        <f>'Bldg+Dev'!#REF!</f>
        <v>#REF!</v>
      </c>
      <c r="F269" s="340" t="e">
        <f t="shared" si="4"/>
        <v>#REF!</v>
      </c>
      <c r="G269" s="188"/>
      <c r="H269" s="188"/>
    </row>
    <row r="270" spans="1:8" ht="24.75" hidden="1" customHeight="1">
      <c r="A270" s="338" t="e">
        <f>'Bldg+Dev'!#REF!</f>
        <v>#REF!</v>
      </c>
      <c r="B270" s="340" t="e">
        <f>+'Bldg+Dev'!#REF!</f>
        <v>#REF!</v>
      </c>
      <c r="C270" s="340" t="e">
        <f>'Bldg+Dev'!#REF!</f>
        <v>#REF!</v>
      </c>
      <c r="D270" s="340" t="e">
        <f>'Bldg+Dev'!#REF!</f>
        <v>#REF!</v>
      </c>
      <c r="E270" s="340" t="e">
        <f>'Bldg+Dev'!#REF!</f>
        <v>#REF!</v>
      </c>
      <c r="F270" s="340" t="e">
        <f t="shared" si="4"/>
        <v>#REF!</v>
      </c>
      <c r="G270" s="188"/>
      <c r="H270" s="188"/>
    </row>
    <row r="271" spans="1:8" ht="35.1" hidden="1" customHeight="1">
      <c r="A271" s="338">
        <f>'Bldg+Dev'!A60</f>
        <v>23.2</v>
      </c>
      <c r="B271" s="340">
        <f>+'Bldg+Dev'!U60</f>
        <v>0</v>
      </c>
      <c r="C271" s="340" t="str">
        <f>'Bldg+Dev'!B60</f>
        <v>Glass panels with Aluminium beedings</v>
      </c>
      <c r="D271" s="340">
        <f>'Bldg+Dev'!C60</f>
        <v>423</v>
      </c>
      <c r="E271" s="340" t="str">
        <f>'Bldg+Dev'!D60</f>
        <v>Sqm.</v>
      </c>
      <c r="F271" s="340">
        <f t="shared" si="4"/>
        <v>0</v>
      </c>
      <c r="G271" s="188"/>
      <c r="H271" s="188"/>
    </row>
    <row r="272" spans="1:8" ht="27.75" customHeight="1">
      <c r="A272" s="338">
        <f>'Bldg+Dev'!A61</f>
        <v>23.3</v>
      </c>
      <c r="B272" s="340">
        <f>+'Bldg+Dev'!U61</f>
        <v>0</v>
      </c>
      <c r="C272" s="340" t="str">
        <f>'Bldg+Dev'!B61</f>
        <v>S&amp;F of Magnetic door catches</v>
      </c>
      <c r="D272" s="340">
        <f>'Bldg+Dev'!C61</f>
        <v>35</v>
      </c>
      <c r="E272" s="340" t="str">
        <f>'Bldg+Dev'!D61</f>
        <v>Each</v>
      </c>
      <c r="F272" s="340">
        <f t="shared" si="4"/>
        <v>0</v>
      </c>
      <c r="G272" s="188"/>
      <c r="H272" s="188"/>
    </row>
    <row r="273" spans="1:8" ht="46.5" hidden="1" customHeight="1">
      <c r="A273" s="338" t="e">
        <f>'Bldg+Dev'!#REF!</f>
        <v>#REF!</v>
      </c>
      <c r="B273" s="340" t="e">
        <f>+'Bldg+Dev'!#REF!</f>
        <v>#REF!</v>
      </c>
      <c r="C273" s="340" t="e">
        <f>'Bldg+Dev'!#REF!</f>
        <v>#REF!</v>
      </c>
      <c r="D273" s="340" t="e">
        <f>'Bldg+Dev'!#REF!</f>
        <v>#REF!</v>
      </c>
      <c r="E273" s="340" t="e">
        <f>'Bldg+Dev'!#REF!</f>
        <v>#REF!</v>
      </c>
      <c r="F273" s="340" t="e">
        <f t="shared" si="4"/>
        <v>#REF!</v>
      </c>
      <c r="G273" s="188"/>
      <c r="H273" s="188"/>
    </row>
    <row r="274" spans="1:8" ht="35.1" hidden="1" customHeight="1">
      <c r="A274" s="338" t="e">
        <f>'Bldg+Dev'!#REF!</f>
        <v>#REF!</v>
      </c>
      <c r="B274" s="340" t="e">
        <f>+'Bldg+Dev'!#REF!</f>
        <v>#REF!</v>
      </c>
      <c r="C274" s="340" t="e">
        <f>'Bldg+Dev'!#REF!</f>
        <v>#REF!</v>
      </c>
      <c r="D274" s="340" t="e">
        <f>'Bldg+Dev'!#REF!</f>
        <v>#REF!</v>
      </c>
      <c r="E274" s="340" t="e">
        <f>'Bldg+Dev'!#REF!</f>
        <v>#REF!</v>
      </c>
      <c r="F274" s="340" t="e">
        <f t="shared" si="4"/>
        <v>#REF!</v>
      </c>
      <c r="G274" s="188"/>
      <c r="H274" s="188"/>
    </row>
    <row r="275" spans="1:8" ht="35.1" hidden="1" customHeight="1">
      <c r="A275" s="338" t="e">
        <f>'Bldg+Dev'!#REF!</f>
        <v>#REF!</v>
      </c>
      <c r="B275" s="340" t="e">
        <f>+'Bldg+Dev'!#REF!</f>
        <v>#REF!</v>
      </c>
      <c r="C275" s="340" t="e">
        <f>'Bldg+Dev'!#REF!</f>
        <v>#REF!</v>
      </c>
      <c r="D275" s="340" t="e">
        <f>'Bldg+Dev'!#REF!</f>
        <v>#REF!</v>
      </c>
      <c r="E275" s="340" t="e">
        <f>'Bldg+Dev'!#REF!</f>
        <v>#REF!</v>
      </c>
      <c r="F275" s="340" t="e">
        <f t="shared" si="4"/>
        <v>#REF!</v>
      </c>
      <c r="G275" s="188"/>
      <c r="H275" s="188"/>
    </row>
    <row r="276" spans="1:8" ht="35.1" hidden="1" customHeight="1">
      <c r="A276" s="338" t="e">
        <f>'Bldg+Dev'!#REF!</f>
        <v>#REF!</v>
      </c>
      <c r="B276" s="340" t="e">
        <f>+'Bldg+Dev'!#REF!</f>
        <v>#REF!</v>
      </c>
      <c r="C276" s="340" t="e">
        <f>'Bldg+Dev'!#REF!</f>
        <v>#REF!</v>
      </c>
      <c r="D276" s="340" t="e">
        <f>'Bldg+Dev'!#REF!</f>
        <v>#REF!</v>
      </c>
      <c r="E276" s="340" t="e">
        <f>'Bldg+Dev'!#REF!</f>
        <v>#REF!</v>
      </c>
      <c r="F276" s="340" t="e">
        <f t="shared" si="4"/>
        <v>#REF!</v>
      </c>
      <c r="G276" s="188"/>
      <c r="H276" s="188"/>
    </row>
    <row r="277" spans="1:8" ht="35.1" hidden="1" customHeight="1">
      <c r="A277" s="338" t="e">
        <f>'Bldg+Dev'!#REF!</f>
        <v>#REF!</v>
      </c>
      <c r="B277" s="340" t="e">
        <f>+'Bldg+Dev'!#REF!</f>
        <v>#REF!</v>
      </c>
      <c r="C277" s="340" t="e">
        <f>'Bldg+Dev'!#REF!</f>
        <v>#REF!</v>
      </c>
      <c r="D277" s="340" t="e">
        <f>'Bldg+Dev'!#REF!</f>
        <v>#REF!</v>
      </c>
      <c r="E277" s="340" t="e">
        <f>'Bldg+Dev'!#REF!</f>
        <v>#REF!</v>
      </c>
      <c r="F277" s="340" t="e">
        <f t="shared" si="4"/>
        <v>#REF!</v>
      </c>
      <c r="G277" s="188"/>
      <c r="H277" s="188"/>
    </row>
    <row r="278" spans="1:8" ht="35.1" hidden="1" customHeight="1">
      <c r="A278" s="338" t="e">
        <f>'Bldg+Dev'!#REF!</f>
        <v>#REF!</v>
      </c>
      <c r="B278" s="340" t="e">
        <f>+'Bldg+Dev'!#REF!</f>
        <v>#REF!</v>
      </c>
      <c r="C278" s="340" t="e">
        <f>'Bldg+Dev'!#REF!</f>
        <v>#REF!</v>
      </c>
      <c r="D278" s="340" t="e">
        <f>'Bldg+Dev'!#REF!</f>
        <v>#REF!</v>
      </c>
      <c r="E278" s="340" t="e">
        <f>'Bldg+Dev'!#REF!</f>
        <v>#REF!</v>
      </c>
      <c r="F278" s="340" t="e">
        <f t="shared" si="4"/>
        <v>#REF!</v>
      </c>
      <c r="G278" s="188"/>
      <c r="H278" s="188"/>
    </row>
    <row r="279" spans="1:8" ht="35.1" hidden="1" customHeight="1">
      <c r="A279" s="338" t="e">
        <f>'Bldg+Dev'!#REF!</f>
        <v>#REF!</v>
      </c>
      <c r="B279" s="340" t="e">
        <f>+'Bldg+Dev'!#REF!</f>
        <v>#REF!</v>
      </c>
      <c r="C279" s="340" t="e">
        <f>'Bldg+Dev'!#REF!</f>
        <v>#REF!</v>
      </c>
      <c r="D279" s="340" t="e">
        <f>'Bldg+Dev'!#REF!</f>
        <v>#REF!</v>
      </c>
      <c r="E279" s="340" t="e">
        <f>'Bldg+Dev'!#REF!</f>
        <v>#REF!</v>
      </c>
      <c r="F279" s="340" t="e">
        <f t="shared" si="4"/>
        <v>#REF!</v>
      </c>
      <c r="G279" s="188"/>
      <c r="H279" s="188"/>
    </row>
    <row r="280" spans="1:8" ht="35.1" hidden="1" customHeight="1">
      <c r="A280" s="338" t="e">
        <f>'Bldg+Dev'!#REF!</f>
        <v>#REF!</v>
      </c>
      <c r="B280" s="340" t="e">
        <f>+'Bldg+Dev'!#REF!</f>
        <v>#REF!</v>
      </c>
      <c r="C280" s="340" t="e">
        <f>'Bldg+Dev'!#REF!</f>
        <v>#REF!</v>
      </c>
      <c r="D280" s="340" t="e">
        <f>'Bldg+Dev'!#REF!</f>
        <v>#REF!</v>
      </c>
      <c r="E280" s="340" t="e">
        <f>'Bldg+Dev'!#REF!</f>
        <v>#REF!</v>
      </c>
      <c r="F280" s="340" t="e">
        <f t="shared" si="4"/>
        <v>#REF!</v>
      </c>
      <c r="G280" s="188"/>
      <c r="H280" s="188"/>
    </row>
    <row r="281" spans="1:8" ht="35.1" hidden="1" customHeight="1">
      <c r="A281" s="338" t="e">
        <f>'Bldg+Dev'!#REF!</f>
        <v>#REF!</v>
      </c>
      <c r="B281" s="340" t="e">
        <f>+'Bldg+Dev'!#REF!</f>
        <v>#REF!</v>
      </c>
      <c r="C281" s="340" t="e">
        <f>'Bldg+Dev'!#REF!</f>
        <v>#REF!</v>
      </c>
      <c r="D281" s="340" t="e">
        <f>'Bldg+Dev'!#REF!</f>
        <v>#REF!</v>
      </c>
      <c r="E281" s="340" t="e">
        <f>'Bldg+Dev'!#REF!</f>
        <v>#REF!</v>
      </c>
      <c r="F281" s="340" t="e">
        <f t="shared" si="4"/>
        <v>#REF!</v>
      </c>
      <c r="G281" s="188"/>
      <c r="H281" s="188"/>
    </row>
    <row r="282" spans="1:8" ht="35.1" hidden="1" customHeight="1">
      <c r="A282" s="338" t="e">
        <f>'Bldg+Dev'!#REF!</f>
        <v>#REF!</v>
      </c>
      <c r="B282" s="340" t="e">
        <f>+'Bldg+Dev'!#REF!</f>
        <v>#REF!</v>
      </c>
      <c r="C282" s="340" t="e">
        <f>'Bldg+Dev'!#REF!</f>
        <v>#REF!</v>
      </c>
      <c r="D282" s="340" t="e">
        <f>'Bldg+Dev'!#REF!</f>
        <v>#REF!</v>
      </c>
      <c r="E282" s="340" t="e">
        <f>'Bldg+Dev'!#REF!</f>
        <v>#REF!</v>
      </c>
      <c r="F282" s="340" t="e">
        <f t="shared" si="4"/>
        <v>#REF!</v>
      </c>
      <c r="G282" s="188"/>
      <c r="H282" s="188"/>
    </row>
    <row r="283" spans="1:8" ht="35.1" hidden="1" customHeight="1">
      <c r="A283" s="338" t="e">
        <f>'Bldg+Dev'!#REF!</f>
        <v>#REF!</v>
      </c>
      <c r="B283" s="340" t="e">
        <f>+'Bldg+Dev'!#REF!</f>
        <v>#REF!</v>
      </c>
      <c r="C283" s="340" t="e">
        <f>'Bldg+Dev'!#REF!</f>
        <v>#REF!</v>
      </c>
      <c r="D283" s="340" t="e">
        <f>'Bldg+Dev'!#REF!</f>
        <v>#REF!</v>
      </c>
      <c r="E283" s="340" t="e">
        <f>'Bldg+Dev'!#REF!</f>
        <v>#REF!</v>
      </c>
      <c r="F283" s="340" t="e">
        <f t="shared" si="4"/>
        <v>#REF!</v>
      </c>
      <c r="G283" s="188"/>
      <c r="H283" s="188"/>
    </row>
    <row r="284" spans="1:8" ht="35.1" hidden="1" customHeight="1">
      <c r="A284" s="338" t="e">
        <f>'Bldg+Dev'!#REF!</f>
        <v>#REF!</v>
      </c>
      <c r="B284" s="340" t="e">
        <f>+'Bldg+Dev'!#REF!</f>
        <v>#REF!</v>
      </c>
      <c r="C284" s="340" t="e">
        <f>'Bldg+Dev'!#REF!</f>
        <v>#REF!</v>
      </c>
      <c r="D284" s="340" t="e">
        <f>'Bldg+Dev'!#REF!</f>
        <v>#REF!</v>
      </c>
      <c r="E284" s="340" t="e">
        <f>'Bldg+Dev'!#REF!</f>
        <v>#REF!</v>
      </c>
      <c r="F284" s="340" t="e">
        <f t="shared" si="4"/>
        <v>#REF!</v>
      </c>
      <c r="G284" s="188"/>
      <c r="H284" s="188"/>
    </row>
    <row r="285" spans="1:8" ht="35.1" hidden="1" customHeight="1">
      <c r="A285" s="338" t="e">
        <f>'Bldg+Dev'!#REF!</f>
        <v>#REF!</v>
      </c>
      <c r="B285" s="340" t="e">
        <f>+'Bldg+Dev'!#REF!</f>
        <v>#REF!</v>
      </c>
      <c r="C285" s="340" t="e">
        <f>'Bldg+Dev'!#REF!</f>
        <v>#REF!</v>
      </c>
      <c r="D285" s="340" t="e">
        <f>'Bldg+Dev'!#REF!</f>
        <v>#REF!</v>
      </c>
      <c r="E285" s="340" t="e">
        <f>'Bldg+Dev'!#REF!</f>
        <v>#REF!</v>
      </c>
      <c r="F285" s="340" t="e">
        <f t="shared" si="4"/>
        <v>#REF!</v>
      </c>
      <c r="G285" s="188"/>
      <c r="H285" s="188"/>
    </row>
    <row r="286" spans="1:8" ht="27" customHeight="1">
      <c r="A286" s="338" t="e">
        <f>'Bldg+Dev'!#REF!</f>
        <v>#REF!</v>
      </c>
      <c r="B286" s="340" t="e">
        <f>+'Bldg+Dev'!#REF!</f>
        <v>#REF!</v>
      </c>
      <c r="C286" s="340" t="e">
        <f>'Bldg+Dev'!#REF!</f>
        <v>#REF!</v>
      </c>
      <c r="D286" s="340" t="e">
        <f>'Bldg+Dev'!#REF!</f>
        <v>#REF!</v>
      </c>
      <c r="E286" s="340" t="e">
        <f>'Bldg+Dev'!#REF!</f>
        <v>#REF!</v>
      </c>
      <c r="F286" s="340" t="e">
        <f t="shared" si="4"/>
        <v>#REF!</v>
      </c>
      <c r="G286" s="188"/>
      <c r="H286" s="188"/>
    </row>
    <row r="287" spans="1:8" ht="27.75" customHeight="1">
      <c r="A287" s="338">
        <f>'Bldg+Dev'!A62</f>
        <v>25</v>
      </c>
      <c r="B287" s="340">
        <f>+'Bldg+Dev'!U62</f>
        <v>0</v>
      </c>
      <c r="C287" s="340" t="str">
        <f>'Bldg+Dev'!B62</f>
        <v>M.S.Holdfast</v>
      </c>
      <c r="D287" s="340">
        <f>'Bldg+Dev'!C62</f>
        <v>8.5</v>
      </c>
      <c r="E287" s="340" t="str">
        <f>'Bldg+Dev'!D62</f>
        <v>Each</v>
      </c>
      <c r="F287" s="340">
        <f t="shared" si="4"/>
        <v>0</v>
      </c>
      <c r="G287" s="188"/>
      <c r="H287" s="188"/>
    </row>
    <row r="288" spans="1:8" ht="27.75" customHeight="1">
      <c r="A288" s="338">
        <f>'Bldg+Dev'!A63</f>
        <v>26</v>
      </c>
      <c r="B288" s="340" t="e">
        <f>+'Bldg+Dev'!U63</f>
        <v>#REF!</v>
      </c>
      <c r="C288" s="340" t="str">
        <f>'Bldg+Dev'!B63</f>
        <v>Flooring in C.C.1:5:10</v>
      </c>
      <c r="D288" s="340">
        <f>'Bldg+Dev'!C63</f>
        <v>2798.38</v>
      </c>
      <c r="E288" s="340" t="str">
        <f>'Bldg+Dev'!D63</f>
        <v>Cum.</v>
      </c>
      <c r="F288" s="340" t="e">
        <f t="shared" si="4"/>
        <v>#REF!</v>
      </c>
      <c r="G288" s="188"/>
      <c r="H288" s="188"/>
    </row>
    <row r="289" spans="1:22" ht="45" hidden="1" customHeight="1">
      <c r="A289" s="338">
        <f>'Bldg+Dev'!A64</f>
        <v>27.1</v>
      </c>
      <c r="B289" s="340">
        <f>+'Bldg+Dev'!U64</f>
        <v>0</v>
      </c>
      <c r="C289" s="340" t="str">
        <f>'Bldg+Dev'!B64</f>
        <v>B.w. in C.M. 1:4 for staircase steps Chamber burnt bricks 23 x 11.2 x 7 cm.</v>
      </c>
      <c r="D289" s="340">
        <f>'Bldg+Dev'!C64</f>
        <v>2035.19</v>
      </c>
      <c r="E289" s="340" t="str">
        <f>'Bldg+Dev'!D64</f>
        <v>Cum.</v>
      </c>
      <c r="F289" s="340">
        <f t="shared" si="4"/>
        <v>0</v>
      </c>
      <c r="G289" s="188"/>
      <c r="H289" s="188"/>
    </row>
    <row r="290" spans="1:22" ht="45" customHeight="1">
      <c r="A290" s="338" t="e">
        <f>'Bldg+Dev'!#REF!</f>
        <v>#REF!</v>
      </c>
      <c r="B290" s="340" t="e">
        <f>+'Bldg+Dev'!#REF!</f>
        <v>#REF!</v>
      </c>
      <c r="C290" s="340" t="e">
        <f>'Bldg+Dev'!#REF!</f>
        <v>#REF!</v>
      </c>
      <c r="D290" s="340" t="e">
        <f>'Bldg+Dev'!#REF!</f>
        <v>#REF!</v>
      </c>
      <c r="E290" s="340" t="e">
        <f>'Bldg+Dev'!#REF!</f>
        <v>#REF!</v>
      </c>
      <c r="F290" s="340" t="e">
        <f t="shared" si="4"/>
        <v>#REF!</v>
      </c>
      <c r="G290" s="188"/>
      <c r="H290" s="188"/>
    </row>
    <row r="291" spans="1:22" ht="45" hidden="1" customHeight="1">
      <c r="A291" s="338" t="e">
        <f>'Bldg+Dev'!#REF!</f>
        <v>#REF!</v>
      </c>
      <c r="B291" s="340" t="e">
        <f>+'Bldg+Dev'!#REF!</f>
        <v>#REF!</v>
      </c>
      <c r="C291" s="340" t="e">
        <f>'Bldg+Dev'!#REF!</f>
        <v>#REF!</v>
      </c>
      <c r="D291" s="340" t="e">
        <f>'Bldg+Dev'!#REF!</f>
        <v>#REF!</v>
      </c>
      <c r="E291" s="340" t="e">
        <f>'Bldg+Dev'!#REF!</f>
        <v>#REF!</v>
      </c>
      <c r="F291" s="340" t="e">
        <f t="shared" si="4"/>
        <v>#REF!</v>
      </c>
      <c r="G291" s="188"/>
      <c r="H291" s="188"/>
    </row>
    <row r="292" spans="1:22" ht="45" hidden="1" customHeight="1">
      <c r="A292" s="338" t="e">
        <f>'Bldg+Dev'!#REF!</f>
        <v>#REF!</v>
      </c>
      <c r="B292" s="340" t="e">
        <f>+'Bldg+Dev'!#REF!</f>
        <v>#REF!</v>
      </c>
      <c r="C292" s="340" t="e">
        <f>'Bldg+Dev'!#REF!</f>
        <v>#REF!</v>
      </c>
      <c r="D292" s="340" t="e">
        <f>'Bldg+Dev'!#REF!</f>
        <v>#REF!</v>
      </c>
      <c r="E292" s="340" t="e">
        <f>'Bldg+Dev'!#REF!</f>
        <v>#REF!</v>
      </c>
      <c r="F292" s="340" t="e">
        <f t="shared" si="4"/>
        <v>#REF!</v>
      </c>
      <c r="G292" s="188"/>
      <c r="H292" s="188"/>
    </row>
    <row r="293" spans="1:22" ht="45" hidden="1" customHeight="1">
      <c r="A293" s="338" t="e">
        <f>'Bldg+Dev'!#REF!</f>
        <v>#REF!</v>
      </c>
      <c r="B293" s="340" t="e">
        <f>+'Bldg+Dev'!#REF!</f>
        <v>#REF!</v>
      </c>
      <c r="C293" s="340" t="e">
        <f>'Bldg+Dev'!#REF!</f>
        <v>#REF!</v>
      </c>
      <c r="D293" s="340" t="e">
        <f>'Bldg+Dev'!#REF!</f>
        <v>#REF!</v>
      </c>
      <c r="E293" s="340" t="e">
        <f>'Bldg+Dev'!#REF!</f>
        <v>#REF!</v>
      </c>
      <c r="F293" s="340" t="e">
        <f t="shared" si="4"/>
        <v>#REF!</v>
      </c>
      <c r="G293" s="188"/>
      <c r="H293" s="188"/>
    </row>
    <row r="294" spans="1:22" ht="45" hidden="1" customHeight="1">
      <c r="A294" s="338" t="e">
        <f>'Bldg+Dev'!#REF!</f>
        <v>#REF!</v>
      </c>
      <c r="B294" s="340" t="e">
        <f>+'Bldg+Dev'!#REF!</f>
        <v>#REF!</v>
      </c>
      <c r="C294" s="340" t="e">
        <f>'Bldg+Dev'!#REF!</f>
        <v>#REF!</v>
      </c>
      <c r="D294" s="340" t="e">
        <f>'Bldg+Dev'!#REF!</f>
        <v>#REF!</v>
      </c>
      <c r="E294" s="340" t="e">
        <f>'Bldg+Dev'!#REF!</f>
        <v>#REF!</v>
      </c>
      <c r="F294" s="340" t="e">
        <f t="shared" si="4"/>
        <v>#REF!</v>
      </c>
      <c r="G294" s="188"/>
      <c r="H294" s="188"/>
    </row>
    <row r="295" spans="1:22" ht="25.5" customHeight="1">
      <c r="A295" s="338">
        <f>'Bldg+Dev'!A65</f>
        <v>28</v>
      </c>
      <c r="B295" s="340">
        <f>+'Bldg+Dev'!U65</f>
        <v>22.8</v>
      </c>
      <c r="C295" s="340" t="str">
        <f>'Bldg+Dev'!B65</f>
        <v>Floor plastering in C.M. 1:4, 20 mm tk.</v>
      </c>
      <c r="D295" s="340">
        <f>'Bldg+Dev'!C65</f>
        <v>247.91</v>
      </c>
      <c r="E295" s="340" t="str">
        <f>'Bldg+Dev'!D65</f>
        <v>Sqm.</v>
      </c>
      <c r="F295" s="340">
        <f t="shared" si="4"/>
        <v>5652.35</v>
      </c>
      <c r="G295" s="188"/>
      <c r="H295" s="188"/>
    </row>
    <row r="296" spans="1:22" ht="35.1" hidden="1" customHeight="1">
      <c r="A296" s="338">
        <f>'Bldg+Dev'!A67</f>
        <v>29.1</v>
      </c>
      <c r="B296" s="340">
        <f>+'Bldg+Dev'!U67</f>
        <v>0</v>
      </c>
      <c r="C296" s="340" t="str">
        <f>'Bldg+Dev'!B67</f>
        <v>Mosaic tiles 20 cm x 20 cm x 2 cm.</v>
      </c>
      <c r="D296" s="340">
        <f>'Bldg+Dev'!C67</f>
        <v>0</v>
      </c>
      <c r="E296" s="340" t="str">
        <f>'Bldg+Dev'!D67</f>
        <v>Sqm.</v>
      </c>
      <c r="F296" s="340">
        <f t="shared" si="4"/>
        <v>0</v>
      </c>
      <c r="G296" s="188"/>
      <c r="H296" s="188"/>
    </row>
    <row r="297" spans="1:22" ht="35.1" hidden="1" customHeight="1">
      <c r="A297" s="338">
        <f>'Bldg+Dev'!A68</f>
        <v>29.2</v>
      </c>
      <c r="B297" s="340">
        <f>+'Bldg+Dev'!U68</f>
        <v>0</v>
      </c>
      <c r="C297" s="340" t="str">
        <f>'Bldg+Dev'!B68</f>
        <v>Mosaic tiles 25 cm x 25 cm x 2 cm.</v>
      </c>
      <c r="D297" s="340">
        <f>'Bldg+Dev'!C68</f>
        <v>679.18</v>
      </c>
      <c r="E297" s="340" t="str">
        <f>'Bldg+Dev'!D68</f>
        <v>Sqm.</v>
      </c>
      <c r="F297" s="340">
        <f t="shared" si="4"/>
        <v>0</v>
      </c>
      <c r="G297" s="188"/>
      <c r="H297" s="188"/>
    </row>
    <row r="298" spans="1:22" ht="35.1" hidden="1" customHeight="1">
      <c r="A298" s="338">
        <f>'Bldg+Dev'!A69</f>
        <v>29.3</v>
      </c>
      <c r="B298" s="340" t="e">
        <f>+'Bldg+Dev'!U69</f>
        <v>#REF!</v>
      </c>
      <c r="C298" s="340" t="str">
        <f>'Bldg+Dev'!B69</f>
        <v>Floor ceramic tiles</v>
      </c>
      <c r="D298" s="340">
        <f>'Bldg+Dev'!C69</f>
        <v>786.69</v>
      </c>
      <c r="E298" s="340" t="str">
        <f>'Bldg+Dev'!D69</f>
        <v>Sqm.</v>
      </c>
      <c r="F298" s="340" t="e">
        <f t="shared" si="4"/>
        <v>#REF!</v>
      </c>
      <c r="G298" s="188"/>
      <c r="H298" s="188"/>
    </row>
    <row r="299" spans="1:22" ht="35.1" hidden="1" customHeight="1">
      <c r="A299" s="338">
        <f>'Bldg+Dev'!A70</f>
        <v>29.4</v>
      </c>
      <c r="B299" s="340" t="e">
        <f>+'Bldg+Dev'!U70</f>
        <v>#REF!</v>
      </c>
      <c r="C299" s="340" t="str">
        <f>'Bldg+Dev'!B70</f>
        <v>Glazed tiles</v>
      </c>
      <c r="D299" s="340">
        <f>'Bldg+Dev'!C70</f>
        <v>858.42</v>
      </c>
      <c r="E299" s="340" t="str">
        <f>'Bldg+Dev'!D70</f>
        <v>Sqm.</v>
      </c>
      <c r="F299" s="340" t="e">
        <f t="shared" si="4"/>
        <v>#REF!</v>
      </c>
      <c r="G299" s="188"/>
      <c r="H299" s="188"/>
    </row>
    <row r="300" spans="1:22" ht="35.1" hidden="1" customHeight="1">
      <c r="A300" s="338">
        <f>'Bldg+Dev'!A71</f>
        <v>29.5</v>
      </c>
      <c r="B300" s="340" t="e">
        <f>+'Bldg+Dev'!U71</f>
        <v>#REF!</v>
      </c>
      <c r="C300" s="340" t="str">
        <f>'Bldg+Dev'!B71</f>
        <v>Floor ceramic tiles (Anti-skid)</v>
      </c>
      <c r="D300" s="340">
        <f>'Bldg+Dev'!C71</f>
        <v>786.69</v>
      </c>
      <c r="E300" s="340" t="str">
        <f>'Bldg+Dev'!D71</f>
        <v>Sqm.</v>
      </c>
      <c r="F300" s="340" t="e">
        <f t="shared" si="4"/>
        <v>#REF!</v>
      </c>
      <c r="G300" s="189"/>
      <c r="H300" s="189"/>
      <c r="I300" s="127"/>
      <c r="J300" s="117"/>
      <c r="K300" s="117"/>
      <c r="L300" s="117"/>
      <c r="M300" s="117"/>
      <c r="N300" s="117"/>
      <c r="O300" s="117"/>
      <c r="P300" s="117"/>
      <c r="Q300" s="117"/>
      <c r="R300" s="117"/>
      <c r="S300" s="117"/>
      <c r="T300" s="117"/>
      <c r="U300" s="117"/>
      <c r="V300" s="117"/>
    </row>
    <row r="301" spans="1:22" ht="25.5" customHeight="1">
      <c r="A301" s="338">
        <f>'Bldg+Dev'!A73</f>
        <v>30</v>
      </c>
      <c r="B301" s="340">
        <f>+'Bldg+Dev'!U73</f>
        <v>0</v>
      </c>
      <c r="C301" s="340" t="str">
        <f>'Bldg+Dev'!B73</f>
        <v>Ellispattern</v>
      </c>
      <c r="D301" s="340">
        <f>'Bldg+Dev'!C73</f>
        <v>238.91</v>
      </c>
      <c r="E301" s="340" t="str">
        <f>'Bldg+Dev'!D73</f>
        <v>Sqm.</v>
      </c>
      <c r="F301" s="340">
        <f t="shared" si="4"/>
        <v>0</v>
      </c>
      <c r="G301" s="188"/>
      <c r="H301" s="188"/>
    </row>
    <row r="302" spans="1:22" ht="25.5" customHeight="1">
      <c r="A302" s="338">
        <f>'Bldg+Dev'!A74</f>
        <v>31</v>
      </c>
      <c r="B302" s="340" t="e">
        <f>+'Bldg+Dev'!U74</f>
        <v>#REF!</v>
      </c>
      <c r="C302" s="340" t="str">
        <f>'Bldg+Dev'!B74</f>
        <v>Weathering course</v>
      </c>
      <c r="D302" s="340">
        <f>'Bldg+Dev'!C74</f>
        <v>2273.9299999999998</v>
      </c>
      <c r="E302" s="340" t="str">
        <f>'Bldg+Dev'!D74</f>
        <v>Cum.</v>
      </c>
      <c r="F302" s="340" t="e">
        <f t="shared" si="4"/>
        <v>#REF!</v>
      </c>
      <c r="G302" s="188"/>
      <c r="H302" s="188"/>
    </row>
    <row r="303" spans="1:22" ht="35.1" hidden="1" customHeight="1">
      <c r="A303" s="338" t="e">
        <f>'Bldg+Dev'!#REF!</f>
        <v>#REF!</v>
      </c>
      <c r="B303" s="340" t="e">
        <f>+'Bldg+Dev'!#REF!</f>
        <v>#REF!</v>
      </c>
      <c r="C303" s="340" t="e">
        <f>'Bldg+Dev'!#REF!</f>
        <v>#REF!</v>
      </c>
      <c r="D303" s="340" t="e">
        <f>'Bldg+Dev'!#REF!</f>
        <v>#REF!</v>
      </c>
      <c r="E303" s="340" t="e">
        <f>'Bldg+Dev'!#REF!</f>
        <v>#REF!</v>
      </c>
      <c r="F303" s="340" t="e">
        <f t="shared" si="4"/>
        <v>#REF!</v>
      </c>
      <c r="G303" s="188"/>
      <c r="H303" s="188"/>
    </row>
    <row r="304" spans="1:22" ht="45" customHeight="1">
      <c r="A304" s="338">
        <f>'Bldg+Dev'!A75</f>
        <v>32.1</v>
      </c>
      <c r="B304" s="340" t="e">
        <f>+'Bldg+Dev'!U75</f>
        <v>#REF!</v>
      </c>
      <c r="C304" s="340" t="str">
        <f>'Bldg+Dev'!B75</f>
        <v>Pressed tiles (23cmx23cmx20mm) mixed with Water proofing compound</v>
      </c>
      <c r="D304" s="340">
        <f>'Bldg+Dev'!C75</f>
        <v>650.66</v>
      </c>
      <c r="E304" s="340" t="str">
        <f>'Bldg+Dev'!D75</f>
        <v>Sqm.</v>
      </c>
      <c r="F304" s="340" t="e">
        <f t="shared" si="4"/>
        <v>#REF!</v>
      </c>
      <c r="G304" s="188"/>
      <c r="H304" s="188"/>
    </row>
    <row r="305" spans="1:48" ht="45" hidden="1" customHeight="1">
      <c r="A305" s="338" t="e">
        <f>'Bldg+Dev'!#REF!</f>
        <v>#REF!</v>
      </c>
      <c r="B305" s="340" t="e">
        <f>+'Bldg+Dev'!#REF!</f>
        <v>#REF!</v>
      </c>
      <c r="C305" s="340" t="e">
        <f>'Bldg+Dev'!#REF!</f>
        <v>#REF!</v>
      </c>
      <c r="D305" s="340" t="e">
        <f>'Bldg+Dev'!#REF!</f>
        <v>#REF!</v>
      </c>
      <c r="E305" s="340" t="e">
        <f>'Bldg+Dev'!#REF!</f>
        <v>#REF!</v>
      </c>
      <c r="F305" s="340" t="e">
        <f t="shared" si="4"/>
        <v>#REF!</v>
      </c>
      <c r="G305" s="188"/>
      <c r="H305" s="188"/>
    </row>
    <row r="306" spans="1:48" ht="25.5" customHeight="1">
      <c r="A306" s="338">
        <f>'Bldg+Dev'!A76</f>
        <v>33</v>
      </c>
      <c r="B306" s="340" t="e">
        <f>+'Bldg+Dev'!U76</f>
        <v>#REF!</v>
      </c>
      <c r="C306" s="340" t="str">
        <f>'Bldg+Dev'!B76</f>
        <v>Plastering in C.M. 1:5, 12 mm tk.</v>
      </c>
      <c r="D306" s="340">
        <f>'Bldg+Dev'!C76</f>
        <v>121.3</v>
      </c>
      <c r="E306" s="340" t="str">
        <f>'Bldg+Dev'!D76</f>
        <v>Sqm.</v>
      </c>
      <c r="F306" s="340" t="e">
        <f t="shared" si="4"/>
        <v>#REF!</v>
      </c>
      <c r="G306" s="188"/>
      <c r="H306" s="188"/>
    </row>
    <row r="307" spans="1:48" ht="25.5" customHeight="1">
      <c r="A307" s="338">
        <f>'Bldg+Dev'!A78</f>
        <v>34</v>
      </c>
      <c r="B307" s="340">
        <f>+'Bldg+Dev'!U78</f>
        <v>36.799999999999997</v>
      </c>
      <c r="C307" s="340" t="str">
        <f>'Bldg+Dev'!B78</f>
        <v>Plastering in C.M. 1:4, 12 mm tk.</v>
      </c>
      <c r="D307" s="340">
        <f>'Bldg+Dev'!C78</f>
        <v>126.94</v>
      </c>
      <c r="E307" s="340" t="str">
        <f>'Bldg+Dev'!D78</f>
        <v>Sqm.</v>
      </c>
      <c r="F307" s="340">
        <f t="shared" si="4"/>
        <v>4671.3900000000003</v>
      </c>
      <c r="G307" s="188"/>
      <c r="H307" s="188"/>
    </row>
    <row r="308" spans="1:48" ht="35.1" customHeight="1">
      <c r="A308" s="338">
        <f>'Bldg+Dev'!A79</f>
        <v>35</v>
      </c>
      <c r="B308" s="340" t="e">
        <f>+'Bldg+Dev'!U79</f>
        <v>#REF!</v>
      </c>
      <c r="C308" s="340" t="str">
        <f>'Bldg+Dev'!B79</f>
        <v>Spl. Ceiling plastering in C.M. 1:3, 10 mm tk.</v>
      </c>
      <c r="D308" s="340">
        <f>'Bldg+Dev'!C79</f>
        <v>138.63</v>
      </c>
      <c r="E308" s="340" t="str">
        <f>'Bldg+Dev'!D79</f>
        <v>Sqm.</v>
      </c>
      <c r="F308" s="340" t="e">
        <f t="shared" si="4"/>
        <v>#REF!</v>
      </c>
      <c r="G308" s="188"/>
      <c r="H308" s="188"/>
    </row>
    <row r="309" spans="1:48" ht="24" customHeight="1">
      <c r="A309" s="338">
        <f>'Bldg+Dev'!A81</f>
        <v>36</v>
      </c>
      <c r="B309" s="339">
        <f>+'Bldg+Dev'!U81</f>
        <v>0</v>
      </c>
      <c r="C309" s="340" t="str">
        <f>'Bldg+Dev'!B81</f>
        <v>Cement mortar Border in  C.M. 1:5, 12 mm tk.</v>
      </c>
      <c r="D309" s="340">
        <f>'Bldg+Dev'!C81</f>
        <v>0</v>
      </c>
      <c r="E309" s="340">
        <f>'Bldg+Dev'!D81</f>
        <v>0</v>
      </c>
      <c r="F309" s="340"/>
      <c r="G309" s="188"/>
      <c r="H309" s="188"/>
    </row>
    <row r="310" spans="1:48" ht="24" customHeight="1">
      <c r="A310" s="338" t="str">
        <f>'Bldg+Dev'!A82</f>
        <v/>
      </c>
      <c r="B310" s="340" t="e">
        <f>+'Bldg+Dev'!U82</f>
        <v>#REF!</v>
      </c>
      <c r="C310" s="340" t="str">
        <f>'Bldg+Dev'!B82</f>
        <v>a. 150 mm wide</v>
      </c>
      <c r="D310" s="340">
        <f>'Bldg+Dev'!C82</f>
        <v>36.01</v>
      </c>
      <c r="E310" s="340" t="str">
        <f>'Bldg+Dev'!D82</f>
        <v>Rmt</v>
      </c>
      <c r="F310" s="340" t="e">
        <f t="shared" si="4"/>
        <v>#REF!</v>
      </c>
      <c r="G310" s="188"/>
      <c r="H310" s="188"/>
    </row>
    <row r="311" spans="1:48" ht="24" customHeight="1">
      <c r="A311" s="338">
        <f>'Bldg+Dev'!A83</f>
        <v>0</v>
      </c>
      <c r="B311" s="340" t="e">
        <f>+'Bldg+Dev'!U83</f>
        <v>#REF!</v>
      </c>
      <c r="C311" s="340" t="str">
        <f>'Bldg+Dev'!B83</f>
        <v>b. 75 mm wide</v>
      </c>
      <c r="D311" s="340">
        <f>'Bldg+Dev'!C83</f>
        <v>23.18</v>
      </c>
      <c r="E311" s="340" t="str">
        <f>'Bldg+Dev'!D83</f>
        <v>Rmt</v>
      </c>
      <c r="F311" s="340" t="e">
        <f t="shared" si="4"/>
        <v>#REF!</v>
      </c>
      <c r="G311" s="189"/>
      <c r="H311" s="189"/>
      <c r="I311" s="127"/>
      <c r="J311" s="117"/>
      <c r="K311" s="117"/>
      <c r="L311" s="117"/>
      <c r="M311" s="117"/>
      <c r="N311" s="117"/>
      <c r="O311" s="117"/>
      <c r="P311" s="117"/>
      <c r="Q311" s="117"/>
      <c r="R311" s="117"/>
      <c r="S311" s="117"/>
      <c r="T311" s="117"/>
      <c r="U311" s="117"/>
      <c r="V311" s="117"/>
      <c r="AV311" s="38"/>
    </row>
    <row r="312" spans="1:48" ht="24" customHeight="1">
      <c r="A312" s="338">
        <f>'Bldg+Dev'!A84</f>
        <v>0</v>
      </c>
      <c r="B312" s="340" t="e">
        <f>+'Bldg+Dev'!U84</f>
        <v>#REF!</v>
      </c>
      <c r="C312" s="340" t="str">
        <f>'Bldg+Dev'!B84</f>
        <v>c. 50 mm wide</v>
      </c>
      <c r="D312" s="340">
        <f>'Bldg+Dev'!C84</f>
        <v>17.190000000000001</v>
      </c>
      <c r="E312" s="340" t="str">
        <f>'Bldg+Dev'!D84</f>
        <v>Rmt</v>
      </c>
      <c r="F312" s="340" t="e">
        <f t="shared" si="4"/>
        <v>#REF!</v>
      </c>
      <c r="G312" s="189"/>
      <c r="H312" s="189"/>
      <c r="I312" s="127"/>
      <c r="J312" s="117"/>
      <c r="K312" s="117"/>
      <c r="L312" s="117"/>
      <c r="M312" s="117"/>
      <c r="N312" s="117"/>
      <c r="O312" s="117"/>
      <c r="P312" s="117"/>
      <c r="Q312" s="117"/>
      <c r="R312" s="117"/>
      <c r="S312" s="117"/>
      <c r="T312" s="117"/>
      <c r="U312" s="117"/>
      <c r="V312" s="117"/>
    </row>
    <row r="313" spans="1:48" ht="24" customHeight="1">
      <c r="A313" s="338">
        <f>'Bldg+Dev'!A85</f>
        <v>37.1</v>
      </c>
      <c r="B313" s="340" t="e">
        <f>+'Bldg+Dev'!U85</f>
        <v>#REF!</v>
      </c>
      <c r="C313" s="340" t="str">
        <f>'Bldg+Dev'!B85</f>
        <v>White washing 3 coats  (slaked)</v>
      </c>
      <c r="D313" s="340">
        <f>'Bldg+Dev'!C85</f>
        <v>20.2</v>
      </c>
      <c r="E313" s="340" t="str">
        <f>'Bldg+Dev'!D85</f>
        <v>Sqm.</v>
      </c>
      <c r="F313" s="340" t="e">
        <f t="shared" si="4"/>
        <v>#REF!</v>
      </c>
      <c r="G313" s="188"/>
      <c r="H313" s="188"/>
    </row>
    <row r="314" spans="1:48" ht="35.1" hidden="1" customHeight="1">
      <c r="A314" s="338">
        <f>'Bldg+Dev'!A86</f>
        <v>37.200000000000003</v>
      </c>
      <c r="B314" s="340" t="e">
        <f>+'Bldg+Dev'!U86</f>
        <v>#REF!</v>
      </c>
      <c r="C314" s="340" t="str">
        <f>'Bldg+Dev'!B86</f>
        <v>primer coat</v>
      </c>
      <c r="D314" s="340">
        <f>'Bldg+Dev'!C86</f>
        <v>29.32</v>
      </c>
      <c r="E314" s="340" t="str">
        <f>'Bldg+Dev'!D86</f>
        <v>Sqm.</v>
      </c>
      <c r="F314" s="340" t="e">
        <f t="shared" si="4"/>
        <v>#REF!</v>
      </c>
      <c r="G314" s="188"/>
      <c r="H314" s="188"/>
    </row>
    <row r="315" spans="1:48" ht="35.1" hidden="1" customHeight="1">
      <c r="A315" s="338">
        <f>'Bldg+Dev'!A87</f>
        <v>38.1</v>
      </c>
      <c r="B315" s="340">
        <f>+'Bldg+Dev'!U87</f>
        <v>0</v>
      </c>
      <c r="C315" s="340" t="str">
        <f>'Bldg+Dev'!B87</f>
        <v>Cement paint</v>
      </c>
      <c r="D315" s="340">
        <f>'Bldg+Dev'!C87</f>
        <v>101.18</v>
      </c>
      <c r="E315" s="340" t="str">
        <f>'Bldg+Dev'!D87</f>
        <v>Sqm.</v>
      </c>
      <c r="F315" s="340">
        <f t="shared" si="4"/>
        <v>0</v>
      </c>
      <c r="G315" s="188"/>
      <c r="H315" s="188"/>
    </row>
    <row r="316" spans="1:48" ht="35.1" hidden="1" customHeight="1">
      <c r="A316" s="338">
        <f>'Bldg+Dev'!A88</f>
        <v>38.200000000000003</v>
      </c>
      <c r="B316" s="340" t="e">
        <f>+'Bldg+Dev'!U88</f>
        <v>#REF!</v>
      </c>
      <c r="C316" s="340" t="str">
        <f>'Bldg+Dev'!B88</f>
        <v>Matt paint</v>
      </c>
      <c r="D316" s="340">
        <f>'Bldg+Dev'!C88</f>
        <v>102.56</v>
      </c>
      <c r="E316" s="340" t="str">
        <f>'Bldg+Dev'!D88</f>
        <v>Sqm.</v>
      </c>
      <c r="F316" s="340" t="e">
        <f t="shared" si="4"/>
        <v>#REF!</v>
      </c>
      <c r="G316" s="188"/>
      <c r="H316" s="188"/>
    </row>
    <row r="317" spans="1:48" ht="24" customHeight="1">
      <c r="A317" s="338">
        <f>'Bldg+Dev'!A91</f>
        <v>39</v>
      </c>
      <c r="B317" s="340">
        <f>+'Bldg+Dev'!U91</f>
        <v>0</v>
      </c>
      <c r="C317" s="340" t="str">
        <f>'Bldg+Dev'!B91</f>
        <v>M.s Grills</v>
      </c>
      <c r="D317" s="340">
        <f>'Bldg+Dev'!C91</f>
        <v>63.3</v>
      </c>
      <c r="E317" s="340" t="str">
        <f>'Bldg+Dev'!D91</f>
        <v>Kg.</v>
      </c>
      <c r="F317" s="340">
        <f t="shared" si="4"/>
        <v>0</v>
      </c>
      <c r="G317" s="188"/>
      <c r="H317" s="188"/>
    </row>
    <row r="318" spans="1:48" ht="24" customHeight="1">
      <c r="A318" s="338">
        <f>'Bldg+Dev'!A92</f>
        <v>40</v>
      </c>
      <c r="B318" s="340" t="e">
        <f>+'Bldg+Dev'!U92</f>
        <v>#REF!</v>
      </c>
      <c r="C318" s="340" t="str">
        <f>'Bldg+Dev'!B92</f>
        <v>Painting - New "wood work"</v>
      </c>
      <c r="D318" s="340">
        <f>'Bldg+Dev'!C92</f>
        <v>153.55000000000001</v>
      </c>
      <c r="E318" s="340" t="str">
        <f>'Bldg+Dev'!D92</f>
        <v>Sqm.</v>
      </c>
      <c r="F318" s="340" t="e">
        <f t="shared" si="4"/>
        <v>#REF!</v>
      </c>
      <c r="G318" s="188"/>
      <c r="H318" s="188"/>
    </row>
    <row r="319" spans="1:48" ht="24" customHeight="1">
      <c r="A319" s="338">
        <f>'Bldg+Dev'!A94</f>
        <v>41</v>
      </c>
      <c r="B319" s="340" t="e">
        <f>+'Bldg+Dev'!U94</f>
        <v>#REF!</v>
      </c>
      <c r="C319" s="340" t="str">
        <f>'Bldg+Dev'!B94</f>
        <v>Painting - New "iron work"</v>
      </c>
      <c r="D319" s="340">
        <f>'Bldg+Dev'!C94</f>
        <v>92.23</v>
      </c>
      <c r="E319" s="340" t="str">
        <f>'Bldg+Dev'!D94</f>
        <v>Sqm.</v>
      </c>
      <c r="F319" s="340" t="e">
        <f t="shared" si="4"/>
        <v>#REF!</v>
      </c>
      <c r="G319" s="188"/>
      <c r="H319" s="188"/>
    </row>
    <row r="320" spans="1:48" ht="45" hidden="1" customHeight="1">
      <c r="A320" s="338">
        <f>'Bldg+Dev'!A96</f>
        <v>42</v>
      </c>
      <c r="B320" s="340">
        <f>+'Bldg+Dev'!U96</f>
        <v>0</v>
      </c>
      <c r="C320" s="340" t="str">
        <f>'Bldg+Dev'!B96</f>
        <v>Fabrication of Mild steel / RTS grills(with cement slurry wash)</v>
      </c>
      <c r="D320" s="340">
        <f>'Bldg+Dev'!C96</f>
        <v>0</v>
      </c>
      <c r="E320" s="340">
        <f>'Bldg+Dev'!D96</f>
        <v>0</v>
      </c>
      <c r="F320" s="340">
        <f t="shared" si="4"/>
        <v>0</v>
      </c>
      <c r="G320" s="188"/>
      <c r="H320" s="188"/>
    </row>
    <row r="321" spans="1:22" ht="35.1" hidden="1" customHeight="1">
      <c r="A321" s="338">
        <f>'Bldg+Dev'!A97</f>
        <v>0</v>
      </c>
      <c r="B321" s="340" t="e">
        <f>+'Bldg+Dev'!U97</f>
        <v>#REF!</v>
      </c>
      <c r="C321" s="340" t="str">
        <f>'Bldg+Dev'!B97</f>
        <v>a. upto 16mm dia rods</v>
      </c>
      <c r="D321" s="340">
        <f>'Bldg+Dev'!C97</f>
        <v>62475.9</v>
      </c>
      <c r="E321" s="340" t="str">
        <f>'Bldg+Dev'!D97</f>
        <v>MT</v>
      </c>
      <c r="F321" s="340" t="e">
        <f t="shared" si="4"/>
        <v>#REF!</v>
      </c>
      <c r="G321" s="188"/>
      <c r="H321" s="188"/>
    </row>
    <row r="322" spans="1:22" ht="35.1" hidden="1" customHeight="1">
      <c r="A322" s="338">
        <f>'Bldg+Dev'!A98</f>
        <v>0</v>
      </c>
      <c r="B322" s="340">
        <f>+'Bldg+Dev'!U98</f>
        <v>0</v>
      </c>
      <c r="C322" s="340" t="str">
        <f>'Bldg+Dev'!B98</f>
        <v>b. above 16mm dia rods</v>
      </c>
      <c r="D322" s="340">
        <f>'Bldg+Dev'!C98</f>
        <v>62475.9</v>
      </c>
      <c r="E322" s="340" t="str">
        <f>'Bldg+Dev'!D98</f>
        <v>MT</v>
      </c>
      <c r="F322" s="340">
        <f t="shared" si="4"/>
        <v>0</v>
      </c>
      <c r="G322" s="188"/>
      <c r="H322" s="188"/>
    </row>
    <row r="323" spans="1:22" ht="35.1" hidden="1" customHeight="1">
      <c r="A323" s="338">
        <f>'Bldg+Dev'!A99</f>
        <v>43</v>
      </c>
      <c r="B323" s="340">
        <f>+'Bldg+Dev'!U99</f>
        <v>0</v>
      </c>
      <c r="C323" s="340" t="str">
        <f>'Bldg+Dev'!B99</f>
        <v xml:space="preserve">Fabrication of Mild steel / RTS grills </v>
      </c>
      <c r="D323" s="340">
        <f>'Bldg+Dev'!C99</f>
        <v>0</v>
      </c>
      <c r="E323" s="340">
        <f>'Bldg+Dev'!D99</f>
        <v>0</v>
      </c>
      <c r="F323" s="340">
        <f t="shared" si="4"/>
        <v>0</v>
      </c>
      <c r="G323" s="188"/>
      <c r="H323" s="188"/>
    </row>
    <row r="324" spans="1:22" ht="35.1" hidden="1" customHeight="1">
      <c r="A324" s="338">
        <f>'Bldg+Dev'!A100</f>
        <v>0</v>
      </c>
      <c r="B324" s="340">
        <f>+'Bldg+Dev'!U100</f>
        <v>0</v>
      </c>
      <c r="C324" s="340" t="str">
        <f>'Bldg+Dev'!B100</f>
        <v>a. upto 16mm dia rods</v>
      </c>
      <c r="D324" s="340">
        <f>'Bldg+Dev'!C100</f>
        <v>61599.8</v>
      </c>
      <c r="E324" s="340" t="str">
        <f>'Bldg+Dev'!D100</f>
        <v>MT</v>
      </c>
      <c r="F324" s="340">
        <f t="shared" si="4"/>
        <v>0</v>
      </c>
      <c r="G324" s="189"/>
      <c r="H324" s="189"/>
      <c r="I324" s="127"/>
      <c r="J324" s="117"/>
      <c r="K324" s="117"/>
      <c r="L324" s="117"/>
      <c r="M324" s="117"/>
      <c r="N324" s="117"/>
      <c r="O324" s="117"/>
      <c r="P324" s="117"/>
      <c r="Q324" s="117"/>
      <c r="R324" s="117"/>
      <c r="S324" s="117"/>
      <c r="T324" s="117"/>
      <c r="U324" s="117"/>
      <c r="V324" s="117"/>
    </row>
    <row r="325" spans="1:22" ht="35.1" hidden="1" customHeight="1">
      <c r="A325" s="338">
        <f>'Bldg+Dev'!A101</f>
        <v>0</v>
      </c>
      <c r="B325" s="340">
        <f>+'Bldg+Dev'!U101</f>
        <v>0</v>
      </c>
      <c r="C325" s="340" t="str">
        <f>'Bldg+Dev'!B101</f>
        <v>b. above 16mm dia rods</v>
      </c>
      <c r="D325" s="340">
        <f>'Bldg+Dev'!C101</f>
        <v>61599.8</v>
      </c>
      <c r="E325" s="340" t="str">
        <f>'Bldg+Dev'!D101</f>
        <v>MT</v>
      </c>
      <c r="F325" s="340">
        <f t="shared" si="4"/>
        <v>0</v>
      </c>
      <c r="G325" s="189"/>
      <c r="H325" s="189"/>
      <c r="I325" s="127"/>
      <c r="J325" s="117"/>
      <c r="K325" s="117"/>
      <c r="L325" s="117"/>
      <c r="M325" s="117"/>
      <c r="N325" s="117"/>
      <c r="O325" s="117"/>
      <c r="P325" s="117"/>
      <c r="Q325" s="117"/>
      <c r="R325" s="117"/>
      <c r="S325" s="117"/>
      <c r="T325" s="117"/>
      <c r="U325" s="118"/>
      <c r="V325" s="117"/>
    </row>
    <row r="326" spans="1:22" ht="35.1" hidden="1" customHeight="1">
      <c r="A326" s="338" t="e">
        <f>'Bldg+Dev'!#REF!</f>
        <v>#REF!</v>
      </c>
      <c r="B326" s="340" t="e">
        <f>+'Bldg+Dev'!#REF!</f>
        <v>#REF!</v>
      </c>
      <c r="C326" s="340" t="e">
        <f>'Bldg+Dev'!#REF!</f>
        <v>#REF!</v>
      </c>
      <c r="D326" s="340" t="e">
        <f>'Bldg+Dev'!#REF!</f>
        <v>#REF!</v>
      </c>
      <c r="E326" s="340" t="e">
        <f>'Bldg+Dev'!#REF!</f>
        <v>#REF!</v>
      </c>
      <c r="F326" s="340" t="e">
        <f t="shared" si="4"/>
        <v>#REF!</v>
      </c>
      <c r="G326" s="189"/>
      <c r="H326" s="189"/>
      <c r="I326" s="127"/>
      <c r="J326" s="117"/>
      <c r="K326" s="117"/>
      <c r="L326" s="117"/>
      <c r="M326" s="117"/>
      <c r="N326" s="117"/>
      <c r="O326" s="117"/>
      <c r="P326" s="117"/>
      <c r="Q326" s="117"/>
      <c r="R326" s="117"/>
      <c r="S326" s="117"/>
      <c r="T326" s="117"/>
      <c r="U326" s="117"/>
      <c r="V326" s="117"/>
    </row>
    <row r="327" spans="1:22" ht="45" hidden="1" customHeight="1">
      <c r="A327" s="338" t="e">
        <f>'Bldg+Dev'!#REF!</f>
        <v>#REF!</v>
      </c>
      <c r="B327" s="340" t="e">
        <f>+'Bldg+Dev'!#REF!</f>
        <v>#REF!</v>
      </c>
      <c r="C327" s="340" t="e">
        <f>'Bldg+Dev'!#REF!</f>
        <v>#REF!</v>
      </c>
      <c r="D327" s="340" t="e">
        <f>'Bldg+Dev'!#REF!</f>
        <v>#REF!</v>
      </c>
      <c r="E327" s="340" t="e">
        <f>'Bldg+Dev'!#REF!</f>
        <v>#REF!</v>
      </c>
      <c r="F327" s="340" t="e">
        <f t="shared" si="4"/>
        <v>#REF!</v>
      </c>
      <c r="G327" s="188"/>
      <c r="H327" s="188"/>
    </row>
    <row r="328" spans="1:22" ht="24" customHeight="1">
      <c r="A328" s="338" t="e">
        <f>'Bldg+Dev'!#REF!</f>
        <v>#REF!</v>
      </c>
      <c r="B328" s="340" t="e">
        <f>+'Bldg+Dev'!#REF!</f>
        <v>#REF!</v>
      </c>
      <c r="C328" s="340" t="e">
        <f>'Bldg+Dev'!#REF!</f>
        <v>#REF!</v>
      </c>
      <c r="D328" s="340" t="e">
        <f>'Bldg+Dev'!#REF!</f>
        <v>#REF!</v>
      </c>
      <c r="E328" s="340" t="e">
        <f>'Bldg+Dev'!#REF!</f>
        <v>#REF!</v>
      </c>
      <c r="F328" s="340" t="e">
        <f t="shared" si="4"/>
        <v>#REF!</v>
      </c>
      <c r="G328" s="188"/>
      <c r="H328" s="188"/>
    </row>
    <row r="329" spans="1:22" ht="24" customHeight="1">
      <c r="A329" s="338" t="e">
        <f>'Bldg+Dev'!#REF!</f>
        <v>#REF!</v>
      </c>
      <c r="B329" s="340" t="e">
        <f>+'Bldg+Dev'!#REF!</f>
        <v>#REF!</v>
      </c>
      <c r="C329" s="340" t="e">
        <f>'Bldg+Dev'!#REF!</f>
        <v>#REF!</v>
      </c>
      <c r="D329" s="340" t="e">
        <f>'Bldg+Dev'!#REF!</f>
        <v>#REF!</v>
      </c>
      <c r="E329" s="340" t="e">
        <f>'Bldg+Dev'!#REF!</f>
        <v>#REF!</v>
      </c>
      <c r="F329" s="340" t="e">
        <f t="shared" ref="F329:F392" si="5">D329*B329</f>
        <v>#REF!</v>
      </c>
      <c r="G329" s="188"/>
      <c r="H329" s="188"/>
    </row>
    <row r="330" spans="1:22" ht="24" customHeight="1">
      <c r="A330" s="338" t="e">
        <f>'Bldg+Dev'!#REF!</f>
        <v>#REF!</v>
      </c>
      <c r="B330" s="340" t="e">
        <f>+'Bldg+Dev'!#REF!</f>
        <v>#REF!</v>
      </c>
      <c r="C330" s="340" t="e">
        <f>'Bldg+Dev'!#REF!</f>
        <v>#REF!</v>
      </c>
      <c r="D330" s="340" t="e">
        <f>'Bldg+Dev'!#REF!</f>
        <v>#REF!</v>
      </c>
      <c r="E330" s="340" t="e">
        <f>'Bldg+Dev'!#REF!</f>
        <v>#REF!</v>
      </c>
      <c r="F330" s="340" t="e">
        <f t="shared" si="5"/>
        <v>#REF!</v>
      </c>
      <c r="G330" s="188"/>
      <c r="H330" s="188"/>
    </row>
    <row r="331" spans="1:22" ht="24" customHeight="1">
      <c r="A331" s="338" t="e">
        <f>'Bldg+Dev'!#REF!</f>
        <v>#REF!</v>
      </c>
      <c r="B331" s="340" t="e">
        <f>+'Bldg+Dev'!#REF!</f>
        <v>#REF!</v>
      </c>
      <c r="C331" s="340" t="e">
        <f>'Bldg+Dev'!#REF!</f>
        <v>#REF!</v>
      </c>
      <c r="D331" s="340" t="e">
        <f>'Bldg+Dev'!#REF!</f>
        <v>#REF!</v>
      </c>
      <c r="E331" s="340" t="e">
        <f>'Bldg+Dev'!#REF!</f>
        <v>#REF!</v>
      </c>
      <c r="F331" s="340" t="e">
        <f t="shared" si="5"/>
        <v>#REF!</v>
      </c>
      <c r="G331" s="188"/>
      <c r="H331" s="188"/>
    </row>
    <row r="332" spans="1:22" ht="24" customHeight="1">
      <c r="A332" s="338">
        <f>'Bldg+Dev'!A102</f>
        <v>49</v>
      </c>
      <c r="B332" s="340" t="e">
        <f>+'Bldg+Dev'!U102</f>
        <v>#REF!</v>
      </c>
      <c r="C332" s="340" t="str">
        <f>'Bldg+Dev'!B102</f>
        <v>S &amp; F chromium plated 8 guage Picture Hook</v>
      </c>
      <c r="D332" s="340">
        <f>'Bldg+Dev'!C102</f>
        <v>2.5</v>
      </c>
      <c r="E332" s="340" t="str">
        <f>'Bldg+Dev'!D102</f>
        <v>Each</v>
      </c>
      <c r="F332" s="340" t="e">
        <f t="shared" si="5"/>
        <v>#REF!</v>
      </c>
      <c r="G332" s="188"/>
      <c r="H332" s="188"/>
    </row>
    <row r="333" spans="1:22" ht="35.1" hidden="1" customHeight="1">
      <c r="A333" s="338">
        <f>'Bldg+Dev'!A103</f>
        <v>50.1</v>
      </c>
      <c r="B333" s="340">
        <f>+'Bldg+Dev'!U103</f>
        <v>0</v>
      </c>
      <c r="C333" s="340" t="str">
        <f>'Bldg+Dev'!B103</f>
        <v>Precast slab 50 mm tk.in C.C. 1:3:6</v>
      </c>
      <c r="D333" s="340">
        <f>'Bldg+Dev'!C103</f>
        <v>0</v>
      </c>
      <c r="E333" s="340" t="str">
        <f>'Bldg+Dev'!D103</f>
        <v>Sqm.</v>
      </c>
      <c r="F333" s="340">
        <f t="shared" si="5"/>
        <v>0</v>
      </c>
      <c r="G333" s="188"/>
      <c r="H333" s="188"/>
    </row>
    <row r="334" spans="1:22" ht="45" customHeight="1">
      <c r="A334" s="338">
        <f>'Bldg+Dev'!A104</f>
        <v>50.2</v>
      </c>
      <c r="B334" s="340">
        <f>+'Bldg+Dev'!U104</f>
        <v>40</v>
      </c>
      <c r="C334" s="340" t="str">
        <f>'Bldg+Dev'!B104</f>
        <v xml:space="preserve">Providing precast Kerb stone in C.C. 1:3:6,  450 x 300 x 150 mm </v>
      </c>
      <c r="D334" s="340">
        <f>'Bldg+Dev'!C104</f>
        <v>166.01</v>
      </c>
      <c r="E334" s="340" t="str">
        <f>'Bldg+Dev'!D104</f>
        <v>Rmt</v>
      </c>
      <c r="F334" s="340">
        <f t="shared" si="5"/>
        <v>6640.4</v>
      </c>
      <c r="G334" s="188"/>
      <c r="H334" s="188"/>
    </row>
    <row r="335" spans="1:22" ht="20.25" customHeight="1">
      <c r="A335" s="338">
        <f>'Bldg+Dev'!A105</f>
        <v>50.3</v>
      </c>
      <c r="B335" s="340" t="e">
        <f>+'Bldg+Dev'!U105</f>
        <v>#REF!</v>
      </c>
      <c r="C335" s="340" t="str">
        <f>'Bldg+Dev'!B105</f>
        <v>Supply and planting avenue trees</v>
      </c>
      <c r="D335" s="340">
        <f>'Bldg+Dev'!C105</f>
        <v>267.67</v>
      </c>
      <c r="E335" s="340" t="str">
        <f>'Bldg+Dev'!D105</f>
        <v>Each</v>
      </c>
      <c r="F335" s="340" t="e">
        <f t="shared" si="5"/>
        <v>#REF!</v>
      </c>
      <c r="G335" s="188"/>
      <c r="H335" s="188"/>
    </row>
    <row r="336" spans="1:22" ht="20.25" customHeight="1">
      <c r="A336" s="338">
        <f>'Bldg+Dev'!A106</f>
        <v>50.4</v>
      </c>
      <c r="B336" s="340" t="e">
        <f>+'Bldg+Dev'!U106</f>
        <v>#REF!</v>
      </c>
      <c r="C336" s="340" t="str">
        <f>'Bldg+Dev'!B106</f>
        <v>Providing Tree guard</v>
      </c>
      <c r="D336" s="340">
        <f>'Bldg+Dev'!C106</f>
        <v>561.44000000000005</v>
      </c>
      <c r="E336" s="340" t="str">
        <f>'Bldg+Dev'!D106</f>
        <v>Each</v>
      </c>
      <c r="F336" s="340" t="e">
        <f t="shared" si="5"/>
        <v>#REF!</v>
      </c>
      <c r="G336" s="188"/>
      <c r="H336" s="188"/>
    </row>
    <row r="337" spans="1:22" ht="34.5" customHeight="1">
      <c r="A337" s="338" t="e">
        <f>'Bldg+Dev'!#REF!</f>
        <v>#REF!</v>
      </c>
      <c r="B337" s="340" t="e">
        <f>+'Bldg+Dev'!#REF!</f>
        <v>#REF!</v>
      </c>
      <c r="C337" s="340" t="e">
        <f>'Bldg+Dev'!#REF!</f>
        <v>#REF!</v>
      </c>
      <c r="D337" s="340" t="e">
        <f>'Bldg+Dev'!#REF!</f>
        <v>#REF!</v>
      </c>
      <c r="E337" s="340" t="e">
        <f>'Bldg+Dev'!#REF!</f>
        <v>#REF!</v>
      </c>
      <c r="F337" s="340" t="e">
        <f t="shared" si="5"/>
        <v>#REF!</v>
      </c>
      <c r="G337" s="188"/>
      <c r="H337" s="188"/>
    </row>
    <row r="338" spans="1:22" ht="28.5" customHeight="1">
      <c r="A338" s="338">
        <f>'Bldg+Dev'!A107</f>
        <v>51</v>
      </c>
      <c r="B338" s="340">
        <f>+'Bldg+Dev'!U107</f>
        <v>0</v>
      </c>
      <c r="C338" s="340" t="str">
        <f>'Bldg+Dev'!B107</f>
        <v>HDPE water tank 700 lit capacity with ISI mark</v>
      </c>
      <c r="D338" s="340">
        <f>'Bldg+Dev'!C107</f>
        <v>6300</v>
      </c>
      <c r="E338" s="340" t="str">
        <f>'Bldg+Dev'!D107</f>
        <v>Each</v>
      </c>
      <c r="F338" s="340">
        <f t="shared" si="5"/>
        <v>0</v>
      </c>
      <c r="G338" s="188"/>
      <c r="H338" s="188"/>
    </row>
    <row r="339" spans="1:22" ht="28.5" customHeight="1">
      <c r="A339" s="338">
        <f>'Bldg+Dev'!A109</f>
        <v>52</v>
      </c>
      <c r="B339" s="339">
        <f>+'Bldg+Dev'!U109</f>
        <v>0</v>
      </c>
      <c r="C339" s="340" t="str">
        <f>'Bldg+Dev'!B109</f>
        <v>PVC Water supply (ASTM)</v>
      </c>
      <c r="D339" s="340">
        <f>'Bldg+Dev'!C109</f>
        <v>0</v>
      </c>
      <c r="E339" s="340">
        <f>'Bldg+Dev'!D109</f>
        <v>0</v>
      </c>
      <c r="F339" s="340"/>
      <c r="G339" s="189"/>
      <c r="H339" s="189"/>
      <c r="I339" s="127"/>
      <c r="J339" s="117"/>
      <c r="K339" s="117"/>
      <c r="L339" s="117"/>
      <c r="M339" s="117"/>
      <c r="N339" s="117"/>
      <c r="O339" s="117"/>
      <c r="P339" s="117"/>
      <c r="Q339" s="117"/>
      <c r="R339" s="117"/>
      <c r="S339" s="117"/>
      <c r="T339" s="117"/>
      <c r="U339" s="117"/>
      <c r="V339" s="117"/>
    </row>
    <row r="340" spans="1:22" ht="18" customHeight="1">
      <c r="A340" s="338">
        <f>'Bldg+Dev'!A110</f>
        <v>0</v>
      </c>
      <c r="B340" s="340" t="e">
        <f>+'Bldg+Dev'!U110</f>
        <v>#REF!</v>
      </c>
      <c r="C340" s="340" t="str">
        <f>'Bldg+Dev'!B110</f>
        <v xml:space="preserve">a. 32 mm dia </v>
      </c>
      <c r="D340" s="340">
        <f>'Bldg+Dev'!C110</f>
        <v>168.87</v>
      </c>
      <c r="E340" s="340" t="str">
        <f>'Bldg+Dev'!D110</f>
        <v>Rmt</v>
      </c>
      <c r="F340" s="340" t="e">
        <f t="shared" si="5"/>
        <v>#REF!</v>
      </c>
      <c r="G340" s="188"/>
      <c r="H340" s="188"/>
    </row>
    <row r="341" spans="1:22" ht="18" customHeight="1">
      <c r="A341" s="338">
        <f>'Bldg+Dev'!A111</f>
        <v>0</v>
      </c>
      <c r="B341" s="340" t="e">
        <f>+'Bldg+Dev'!U111</f>
        <v>#REF!</v>
      </c>
      <c r="C341" s="340" t="str">
        <f>'Bldg+Dev'!B111</f>
        <v xml:space="preserve">b. 25 mm dia </v>
      </c>
      <c r="D341" s="340">
        <f>'Bldg+Dev'!C111</f>
        <v>155.63999999999999</v>
      </c>
      <c r="E341" s="340" t="str">
        <f>'Bldg+Dev'!D111</f>
        <v>Rmt</v>
      </c>
      <c r="F341" s="340" t="e">
        <f t="shared" si="5"/>
        <v>#REF!</v>
      </c>
      <c r="G341" s="188"/>
      <c r="H341" s="188"/>
    </row>
    <row r="342" spans="1:22" ht="35.1" hidden="1" customHeight="1">
      <c r="A342" s="338">
        <f>'Bldg+Dev'!A112</f>
        <v>0</v>
      </c>
      <c r="B342" s="340" t="e">
        <f>+'Bldg+Dev'!U112</f>
        <v>#REF!</v>
      </c>
      <c r="C342" s="340" t="str">
        <f>'Bldg+Dev'!B112</f>
        <v xml:space="preserve">c. 20 mm dia </v>
      </c>
      <c r="D342" s="340">
        <f>'Bldg+Dev'!C112</f>
        <v>149.51</v>
      </c>
      <c r="E342" s="340" t="str">
        <f>'Bldg+Dev'!D112</f>
        <v>Rmt</v>
      </c>
      <c r="F342" s="340" t="e">
        <f t="shared" si="5"/>
        <v>#REF!</v>
      </c>
      <c r="G342" s="188"/>
      <c r="H342" s="188"/>
    </row>
    <row r="343" spans="1:22" ht="45" customHeight="1">
      <c r="A343" s="338">
        <f>'Bldg+Dev'!A113</f>
        <v>52.1</v>
      </c>
      <c r="B343" s="340">
        <f>+'Bldg+Dev'!U113</f>
        <v>0</v>
      </c>
      <c r="C343" s="340" t="str">
        <f>'Bldg+Dev'!B113</f>
        <v>G.I Pipe 20mm dia for Hot water line (Fully Concealed in walls)</v>
      </c>
      <c r="D343" s="340">
        <f>'Bldg+Dev'!C113</f>
        <v>206.06</v>
      </c>
      <c r="E343" s="340" t="str">
        <f>'Bldg+Dev'!D113</f>
        <v>Rmt</v>
      </c>
      <c r="F343" s="340">
        <f t="shared" si="5"/>
        <v>0</v>
      </c>
      <c r="G343" s="188"/>
      <c r="H343" s="188"/>
    </row>
    <row r="344" spans="1:22" ht="35.1" hidden="1" customHeight="1">
      <c r="A344" s="338">
        <f>'Bldg+Dev'!A114</f>
        <v>53.1</v>
      </c>
      <c r="B344" s="340" t="e">
        <f>+'Bldg+Dev'!U114</f>
        <v>#REF!</v>
      </c>
      <c r="C344" s="340" t="str">
        <f>'Bldg+Dev'!B114</f>
        <v>Wash basin</v>
      </c>
      <c r="D344" s="340">
        <f>'Bldg+Dev'!C114</f>
        <v>2240.2800000000002</v>
      </c>
      <c r="E344" s="340" t="str">
        <f>'Bldg+Dev'!D114</f>
        <v>Each</v>
      </c>
      <c r="F344" s="340" t="e">
        <f t="shared" si="5"/>
        <v>#REF!</v>
      </c>
      <c r="G344" s="189"/>
      <c r="H344" s="189"/>
      <c r="I344" s="127"/>
      <c r="J344" s="117"/>
      <c r="K344" s="117"/>
      <c r="L344" s="117"/>
      <c r="M344" s="117"/>
      <c r="N344" s="117"/>
      <c r="O344" s="117"/>
      <c r="P344" s="117"/>
      <c r="Q344" s="117"/>
      <c r="R344" s="117"/>
      <c r="S344" s="117"/>
      <c r="T344" s="117"/>
      <c r="U344" s="118"/>
      <c r="V344" s="117"/>
    </row>
    <row r="345" spans="1:22" ht="45" hidden="1" customHeight="1">
      <c r="A345" s="338">
        <f>'Bldg+Dev'!A115</f>
        <v>53.2</v>
      </c>
      <c r="B345" s="340">
        <f>+'Bldg+Dev'!U115</f>
        <v>2</v>
      </c>
      <c r="C345" s="340" t="str">
        <f>'Bldg+Dev'!B115</f>
        <v>S &amp; F  of  C.I. Manhole cover 60 x 60 cm (50 kg. weight)</v>
      </c>
      <c r="D345" s="340">
        <f>'Bldg+Dev'!C115</f>
        <v>2079</v>
      </c>
      <c r="E345" s="340" t="str">
        <f>'Bldg+Dev'!D115</f>
        <v>Each</v>
      </c>
      <c r="F345" s="340">
        <f t="shared" si="5"/>
        <v>4158</v>
      </c>
      <c r="G345" s="189"/>
      <c r="H345" s="189"/>
      <c r="I345" s="127"/>
      <c r="J345" s="117"/>
      <c r="K345" s="117"/>
      <c r="L345" s="117"/>
      <c r="M345" s="117"/>
      <c r="N345" s="117"/>
      <c r="O345" s="117"/>
      <c r="P345" s="117"/>
      <c r="Q345" s="117"/>
      <c r="R345" s="117"/>
      <c r="S345" s="117"/>
      <c r="T345" s="117"/>
      <c r="U345" s="117"/>
      <c r="V345" s="117"/>
    </row>
    <row r="346" spans="1:22" ht="18.75" customHeight="1">
      <c r="A346" s="338">
        <f>'Bldg+Dev'!A116</f>
        <v>53.3</v>
      </c>
      <c r="B346" s="340">
        <f>+'Bldg+Dev'!U116</f>
        <v>13</v>
      </c>
      <c r="C346" s="340" t="str">
        <f>'Bldg+Dev'!B116</f>
        <v>C.I. Steps ( 5 kg)</v>
      </c>
      <c r="D346" s="340">
        <f>'Bldg+Dev'!C116</f>
        <v>60</v>
      </c>
      <c r="E346" s="340" t="str">
        <f>'Bldg+Dev'!D116</f>
        <v>Each</v>
      </c>
      <c r="F346" s="340">
        <f t="shared" si="5"/>
        <v>780</v>
      </c>
      <c r="G346" s="188"/>
      <c r="H346" s="188"/>
    </row>
    <row r="347" spans="1:22" ht="35.1" hidden="1" customHeight="1">
      <c r="A347" s="338">
        <f>'Bldg+Dev'!A117</f>
        <v>54</v>
      </c>
      <c r="B347" s="340">
        <f>+'Bldg+Dev'!U117</f>
        <v>0</v>
      </c>
      <c r="C347" s="340" t="str">
        <f>'Bldg+Dev'!B117</f>
        <v>Brass tap (with ISI mark)</v>
      </c>
      <c r="D347" s="340">
        <f>'Bldg+Dev'!C117</f>
        <v>211</v>
      </c>
      <c r="E347" s="340" t="str">
        <f>'Bldg+Dev'!D117</f>
        <v>Each</v>
      </c>
      <c r="F347" s="340">
        <f t="shared" si="5"/>
        <v>0</v>
      </c>
      <c r="G347" s="188"/>
      <c r="H347" s="188"/>
    </row>
    <row r="348" spans="1:22" ht="18.75" customHeight="1">
      <c r="A348" s="338">
        <f>'Bldg+Dev'!A118</f>
        <v>54.1</v>
      </c>
      <c r="B348" s="340" t="e">
        <f>+'Bldg+Dev'!U118</f>
        <v>#REF!</v>
      </c>
      <c r="C348" s="340" t="str">
        <f>'Bldg+Dev'!B118</f>
        <v xml:space="preserve">C.P tap long body </v>
      </c>
      <c r="D348" s="340">
        <f>'Bldg+Dev'!C118</f>
        <v>270</v>
      </c>
      <c r="E348" s="340" t="str">
        <f>'Bldg+Dev'!D118</f>
        <v>Each</v>
      </c>
      <c r="F348" s="340" t="e">
        <f t="shared" si="5"/>
        <v>#REF!</v>
      </c>
      <c r="G348" s="188"/>
      <c r="H348" s="188"/>
    </row>
    <row r="349" spans="1:22" ht="18.75" customHeight="1">
      <c r="A349" s="338">
        <f>'Bldg+Dev'!A119</f>
        <v>54.2</v>
      </c>
      <c r="B349" s="340">
        <f>+'Bldg+Dev'!U119</f>
        <v>0</v>
      </c>
      <c r="C349" s="340" t="str">
        <f>'Bldg+Dev'!B119</f>
        <v xml:space="preserve">C.P tap short body </v>
      </c>
      <c r="D349" s="340">
        <f>'Bldg+Dev'!C119</f>
        <v>245</v>
      </c>
      <c r="E349" s="340" t="str">
        <f>'Bldg+Dev'!D119</f>
        <v>Each</v>
      </c>
      <c r="F349" s="340">
        <f t="shared" si="5"/>
        <v>0</v>
      </c>
      <c r="G349" s="188"/>
      <c r="H349" s="188"/>
    </row>
    <row r="350" spans="1:22" ht="35.1" hidden="1" customHeight="1">
      <c r="A350" s="338">
        <f>'Bldg+Dev'!A120</f>
        <v>55.1</v>
      </c>
      <c r="B350" s="340">
        <f>+'Bldg+Dev'!U120</f>
        <v>0</v>
      </c>
      <c r="C350" s="340" t="str">
        <f>'Bldg+Dev'!B120</f>
        <v>Squat Urinal</v>
      </c>
      <c r="D350" s="340">
        <f>'Bldg+Dev'!C120</f>
        <v>645.19000000000005</v>
      </c>
      <c r="E350" s="340" t="str">
        <f>'Bldg+Dev'!D120</f>
        <v>Each</v>
      </c>
      <c r="F350" s="340">
        <f t="shared" si="5"/>
        <v>0</v>
      </c>
      <c r="G350" s="188"/>
      <c r="H350" s="188"/>
    </row>
    <row r="351" spans="1:22" ht="35.1" hidden="1" customHeight="1">
      <c r="A351" s="338">
        <f>'Bldg+Dev'!A121</f>
        <v>55.2</v>
      </c>
      <c r="B351" s="340">
        <f>+'Bldg+Dev'!U121</f>
        <v>0</v>
      </c>
      <c r="C351" s="340" t="str">
        <f>'Bldg+Dev'!B121</f>
        <v>Flat Back Urinal</v>
      </c>
      <c r="D351" s="340">
        <f>'Bldg+Dev'!C121</f>
        <v>1384.86</v>
      </c>
      <c r="E351" s="340" t="str">
        <f>'Bldg+Dev'!D121</f>
        <v>Each</v>
      </c>
      <c r="F351" s="340">
        <f t="shared" si="5"/>
        <v>0</v>
      </c>
      <c r="G351" s="188"/>
      <c r="H351" s="188"/>
    </row>
    <row r="352" spans="1:22" ht="35.1" hidden="1" customHeight="1">
      <c r="A352" s="338">
        <f>'Bldg+Dev'!A122</f>
        <v>56.1</v>
      </c>
      <c r="B352" s="340" t="e">
        <f>+'Bldg+Dev'!U122</f>
        <v>#REF!</v>
      </c>
      <c r="C352" s="340" t="str">
        <f>'Bldg+Dev'!B122</f>
        <v xml:space="preserve">S &amp; F of Orissapan  - in G.F.  </v>
      </c>
      <c r="D352" s="340">
        <f>'Bldg+Dev'!C122</f>
        <v>2047.39</v>
      </c>
      <c r="E352" s="340" t="str">
        <f>'Bldg+Dev'!D122</f>
        <v>Each</v>
      </c>
      <c r="F352" s="340" t="e">
        <f t="shared" si="5"/>
        <v>#REF!</v>
      </c>
      <c r="G352" s="188"/>
      <c r="H352" s="188"/>
    </row>
    <row r="353" spans="1:22" ht="35.1" hidden="1" customHeight="1">
      <c r="A353" s="338">
        <f>'Bldg+Dev'!A123</f>
        <v>56.2</v>
      </c>
      <c r="B353" s="340">
        <f>+'Bldg+Dev'!U123</f>
        <v>0</v>
      </c>
      <c r="C353" s="340" t="str">
        <f>'Bldg+Dev'!B123</f>
        <v xml:space="preserve">S &amp; F of Orissapan - other than G.F. </v>
      </c>
      <c r="D353" s="340">
        <f>'Bldg+Dev'!C123</f>
        <v>3153.42</v>
      </c>
      <c r="E353" s="340" t="str">
        <f>'Bldg+Dev'!D123</f>
        <v>Each</v>
      </c>
      <c r="F353" s="340">
        <f t="shared" si="5"/>
        <v>0</v>
      </c>
      <c r="G353" s="188"/>
      <c r="H353" s="188"/>
    </row>
    <row r="354" spans="1:22" ht="18.75" customHeight="1">
      <c r="A354" s="338">
        <f>'Bldg+Dev'!A124</f>
        <v>57</v>
      </c>
      <c r="B354" s="340" t="e">
        <f>+'Bldg+Dev'!U124</f>
        <v>#REF!</v>
      </c>
      <c r="C354" s="340" t="str">
        <f>'Bldg+Dev'!B124</f>
        <v>S &amp; F of E.W.C.(white)</v>
      </c>
      <c r="D354" s="340">
        <f>'Bldg+Dev'!C124</f>
        <v>4531.8599999999997</v>
      </c>
      <c r="E354" s="340" t="str">
        <f>'Bldg+Dev'!D124</f>
        <v>Each</v>
      </c>
      <c r="F354" s="340" t="e">
        <f t="shared" si="5"/>
        <v>#REF!</v>
      </c>
      <c r="G354" s="188"/>
      <c r="H354" s="188"/>
    </row>
    <row r="355" spans="1:22" ht="35.1" hidden="1" customHeight="1">
      <c r="A355" s="338">
        <f>'Bldg+Dev'!A125</f>
        <v>57.1</v>
      </c>
      <c r="B355" s="340">
        <f>+'Bldg+Dev'!U125</f>
        <v>0</v>
      </c>
      <c r="C355" s="340" t="str">
        <f>'Bldg+Dev'!B125</f>
        <v>S &amp; F of E.W.C.(colour)</v>
      </c>
      <c r="D355" s="340">
        <f>'Bldg+Dev'!C125</f>
        <v>4896.8599999999997</v>
      </c>
      <c r="E355" s="340" t="str">
        <f>'Bldg+Dev'!D125</f>
        <v>Each</v>
      </c>
      <c r="F355" s="340">
        <f t="shared" si="5"/>
        <v>0</v>
      </c>
      <c r="G355" s="188"/>
      <c r="H355" s="188"/>
    </row>
    <row r="356" spans="1:22" ht="35.1" hidden="1" customHeight="1">
      <c r="A356" s="338" t="e">
        <f>'Bldg+Dev'!#REF!</f>
        <v>#REF!</v>
      </c>
      <c r="B356" s="340" t="e">
        <f>+'Bldg+Dev'!#REF!</f>
        <v>#REF!</v>
      </c>
      <c r="C356" s="340" t="e">
        <f>'Bldg+Dev'!#REF!</f>
        <v>#REF!</v>
      </c>
      <c r="D356" s="340" t="e">
        <f>'Bldg+Dev'!#REF!</f>
        <v>#REF!</v>
      </c>
      <c r="E356" s="340" t="e">
        <f>'Bldg+Dev'!#REF!</f>
        <v>#REF!</v>
      </c>
      <c r="F356" s="340" t="e">
        <f t="shared" si="5"/>
        <v>#REF!</v>
      </c>
      <c r="G356" s="188"/>
      <c r="H356" s="188"/>
    </row>
    <row r="357" spans="1:22" ht="35.1" hidden="1" customHeight="1">
      <c r="A357" s="338" t="e">
        <f>'Bldg+Dev'!#REF!</f>
        <v>#REF!</v>
      </c>
      <c r="B357" s="340" t="e">
        <f>+'Bldg+Dev'!#REF!</f>
        <v>#REF!</v>
      </c>
      <c r="C357" s="340" t="e">
        <f>'Bldg+Dev'!#REF!</f>
        <v>#REF!</v>
      </c>
      <c r="D357" s="340" t="e">
        <f>'Bldg+Dev'!#REF!</f>
        <v>#REF!</v>
      </c>
      <c r="E357" s="340" t="e">
        <f>'Bldg+Dev'!#REF!</f>
        <v>#REF!</v>
      </c>
      <c r="F357" s="340" t="e">
        <f t="shared" si="5"/>
        <v>#REF!</v>
      </c>
      <c r="G357" s="188"/>
      <c r="H357" s="188"/>
    </row>
    <row r="358" spans="1:22" ht="35.1" hidden="1" customHeight="1">
      <c r="A358" s="338" t="e">
        <f>'Bldg+Dev'!#REF!</f>
        <v>#REF!</v>
      </c>
      <c r="B358" s="340" t="e">
        <f>+'Bldg+Dev'!#REF!</f>
        <v>#REF!</v>
      </c>
      <c r="C358" s="340" t="e">
        <f>'Bldg+Dev'!#REF!</f>
        <v>#REF!</v>
      </c>
      <c r="D358" s="340" t="e">
        <f>'Bldg+Dev'!#REF!</f>
        <v>#REF!</v>
      </c>
      <c r="E358" s="340" t="e">
        <f>'Bldg+Dev'!#REF!</f>
        <v>#REF!</v>
      </c>
      <c r="F358" s="340" t="e">
        <f t="shared" si="5"/>
        <v>#REF!</v>
      </c>
      <c r="G358" s="188"/>
      <c r="H358" s="188"/>
    </row>
    <row r="359" spans="1:22" ht="35.1" hidden="1" customHeight="1">
      <c r="A359" s="338">
        <f>'Bldg+Dev'!A126</f>
        <v>58.2</v>
      </c>
      <c r="B359" s="340">
        <f>+'Bldg+Dev'!U126</f>
        <v>0</v>
      </c>
      <c r="C359" s="340" t="str">
        <f>'Bldg+Dev'!B126</f>
        <v>PVC Ventilating shaft with cowl</v>
      </c>
      <c r="D359" s="340">
        <f>'Bldg+Dev'!C126</f>
        <v>617.08000000000004</v>
      </c>
      <c r="E359" s="340" t="str">
        <f>'Bldg+Dev'!D126</f>
        <v>Each</v>
      </c>
      <c r="F359" s="340">
        <f t="shared" si="5"/>
        <v>0</v>
      </c>
      <c r="G359" s="188"/>
      <c r="H359" s="188"/>
    </row>
    <row r="360" spans="1:22" ht="45" hidden="1" customHeight="1">
      <c r="A360" s="338" t="e">
        <f>'Bldg+Dev'!#REF!</f>
        <v>#REF!</v>
      </c>
      <c r="B360" s="340" t="e">
        <f>+'Bldg+Dev'!#REF!</f>
        <v>#REF!</v>
      </c>
      <c r="C360" s="340" t="e">
        <f>'Bldg+Dev'!#REF!</f>
        <v>#REF!</v>
      </c>
      <c r="D360" s="340" t="e">
        <f>'Bldg+Dev'!#REF!</f>
        <v>#REF!</v>
      </c>
      <c r="E360" s="340" t="e">
        <f>'Bldg+Dev'!#REF!</f>
        <v>#REF!</v>
      </c>
      <c r="F360" s="340" t="e">
        <f t="shared" si="5"/>
        <v>#REF!</v>
      </c>
      <c r="G360" s="188"/>
      <c r="H360" s="188"/>
    </row>
    <row r="361" spans="1:22" ht="21.75" customHeight="1">
      <c r="A361" s="338">
        <f>'Bldg+Dev'!A127</f>
        <v>59.2</v>
      </c>
      <c r="B361" s="340" t="e">
        <f>+'Bldg+Dev'!U127</f>
        <v>#REF!</v>
      </c>
      <c r="C361" s="340" t="str">
        <f>'Bldg+Dev'!B127</f>
        <v>Gully Trap using chamber burnt bricks of size 23x11.4x7.5cm</v>
      </c>
      <c r="D361" s="340">
        <f>'Bldg+Dev'!C127</f>
        <v>983.08</v>
      </c>
      <c r="E361" s="340" t="str">
        <f>'Bldg+Dev'!D127</f>
        <v>Each</v>
      </c>
      <c r="F361" s="340" t="e">
        <f t="shared" si="5"/>
        <v>#REF!</v>
      </c>
      <c r="G361" s="188"/>
      <c r="H361" s="188"/>
    </row>
    <row r="362" spans="1:22" ht="45" hidden="1" customHeight="1">
      <c r="A362" s="338" t="e">
        <f>'Bldg+Dev'!#REF!</f>
        <v>#REF!</v>
      </c>
      <c r="B362" s="340" t="e">
        <f>+'Bldg+Dev'!#REF!</f>
        <v>#REF!</v>
      </c>
      <c r="C362" s="340" t="e">
        <f>'Bldg+Dev'!#REF!</f>
        <v>#REF!</v>
      </c>
      <c r="D362" s="340" t="e">
        <f>'Bldg+Dev'!#REF!</f>
        <v>#REF!</v>
      </c>
      <c r="E362" s="340" t="e">
        <f>'Bldg+Dev'!#REF!</f>
        <v>#REF!</v>
      </c>
      <c r="F362" s="340" t="e">
        <f t="shared" si="5"/>
        <v>#REF!</v>
      </c>
      <c r="G362" s="188"/>
      <c r="H362" s="188"/>
    </row>
    <row r="363" spans="1:22" ht="45" hidden="1" customHeight="1">
      <c r="A363" s="338" t="e">
        <f>'Bldg+Dev'!#REF!</f>
        <v>#REF!</v>
      </c>
      <c r="B363" s="340" t="e">
        <f>+'Bldg+Dev'!#REF!</f>
        <v>#REF!</v>
      </c>
      <c r="C363" s="340" t="e">
        <f>'Bldg+Dev'!#REF!</f>
        <v>#REF!</v>
      </c>
      <c r="D363" s="340" t="e">
        <f>'Bldg+Dev'!#REF!</f>
        <v>#REF!</v>
      </c>
      <c r="E363" s="340" t="e">
        <f>'Bldg+Dev'!#REF!</f>
        <v>#REF!</v>
      </c>
      <c r="F363" s="340" t="e">
        <f t="shared" si="5"/>
        <v>#REF!</v>
      </c>
      <c r="G363" s="188"/>
      <c r="H363" s="188"/>
    </row>
    <row r="364" spans="1:22" ht="45" hidden="1" customHeight="1">
      <c r="A364" s="338" t="e">
        <f>'Bldg+Dev'!#REF!</f>
        <v>#REF!</v>
      </c>
      <c r="B364" s="340" t="e">
        <f>+'Bldg+Dev'!#REF!</f>
        <v>#REF!</v>
      </c>
      <c r="C364" s="340" t="e">
        <f>'Bldg+Dev'!#REF!</f>
        <v>#REF!</v>
      </c>
      <c r="D364" s="340" t="e">
        <f>'Bldg+Dev'!#REF!</f>
        <v>#REF!</v>
      </c>
      <c r="E364" s="340" t="e">
        <f>'Bldg+Dev'!#REF!</f>
        <v>#REF!</v>
      </c>
      <c r="F364" s="340" t="e">
        <f t="shared" si="5"/>
        <v>#REF!</v>
      </c>
      <c r="G364" s="189"/>
      <c r="H364" s="189"/>
      <c r="I364" s="127"/>
      <c r="J364" s="117"/>
      <c r="K364" s="117"/>
      <c r="L364" s="117"/>
      <c r="M364" s="117"/>
      <c r="N364" s="117"/>
      <c r="O364" s="117"/>
      <c r="P364" s="117"/>
      <c r="Q364" s="117"/>
      <c r="R364" s="117"/>
      <c r="S364" s="117"/>
      <c r="T364" s="117"/>
      <c r="U364" s="117"/>
      <c r="V364" s="117"/>
    </row>
    <row r="365" spans="1:22" ht="45" hidden="1" customHeight="1">
      <c r="A365" s="338" t="e">
        <f>'Bldg+Dev'!#REF!</f>
        <v>#REF!</v>
      </c>
      <c r="B365" s="340" t="e">
        <f>+'Bldg+Dev'!#REF!</f>
        <v>#REF!</v>
      </c>
      <c r="C365" s="340" t="e">
        <f>'Bldg+Dev'!#REF!</f>
        <v>#REF!</v>
      </c>
      <c r="D365" s="340" t="e">
        <f>'Bldg+Dev'!#REF!</f>
        <v>#REF!</v>
      </c>
      <c r="E365" s="340" t="e">
        <f>'Bldg+Dev'!#REF!</f>
        <v>#REF!</v>
      </c>
      <c r="F365" s="340" t="e">
        <f t="shared" si="5"/>
        <v>#REF!</v>
      </c>
      <c r="G365" s="188"/>
      <c r="H365" s="188"/>
    </row>
    <row r="366" spans="1:22" ht="22.5" customHeight="1">
      <c r="A366" s="338">
        <f>'Bldg+Dev'!A128</f>
        <v>60</v>
      </c>
      <c r="B366" s="340" t="e">
        <f>+'Bldg+Dev'!U128</f>
        <v>#REF!</v>
      </c>
      <c r="C366" s="340" t="str">
        <f>'Bldg+Dev'!B128</f>
        <v>PVC Nahani trap (4way/2way)</v>
      </c>
      <c r="D366" s="340">
        <f>'Bldg+Dev'!C128</f>
        <v>136</v>
      </c>
      <c r="E366" s="340" t="str">
        <f>'Bldg+Dev'!D128</f>
        <v>Each</v>
      </c>
      <c r="F366" s="340" t="e">
        <f t="shared" si="5"/>
        <v>#REF!</v>
      </c>
      <c r="G366" s="188"/>
      <c r="H366" s="188"/>
    </row>
    <row r="367" spans="1:22" ht="22.5" customHeight="1">
      <c r="A367" s="338">
        <f>'Bldg+Dev'!A129</f>
        <v>61.1</v>
      </c>
      <c r="B367" s="339">
        <f>+'Bldg+Dev'!U129</f>
        <v>0</v>
      </c>
      <c r="C367" s="340" t="str">
        <f>'Bldg+Dev'!B129</f>
        <v>Stoneware pipe</v>
      </c>
      <c r="D367" s="340">
        <f>'Bldg+Dev'!C129</f>
        <v>0</v>
      </c>
      <c r="E367" s="340">
        <f>'Bldg+Dev'!D129</f>
        <v>0</v>
      </c>
      <c r="F367" s="340"/>
      <c r="G367" s="188"/>
      <c r="H367" s="188"/>
    </row>
    <row r="368" spans="1:22" ht="22.5" customHeight="1">
      <c r="A368" s="338">
        <f>'Bldg+Dev'!A130</f>
        <v>0</v>
      </c>
      <c r="B368" s="340" t="e">
        <f>+'Bldg+Dev'!U130</f>
        <v>#REF!</v>
      </c>
      <c r="C368" s="340" t="str">
        <f>'Bldg+Dev'!B130</f>
        <v>a. 100 mm S.W. pipe</v>
      </c>
      <c r="D368" s="340">
        <f>'Bldg+Dev'!C130</f>
        <v>304.36</v>
      </c>
      <c r="E368" s="340" t="str">
        <f>'Bldg+Dev'!D130</f>
        <v>Rmt</v>
      </c>
      <c r="F368" s="340" t="e">
        <f t="shared" si="5"/>
        <v>#REF!</v>
      </c>
      <c r="G368" s="188"/>
      <c r="H368" s="188"/>
    </row>
    <row r="369" spans="1:22" ht="22.5" customHeight="1">
      <c r="A369" s="338">
        <f>'Bldg+Dev'!A131</f>
        <v>0</v>
      </c>
      <c r="B369" s="340">
        <f>+'Bldg+Dev'!U131</f>
        <v>0</v>
      </c>
      <c r="C369" s="340" t="str">
        <f>'Bldg+Dev'!B131</f>
        <v>b. 150 mm S.W. pipe</v>
      </c>
      <c r="D369" s="340">
        <f>'Bldg+Dev'!C131</f>
        <v>418.15</v>
      </c>
      <c r="E369" s="340" t="str">
        <f>'Bldg+Dev'!D131</f>
        <v>Rmt</v>
      </c>
      <c r="F369" s="340">
        <f t="shared" si="5"/>
        <v>0</v>
      </c>
      <c r="G369" s="188"/>
      <c r="H369" s="188"/>
    </row>
    <row r="370" spans="1:22" ht="22.5" customHeight="1">
      <c r="A370" s="338">
        <f>'Bldg+Dev'!A132</f>
        <v>61.2</v>
      </c>
      <c r="B370" s="339">
        <f>+'Bldg+Dev'!U132</f>
        <v>0</v>
      </c>
      <c r="C370" s="340" t="str">
        <f>'Bldg+Dev'!B132</f>
        <v>Stoneware pipe dry condition</v>
      </c>
      <c r="D370" s="340">
        <f>'Bldg+Dev'!C132</f>
        <v>0</v>
      </c>
      <c r="E370" s="340">
        <f>'Bldg+Dev'!D132</f>
        <v>0</v>
      </c>
      <c r="F370" s="340"/>
      <c r="G370" s="188"/>
      <c r="H370" s="188"/>
    </row>
    <row r="371" spans="1:22" ht="22.5" customHeight="1">
      <c r="A371" s="338">
        <f>'Bldg+Dev'!A133</f>
        <v>0</v>
      </c>
      <c r="B371" s="340" t="e">
        <f>+'Bldg+Dev'!U133</f>
        <v>#REF!</v>
      </c>
      <c r="C371" s="340" t="str">
        <f>'Bldg+Dev'!B133</f>
        <v>a. 100 mm dia</v>
      </c>
      <c r="D371" s="340">
        <f>'Bldg+Dev'!C133</f>
        <v>156.62</v>
      </c>
      <c r="E371" s="340" t="str">
        <f>'Bldg+Dev'!D133</f>
        <v>Rmt</v>
      </c>
      <c r="F371" s="340" t="e">
        <f t="shared" si="5"/>
        <v>#REF!</v>
      </c>
      <c r="G371" s="188"/>
      <c r="H371" s="188"/>
    </row>
    <row r="372" spans="1:22" ht="35.1" hidden="1" customHeight="1">
      <c r="A372" s="338">
        <f>'Bldg+Dev'!A134</f>
        <v>0</v>
      </c>
      <c r="B372" s="340">
        <f>+'Bldg+Dev'!U134</f>
        <v>0</v>
      </c>
      <c r="C372" s="340" t="str">
        <f>'Bldg+Dev'!B134</f>
        <v>b. 150 mm dia</v>
      </c>
      <c r="D372" s="340">
        <f>'Bldg+Dev'!C134</f>
        <v>237.99</v>
      </c>
      <c r="E372" s="340" t="str">
        <f>'Bldg+Dev'!D134</f>
        <v>Rmt</v>
      </c>
      <c r="F372" s="340">
        <f t="shared" si="5"/>
        <v>0</v>
      </c>
      <c r="G372" s="189"/>
      <c r="H372" s="189"/>
      <c r="I372" s="127"/>
      <c r="J372" s="117"/>
      <c r="K372" s="117"/>
      <c r="L372" s="117"/>
      <c r="M372" s="117"/>
      <c r="N372" s="117"/>
      <c r="O372" s="117"/>
      <c r="P372" s="117"/>
      <c r="Q372" s="117"/>
      <c r="R372" s="117"/>
      <c r="S372" s="117"/>
      <c r="T372" s="117"/>
      <c r="U372" s="118"/>
      <c r="V372" s="117"/>
    </row>
    <row r="373" spans="1:22" ht="22.5" customHeight="1">
      <c r="A373" s="338" t="e">
        <f>'Bldg+Dev'!#REF!</f>
        <v>#REF!</v>
      </c>
      <c r="B373" s="339" t="e">
        <f>+'Bldg+Dev'!#REF!</f>
        <v>#REF!</v>
      </c>
      <c r="C373" s="340" t="e">
        <f>'Bldg+Dev'!#REF!</f>
        <v>#REF!</v>
      </c>
      <c r="D373" s="340" t="e">
        <f>'Bldg+Dev'!#REF!</f>
        <v>#REF!</v>
      </c>
      <c r="E373" s="340" t="e">
        <f>'Bldg+Dev'!#REF!</f>
        <v>#REF!</v>
      </c>
      <c r="F373" s="340"/>
      <c r="G373" s="189"/>
      <c r="H373" s="189"/>
      <c r="I373" s="127"/>
      <c r="J373" s="117"/>
      <c r="K373" s="117"/>
      <c r="L373" s="117"/>
      <c r="M373" s="117"/>
      <c r="N373" s="117"/>
      <c r="O373" s="117"/>
      <c r="P373" s="117"/>
      <c r="Q373" s="117"/>
      <c r="R373" s="117"/>
      <c r="S373" s="117"/>
      <c r="T373" s="117"/>
      <c r="U373" s="117"/>
      <c r="V373" s="117"/>
    </row>
    <row r="374" spans="1:22" ht="22.5" customHeight="1">
      <c r="A374" s="338" t="e">
        <f>'Bldg+Dev'!#REF!</f>
        <v>#REF!</v>
      </c>
      <c r="B374" s="340" t="e">
        <f>+'Bldg+Dev'!#REF!</f>
        <v>#REF!</v>
      </c>
      <c r="C374" s="340" t="e">
        <f>'Bldg+Dev'!#REF!</f>
        <v>#REF!</v>
      </c>
      <c r="D374" s="340" t="e">
        <f>'Bldg+Dev'!#REF!</f>
        <v>#REF!</v>
      </c>
      <c r="E374" s="340" t="e">
        <f>'Bldg+Dev'!#REF!</f>
        <v>#REF!</v>
      </c>
      <c r="F374" s="340" t="e">
        <f t="shared" si="5"/>
        <v>#REF!</v>
      </c>
      <c r="G374" s="188"/>
      <c r="H374" s="188"/>
    </row>
    <row r="375" spans="1:22" ht="35.1" hidden="1" customHeight="1">
      <c r="A375" s="338" t="e">
        <f>'Bldg+Dev'!#REF!</f>
        <v>#REF!</v>
      </c>
      <c r="B375" s="340" t="e">
        <f>+'Bldg+Dev'!#REF!</f>
        <v>#REF!</v>
      </c>
      <c r="C375" s="340" t="e">
        <f>'Bldg+Dev'!#REF!</f>
        <v>#REF!</v>
      </c>
      <c r="D375" s="340" t="e">
        <f>'Bldg+Dev'!#REF!</f>
        <v>#REF!</v>
      </c>
      <c r="E375" s="340" t="e">
        <f>'Bldg+Dev'!#REF!</f>
        <v>#REF!</v>
      </c>
      <c r="F375" s="340" t="e">
        <f t="shared" si="5"/>
        <v>#REF!</v>
      </c>
      <c r="G375" s="189"/>
      <c r="H375" s="189"/>
      <c r="I375" s="127"/>
      <c r="J375" s="117"/>
      <c r="K375" s="117"/>
      <c r="L375" s="117"/>
      <c r="M375" s="117"/>
      <c r="N375" s="117"/>
      <c r="O375" s="117"/>
      <c r="P375" s="117"/>
      <c r="Q375" s="117"/>
      <c r="R375" s="117"/>
      <c r="S375" s="117"/>
      <c r="T375" s="117"/>
      <c r="U375" s="118"/>
      <c r="V375" s="117"/>
    </row>
    <row r="376" spans="1:22" ht="22.5" customHeight="1">
      <c r="A376" s="338" t="e">
        <f>'Bldg+Dev'!#REF!</f>
        <v>#REF!</v>
      </c>
      <c r="B376" s="339" t="e">
        <f>+'Bldg+Dev'!#REF!</f>
        <v>#REF!</v>
      </c>
      <c r="C376" s="340" t="e">
        <f>'Bldg+Dev'!#REF!</f>
        <v>#REF!</v>
      </c>
      <c r="D376" s="340" t="e">
        <f>'Bldg+Dev'!#REF!</f>
        <v>#REF!</v>
      </c>
      <c r="E376" s="340" t="e">
        <f>'Bldg+Dev'!#REF!</f>
        <v>#REF!</v>
      </c>
      <c r="F376" s="340"/>
      <c r="G376" s="189"/>
      <c r="H376" s="189"/>
      <c r="I376" s="127"/>
      <c r="J376" s="117"/>
      <c r="K376" s="117"/>
      <c r="L376" s="117"/>
      <c r="M376" s="117"/>
      <c r="N376" s="117"/>
      <c r="O376" s="117"/>
      <c r="P376" s="117"/>
      <c r="Q376" s="117"/>
      <c r="R376" s="117"/>
      <c r="S376" s="117"/>
      <c r="T376" s="117"/>
      <c r="U376" s="117"/>
      <c r="V376" s="117"/>
    </row>
    <row r="377" spans="1:22" ht="22.5" customHeight="1">
      <c r="A377" s="338" t="e">
        <f>'Bldg+Dev'!#REF!</f>
        <v>#REF!</v>
      </c>
      <c r="B377" s="340" t="e">
        <f>+'Bldg+Dev'!#REF!</f>
        <v>#REF!</v>
      </c>
      <c r="C377" s="340" t="e">
        <f>'Bldg+Dev'!#REF!</f>
        <v>#REF!</v>
      </c>
      <c r="D377" s="340" t="e">
        <f>'Bldg+Dev'!#REF!</f>
        <v>#REF!</v>
      </c>
      <c r="E377" s="340" t="e">
        <f>'Bldg+Dev'!#REF!</f>
        <v>#REF!</v>
      </c>
      <c r="F377" s="340" t="e">
        <f t="shared" si="5"/>
        <v>#REF!</v>
      </c>
      <c r="G377" s="188"/>
      <c r="H377" s="188"/>
    </row>
    <row r="378" spans="1:22" ht="22.5" hidden="1" customHeight="1">
      <c r="A378" s="338" t="e">
        <f>'Bldg+Dev'!#REF!</f>
        <v>#REF!</v>
      </c>
      <c r="B378" s="340" t="e">
        <f>+'Bldg+Dev'!#REF!</f>
        <v>#REF!</v>
      </c>
      <c r="C378" s="340" t="e">
        <f>'Bldg+Dev'!#REF!</f>
        <v>#REF!</v>
      </c>
      <c r="D378" s="340" t="e">
        <f>'Bldg+Dev'!#REF!</f>
        <v>#REF!</v>
      </c>
      <c r="E378" s="340" t="e">
        <f>'Bldg+Dev'!#REF!</f>
        <v>#REF!</v>
      </c>
      <c r="F378" s="340" t="e">
        <f t="shared" si="5"/>
        <v>#REF!</v>
      </c>
      <c r="G378" s="188"/>
      <c r="H378" s="188"/>
    </row>
    <row r="379" spans="1:22" ht="35.1" hidden="1" customHeight="1">
      <c r="A379" s="338">
        <f>'Bldg+Dev'!A135</f>
        <v>63</v>
      </c>
      <c r="B379" s="340">
        <f>+'Bldg+Dev'!U135</f>
        <v>0</v>
      </c>
      <c r="C379" s="340" t="str">
        <f>'Bldg+Dev'!B135</f>
        <v>32 mm dia PVC waste pipe</v>
      </c>
      <c r="D379" s="340">
        <f>'Bldg+Dev'!C135</f>
        <v>52.5</v>
      </c>
      <c r="E379" s="340" t="str">
        <f>'Bldg+Dev'!D135</f>
        <v>Each</v>
      </c>
      <c r="F379" s="340">
        <f t="shared" si="5"/>
        <v>0</v>
      </c>
      <c r="G379" s="188"/>
      <c r="H379" s="188"/>
    </row>
    <row r="380" spans="1:22" ht="28.5" customHeight="1">
      <c r="A380" s="338">
        <f>'Bldg+Dev'!A136</f>
        <v>0</v>
      </c>
      <c r="B380" s="339">
        <f>+'Bldg+Dev'!U136</f>
        <v>0</v>
      </c>
      <c r="C380" s="340" t="str">
        <f>'Bldg+Dev'!B136</f>
        <v>Electrical arrangements</v>
      </c>
      <c r="D380" s="340">
        <f>'Bldg+Dev'!C136</f>
        <v>0</v>
      </c>
      <c r="E380" s="340">
        <f>'Bldg+Dev'!D136</f>
        <v>0</v>
      </c>
      <c r="F380" s="340"/>
      <c r="G380" s="188"/>
      <c r="H380" s="188"/>
    </row>
    <row r="381" spans="1:22" ht="35.1" hidden="1" customHeight="1">
      <c r="A381" s="338">
        <f>'Bldg+Dev'!A137</f>
        <v>64</v>
      </c>
      <c r="B381" s="340" t="e">
        <f>+'Bldg+Dev'!U137</f>
        <v>#REF!</v>
      </c>
      <c r="C381" s="340" t="str">
        <f>'Bldg+Dev'!B137</f>
        <v>a. Light point with ceiling rose</v>
      </c>
      <c r="D381" s="340">
        <f>'Bldg+Dev'!C137</f>
        <v>882</v>
      </c>
      <c r="E381" s="340" t="str">
        <f>'Bldg+Dev'!D137</f>
        <v>Each</v>
      </c>
      <c r="F381" s="340" t="e">
        <f t="shared" si="5"/>
        <v>#REF!</v>
      </c>
      <c r="G381" s="189"/>
      <c r="H381" s="189"/>
      <c r="I381" s="127"/>
      <c r="J381" s="117"/>
      <c r="K381" s="117"/>
      <c r="L381" s="117"/>
      <c r="M381" s="117"/>
      <c r="N381" s="117"/>
      <c r="O381" s="117"/>
      <c r="P381" s="117"/>
      <c r="Q381" s="117"/>
      <c r="R381" s="117"/>
      <c r="S381" s="117"/>
      <c r="T381" s="117"/>
      <c r="U381" s="118"/>
      <c r="V381" s="117"/>
    </row>
    <row r="382" spans="1:22" ht="35.1" hidden="1" customHeight="1">
      <c r="A382" s="338">
        <f>'Bldg+Dev'!A138</f>
        <v>0</v>
      </c>
      <c r="B382" s="340" t="e">
        <f>+'Bldg+Dev'!U138</f>
        <v>#REF!</v>
      </c>
      <c r="C382" s="340" t="str">
        <f>'Bldg+Dev'!B138</f>
        <v>b. Light point without ceiling rose</v>
      </c>
      <c r="D382" s="340">
        <f>'Bldg+Dev'!C138</f>
        <v>885</v>
      </c>
      <c r="E382" s="340" t="str">
        <f>'Bldg+Dev'!D138</f>
        <v>Each</v>
      </c>
      <c r="F382" s="340" t="e">
        <f t="shared" si="5"/>
        <v>#REF!</v>
      </c>
      <c r="G382" s="189"/>
      <c r="H382" s="189"/>
      <c r="I382" s="127"/>
      <c r="J382" s="117"/>
      <c r="K382" s="117"/>
      <c r="L382" s="117"/>
      <c r="M382" s="117"/>
      <c r="N382" s="117"/>
      <c r="O382" s="117"/>
      <c r="P382" s="117"/>
      <c r="Q382" s="117"/>
      <c r="R382" s="117"/>
      <c r="S382" s="117"/>
      <c r="T382" s="117"/>
      <c r="U382" s="117"/>
      <c r="V382" s="117"/>
    </row>
    <row r="383" spans="1:22" ht="35.1" hidden="1" customHeight="1">
      <c r="A383" s="338">
        <f>'Bldg+Dev'!A139</f>
        <v>0</v>
      </c>
      <c r="B383" s="340" t="e">
        <f>+'Bldg+Dev'!U139</f>
        <v>#REF!</v>
      </c>
      <c r="C383" s="340" t="str">
        <f>'Bldg+Dev'!B139</f>
        <v>c. Calling bell point with Buzzer/Calling bell</v>
      </c>
      <c r="D383" s="340">
        <f>'Bldg+Dev'!C139</f>
        <v>922</v>
      </c>
      <c r="E383" s="340" t="str">
        <f>'Bldg+Dev'!D139</f>
        <v>Each</v>
      </c>
      <c r="F383" s="340" t="e">
        <f t="shared" si="5"/>
        <v>#REF!</v>
      </c>
      <c r="G383" s="188"/>
      <c r="H383" s="188"/>
    </row>
    <row r="384" spans="1:22" ht="35.1" hidden="1" customHeight="1">
      <c r="A384" s="338">
        <f>'Bldg+Dev'!A140</f>
        <v>65</v>
      </c>
      <c r="B384" s="340" t="e">
        <f>+'Bldg+Dev'!U140</f>
        <v>#REF!</v>
      </c>
      <c r="C384" s="340" t="str">
        <f>'Bldg+Dev'!B140</f>
        <v xml:space="preserve">Fan point </v>
      </c>
      <c r="D384" s="340">
        <f>'Bldg+Dev'!C140</f>
        <v>953</v>
      </c>
      <c r="E384" s="340" t="str">
        <f>'Bldg+Dev'!D140</f>
        <v>Each</v>
      </c>
      <c r="F384" s="340" t="e">
        <f t="shared" si="5"/>
        <v>#REF!</v>
      </c>
      <c r="G384" s="188"/>
      <c r="H384" s="188"/>
    </row>
    <row r="385" spans="1:22" ht="35.1" hidden="1" customHeight="1">
      <c r="A385" s="338">
        <f>'Bldg+Dev'!A141</f>
        <v>66</v>
      </c>
      <c r="B385" s="340">
        <f>+'Bldg+Dev'!U141</f>
        <v>0</v>
      </c>
      <c r="C385" s="340" t="str">
        <f>'Bldg+Dev'!B141</f>
        <v>Staircase light point</v>
      </c>
      <c r="D385" s="340">
        <f>'Bldg+Dev'!C141</f>
        <v>1562</v>
      </c>
      <c r="E385" s="340" t="str">
        <f>'Bldg+Dev'!D141</f>
        <v>Each</v>
      </c>
      <c r="F385" s="340">
        <f t="shared" si="5"/>
        <v>0</v>
      </c>
      <c r="G385" s="189"/>
      <c r="H385" s="189"/>
      <c r="I385" s="127"/>
      <c r="J385" s="117"/>
      <c r="K385" s="117"/>
      <c r="L385" s="117"/>
      <c r="M385" s="117"/>
      <c r="N385" s="117"/>
      <c r="O385" s="117"/>
      <c r="P385" s="117"/>
      <c r="Q385" s="117"/>
      <c r="R385" s="117"/>
      <c r="S385" s="117"/>
      <c r="T385" s="117"/>
      <c r="U385" s="118"/>
      <c r="V385" s="117"/>
    </row>
    <row r="386" spans="1:22" ht="35.1" hidden="1" customHeight="1">
      <c r="A386" s="338">
        <f>'Bldg+Dev'!A142</f>
        <v>67</v>
      </c>
      <c r="B386" s="340" t="e">
        <f>+'Bldg+Dev'!U142</f>
        <v>#REF!</v>
      </c>
      <c r="C386" s="340" t="str">
        <f>'Bldg+Dev'!B142</f>
        <v>5 amps 5 pin Plug point (Switch board itself)</v>
      </c>
      <c r="D386" s="340">
        <f>'Bldg+Dev'!C142</f>
        <v>424</v>
      </c>
      <c r="E386" s="340" t="str">
        <f>'Bldg+Dev'!D142</f>
        <v>Each</v>
      </c>
      <c r="F386" s="340" t="e">
        <f t="shared" si="5"/>
        <v>#REF!</v>
      </c>
      <c r="G386" s="188"/>
      <c r="H386" s="188"/>
    </row>
    <row r="387" spans="1:22" ht="35.1" hidden="1" customHeight="1">
      <c r="A387" s="338">
        <f>'Bldg+Dev'!A143</f>
        <v>68</v>
      </c>
      <c r="B387" s="340" t="e">
        <f>+'Bldg+Dev'!U143</f>
        <v>#REF!</v>
      </c>
      <c r="C387" s="340" t="str">
        <f>'Bldg+Dev'!B143</f>
        <v>5 amps 5 pin Plug point (Convenient places)</v>
      </c>
      <c r="D387" s="340">
        <f>'Bldg+Dev'!C143</f>
        <v>633</v>
      </c>
      <c r="E387" s="340" t="str">
        <f>'Bldg+Dev'!D143</f>
        <v>Each</v>
      </c>
      <c r="F387" s="340" t="e">
        <f t="shared" si="5"/>
        <v>#REF!</v>
      </c>
      <c r="G387" s="188"/>
      <c r="H387" s="188"/>
    </row>
    <row r="388" spans="1:22" ht="28.5" customHeight="1">
      <c r="A388" s="338">
        <f>'Bldg+Dev'!A144</f>
        <v>69</v>
      </c>
      <c r="B388" s="340" t="e">
        <f>+'Bldg+Dev'!U144</f>
        <v>#REF!</v>
      </c>
      <c r="C388" s="340" t="str">
        <f>'Bldg+Dev'!B144</f>
        <v>15 Amp. Power plug</v>
      </c>
      <c r="D388" s="340">
        <f>'Bldg+Dev'!C144</f>
        <v>150</v>
      </c>
      <c r="E388" s="340" t="str">
        <f>'Bldg+Dev'!D144</f>
        <v>Each</v>
      </c>
      <c r="F388" s="340" t="e">
        <f t="shared" si="5"/>
        <v>#REF!</v>
      </c>
      <c r="G388" s="188"/>
      <c r="H388" s="188"/>
    </row>
    <row r="389" spans="1:22" ht="35.1" hidden="1" customHeight="1">
      <c r="A389" s="338">
        <f>'Bldg+Dev'!A145</f>
        <v>70.099999999999994</v>
      </c>
      <c r="B389" s="340" t="e">
        <f>+'Bldg+Dev'!U145</f>
        <v>#REF!</v>
      </c>
      <c r="C389" s="340" t="str">
        <f>'Bldg+Dev'!B145</f>
        <v>Bulk head fitting</v>
      </c>
      <c r="D389" s="340">
        <f>'Bldg+Dev'!C145</f>
        <v>417</v>
      </c>
      <c r="E389" s="340" t="str">
        <f>'Bldg+Dev'!D145</f>
        <v>Each</v>
      </c>
      <c r="F389" s="340" t="e">
        <f t="shared" si="5"/>
        <v>#REF!</v>
      </c>
      <c r="G389" s="188"/>
      <c r="H389" s="188"/>
    </row>
    <row r="390" spans="1:22" ht="35.1" hidden="1" customHeight="1">
      <c r="A390" s="338">
        <f>'Bldg+Dev'!A146</f>
        <v>70.2</v>
      </c>
      <c r="B390" s="340">
        <f>+'Bldg+Dev'!U146</f>
        <v>0</v>
      </c>
      <c r="C390" s="340" t="str">
        <f>'Bldg+Dev'!B146</f>
        <v>S &amp; F of Tube light with fittings</v>
      </c>
      <c r="D390" s="340">
        <f>'Bldg+Dev'!C146</f>
        <v>0</v>
      </c>
      <c r="E390" s="340" t="str">
        <f>'Bldg+Dev'!D146</f>
        <v>Each</v>
      </c>
      <c r="F390" s="340">
        <f t="shared" si="5"/>
        <v>0</v>
      </c>
      <c r="G390" s="188"/>
      <c r="H390" s="188"/>
    </row>
    <row r="391" spans="1:22" ht="35.1" hidden="1" customHeight="1">
      <c r="A391" s="338">
        <f>'Bldg+Dev'!A147</f>
        <v>70.3</v>
      </c>
      <c r="B391" s="340">
        <f>+'Bldg+Dev'!U147</f>
        <v>0</v>
      </c>
      <c r="C391" s="340" t="str">
        <f>'Bldg+Dev'!B147</f>
        <v>S &amp; F of 40/ 60 w bulb</v>
      </c>
      <c r="D391" s="340">
        <f>'Bldg+Dev'!C147</f>
        <v>10</v>
      </c>
      <c r="E391" s="340" t="str">
        <f>'Bldg+Dev'!D147</f>
        <v>Each</v>
      </c>
      <c r="F391" s="340">
        <f t="shared" si="5"/>
        <v>0</v>
      </c>
      <c r="G391" s="188"/>
      <c r="H391" s="188"/>
    </row>
    <row r="392" spans="1:22" ht="35.1" hidden="1" customHeight="1">
      <c r="A392" s="338">
        <f>'Bldg+Dev'!A148</f>
        <v>70.400000000000006</v>
      </c>
      <c r="B392" s="340">
        <f>+'Bldg+Dev'!U148</f>
        <v>0</v>
      </c>
      <c r="C392" s="340" t="str">
        <f>'Bldg+Dev'!B148</f>
        <v>S &amp; F of plastic  shade</v>
      </c>
      <c r="D392" s="340">
        <f>'Bldg+Dev'!C148</f>
        <v>8</v>
      </c>
      <c r="E392" s="340" t="str">
        <f>'Bldg+Dev'!D148</f>
        <v>Each</v>
      </c>
      <c r="F392" s="340">
        <f t="shared" si="5"/>
        <v>0</v>
      </c>
      <c r="G392" s="188"/>
      <c r="H392" s="188"/>
    </row>
    <row r="393" spans="1:22" ht="28.5" customHeight="1">
      <c r="A393" s="338">
        <f>'Bldg+Dev'!A150</f>
        <v>71</v>
      </c>
      <c r="B393" s="340">
        <f>+'Bldg+Dev'!U150</f>
        <v>0</v>
      </c>
      <c r="C393" s="340" t="str">
        <f>'Bldg+Dev'!B150</f>
        <v>Double pole main switch</v>
      </c>
      <c r="D393" s="340">
        <f>'Bldg+Dev'!C150</f>
        <v>480</v>
      </c>
      <c r="E393" s="340" t="str">
        <f>'Bldg+Dev'!D150</f>
        <v>Each</v>
      </c>
      <c r="F393" s="340">
        <f t="shared" ref="F393:F455" si="6">D393*B393</f>
        <v>0</v>
      </c>
      <c r="G393" s="188"/>
      <c r="H393" s="188"/>
    </row>
    <row r="394" spans="1:22" ht="28.5" customHeight="1">
      <c r="A394" s="338">
        <f>'Bldg+Dev'!A151</f>
        <v>72</v>
      </c>
      <c r="B394" s="340" t="e">
        <f>+'Bldg+Dev'!U151</f>
        <v>#REF!</v>
      </c>
      <c r="C394" s="340" t="str">
        <f>'Bldg+Dev'!B151</f>
        <v>Box type Fibre Fan hook</v>
      </c>
      <c r="D394" s="340">
        <f>'Bldg+Dev'!C151</f>
        <v>31</v>
      </c>
      <c r="E394" s="340" t="str">
        <f>'Bldg+Dev'!D151</f>
        <v>Each</v>
      </c>
      <c r="F394" s="340" t="e">
        <f t="shared" si="6"/>
        <v>#REF!</v>
      </c>
      <c r="G394" s="188"/>
      <c r="H394" s="188"/>
    </row>
    <row r="395" spans="1:22" ht="28.5" customHeight="1">
      <c r="A395" s="338" t="e">
        <f>'Bldg+Dev'!#REF!</f>
        <v>#REF!</v>
      </c>
      <c r="B395" s="340" t="e">
        <f>+'Bldg+Dev'!#REF!</f>
        <v>#REF!</v>
      </c>
      <c r="C395" s="340" t="e">
        <f>'Bldg+Dev'!#REF!</f>
        <v>#REF!</v>
      </c>
      <c r="D395" s="340" t="e">
        <f>'Bldg+Dev'!#REF!</f>
        <v>#REF!</v>
      </c>
      <c r="E395" s="340" t="e">
        <f>'Bldg+Dev'!#REF!</f>
        <v>#REF!</v>
      </c>
      <c r="F395" s="340" t="e">
        <f t="shared" si="6"/>
        <v>#REF!</v>
      </c>
      <c r="G395" s="188"/>
      <c r="H395" s="188"/>
    </row>
    <row r="396" spans="1:22" ht="35.1" hidden="1" customHeight="1">
      <c r="A396" s="338" t="e">
        <f>'Bldg+Dev'!#REF!</f>
        <v>#REF!</v>
      </c>
      <c r="B396" s="340" t="e">
        <f>+'Bldg+Dev'!#REF!</f>
        <v>#REF!</v>
      </c>
      <c r="C396" s="340" t="e">
        <f>'Bldg+Dev'!#REF!</f>
        <v>#REF!</v>
      </c>
      <c r="D396" s="340" t="e">
        <f>'Bldg+Dev'!#REF!</f>
        <v>#REF!</v>
      </c>
      <c r="E396" s="340" t="e">
        <f>'Bldg+Dev'!#REF!</f>
        <v>#REF!</v>
      </c>
      <c r="F396" s="340" t="e">
        <f t="shared" si="6"/>
        <v>#REF!</v>
      </c>
      <c r="G396" s="188"/>
      <c r="H396" s="188"/>
    </row>
    <row r="397" spans="1:22" ht="28.5" customHeight="1">
      <c r="A397" s="338">
        <f>'Bldg+Dev'!A152</f>
        <v>74</v>
      </c>
      <c r="B397" s="340" t="e">
        <f>+'Bldg+Dev'!U152</f>
        <v>#REF!</v>
      </c>
      <c r="C397" s="340" t="str">
        <f>'Bldg+Dev'!B152</f>
        <v>Charges for fixing of "Fan"</v>
      </c>
      <c r="D397" s="340">
        <f>'Bldg+Dev'!C152</f>
        <v>225</v>
      </c>
      <c r="E397" s="340" t="str">
        <f>'Bldg+Dev'!D152</f>
        <v>Each</v>
      </c>
      <c r="F397" s="340" t="e">
        <f t="shared" si="6"/>
        <v>#REF!</v>
      </c>
      <c r="G397" s="188"/>
      <c r="H397" s="188"/>
    </row>
    <row r="398" spans="1:22" ht="35.1" hidden="1" customHeight="1">
      <c r="A398" s="338">
        <f>'Bldg+Dev'!A153</f>
        <v>75</v>
      </c>
      <c r="B398" s="340">
        <f>+'Bldg+Dev'!U153</f>
        <v>0</v>
      </c>
      <c r="C398" s="340" t="str">
        <f>'Bldg+Dev'!B153</f>
        <v>Supply and delivery of Fan</v>
      </c>
      <c r="D398" s="340">
        <f>'Bldg+Dev'!C153</f>
        <v>0</v>
      </c>
      <c r="E398" s="340">
        <f>'Bldg+Dev'!D153</f>
        <v>0</v>
      </c>
      <c r="F398" s="340">
        <f t="shared" si="6"/>
        <v>0</v>
      </c>
      <c r="G398" s="189"/>
      <c r="H398" s="189"/>
      <c r="I398" s="127"/>
      <c r="J398" s="117"/>
      <c r="K398" s="117"/>
      <c r="L398" s="117"/>
      <c r="M398" s="117"/>
      <c r="N398" s="117"/>
      <c r="O398" s="117"/>
      <c r="P398" s="117"/>
      <c r="Q398" s="117"/>
      <c r="R398" s="117"/>
      <c r="S398" s="117"/>
      <c r="T398" s="117"/>
      <c r="U398" s="117"/>
      <c r="V398" s="117"/>
    </row>
    <row r="399" spans="1:22" ht="35.1" hidden="1" customHeight="1">
      <c r="A399" s="338">
        <f>'Bldg+Dev'!A154</f>
        <v>0</v>
      </c>
      <c r="B399" s="340">
        <f>+'Bldg+Dev'!U154</f>
        <v>0</v>
      </c>
      <c r="C399" s="340" t="str">
        <f>'Bldg+Dev'!B154</f>
        <v>a. 48" (1200 mm)</v>
      </c>
      <c r="D399" s="340">
        <f>'Bldg+Dev'!C154</f>
        <v>0</v>
      </c>
      <c r="E399" s="340" t="str">
        <f>'Bldg+Dev'!D154</f>
        <v>Each</v>
      </c>
      <c r="F399" s="340">
        <f t="shared" si="6"/>
        <v>0</v>
      </c>
      <c r="G399" s="188"/>
      <c r="H399" s="188"/>
    </row>
    <row r="400" spans="1:22" ht="35.1" hidden="1" customHeight="1">
      <c r="A400" s="338">
        <f>'Bldg+Dev'!A155</f>
        <v>0</v>
      </c>
      <c r="B400" s="340">
        <f>+'Bldg+Dev'!U155</f>
        <v>0</v>
      </c>
      <c r="C400" s="340" t="str">
        <f>'Bldg+Dev'!B155</f>
        <v>b. 42" (1050 mm)</v>
      </c>
      <c r="D400" s="340">
        <f>'Bldg+Dev'!C155</f>
        <v>0</v>
      </c>
      <c r="E400" s="340" t="str">
        <f>'Bldg+Dev'!D155</f>
        <v>Each</v>
      </c>
      <c r="F400" s="340">
        <f t="shared" si="6"/>
        <v>0</v>
      </c>
      <c r="G400" s="188"/>
      <c r="H400" s="188"/>
    </row>
    <row r="401" spans="1:22" ht="28.5" customHeight="1">
      <c r="A401" s="338">
        <f>'Bldg+Dev'!A156</f>
        <v>76</v>
      </c>
      <c r="B401" s="340" t="e">
        <f>+'Bldg+Dev'!U156</f>
        <v>#REF!</v>
      </c>
      <c r="C401" s="340" t="str">
        <f>'Bldg+Dev'!B156</f>
        <v>8 SWG wire</v>
      </c>
      <c r="D401" s="340">
        <f>'Bldg+Dev'!C156</f>
        <v>15.5</v>
      </c>
      <c r="E401" s="340" t="str">
        <f>'Bldg+Dev'!D156</f>
        <v>Rmt</v>
      </c>
      <c r="F401" s="340" t="e">
        <f t="shared" si="6"/>
        <v>#REF!</v>
      </c>
      <c r="G401" s="188"/>
      <c r="H401" s="188"/>
    </row>
    <row r="402" spans="1:22" ht="35.1" hidden="1" customHeight="1">
      <c r="A402" s="338">
        <f>'Bldg+Dev'!A157</f>
        <v>77</v>
      </c>
      <c r="B402" s="340">
        <f>+'Bldg+Dev'!U157</f>
        <v>0</v>
      </c>
      <c r="C402" s="340" t="str">
        <f>'Bldg+Dev'!B157</f>
        <v>Run of main 2 wires of 1.50 Sqmm.</v>
      </c>
      <c r="D402" s="340">
        <f>'Bldg+Dev'!C157</f>
        <v>120</v>
      </c>
      <c r="E402" s="340" t="str">
        <f>'Bldg+Dev'!D157</f>
        <v>Rmt</v>
      </c>
      <c r="F402" s="340">
        <f t="shared" si="6"/>
        <v>0</v>
      </c>
      <c r="G402" s="188"/>
      <c r="H402" s="188"/>
    </row>
    <row r="403" spans="1:22" ht="45" hidden="1" customHeight="1">
      <c r="A403" s="338">
        <f>'Bldg+Dev'!A158</f>
        <v>77.099999999999994</v>
      </c>
      <c r="B403" s="340">
        <f>+'Bldg+Dev'!U158</f>
        <v>0</v>
      </c>
      <c r="C403" s="340" t="str">
        <f>'Bldg+Dev'!B158</f>
        <v>Run of 2 wires of 4 sqmm with continuous earth by means of 2.5sqmm</v>
      </c>
      <c r="D403" s="340">
        <f>'Bldg+Dev'!C158</f>
        <v>168.9</v>
      </c>
      <c r="E403" s="340" t="str">
        <f>'Bldg+Dev'!D158</f>
        <v>Rmt</v>
      </c>
      <c r="F403" s="340">
        <f t="shared" si="6"/>
        <v>0</v>
      </c>
      <c r="G403" s="188"/>
      <c r="H403" s="188"/>
    </row>
    <row r="404" spans="1:22" ht="35.1" hidden="1" customHeight="1">
      <c r="A404" s="338">
        <f>'Bldg+Dev'!A160</f>
        <v>77.2</v>
      </c>
      <c r="B404" s="340">
        <f>+'Bldg+Dev'!U160</f>
        <v>0</v>
      </c>
      <c r="C404" s="340" t="str">
        <f>'Bldg+Dev'!B160</f>
        <v>S &amp; F of A/C metal clad switch</v>
      </c>
      <c r="D404" s="340">
        <f>'Bldg+Dev'!C160</f>
        <v>500</v>
      </c>
      <c r="E404" s="340" t="str">
        <f>'Bldg+Dev'!D160</f>
        <v>Each</v>
      </c>
      <c r="F404" s="340">
        <f t="shared" si="6"/>
        <v>0</v>
      </c>
      <c r="G404" s="188"/>
      <c r="H404" s="188"/>
    </row>
    <row r="405" spans="1:22" ht="28.5" customHeight="1">
      <c r="A405" s="338">
        <f>'Bldg+Dev'!A161</f>
        <v>77.3</v>
      </c>
      <c r="B405" s="340" t="e">
        <f>+'Bldg+Dev'!U161</f>
        <v>#REF!</v>
      </c>
      <c r="C405" s="340" t="str">
        <f>'Bldg+Dev'!B161</f>
        <v>S&amp;F of TV/Telephone line Socket</v>
      </c>
      <c r="D405" s="340">
        <f>'Bldg+Dev'!C161</f>
        <v>53</v>
      </c>
      <c r="E405" s="340" t="str">
        <f>'Bldg+Dev'!D161</f>
        <v>Each</v>
      </c>
      <c r="F405" s="340" t="e">
        <f t="shared" si="6"/>
        <v>#REF!</v>
      </c>
      <c r="G405" s="188"/>
      <c r="H405" s="188"/>
    </row>
    <row r="406" spans="1:22" ht="28.5" customHeight="1">
      <c r="A406" s="338">
        <f>'Bldg+Dev'!A162</f>
        <v>77.400000000000006</v>
      </c>
      <c r="B406" s="340" t="e">
        <f>+'Bldg+Dev'!U162</f>
        <v>#REF!</v>
      </c>
      <c r="C406" s="340" t="str">
        <f>'Bldg+Dev'!B162</f>
        <v>S&amp;F of 20mm dia PVC pipe for TV/Telephone line</v>
      </c>
      <c r="D406" s="340">
        <f>'Bldg+Dev'!C162</f>
        <v>51.99</v>
      </c>
      <c r="E406" s="340" t="str">
        <f>'Bldg+Dev'!D162</f>
        <v>Rmt</v>
      </c>
      <c r="F406" s="340" t="e">
        <f t="shared" si="6"/>
        <v>#REF!</v>
      </c>
      <c r="G406" s="188"/>
      <c r="H406" s="188"/>
    </row>
    <row r="407" spans="1:22" ht="28.5" customHeight="1">
      <c r="A407" s="338">
        <f>'Bldg+Dev'!A163</f>
        <v>78</v>
      </c>
      <c r="B407" s="340" t="e">
        <f>+'Bldg+Dev'!U163</f>
        <v>#REF!</v>
      </c>
      <c r="C407" s="340" t="str">
        <f>'Bldg+Dev'!B163</f>
        <v>Earthing Station IS3043 (Type I)</v>
      </c>
      <c r="D407" s="340">
        <f>'Bldg+Dev'!C163</f>
        <v>1830</v>
      </c>
      <c r="E407" s="340" t="str">
        <f>'Bldg+Dev'!D163</f>
        <v>Each</v>
      </c>
      <c r="F407" s="340" t="e">
        <f t="shared" si="6"/>
        <v>#REF!</v>
      </c>
      <c r="G407" s="188"/>
      <c r="H407" s="188"/>
    </row>
    <row r="408" spans="1:22" ht="35.1" hidden="1" customHeight="1">
      <c r="A408" s="338">
        <f>'Bldg+Dev'!A164</f>
        <v>78.099999999999994</v>
      </c>
      <c r="B408" s="340">
        <f>+'Bldg+Dev'!U164</f>
        <v>0</v>
      </c>
      <c r="C408" s="340" t="str">
        <f>'Bldg+Dev'!B164</f>
        <v>Earthing Station (Type II)</v>
      </c>
      <c r="D408" s="340">
        <f>'Bldg+Dev'!C164</f>
        <v>0</v>
      </c>
      <c r="E408" s="340" t="str">
        <f>'Bldg+Dev'!D164</f>
        <v>Each</v>
      </c>
      <c r="F408" s="340">
        <f t="shared" si="6"/>
        <v>0</v>
      </c>
      <c r="G408" s="188"/>
      <c r="H408" s="188"/>
    </row>
    <row r="409" spans="1:22" ht="35.1" hidden="1" customHeight="1">
      <c r="A409" s="338">
        <f>'Bldg+Dev'!A165</f>
        <v>79.099999999999994</v>
      </c>
      <c r="B409" s="340" t="e">
        <f>+'Bldg+Dev'!U165</f>
        <v>#REF!</v>
      </c>
      <c r="C409" s="340" t="str">
        <f>'Bldg+Dev'!B165</f>
        <v>1 No.of 32Amps - Fuse Unit</v>
      </c>
      <c r="D409" s="340">
        <f>'Bldg+Dev'!C165</f>
        <v>287</v>
      </c>
      <c r="E409" s="340" t="str">
        <f>'Bldg+Dev'!D165</f>
        <v>Each</v>
      </c>
      <c r="F409" s="340" t="e">
        <f t="shared" si="6"/>
        <v>#REF!</v>
      </c>
      <c r="G409" s="188"/>
      <c r="H409" s="188"/>
    </row>
    <row r="410" spans="1:22" ht="35.1" hidden="1" customHeight="1">
      <c r="A410" s="338">
        <f>'Bldg+Dev'!A166</f>
        <v>79.2</v>
      </c>
      <c r="B410" s="340" t="e">
        <f>+'Bldg+Dev'!U166</f>
        <v>#REF!</v>
      </c>
      <c r="C410" s="340" t="str">
        <f>'Bldg+Dev'!B166</f>
        <v>3 Nos.of 32Amps - Fuse Unit</v>
      </c>
      <c r="D410" s="340">
        <f>'Bldg+Dev'!C166</f>
        <v>538</v>
      </c>
      <c r="E410" s="340" t="str">
        <f>'Bldg+Dev'!D166</f>
        <v>Each</v>
      </c>
      <c r="F410" s="340" t="e">
        <f t="shared" si="6"/>
        <v>#REF!</v>
      </c>
      <c r="G410" s="188"/>
      <c r="H410" s="188"/>
    </row>
    <row r="411" spans="1:22" ht="28.5" customHeight="1">
      <c r="A411" s="338">
        <f>'Bldg+Dev'!A167</f>
        <v>80</v>
      </c>
      <c r="B411" s="340">
        <f>+'Bldg+Dev'!U167</f>
        <v>0</v>
      </c>
      <c r="C411" s="340" t="str">
        <f>'Bldg+Dev'!B167</f>
        <v>375 x 300 x 20 mm T.W. plank</v>
      </c>
      <c r="D411" s="340">
        <f>'Bldg+Dev'!C167</f>
        <v>452</v>
      </c>
      <c r="E411" s="340" t="str">
        <f>'Bldg+Dev'!D167</f>
        <v>Each</v>
      </c>
      <c r="F411" s="340">
        <f t="shared" si="6"/>
        <v>0</v>
      </c>
      <c r="G411" s="188"/>
      <c r="H411" s="188"/>
    </row>
    <row r="412" spans="1:22" ht="28.5" customHeight="1">
      <c r="A412" s="338">
        <f>'Bldg+Dev'!A170</f>
        <v>81</v>
      </c>
      <c r="B412" s="340" t="e">
        <f>+'Bldg+Dev'!U170</f>
        <v>#REF!</v>
      </c>
      <c r="C412" s="340" t="str">
        <f>'Bldg+Dev'!B170</f>
        <v>Meter cupboard</v>
      </c>
      <c r="D412" s="340">
        <f>'Bldg+Dev'!C170</f>
        <v>1808.51</v>
      </c>
      <c r="E412" s="340" t="str">
        <f>'Bldg+Dev'!D170</f>
        <v>Sqm</v>
      </c>
      <c r="F412" s="340" t="e">
        <f t="shared" si="6"/>
        <v>#REF!</v>
      </c>
      <c r="G412" s="189"/>
      <c r="H412" s="189"/>
      <c r="I412" s="127"/>
      <c r="J412" s="117"/>
      <c r="K412" s="117"/>
      <c r="L412" s="117"/>
      <c r="M412" s="117"/>
      <c r="N412" s="117"/>
      <c r="O412" s="117"/>
      <c r="P412" s="117"/>
      <c r="Q412" s="117"/>
      <c r="R412" s="117"/>
      <c r="S412" s="117"/>
      <c r="T412" s="117"/>
      <c r="U412" s="117"/>
      <c r="V412" s="117"/>
    </row>
    <row r="413" spans="1:22" ht="28.5" customHeight="1">
      <c r="A413" s="338">
        <f>'Bldg+Dev'!A171</f>
        <v>82</v>
      </c>
      <c r="B413" s="340" t="e">
        <f>+'Bldg+Dev'!U171</f>
        <v>#REF!</v>
      </c>
      <c r="C413" s="340" t="str">
        <f>'Bldg+Dev'!B171</f>
        <v>Street lights</v>
      </c>
      <c r="D413" s="340">
        <f>'Bldg+Dev'!C171</f>
        <v>1972</v>
      </c>
      <c r="E413" s="340" t="str">
        <f>'Bldg+Dev'!D171</f>
        <v>Each</v>
      </c>
      <c r="F413" s="340" t="e">
        <f t="shared" si="6"/>
        <v>#REF!</v>
      </c>
      <c r="G413" s="188"/>
      <c r="H413" s="188"/>
    </row>
    <row r="414" spans="1:22" ht="35.1" hidden="1" customHeight="1">
      <c r="A414" s="338">
        <f>'Bldg+Dev'!A172</f>
        <v>83</v>
      </c>
      <c r="B414" s="340" t="e">
        <f>+'Bldg+Dev'!U172</f>
        <v>#REF!</v>
      </c>
      <c r="C414" s="340" t="str">
        <f>'Bldg+Dev'!B172</f>
        <v>M.S Angle</v>
      </c>
      <c r="D414" s="340">
        <f>'Bldg+Dev'!C172</f>
        <v>165</v>
      </c>
      <c r="E414" s="340" t="str">
        <f>'Bldg+Dev'!D172</f>
        <v>Rmt</v>
      </c>
      <c r="F414" s="340" t="e">
        <f t="shared" si="6"/>
        <v>#REF!</v>
      </c>
      <c r="G414" s="188"/>
      <c r="H414" s="188"/>
    </row>
    <row r="415" spans="1:22" ht="35.1" hidden="1" customHeight="1">
      <c r="A415" s="338">
        <f>'Bldg+Dev'!A173</f>
        <v>84</v>
      </c>
      <c r="B415" s="340">
        <f>+'Bldg+Dev'!U173</f>
        <v>0</v>
      </c>
      <c r="C415" s="340" t="str">
        <f>'Bldg+Dev'!B173</f>
        <v>Run of 2 wires of 4 sqmm</v>
      </c>
      <c r="D415" s="340">
        <f>'Bldg+Dev'!C173</f>
        <v>78.3</v>
      </c>
      <c r="E415" s="340" t="str">
        <f>'Bldg+Dev'!D173</f>
        <v>Rmt</v>
      </c>
      <c r="F415" s="340">
        <f t="shared" si="6"/>
        <v>0</v>
      </c>
      <c r="G415" s="189"/>
      <c r="H415" s="189"/>
      <c r="I415" s="127"/>
      <c r="J415" s="117"/>
      <c r="K415" s="117"/>
      <c r="L415" s="117"/>
      <c r="M415" s="117"/>
      <c r="N415" s="117"/>
      <c r="O415" s="117"/>
      <c r="P415" s="117"/>
      <c r="Q415" s="117"/>
      <c r="R415" s="117"/>
      <c r="S415" s="117"/>
      <c r="T415" s="117"/>
      <c r="U415" s="117"/>
      <c r="V415" s="117"/>
    </row>
    <row r="416" spans="1:22" ht="35.1" hidden="1" customHeight="1">
      <c r="A416" s="338">
        <f>'Bldg+Dev'!A174</f>
        <v>85</v>
      </c>
      <c r="B416" s="340">
        <f>+'Bldg+Dev'!U174</f>
        <v>0</v>
      </c>
      <c r="C416" s="340" t="str">
        <f>'Bldg+Dev'!B174</f>
        <v>Supply of G.I pipe 25mm dia</v>
      </c>
      <c r="D416" s="340">
        <f>'Bldg+Dev'!C174</f>
        <v>110</v>
      </c>
      <c r="E416" s="340" t="str">
        <f>'Bldg+Dev'!D174</f>
        <v>Rmt</v>
      </c>
      <c r="F416" s="340">
        <f t="shared" si="6"/>
        <v>0</v>
      </c>
      <c r="G416" s="189"/>
      <c r="H416" s="189"/>
      <c r="I416" s="127"/>
      <c r="J416" s="117"/>
      <c r="K416" s="117"/>
      <c r="L416" s="117"/>
      <c r="M416" s="117"/>
      <c r="N416" s="117"/>
      <c r="O416" s="117"/>
      <c r="P416" s="117"/>
      <c r="Q416" s="117"/>
      <c r="R416" s="117"/>
      <c r="S416" s="117"/>
      <c r="T416" s="117"/>
      <c r="U416" s="117"/>
      <c r="V416" s="117"/>
    </row>
    <row r="417" spans="1:22" ht="28.5" customHeight="1">
      <c r="A417" s="338">
        <f>'Bldg+Dev'!A175</f>
        <v>86</v>
      </c>
      <c r="B417" s="340" t="e">
        <f>+'Bldg+Dev'!U175</f>
        <v>#REF!</v>
      </c>
      <c r="C417" s="340" t="str">
        <f>'Bldg+Dev'!B175</f>
        <v>Anti termite treatment</v>
      </c>
      <c r="D417" s="340">
        <f>'Bldg+Dev'!C175</f>
        <v>34</v>
      </c>
      <c r="E417" s="340" t="str">
        <f>'Bldg+Dev'!D175</f>
        <v>Sqm.</v>
      </c>
      <c r="F417" s="340" t="e">
        <f t="shared" si="6"/>
        <v>#REF!</v>
      </c>
      <c r="G417" s="188"/>
      <c r="H417" s="188"/>
    </row>
    <row r="418" spans="1:22" ht="28.5" customHeight="1">
      <c r="A418" s="338">
        <f>'Bldg+Dev'!A176</f>
        <v>87</v>
      </c>
      <c r="B418" s="340">
        <f>+'Bldg+Dev'!U176</f>
        <v>0</v>
      </c>
      <c r="C418" s="340" t="str">
        <f>'Bldg+Dev'!B176</f>
        <v>ELCB Single phase</v>
      </c>
      <c r="D418" s="340">
        <f>'Bldg+Dev'!C176</f>
        <v>2696</v>
      </c>
      <c r="E418" s="340" t="str">
        <f>'Bldg+Dev'!D176</f>
        <v>Each</v>
      </c>
      <c r="F418" s="340">
        <f t="shared" si="6"/>
        <v>0</v>
      </c>
      <c r="G418" s="188"/>
      <c r="H418" s="188"/>
    </row>
    <row r="419" spans="1:22" ht="35.1" hidden="1" customHeight="1">
      <c r="A419" s="338">
        <f>'Bldg+Dev'!A178</f>
        <v>112</v>
      </c>
      <c r="B419" s="340">
        <f>+'Bldg+Dev'!U178</f>
        <v>0</v>
      </c>
      <c r="C419" s="340" t="str">
        <f>'Bldg+Dev'!B178</f>
        <v>S &amp; F of Exsaust Fan 300 mm dia</v>
      </c>
      <c r="D419" s="340">
        <f>'Bldg+Dev'!C178</f>
        <v>1766</v>
      </c>
      <c r="E419" s="340" t="str">
        <f>'Bldg+Dev'!D178</f>
        <v>Each</v>
      </c>
      <c r="F419" s="340">
        <f t="shared" si="6"/>
        <v>0</v>
      </c>
      <c r="G419" s="189"/>
      <c r="H419" s="189"/>
      <c r="I419" s="127"/>
      <c r="J419" s="117"/>
      <c r="K419" s="117"/>
      <c r="L419" s="117"/>
      <c r="M419" s="117"/>
      <c r="N419" s="117"/>
      <c r="O419" s="117"/>
      <c r="P419" s="117"/>
      <c r="Q419" s="117"/>
      <c r="R419" s="117"/>
      <c r="S419" s="117"/>
      <c r="T419" s="117"/>
      <c r="U419" s="117"/>
      <c r="V419" s="117"/>
    </row>
    <row r="420" spans="1:22" ht="35.1" hidden="1" customHeight="1">
      <c r="A420" s="338">
        <f>'Bldg+Dev'!A179</f>
        <v>238</v>
      </c>
      <c r="B420" s="340">
        <f>+'Bldg+Dev'!U179</f>
        <v>0</v>
      </c>
      <c r="C420" s="340" t="str">
        <f>'Bldg+Dev'!B179</f>
        <v>Anticorrosive treatment for steel grills</v>
      </c>
      <c r="D420" s="340">
        <f>'Bldg+Dev'!C179</f>
        <v>3499.75</v>
      </c>
      <c r="E420" s="340" t="str">
        <f>'Bldg+Dev'!D179</f>
        <v>MT</v>
      </c>
      <c r="F420" s="340">
        <f t="shared" si="6"/>
        <v>0</v>
      </c>
      <c r="G420" s="188"/>
      <c r="H420" s="188"/>
    </row>
    <row r="421" spans="1:22" ht="18" customHeight="1">
      <c r="A421" s="338" t="e">
        <f>'Bldg+Dev'!#REF!</f>
        <v>#REF!</v>
      </c>
      <c r="B421" s="339" t="e">
        <f>+'Bldg+Dev'!#REF!</f>
        <v>#REF!</v>
      </c>
      <c r="C421" s="340" t="e">
        <f>'Bldg+Dev'!#REF!</f>
        <v>#REF!</v>
      </c>
      <c r="D421" s="340" t="e">
        <f>'Bldg+Dev'!#REF!</f>
        <v>#REF!</v>
      </c>
      <c r="E421" s="340" t="e">
        <f>'Bldg+Dev'!#REF!</f>
        <v>#REF!</v>
      </c>
      <c r="F421" s="340"/>
      <c r="G421" s="188"/>
      <c r="H421" s="188"/>
    </row>
    <row r="422" spans="1:22" ht="45" hidden="1" customHeight="1">
      <c r="A422" s="338" t="e">
        <f>'Bldg+Dev'!#REF!</f>
        <v>#REF!</v>
      </c>
      <c r="B422" s="340" t="e">
        <f>+'Bldg+Dev'!#REF!</f>
        <v>#REF!</v>
      </c>
      <c r="C422" s="340" t="e">
        <f>'Bldg+Dev'!#REF!</f>
        <v>#REF!</v>
      </c>
      <c r="D422" s="340" t="e">
        <f>'Bldg+Dev'!#REF!</f>
        <v>#REF!</v>
      </c>
      <c r="E422" s="340" t="e">
        <f>'Bldg+Dev'!#REF!</f>
        <v>#REF!</v>
      </c>
      <c r="F422" s="340" t="e">
        <f t="shared" si="6"/>
        <v>#REF!</v>
      </c>
      <c r="G422" s="188"/>
      <c r="H422" s="188"/>
    </row>
    <row r="423" spans="1:22" ht="35.1" hidden="1" customHeight="1">
      <c r="A423" s="338" t="e">
        <f>'Bldg+Dev'!#REF!</f>
        <v>#REF!</v>
      </c>
      <c r="B423" s="340" t="e">
        <f>+'Bldg+Dev'!#REF!</f>
        <v>#REF!</v>
      </c>
      <c r="C423" s="340" t="e">
        <f>'Bldg+Dev'!#REF!</f>
        <v>#REF!</v>
      </c>
      <c r="D423" s="340" t="e">
        <f>'Bldg+Dev'!#REF!</f>
        <v>#REF!</v>
      </c>
      <c r="E423" s="340" t="e">
        <f>'Bldg+Dev'!#REF!</f>
        <v>#REF!</v>
      </c>
      <c r="F423" s="340" t="e">
        <f t="shared" si="6"/>
        <v>#REF!</v>
      </c>
      <c r="G423" s="188"/>
      <c r="H423" s="188"/>
    </row>
    <row r="424" spans="1:22" ht="35.1" hidden="1" customHeight="1">
      <c r="A424" s="338" t="e">
        <f>'Bldg+Dev'!#REF!</f>
        <v>#REF!</v>
      </c>
      <c r="B424" s="340" t="e">
        <f>+'Bldg+Dev'!#REF!</f>
        <v>#REF!</v>
      </c>
      <c r="C424" s="340" t="e">
        <f>'Bldg+Dev'!#REF!</f>
        <v>#REF!</v>
      </c>
      <c r="D424" s="340" t="e">
        <f>'Bldg+Dev'!#REF!</f>
        <v>#REF!</v>
      </c>
      <c r="E424" s="340" t="e">
        <f>'Bldg+Dev'!#REF!</f>
        <v>#REF!</v>
      </c>
      <c r="F424" s="340" t="e">
        <f t="shared" si="6"/>
        <v>#REF!</v>
      </c>
      <c r="G424" s="188"/>
      <c r="H424" s="188"/>
    </row>
    <row r="425" spans="1:22" ht="28.5" customHeight="1">
      <c r="A425" s="338">
        <f>'Bldg+Dev'!A182</f>
        <v>3.8</v>
      </c>
      <c r="B425" s="340">
        <f>+'Bldg+Dev'!U182</f>
        <v>0</v>
      </c>
      <c r="C425" s="340" t="str">
        <f>'Bldg+Dev'!B182</f>
        <v>P.C.C. 1:4:8</v>
      </c>
      <c r="D425" s="340">
        <f>'Bldg+Dev'!C182</f>
        <v>2979.82</v>
      </c>
      <c r="E425" s="340" t="str">
        <f>'Bldg+Dev'!D182</f>
        <v>Cum</v>
      </c>
      <c r="F425" s="340">
        <f t="shared" si="6"/>
        <v>0</v>
      </c>
      <c r="G425" s="189"/>
      <c r="H425" s="189"/>
      <c r="I425" s="127"/>
      <c r="J425" s="117"/>
      <c r="K425" s="117"/>
      <c r="L425" s="117"/>
      <c r="M425" s="117"/>
      <c r="N425" s="117"/>
      <c r="O425" s="117"/>
      <c r="P425" s="117"/>
      <c r="Q425" s="117"/>
      <c r="R425" s="117"/>
      <c r="S425" s="117"/>
      <c r="T425" s="117"/>
      <c r="U425" s="118"/>
      <c r="V425" s="117"/>
    </row>
    <row r="426" spans="1:22" ht="35.1" hidden="1" customHeight="1">
      <c r="A426" s="338" t="e">
        <f>'Bldg+Dev'!#REF!</f>
        <v>#REF!</v>
      </c>
      <c r="B426" s="340" t="e">
        <f>+'Bldg+Dev'!#REF!</f>
        <v>#REF!</v>
      </c>
      <c r="C426" s="340" t="e">
        <f>'Bldg+Dev'!#REF!</f>
        <v>#REF!</v>
      </c>
      <c r="D426" s="340" t="e">
        <f>'Bldg+Dev'!#REF!</f>
        <v>#REF!</v>
      </c>
      <c r="E426" s="340" t="e">
        <f>'Bldg+Dev'!#REF!</f>
        <v>#REF!</v>
      </c>
      <c r="F426" s="340" t="e">
        <f t="shared" si="6"/>
        <v>#REF!</v>
      </c>
      <c r="G426" s="189"/>
      <c r="H426" s="189"/>
      <c r="I426" s="127"/>
      <c r="J426" s="117"/>
      <c r="K426" s="117"/>
      <c r="L426" s="117"/>
      <c r="M426" s="117"/>
      <c r="N426" s="117"/>
      <c r="O426" s="117"/>
      <c r="P426" s="117"/>
      <c r="Q426" s="117"/>
      <c r="R426" s="117"/>
      <c r="S426" s="117"/>
      <c r="T426" s="117"/>
      <c r="U426" s="118"/>
      <c r="V426" s="117"/>
    </row>
    <row r="427" spans="1:22" ht="35.1" hidden="1" customHeight="1">
      <c r="A427" s="338" t="e">
        <f>'Bldg+Dev'!#REF!</f>
        <v>#REF!</v>
      </c>
      <c r="B427" s="340" t="e">
        <f>+'Bldg+Dev'!#REF!</f>
        <v>#REF!</v>
      </c>
      <c r="C427" s="340" t="e">
        <f>'Bldg+Dev'!#REF!</f>
        <v>#REF!</v>
      </c>
      <c r="D427" s="340" t="e">
        <f>'Bldg+Dev'!#REF!</f>
        <v>#REF!</v>
      </c>
      <c r="E427" s="340" t="e">
        <f>'Bldg+Dev'!#REF!</f>
        <v>#REF!</v>
      </c>
      <c r="F427" s="340" t="e">
        <f t="shared" si="6"/>
        <v>#REF!</v>
      </c>
      <c r="G427" s="189"/>
      <c r="H427" s="189"/>
      <c r="I427" s="127"/>
      <c r="J427" s="117"/>
      <c r="K427" s="117"/>
      <c r="L427" s="117"/>
      <c r="M427" s="117"/>
      <c r="N427" s="117"/>
      <c r="O427" s="117"/>
      <c r="P427" s="117"/>
      <c r="Q427" s="117"/>
      <c r="R427" s="117"/>
      <c r="S427" s="117"/>
      <c r="T427" s="117"/>
      <c r="U427" s="117"/>
      <c r="V427" s="117"/>
    </row>
    <row r="428" spans="1:22" ht="45" hidden="1" customHeight="1">
      <c r="A428" s="338" t="e">
        <f>'Bldg+Dev'!#REF!</f>
        <v>#REF!</v>
      </c>
      <c r="B428" s="340" t="e">
        <f>+'Bldg+Dev'!#REF!</f>
        <v>#REF!</v>
      </c>
      <c r="C428" s="340" t="e">
        <f>'Bldg+Dev'!#REF!</f>
        <v>#REF!</v>
      </c>
      <c r="D428" s="340" t="e">
        <f>'Bldg+Dev'!#REF!</f>
        <v>#REF!</v>
      </c>
      <c r="E428" s="340" t="e">
        <f>'Bldg+Dev'!#REF!</f>
        <v>#REF!</v>
      </c>
      <c r="F428" s="340" t="e">
        <f t="shared" si="6"/>
        <v>#REF!</v>
      </c>
      <c r="G428" s="189"/>
      <c r="H428" s="189"/>
      <c r="I428" s="127"/>
      <c r="J428" s="117"/>
      <c r="K428" s="117"/>
      <c r="L428" s="117"/>
      <c r="M428" s="117"/>
      <c r="N428" s="117"/>
      <c r="O428" s="117"/>
      <c r="P428" s="117"/>
      <c r="Q428" s="117"/>
      <c r="R428" s="117"/>
      <c r="S428" s="117"/>
      <c r="T428" s="117"/>
      <c r="U428" s="117"/>
      <c r="V428" s="117"/>
    </row>
    <row r="429" spans="1:22" ht="35.1" hidden="1" customHeight="1">
      <c r="A429" s="338" t="e">
        <f>'Bldg+Dev'!#REF!</f>
        <v>#REF!</v>
      </c>
      <c r="B429" s="340" t="e">
        <f>+'Bldg+Dev'!#REF!</f>
        <v>#REF!</v>
      </c>
      <c r="C429" s="340" t="e">
        <f>'Bldg+Dev'!#REF!</f>
        <v>#REF!</v>
      </c>
      <c r="D429" s="340" t="e">
        <f>'Bldg+Dev'!#REF!</f>
        <v>#REF!</v>
      </c>
      <c r="E429" s="340" t="e">
        <f>'Bldg+Dev'!#REF!</f>
        <v>#REF!</v>
      </c>
      <c r="F429" s="340" t="e">
        <f t="shared" si="6"/>
        <v>#REF!</v>
      </c>
      <c r="G429" s="188"/>
      <c r="H429" s="188"/>
    </row>
    <row r="430" spans="1:22" ht="35.1" hidden="1" customHeight="1">
      <c r="A430" s="338" t="e">
        <f>'Bldg+Dev'!#REF!</f>
        <v>#REF!</v>
      </c>
      <c r="B430" s="340" t="e">
        <f>+'Bldg+Dev'!#REF!</f>
        <v>#REF!</v>
      </c>
      <c r="C430" s="340" t="e">
        <f>'Bldg+Dev'!#REF!</f>
        <v>#REF!</v>
      </c>
      <c r="D430" s="340" t="e">
        <f>'Bldg+Dev'!#REF!</f>
        <v>#REF!</v>
      </c>
      <c r="E430" s="340" t="e">
        <f>'Bldg+Dev'!#REF!</f>
        <v>#REF!</v>
      </c>
      <c r="F430" s="340" t="e">
        <f t="shared" si="6"/>
        <v>#REF!</v>
      </c>
      <c r="G430" s="190"/>
      <c r="H430" s="190"/>
    </row>
    <row r="431" spans="1:22" ht="35.1" hidden="1" customHeight="1">
      <c r="A431" s="338" t="e">
        <f>'Bldg+Dev'!#REF!</f>
        <v>#REF!</v>
      </c>
      <c r="B431" s="340" t="e">
        <f>+'Bldg+Dev'!#REF!</f>
        <v>#REF!</v>
      </c>
      <c r="C431" s="340" t="e">
        <f>'Bldg+Dev'!#REF!</f>
        <v>#REF!</v>
      </c>
      <c r="D431" s="340" t="e">
        <f>'Bldg+Dev'!#REF!</f>
        <v>#REF!</v>
      </c>
      <c r="E431" s="340" t="e">
        <f>'Bldg+Dev'!#REF!</f>
        <v>#REF!</v>
      </c>
      <c r="F431" s="340" t="e">
        <f t="shared" si="6"/>
        <v>#REF!</v>
      </c>
      <c r="G431" s="190"/>
      <c r="H431" s="190"/>
    </row>
    <row r="432" spans="1:22" ht="35.1" hidden="1" customHeight="1">
      <c r="A432" s="338" t="e">
        <f>'Bldg+Dev'!#REF!</f>
        <v>#REF!</v>
      </c>
      <c r="B432" s="340" t="e">
        <f>+'Bldg+Dev'!#REF!</f>
        <v>#REF!</v>
      </c>
      <c r="C432" s="340" t="e">
        <f>'Bldg+Dev'!#REF!</f>
        <v>#REF!</v>
      </c>
      <c r="D432" s="340" t="e">
        <f>'Bldg+Dev'!#REF!</f>
        <v>#REF!</v>
      </c>
      <c r="E432" s="340" t="e">
        <f>'Bldg+Dev'!#REF!</f>
        <v>#REF!</v>
      </c>
      <c r="F432" s="340" t="e">
        <f t="shared" si="6"/>
        <v>#REF!</v>
      </c>
      <c r="G432" s="190"/>
      <c r="H432" s="190"/>
    </row>
    <row r="433" spans="1:22" ht="45" hidden="1" customHeight="1">
      <c r="A433" s="338" t="e">
        <f>'Bldg+Dev'!#REF!</f>
        <v>#REF!</v>
      </c>
      <c r="B433" s="340" t="e">
        <f>+'Bldg+Dev'!#REF!</f>
        <v>#REF!</v>
      </c>
      <c r="C433" s="340" t="e">
        <f>'Bldg+Dev'!#REF!</f>
        <v>#REF!</v>
      </c>
      <c r="D433" s="340" t="e">
        <f>'Bldg+Dev'!#REF!</f>
        <v>#REF!</v>
      </c>
      <c r="E433" s="340" t="e">
        <f>'Bldg+Dev'!#REF!</f>
        <v>#REF!</v>
      </c>
      <c r="F433" s="340" t="e">
        <f t="shared" si="6"/>
        <v>#REF!</v>
      </c>
      <c r="G433" s="190"/>
      <c r="H433" s="190"/>
    </row>
    <row r="434" spans="1:22" ht="77.25" hidden="1" customHeight="1">
      <c r="A434" s="338" t="e">
        <f>'Bldg+Dev'!#REF!</f>
        <v>#REF!</v>
      </c>
      <c r="B434" s="340" t="e">
        <f>+'Bldg+Dev'!#REF!</f>
        <v>#REF!</v>
      </c>
      <c r="C434" s="340" t="e">
        <f>'Bldg+Dev'!#REF!</f>
        <v>#REF!</v>
      </c>
      <c r="D434" s="340" t="e">
        <f>'Bldg+Dev'!#REF!</f>
        <v>#REF!</v>
      </c>
      <c r="E434" s="340" t="e">
        <f>'Bldg+Dev'!#REF!</f>
        <v>#REF!</v>
      </c>
      <c r="F434" s="340" t="e">
        <f t="shared" si="6"/>
        <v>#REF!</v>
      </c>
      <c r="G434" s="191"/>
      <c r="H434" s="191"/>
    </row>
    <row r="435" spans="1:22" ht="21.75" customHeight="1">
      <c r="A435" s="338">
        <f>'Bldg+Dev'!A183</f>
        <v>18.100000000000001</v>
      </c>
      <c r="B435" s="339">
        <f>+'Bldg+Dev'!U183</f>
        <v>0</v>
      </c>
      <c r="C435" s="340" t="str">
        <f>'Bldg+Dev'!B183</f>
        <v>Formwork using M.S.Sheet</v>
      </c>
      <c r="D435" s="340">
        <f>'Bldg+Dev'!C183</f>
        <v>0</v>
      </c>
      <c r="E435" s="340">
        <f>'Bldg+Dev'!D183</f>
        <v>0</v>
      </c>
      <c r="F435" s="340"/>
      <c r="G435" s="192"/>
      <c r="H435" s="192"/>
      <c r="I435" s="127"/>
      <c r="J435" s="117"/>
      <c r="K435" s="117"/>
      <c r="L435" s="117"/>
      <c r="M435" s="117"/>
      <c r="N435" s="117"/>
      <c r="O435" s="117"/>
      <c r="P435" s="117"/>
      <c r="Q435" s="117"/>
      <c r="R435" s="117"/>
      <c r="S435" s="117"/>
      <c r="T435" s="117"/>
      <c r="U435" s="117"/>
      <c r="V435" s="117"/>
    </row>
    <row r="436" spans="1:22" ht="35.1" customHeight="1">
      <c r="A436" s="338">
        <f>'Bldg+Dev'!A184</f>
        <v>0</v>
      </c>
      <c r="B436" s="340" t="e">
        <f>+'Bldg+Dev'!U184</f>
        <v>#REF!</v>
      </c>
      <c r="C436" s="340" t="str">
        <f>'Bldg+Dev'!B184</f>
        <v>a.For Column footings,plinth beam,Grade beam,Raftbeam,Raft slab etc.,</v>
      </c>
      <c r="D436" s="340">
        <f>'Bldg+Dev'!C184</f>
        <v>399.45</v>
      </c>
      <c r="E436" s="340" t="str">
        <f>'Bldg+Dev'!D184</f>
        <v>Sqm</v>
      </c>
      <c r="F436" s="340" t="e">
        <f t="shared" si="6"/>
        <v>#REF!</v>
      </c>
      <c r="G436" s="191"/>
      <c r="H436" s="191"/>
    </row>
    <row r="437" spans="1:22" ht="60.75" customHeight="1">
      <c r="A437" s="338">
        <f>'Bldg+Dev'!A185</f>
        <v>0</v>
      </c>
      <c r="B437" s="340" t="e">
        <f>+'Bldg+Dev'!U185</f>
        <v>#REF!</v>
      </c>
      <c r="C437" s="340" t="str">
        <f>'Bldg+Dev'!B185</f>
        <v>b.Plain surfaces such as Roof slab,floorslab,Beams,lintels,lofts,sill slab,staircase,portico slab and other similar works</v>
      </c>
      <c r="D437" s="340">
        <f>'Bldg+Dev'!C185</f>
        <v>461.84</v>
      </c>
      <c r="E437" s="340" t="str">
        <f>'Bldg+Dev'!D185</f>
        <v>Sqm</v>
      </c>
      <c r="F437" s="340" t="e">
        <f t="shared" si="6"/>
        <v>#REF!</v>
      </c>
      <c r="G437" s="191"/>
      <c r="H437" s="191"/>
    </row>
    <row r="438" spans="1:22" ht="40.5" customHeight="1">
      <c r="A438" s="338">
        <f>'Bldg+Dev'!A186</f>
        <v>0</v>
      </c>
      <c r="B438" s="340" t="e">
        <f>+'Bldg+Dev'!U186</f>
        <v>#REF!</v>
      </c>
      <c r="C438" s="340" t="str">
        <f>'Bldg+Dev'!B186</f>
        <v>c.For Square and rectangular columns and small quantities</v>
      </c>
      <c r="D438" s="340">
        <f>'Bldg+Dev'!C186</f>
        <v>554.21</v>
      </c>
      <c r="E438" s="340" t="str">
        <f>'Bldg+Dev'!D186</f>
        <v>Sqm</v>
      </c>
      <c r="F438" s="340" t="e">
        <f t="shared" si="6"/>
        <v>#REF!</v>
      </c>
      <c r="G438" s="191"/>
      <c r="H438" s="191"/>
    </row>
    <row r="439" spans="1:22" ht="27.75" customHeight="1">
      <c r="A439" s="338">
        <f>'Bldg+Dev'!A187</f>
        <v>0</v>
      </c>
      <c r="B439" s="340">
        <f>+'Bldg+Dev'!U187</f>
        <v>0</v>
      </c>
      <c r="C439" s="340" t="str">
        <f>'Bldg+Dev'!B187</f>
        <v>d.For vertical walls (sump)</v>
      </c>
      <c r="D439" s="340">
        <f>'Bldg+Dev'!C187</f>
        <v>508.02</v>
      </c>
      <c r="E439" s="340" t="str">
        <f>'Bldg+Dev'!D187</f>
        <v>Sqm</v>
      </c>
      <c r="F439" s="340">
        <f t="shared" si="6"/>
        <v>0</v>
      </c>
      <c r="G439" s="191"/>
      <c r="H439" s="191"/>
    </row>
    <row r="440" spans="1:22" ht="45" hidden="1" customHeight="1">
      <c r="A440" s="338">
        <f>'Bldg+Dev'!A188</f>
        <v>0</v>
      </c>
      <c r="B440" s="340">
        <f>+'Bldg+Dev'!U188</f>
        <v>31.3</v>
      </c>
      <c r="C440" s="340" t="str">
        <f>'Bldg+Dev'!B188</f>
        <v>e.For circular surface  (sump)</v>
      </c>
      <c r="D440" s="340">
        <f>'Bldg+Dev'!C188</f>
        <v>692.76</v>
      </c>
      <c r="E440" s="340">
        <f>'Bldg+Dev'!D188</f>
        <v>0</v>
      </c>
      <c r="F440" s="340">
        <f t="shared" si="6"/>
        <v>21683.39</v>
      </c>
      <c r="G440" s="191"/>
      <c r="H440" s="191"/>
    </row>
    <row r="441" spans="1:22" ht="45" customHeight="1">
      <c r="A441" s="338" t="e">
        <f>'Bldg+Dev'!#REF!</f>
        <v>#REF!</v>
      </c>
      <c r="B441" s="339" t="e">
        <f>+'Bldg+Dev'!#REF!</f>
        <v>#REF!</v>
      </c>
      <c r="C441" s="340" t="e">
        <f>'Bldg+Dev'!#REF!</f>
        <v>#REF!</v>
      </c>
      <c r="D441" s="340" t="e">
        <f>'Bldg+Dev'!#REF!</f>
        <v>#REF!</v>
      </c>
      <c r="E441" s="340" t="e">
        <f>'Bldg+Dev'!#REF!</f>
        <v>#REF!</v>
      </c>
      <c r="F441" s="340"/>
      <c r="G441" s="191"/>
      <c r="H441" s="191"/>
    </row>
    <row r="442" spans="1:22" ht="28.5" customHeight="1">
      <c r="A442" s="338" t="e">
        <f>'Bldg+Dev'!#REF!</f>
        <v>#REF!</v>
      </c>
      <c r="B442" s="340" t="e">
        <f>+'Bldg+Dev'!#REF!</f>
        <v>#REF!</v>
      </c>
      <c r="C442" s="340" t="e">
        <f>'Bldg+Dev'!#REF!</f>
        <v>#REF!</v>
      </c>
      <c r="D442" s="340" t="e">
        <f>'Bldg+Dev'!#REF!</f>
        <v>#REF!</v>
      </c>
      <c r="E442" s="340" t="e">
        <f>'Bldg+Dev'!#REF!</f>
        <v>#REF!</v>
      </c>
      <c r="F442" s="340" t="e">
        <f t="shared" si="6"/>
        <v>#REF!</v>
      </c>
      <c r="G442" s="191"/>
      <c r="H442" s="191"/>
    </row>
    <row r="443" spans="1:22" ht="28.5" customHeight="1">
      <c r="A443" s="338" t="e">
        <f>'Bldg+Dev'!#REF!</f>
        <v>#REF!</v>
      </c>
      <c r="B443" s="340" t="e">
        <f>+'Bldg+Dev'!#REF!</f>
        <v>#REF!</v>
      </c>
      <c r="C443" s="340" t="e">
        <f>'Bldg+Dev'!#REF!</f>
        <v>#REF!</v>
      </c>
      <c r="D443" s="340" t="e">
        <f>'Bldg+Dev'!#REF!</f>
        <v>#REF!</v>
      </c>
      <c r="E443" s="340" t="e">
        <f>'Bldg+Dev'!#REF!</f>
        <v>#REF!</v>
      </c>
      <c r="F443" s="340" t="e">
        <f t="shared" si="6"/>
        <v>#REF!</v>
      </c>
      <c r="G443" s="191"/>
      <c r="H443" s="191"/>
    </row>
    <row r="444" spans="1:22" ht="35.1" hidden="1" customHeight="1">
      <c r="A444" s="338" t="e">
        <f>'Bldg+Dev'!#REF!</f>
        <v>#REF!</v>
      </c>
      <c r="B444" s="340" t="e">
        <f>+'Bldg+Dev'!#REF!</f>
        <v>#REF!</v>
      </c>
      <c r="C444" s="340" t="e">
        <f>'Bldg+Dev'!#REF!</f>
        <v>#REF!</v>
      </c>
      <c r="D444" s="340" t="e">
        <f>'Bldg+Dev'!#REF!</f>
        <v>#REF!</v>
      </c>
      <c r="E444" s="340" t="e">
        <f>'Bldg+Dev'!#REF!</f>
        <v>#REF!</v>
      </c>
      <c r="F444" s="340" t="e">
        <f t="shared" si="6"/>
        <v>#REF!</v>
      </c>
      <c r="G444" s="191"/>
      <c r="H444" s="191"/>
    </row>
    <row r="445" spans="1:22" ht="45" hidden="1" customHeight="1">
      <c r="A445" s="338" t="e">
        <f>'Bldg+Dev'!#REF!</f>
        <v>#REF!</v>
      </c>
      <c r="B445" s="340" t="e">
        <f>+'Bldg+Dev'!#REF!</f>
        <v>#REF!</v>
      </c>
      <c r="C445" s="340" t="e">
        <f>'Bldg+Dev'!#REF!</f>
        <v>#REF!</v>
      </c>
      <c r="D445" s="340" t="e">
        <f>'Bldg+Dev'!#REF!</f>
        <v>#REF!</v>
      </c>
      <c r="E445" s="340" t="e">
        <f>'Bldg+Dev'!#REF!</f>
        <v>#REF!</v>
      </c>
      <c r="F445" s="340" t="e">
        <f t="shared" si="6"/>
        <v>#REF!</v>
      </c>
      <c r="G445" s="191"/>
      <c r="H445" s="191"/>
    </row>
    <row r="446" spans="1:22" ht="35.1" hidden="1" customHeight="1">
      <c r="A446" s="338" t="e">
        <f>'Bldg+Dev'!#REF!</f>
        <v>#REF!</v>
      </c>
      <c r="B446" s="340" t="e">
        <f>+'Bldg+Dev'!#REF!</f>
        <v>#REF!</v>
      </c>
      <c r="C446" s="340" t="e">
        <f>'Bldg+Dev'!#REF!</f>
        <v>#REF!</v>
      </c>
      <c r="D446" s="340" t="e">
        <f>'Bldg+Dev'!#REF!</f>
        <v>#REF!</v>
      </c>
      <c r="E446" s="340" t="e">
        <f>'Bldg+Dev'!#REF!</f>
        <v>#REF!</v>
      </c>
      <c r="F446" s="340" t="e">
        <f t="shared" si="6"/>
        <v>#REF!</v>
      </c>
      <c r="G446" s="191"/>
      <c r="H446" s="191"/>
    </row>
    <row r="447" spans="1:22" ht="45" hidden="1" customHeight="1">
      <c r="A447" s="338" t="e">
        <f>'Bldg+Dev'!#REF!</f>
        <v>#REF!</v>
      </c>
      <c r="B447" s="340" t="e">
        <f>+'Bldg+Dev'!#REF!</f>
        <v>#REF!</v>
      </c>
      <c r="C447" s="340" t="e">
        <f>'Bldg+Dev'!#REF!</f>
        <v>#REF!</v>
      </c>
      <c r="D447" s="340" t="e">
        <f>'Bldg+Dev'!#REF!</f>
        <v>#REF!</v>
      </c>
      <c r="E447" s="340" t="e">
        <f>'Bldg+Dev'!#REF!</f>
        <v>#REF!</v>
      </c>
      <c r="F447" s="340" t="e">
        <f t="shared" si="6"/>
        <v>#REF!</v>
      </c>
      <c r="G447" s="191"/>
      <c r="H447" s="191"/>
    </row>
    <row r="448" spans="1:22" ht="45" hidden="1" customHeight="1">
      <c r="A448" s="338" t="e">
        <f>'Bldg+Dev'!#REF!</f>
        <v>#REF!</v>
      </c>
      <c r="B448" s="340" t="e">
        <f>+'Bldg+Dev'!#REF!</f>
        <v>#REF!</v>
      </c>
      <c r="C448" s="340" t="e">
        <f>'Bldg+Dev'!#REF!</f>
        <v>#REF!</v>
      </c>
      <c r="D448" s="340" t="e">
        <f>'Bldg+Dev'!#REF!</f>
        <v>#REF!</v>
      </c>
      <c r="E448" s="340" t="e">
        <f>'Bldg+Dev'!#REF!</f>
        <v>#REF!</v>
      </c>
      <c r="F448" s="340" t="e">
        <f t="shared" si="6"/>
        <v>#REF!</v>
      </c>
      <c r="G448" s="191"/>
      <c r="H448" s="191"/>
    </row>
    <row r="449" spans="1:22" ht="35.1" hidden="1" customHeight="1">
      <c r="A449" s="338" t="e">
        <f>'Bldg+Dev'!#REF!</f>
        <v>#REF!</v>
      </c>
      <c r="B449" s="340" t="e">
        <f>+'Bldg+Dev'!#REF!</f>
        <v>#REF!</v>
      </c>
      <c r="C449" s="340" t="e">
        <f>'Bldg+Dev'!#REF!</f>
        <v>#REF!</v>
      </c>
      <c r="D449" s="340" t="e">
        <f>'Bldg+Dev'!#REF!</f>
        <v>#REF!</v>
      </c>
      <c r="E449" s="340" t="e">
        <f>'Bldg+Dev'!#REF!</f>
        <v>#REF!</v>
      </c>
      <c r="F449" s="340" t="e">
        <f t="shared" si="6"/>
        <v>#REF!</v>
      </c>
      <c r="G449" s="191"/>
      <c r="H449" s="191"/>
    </row>
    <row r="450" spans="1:22" ht="45" hidden="1" customHeight="1">
      <c r="A450" s="338" t="e">
        <f>'Bldg+Dev'!#REF!</f>
        <v>#REF!</v>
      </c>
      <c r="B450" s="340" t="e">
        <f>+'Bldg+Dev'!#REF!</f>
        <v>#REF!</v>
      </c>
      <c r="C450" s="340" t="e">
        <f>'Bldg+Dev'!#REF!</f>
        <v>#REF!</v>
      </c>
      <c r="D450" s="340" t="e">
        <f>'Bldg+Dev'!#REF!</f>
        <v>#REF!</v>
      </c>
      <c r="E450" s="340" t="e">
        <f>'Bldg+Dev'!#REF!</f>
        <v>#REF!</v>
      </c>
      <c r="F450" s="340" t="e">
        <f t="shared" si="6"/>
        <v>#REF!</v>
      </c>
      <c r="G450" s="191"/>
      <c r="H450" s="191"/>
    </row>
    <row r="451" spans="1:22" ht="60.75" customHeight="1">
      <c r="A451" s="338" t="e">
        <f>'Bldg+Dev'!#REF!</f>
        <v>#REF!</v>
      </c>
      <c r="B451" s="340" t="e">
        <f>+'Bldg+Dev'!#REF!</f>
        <v>#REF!</v>
      </c>
      <c r="C451" s="340" t="e">
        <f>'Bldg+Dev'!#REF!</f>
        <v>#REF!</v>
      </c>
      <c r="D451" s="340" t="e">
        <f>'Bldg+Dev'!#REF!</f>
        <v>#REF!</v>
      </c>
      <c r="E451" s="340" t="e">
        <f>'Bldg+Dev'!#REF!</f>
        <v>#REF!</v>
      </c>
      <c r="F451" s="340" t="e">
        <f t="shared" si="6"/>
        <v>#REF!</v>
      </c>
      <c r="G451" s="191"/>
      <c r="H451" s="191"/>
    </row>
    <row r="452" spans="1:22" ht="35.1" hidden="1" customHeight="1">
      <c r="A452" s="338" t="e">
        <f>'Bldg+Dev'!#REF!</f>
        <v>#REF!</v>
      </c>
      <c r="B452" s="340" t="e">
        <f>+'Bldg+Dev'!#REF!</f>
        <v>#REF!</v>
      </c>
      <c r="C452" s="340" t="e">
        <f>'Bldg+Dev'!#REF!</f>
        <v>#REF!</v>
      </c>
      <c r="D452" s="340" t="e">
        <f>'Bldg+Dev'!#REF!</f>
        <v>#REF!</v>
      </c>
      <c r="E452" s="340" t="e">
        <f>'Bldg+Dev'!#REF!</f>
        <v>#REF!</v>
      </c>
      <c r="F452" s="340" t="e">
        <f t="shared" si="6"/>
        <v>#REF!</v>
      </c>
      <c r="G452" s="193"/>
      <c r="H452" s="193"/>
    </row>
    <row r="453" spans="1:22" ht="45" hidden="1" customHeight="1">
      <c r="A453" s="338" t="e">
        <f>'Bldg+Dev'!#REF!</f>
        <v>#REF!</v>
      </c>
      <c r="B453" s="340" t="e">
        <f>+'Bldg+Dev'!#REF!</f>
        <v>#REF!</v>
      </c>
      <c r="C453" s="340" t="e">
        <f>'Bldg+Dev'!#REF!</f>
        <v>#REF!</v>
      </c>
      <c r="D453" s="340" t="e">
        <f>'Bldg+Dev'!#REF!</f>
        <v>#REF!</v>
      </c>
      <c r="E453" s="340" t="e">
        <f>'Bldg+Dev'!#REF!</f>
        <v>#REF!</v>
      </c>
      <c r="F453" s="340" t="e">
        <f t="shared" si="6"/>
        <v>#REF!</v>
      </c>
      <c r="G453" s="193"/>
      <c r="H453" s="193"/>
    </row>
    <row r="454" spans="1:22" ht="35.1" hidden="1" customHeight="1">
      <c r="A454" s="338" t="e">
        <f>'Bldg+Dev'!#REF!</f>
        <v>#REF!</v>
      </c>
      <c r="B454" s="340" t="e">
        <f>+'Bldg+Dev'!#REF!</f>
        <v>#REF!</v>
      </c>
      <c r="C454" s="340" t="e">
        <f>'Bldg+Dev'!#REF!</f>
        <v>#REF!</v>
      </c>
      <c r="D454" s="340" t="e">
        <f>'Bldg+Dev'!#REF!</f>
        <v>#REF!</v>
      </c>
      <c r="E454" s="340" t="e">
        <f>'Bldg+Dev'!#REF!</f>
        <v>#REF!</v>
      </c>
      <c r="F454" s="340" t="e">
        <f t="shared" si="6"/>
        <v>#REF!</v>
      </c>
      <c r="G454" s="193"/>
      <c r="H454" s="193"/>
    </row>
    <row r="455" spans="1:22" ht="35.1" hidden="1" customHeight="1">
      <c r="A455" s="338" t="e">
        <f>'Bldg+Dev'!#REF!</f>
        <v>#REF!</v>
      </c>
      <c r="B455" s="340" t="e">
        <f>+'Bldg+Dev'!#REF!</f>
        <v>#REF!</v>
      </c>
      <c r="C455" s="340" t="e">
        <f>'Bldg+Dev'!#REF!</f>
        <v>#REF!</v>
      </c>
      <c r="D455" s="340" t="e">
        <f>'Bldg+Dev'!#REF!</f>
        <v>#REF!</v>
      </c>
      <c r="E455" s="340" t="e">
        <f>'Bldg+Dev'!#REF!</f>
        <v>#REF!</v>
      </c>
      <c r="F455" s="340" t="e">
        <f t="shared" si="6"/>
        <v>#REF!</v>
      </c>
      <c r="G455" s="193"/>
      <c r="H455" s="193"/>
    </row>
    <row r="456" spans="1:22" ht="22.5" customHeight="1">
      <c r="A456" s="338" t="e">
        <f>'Bldg+Dev'!#REF!</f>
        <v>#REF!</v>
      </c>
      <c r="B456" s="339" t="e">
        <f>+'Bldg+Dev'!#REF!</f>
        <v>#REF!</v>
      </c>
      <c r="C456" s="340" t="e">
        <f>'Bldg+Dev'!#REF!</f>
        <v>#REF!</v>
      </c>
      <c r="D456" s="340" t="e">
        <f>'Bldg+Dev'!#REF!</f>
        <v>#REF!</v>
      </c>
      <c r="E456" s="340" t="e">
        <f>'Bldg+Dev'!#REF!</f>
        <v>#REF!</v>
      </c>
      <c r="F456" s="340"/>
      <c r="G456" s="193"/>
      <c r="H456" s="193"/>
    </row>
    <row r="457" spans="1:22" ht="26.25" customHeight="1">
      <c r="A457" s="338" t="e">
        <f>'Bldg+Dev'!#REF!</f>
        <v>#REF!</v>
      </c>
      <c r="B457" s="340" t="e">
        <f>+'Bldg+Dev'!#REF!</f>
        <v>#REF!</v>
      </c>
      <c r="C457" s="340" t="e">
        <f>'Bldg+Dev'!#REF!</f>
        <v>#REF!</v>
      </c>
      <c r="D457" s="340" t="e">
        <f>'Bldg+Dev'!#REF!</f>
        <v>#REF!</v>
      </c>
      <c r="E457" s="340" t="e">
        <f>'Bldg+Dev'!#REF!</f>
        <v>#REF!</v>
      </c>
      <c r="F457" s="340" t="e">
        <f t="shared" ref="F457:F520" si="7">D457*B457</f>
        <v>#REF!</v>
      </c>
      <c r="G457" s="193"/>
      <c r="H457" s="193"/>
    </row>
    <row r="458" spans="1:22" ht="45" customHeight="1">
      <c r="A458" s="338" t="e">
        <f>'Bldg+Dev'!#REF!</f>
        <v>#REF!</v>
      </c>
      <c r="B458" s="340" t="e">
        <f>+'Bldg+Dev'!#REF!</f>
        <v>#REF!</v>
      </c>
      <c r="C458" s="340" t="e">
        <f>'Bldg+Dev'!#REF!</f>
        <v>#REF!</v>
      </c>
      <c r="D458" s="340" t="e">
        <f>'Bldg+Dev'!#REF!</f>
        <v>#REF!</v>
      </c>
      <c r="E458" s="340" t="e">
        <f>'Bldg+Dev'!#REF!</f>
        <v>#REF!</v>
      </c>
      <c r="F458" s="340" t="e">
        <f t="shared" si="7"/>
        <v>#REF!</v>
      </c>
      <c r="G458" s="193"/>
      <c r="H458" s="193"/>
    </row>
    <row r="459" spans="1:22" ht="28.5" customHeight="1">
      <c r="A459" s="338" t="e">
        <f>'Bldg+Dev'!#REF!</f>
        <v>#REF!</v>
      </c>
      <c r="B459" s="340" t="e">
        <f>+'Bldg+Dev'!#REF!</f>
        <v>#REF!</v>
      </c>
      <c r="C459" s="340" t="e">
        <f>'Bldg+Dev'!#REF!</f>
        <v>#REF!</v>
      </c>
      <c r="D459" s="340" t="e">
        <f>'Bldg+Dev'!#REF!</f>
        <v>#REF!</v>
      </c>
      <c r="E459" s="340" t="e">
        <f>'Bldg+Dev'!#REF!</f>
        <v>#REF!</v>
      </c>
      <c r="F459" s="340" t="e">
        <f t="shared" si="7"/>
        <v>#REF!</v>
      </c>
      <c r="G459" s="193"/>
      <c r="H459" s="193"/>
    </row>
    <row r="460" spans="1:22" ht="35.1" customHeight="1">
      <c r="A460" s="338" t="e">
        <f>'Bldg+Dev'!#REF!</f>
        <v>#REF!</v>
      </c>
      <c r="B460" s="340" t="e">
        <f>+'Bldg+Dev'!#REF!</f>
        <v>#REF!</v>
      </c>
      <c r="C460" s="340" t="e">
        <f>'Bldg+Dev'!#REF!</f>
        <v>#REF!</v>
      </c>
      <c r="D460" s="340" t="e">
        <f>'Bldg+Dev'!#REF!</f>
        <v>#REF!</v>
      </c>
      <c r="E460" s="340" t="e">
        <f>'Bldg+Dev'!#REF!</f>
        <v>#REF!</v>
      </c>
      <c r="F460" s="340" t="e">
        <f t="shared" si="7"/>
        <v>#REF!</v>
      </c>
      <c r="G460" s="194"/>
      <c r="H460" s="194"/>
      <c r="I460" s="128"/>
      <c r="J460" s="117"/>
      <c r="K460" s="117"/>
      <c r="L460" s="117"/>
      <c r="M460" s="117"/>
      <c r="N460" s="117"/>
      <c r="O460" s="117"/>
      <c r="P460" s="117"/>
      <c r="Q460" s="117"/>
      <c r="R460" s="117"/>
      <c r="S460" s="117"/>
      <c r="T460" s="117"/>
      <c r="U460" s="117"/>
      <c r="V460" s="117"/>
    </row>
    <row r="461" spans="1:22" ht="35.1" hidden="1" customHeight="1">
      <c r="A461" s="338" t="e">
        <f>'Bldg+Dev'!#REF!</f>
        <v>#REF!</v>
      </c>
      <c r="B461" s="340" t="e">
        <f>+'Bldg+Dev'!#REF!</f>
        <v>#REF!</v>
      </c>
      <c r="C461" s="340" t="e">
        <f>'Bldg+Dev'!#REF!</f>
        <v>#REF!</v>
      </c>
      <c r="D461" s="340" t="e">
        <f>'Bldg+Dev'!#REF!</f>
        <v>#REF!</v>
      </c>
      <c r="E461" s="340" t="e">
        <f>'Bldg+Dev'!#REF!</f>
        <v>#REF!</v>
      </c>
      <c r="F461" s="340" t="e">
        <f t="shared" si="7"/>
        <v>#REF!</v>
      </c>
      <c r="G461" s="194"/>
      <c r="H461" s="194"/>
      <c r="I461" s="128"/>
      <c r="J461" s="117"/>
      <c r="K461" s="117"/>
      <c r="L461" s="117"/>
      <c r="M461" s="117"/>
      <c r="N461" s="117"/>
      <c r="O461" s="117"/>
      <c r="P461" s="117"/>
      <c r="Q461" s="117"/>
      <c r="R461" s="117"/>
      <c r="S461" s="117"/>
      <c r="T461" s="117"/>
      <c r="U461" s="117"/>
      <c r="V461" s="117"/>
    </row>
    <row r="462" spans="1:22" ht="54" hidden="1" customHeight="1">
      <c r="A462" s="338" t="e">
        <f>'Bldg+Dev'!#REF!</f>
        <v>#REF!</v>
      </c>
      <c r="B462" s="340" t="e">
        <f>+'Bldg+Dev'!#REF!</f>
        <v>#REF!</v>
      </c>
      <c r="C462" s="340" t="e">
        <f>'Bldg+Dev'!#REF!</f>
        <v>#REF!</v>
      </c>
      <c r="D462" s="340" t="e">
        <f>'Bldg+Dev'!#REF!</f>
        <v>#REF!</v>
      </c>
      <c r="E462" s="340" t="e">
        <f>'Bldg+Dev'!#REF!</f>
        <v>#REF!</v>
      </c>
      <c r="F462" s="340" t="e">
        <f t="shared" si="7"/>
        <v>#REF!</v>
      </c>
      <c r="G462" s="194"/>
      <c r="H462" s="194"/>
      <c r="I462" s="128"/>
      <c r="J462" s="117"/>
      <c r="K462" s="117"/>
      <c r="L462" s="117"/>
      <c r="M462" s="117"/>
      <c r="N462" s="117"/>
      <c r="O462" s="117"/>
      <c r="P462" s="117"/>
      <c r="Q462" s="117"/>
      <c r="R462" s="117"/>
      <c r="S462" s="117"/>
      <c r="T462" s="117"/>
      <c r="U462" s="117"/>
      <c r="V462" s="117"/>
    </row>
    <row r="463" spans="1:22" ht="42" hidden="1" customHeight="1">
      <c r="A463" s="338" t="e">
        <f>'Bldg+Dev'!#REF!</f>
        <v>#REF!</v>
      </c>
      <c r="B463" s="340" t="e">
        <f>+'Bldg+Dev'!#REF!</f>
        <v>#REF!</v>
      </c>
      <c r="C463" s="340" t="e">
        <f>'Bldg+Dev'!#REF!</f>
        <v>#REF!</v>
      </c>
      <c r="D463" s="340" t="e">
        <f>'Bldg+Dev'!#REF!</f>
        <v>#REF!</v>
      </c>
      <c r="E463" s="340" t="e">
        <f>'Bldg+Dev'!#REF!</f>
        <v>#REF!</v>
      </c>
      <c r="F463" s="340" t="e">
        <f t="shared" si="7"/>
        <v>#REF!</v>
      </c>
      <c r="G463" s="194"/>
      <c r="H463" s="194"/>
      <c r="I463" s="128"/>
      <c r="J463" s="117"/>
      <c r="K463" s="117"/>
      <c r="L463" s="117"/>
      <c r="M463" s="117"/>
      <c r="N463" s="117"/>
      <c r="O463" s="117"/>
      <c r="P463" s="117"/>
      <c r="Q463" s="117"/>
      <c r="R463" s="117"/>
      <c r="S463" s="117"/>
      <c r="T463" s="117"/>
      <c r="U463" s="117"/>
      <c r="V463" s="117"/>
    </row>
    <row r="464" spans="1:22" ht="63.75" hidden="1" customHeight="1">
      <c r="A464" s="338" t="e">
        <f>'Bldg+Dev'!#REF!</f>
        <v>#REF!</v>
      </c>
      <c r="B464" s="340" t="e">
        <f>+'Bldg+Dev'!#REF!</f>
        <v>#REF!</v>
      </c>
      <c r="C464" s="340" t="e">
        <f>'Bldg+Dev'!#REF!</f>
        <v>#REF!</v>
      </c>
      <c r="D464" s="340" t="e">
        <f>'Bldg+Dev'!#REF!</f>
        <v>#REF!</v>
      </c>
      <c r="E464" s="340" t="e">
        <f>'Bldg+Dev'!#REF!</f>
        <v>#REF!</v>
      </c>
      <c r="F464" s="340" t="e">
        <f t="shared" si="7"/>
        <v>#REF!</v>
      </c>
      <c r="G464" s="194"/>
      <c r="H464" s="194"/>
      <c r="I464" s="128"/>
      <c r="J464" s="117"/>
      <c r="K464" s="117"/>
      <c r="L464" s="117"/>
      <c r="M464" s="117"/>
      <c r="N464" s="117"/>
      <c r="O464" s="117"/>
      <c r="P464" s="117"/>
      <c r="Q464" s="117"/>
      <c r="R464" s="117"/>
      <c r="S464" s="117"/>
      <c r="T464" s="117"/>
      <c r="U464" s="117"/>
      <c r="V464" s="117"/>
    </row>
    <row r="465" spans="1:22" ht="45.75" hidden="1" customHeight="1">
      <c r="A465" s="338" t="e">
        <f>'Bldg+Dev'!#REF!</f>
        <v>#REF!</v>
      </c>
      <c r="B465" s="340" t="e">
        <f>+'Bldg+Dev'!#REF!</f>
        <v>#REF!</v>
      </c>
      <c r="C465" s="340" t="e">
        <f>'Bldg+Dev'!#REF!</f>
        <v>#REF!</v>
      </c>
      <c r="D465" s="340" t="e">
        <f>'Bldg+Dev'!#REF!</f>
        <v>#REF!</v>
      </c>
      <c r="E465" s="340" t="e">
        <f>'Bldg+Dev'!#REF!</f>
        <v>#REF!</v>
      </c>
      <c r="F465" s="340" t="e">
        <f t="shared" si="7"/>
        <v>#REF!</v>
      </c>
      <c r="G465" s="194"/>
      <c r="H465" s="194"/>
      <c r="I465" s="128"/>
      <c r="J465" s="117"/>
      <c r="K465" s="117"/>
      <c r="L465" s="117"/>
      <c r="M465" s="117"/>
      <c r="N465" s="117"/>
      <c r="O465" s="117"/>
      <c r="P465" s="117"/>
      <c r="Q465" s="117"/>
      <c r="R465" s="117"/>
      <c r="S465" s="117"/>
      <c r="T465" s="117"/>
      <c r="U465" s="117"/>
      <c r="V465" s="117"/>
    </row>
    <row r="466" spans="1:22" ht="51.75" hidden="1" customHeight="1">
      <c r="A466" s="338" t="e">
        <f>'Bldg+Dev'!#REF!</f>
        <v>#REF!</v>
      </c>
      <c r="B466" s="340" t="e">
        <f>+'Bldg+Dev'!#REF!</f>
        <v>#REF!</v>
      </c>
      <c r="C466" s="340" t="e">
        <f>'Bldg+Dev'!#REF!</f>
        <v>#REF!</v>
      </c>
      <c r="D466" s="340" t="e">
        <f>'Bldg+Dev'!#REF!</f>
        <v>#REF!</v>
      </c>
      <c r="E466" s="340" t="e">
        <f>'Bldg+Dev'!#REF!</f>
        <v>#REF!</v>
      </c>
      <c r="F466" s="340" t="e">
        <f t="shared" si="7"/>
        <v>#REF!</v>
      </c>
      <c r="G466" s="194"/>
      <c r="H466" s="194"/>
      <c r="I466" s="128"/>
      <c r="J466" s="117"/>
      <c r="K466" s="117"/>
      <c r="L466" s="117"/>
      <c r="M466" s="117"/>
      <c r="N466" s="117"/>
      <c r="O466" s="117"/>
      <c r="P466" s="117"/>
      <c r="Q466" s="117"/>
      <c r="R466" s="117"/>
      <c r="S466" s="117"/>
      <c r="T466" s="117"/>
      <c r="U466" s="117"/>
      <c r="V466" s="117"/>
    </row>
    <row r="467" spans="1:22" ht="23.25" customHeight="1">
      <c r="A467" s="338" t="e">
        <f>'Bldg+Dev'!#REF!</f>
        <v>#REF!</v>
      </c>
      <c r="B467" s="339" t="e">
        <f>+'Bldg+Dev'!#REF!</f>
        <v>#REF!</v>
      </c>
      <c r="C467" s="340" t="e">
        <f>'Bldg+Dev'!#REF!</f>
        <v>#REF!</v>
      </c>
      <c r="D467" s="340" t="e">
        <f>'Bldg+Dev'!#REF!</f>
        <v>#REF!</v>
      </c>
      <c r="E467" s="340" t="e">
        <f>'Bldg+Dev'!#REF!</f>
        <v>#REF!</v>
      </c>
      <c r="F467" s="340"/>
      <c r="G467" s="194"/>
      <c r="H467" s="194"/>
      <c r="I467" s="128"/>
      <c r="J467" s="117"/>
      <c r="K467" s="117"/>
      <c r="L467" s="117"/>
      <c r="M467" s="117"/>
      <c r="N467" s="117"/>
      <c r="O467" s="117"/>
      <c r="P467" s="117"/>
      <c r="Q467" s="117"/>
      <c r="R467" s="117"/>
      <c r="S467" s="117"/>
      <c r="T467" s="117"/>
      <c r="U467" s="117"/>
      <c r="V467" s="117"/>
    </row>
    <row r="468" spans="1:22" ht="23.25" customHeight="1">
      <c r="A468" s="338" t="e">
        <f>'Bldg+Dev'!#REF!</f>
        <v>#REF!</v>
      </c>
      <c r="B468" s="340" t="e">
        <f>+'Bldg+Dev'!#REF!</f>
        <v>#REF!</v>
      </c>
      <c r="C468" s="340" t="e">
        <f>'Bldg+Dev'!#REF!</f>
        <v>#REF!</v>
      </c>
      <c r="D468" s="340" t="e">
        <f>'Bldg+Dev'!#REF!</f>
        <v>#REF!</v>
      </c>
      <c r="E468" s="340" t="e">
        <f>'Bldg+Dev'!#REF!</f>
        <v>#REF!</v>
      </c>
      <c r="F468" s="340" t="e">
        <f t="shared" si="7"/>
        <v>#REF!</v>
      </c>
      <c r="G468" s="195"/>
      <c r="H468" s="195"/>
      <c r="I468" s="127"/>
      <c r="J468" s="117"/>
      <c r="K468" s="117"/>
      <c r="L468" s="117"/>
      <c r="M468" s="117"/>
      <c r="N468" s="117"/>
      <c r="O468" s="117"/>
      <c r="P468" s="117"/>
      <c r="Q468" s="117"/>
      <c r="R468" s="117"/>
      <c r="S468" s="117"/>
      <c r="T468" s="117"/>
      <c r="U468" s="118"/>
      <c r="V468" s="117"/>
    </row>
    <row r="469" spans="1:22" ht="23.25" customHeight="1">
      <c r="A469" s="338" t="e">
        <f>'Bldg+Dev'!#REF!</f>
        <v>#REF!</v>
      </c>
      <c r="B469" s="340" t="e">
        <f>+'Bldg+Dev'!#REF!</f>
        <v>#REF!</v>
      </c>
      <c r="C469" s="340" t="e">
        <f>'Bldg+Dev'!#REF!</f>
        <v>#REF!</v>
      </c>
      <c r="D469" s="340" t="e">
        <f>'Bldg+Dev'!#REF!</f>
        <v>#REF!</v>
      </c>
      <c r="E469" s="340" t="e">
        <f>'Bldg+Dev'!#REF!</f>
        <v>#REF!</v>
      </c>
      <c r="F469" s="340" t="e">
        <f t="shared" si="7"/>
        <v>#REF!</v>
      </c>
      <c r="G469" s="194"/>
      <c r="H469" s="194"/>
      <c r="I469" s="127"/>
      <c r="J469" s="117"/>
      <c r="K469" s="117"/>
      <c r="L469" s="117"/>
      <c r="M469" s="117"/>
      <c r="N469" s="117"/>
      <c r="O469" s="117"/>
      <c r="P469" s="117"/>
      <c r="Q469" s="117"/>
      <c r="R469" s="117"/>
      <c r="S469" s="117"/>
      <c r="T469" s="117"/>
      <c r="U469" s="117"/>
      <c r="V469" s="117"/>
    </row>
    <row r="470" spans="1:22" ht="23.25" customHeight="1">
      <c r="A470" s="338" t="e">
        <f>'Bldg+Dev'!#REF!</f>
        <v>#REF!</v>
      </c>
      <c r="B470" s="340" t="e">
        <f>+'Bldg+Dev'!#REF!</f>
        <v>#REF!</v>
      </c>
      <c r="C470" s="340" t="e">
        <f>'Bldg+Dev'!#REF!</f>
        <v>#REF!</v>
      </c>
      <c r="D470" s="340" t="e">
        <f>'Bldg+Dev'!#REF!</f>
        <v>#REF!</v>
      </c>
      <c r="E470" s="340" t="e">
        <f>'Bldg+Dev'!#REF!</f>
        <v>#REF!</v>
      </c>
      <c r="F470" s="340" t="e">
        <f t="shared" si="7"/>
        <v>#REF!</v>
      </c>
      <c r="G470" s="194"/>
      <c r="H470" s="194"/>
      <c r="I470" s="127"/>
      <c r="J470" s="117"/>
      <c r="K470" s="117"/>
      <c r="L470" s="117"/>
      <c r="M470" s="117"/>
      <c r="N470" s="117"/>
      <c r="O470" s="117"/>
      <c r="P470" s="117"/>
      <c r="Q470" s="117"/>
      <c r="R470" s="117"/>
      <c r="S470" s="117"/>
      <c r="T470" s="117"/>
      <c r="U470" s="117"/>
      <c r="V470" s="117"/>
    </row>
    <row r="471" spans="1:22" ht="23.25" customHeight="1">
      <c r="A471" s="338" t="e">
        <f>'Bldg+Dev'!#REF!</f>
        <v>#REF!</v>
      </c>
      <c r="B471" s="340" t="e">
        <f>+'Bldg+Dev'!#REF!</f>
        <v>#REF!</v>
      </c>
      <c r="C471" s="340" t="e">
        <f>'Bldg+Dev'!#REF!</f>
        <v>#REF!</v>
      </c>
      <c r="D471" s="340" t="e">
        <f>'Bldg+Dev'!#REF!</f>
        <v>#REF!</v>
      </c>
      <c r="E471" s="340" t="e">
        <f>'Bldg+Dev'!#REF!</f>
        <v>#REF!</v>
      </c>
      <c r="F471" s="340" t="e">
        <f t="shared" si="7"/>
        <v>#REF!</v>
      </c>
      <c r="G471" s="194"/>
      <c r="H471" s="194"/>
      <c r="I471" s="127"/>
      <c r="J471" s="117"/>
      <c r="K471" s="117"/>
      <c r="L471" s="117"/>
      <c r="M471" s="117"/>
      <c r="N471" s="117"/>
      <c r="O471" s="117"/>
      <c r="P471" s="117"/>
      <c r="Q471" s="117"/>
      <c r="R471" s="117"/>
      <c r="S471" s="117"/>
      <c r="T471" s="117"/>
      <c r="U471" s="117"/>
      <c r="V471" s="117"/>
    </row>
    <row r="472" spans="1:22" ht="72.75" hidden="1" customHeight="1">
      <c r="A472" s="338" t="e">
        <f>'Bldg+Dev'!#REF!</f>
        <v>#REF!</v>
      </c>
      <c r="B472" s="340" t="e">
        <f>+'Bldg+Dev'!#REF!</f>
        <v>#REF!</v>
      </c>
      <c r="C472" s="340" t="e">
        <f>'Bldg+Dev'!#REF!</f>
        <v>#REF!</v>
      </c>
      <c r="D472" s="340" t="e">
        <f>'Bldg+Dev'!#REF!</f>
        <v>#REF!</v>
      </c>
      <c r="E472" s="340" t="e">
        <f>'Bldg+Dev'!#REF!</f>
        <v>#REF!</v>
      </c>
      <c r="F472" s="340" t="e">
        <f t="shared" si="7"/>
        <v>#REF!</v>
      </c>
      <c r="G472" s="194"/>
      <c r="H472" s="194"/>
      <c r="I472" s="127"/>
      <c r="J472" s="117"/>
      <c r="K472" s="117"/>
      <c r="L472" s="117"/>
      <c r="M472" s="117"/>
      <c r="N472" s="117"/>
      <c r="O472" s="117"/>
      <c r="P472" s="117"/>
      <c r="Q472" s="117"/>
      <c r="R472" s="117"/>
      <c r="S472" s="117"/>
      <c r="T472" s="117"/>
      <c r="U472" s="117"/>
      <c r="V472" s="117"/>
    </row>
    <row r="473" spans="1:22" ht="23.25" customHeight="1">
      <c r="A473" s="338" t="e">
        <f>'Bldg+Dev'!#REF!</f>
        <v>#REF!</v>
      </c>
      <c r="B473" s="340" t="e">
        <f>+'Bldg+Dev'!#REF!</f>
        <v>#REF!</v>
      </c>
      <c r="C473" s="340" t="e">
        <f>'Bldg+Dev'!#REF!</f>
        <v>#REF!</v>
      </c>
      <c r="D473" s="340" t="e">
        <f>'Bldg+Dev'!#REF!</f>
        <v>#REF!</v>
      </c>
      <c r="E473" s="340" t="e">
        <f>'Bldg+Dev'!#REF!</f>
        <v>#REF!</v>
      </c>
      <c r="F473" s="340" t="e">
        <f t="shared" si="7"/>
        <v>#REF!</v>
      </c>
      <c r="G473" s="194"/>
      <c r="H473" s="194"/>
      <c r="I473" s="127"/>
      <c r="J473" s="117"/>
      <c r="K473" s="117"/>
      <c r="L473" s="117"/>
      <c r="M473" s="117"/>
      <c r="N473" s="117"/>
      <c r="O473" s="117"/>
      <c r="P473" s="117"/>
      <c r="Q473" s="117"/>
      <c r="R473" s="117"/>
      <c r="S473" s="117"/>
      <c r="T473" s="117"/>
      <c r="U473" s="117"/>
      <c r="V473" s="117"/>
    </row>
    <row r="474" spans="1:22" ht="23.25" customHeight="1">
      <c r="A474" s="338" t="e">
        <f>'Bldg+Dev'!#REF!</f>
        <v>#REF!</v>
      </c>
      <c r="B474" s="340" t="e">
        <f>+'Bldg+Dev'!#REF!</f>
        <v>#REF!</v>
      </c>
      <c r="C474" s="340" t="e">
        <f>'Bldg+Dev'!#REF!</f>
        <v>#REF!</v>
      </c>
      <c r="D474" s="340" t="e">
        <f>'Bldg+Dev'!#REF!</f>
        <v>#REF!</v>
      </c>
      <c r="E474" s="340" t="e">
        <f>'Bldg+Dev'!#REF!</f>
        <v>#REF!</v>
      </c>
      <c r="F474" s="340" t="e">
        <f t="shared" si="7"/>
        <v>#REF!</v>
      </c>
      <c r="G474" s="194"/>
      <c r="H474" s="194"/>
      <c r="I474" s="127"/>
      <c r="J474" s="117"/>
      <c r="K474" s="117"/>
      <c r="L474" s="117"/>
      <c r="M474" s="117"/>
      <c r="N474" s="117"/>
      <c r="O474" s="117"/>
      <c r="P474" s="117"/>
      <c r="Q474" s="117"/>
      <c r="R474" s="117"/>
      <c r="S474" s="117"/>
      <c r="T474" s="117"/>
      <c r="U474" s="117"/>
      <c r="V474" s="117"/>
    </row>
    <row r="475" spans="1:22" ht="33" customHeight="1">
      <c r="A475" s="338" t="e">
        <f>'Bldg+Dev'!#REF!</f>
        <v>#REF!</v>
      </c>
      <c r="B475" s="340" t="e">
        <f>+'Bldg+Dev'!#REF!</f>
        <v>#REF!</v>
      </c>
      <c r="C475" s="340" t="e">
        <f>'Bldg+Dev'!#REF!</f>
        <v>#REF!</v>
      </c>
      <c r="D475" s="340" t="e">
        <f>'Bldg+Dev'!#REF!</f>
        <v>#REF!</v>
      </c>
      <c r="E475" s="340" t="e">
        <f>'Bldg+Dev'!#REF!</f>
        <v>#REF!</v>
      </c>
      <c r="F475" s="340" t="e">
        <f t="shared" si="7"/>
        <v>#REF!</v>
      </c>
      <c r="G475" s="194"/>
      <c r="H475" s="194"/>
      <c r="I475" s="127"/>
      <c r="J475" s="117"/>
      <c r="K475" s="117"/>
      <c r="L475" s="117"/>
      <c r="M475" s="117"/>
      <c r="N475" s="117"/>
      <c r="O475" s="117"/>
      <c r="P475" s="117"/>
      <c r="Q475" s="117"/>
      <c r="R475" s="117"/>
      <c r="S475" s="117"/>
      <c r="T475" s="117"/>
      <c r="U475" s="117"/>
      <c r="V475" s="117"/>
    </row>
    <row r="476" spans="1:22" ht="31.5" customHeight="1">
      <c r="A476" s="338" t="e">
        <f>'Bldg+Dev'!#REF!</f>
        <v>#REF!</v>
      </c>
      <c r="B476" s="340" t="e">
        <f>+'Bldg+Dev'!#REF!</f>
        <v>#REF!</v>
      </c>
      <c r="C476" s="340" t="e">
        <f>'Bldg+Dev'!#REF!</f>
        <v>#REF!</v>
      </c>
      <c r="D476" s="340" t="e">
        <f>'Bldg+Dev'!#REF!</f>
        <v>#REF!</v>
      </c>
      <c r="E476" s="340" t="e">
        <f>'Bldg+Dev'!#REF!</f>
        <v>#REF!</v>
      </c>
      <c r="F476" s="340" t="e">
        <f t="shared" si="7"/>
        <v>#REF!</v>
      </c>
      <c r="G476" s="194"/>
      <c r="H476" s="194"/>
      <c r="I476" s="127"/>
      <c r="J476" s="117"/>
      <c r="K476" s="117"/>
      <c r="L476" s="117"/>
      <c r="M476" s="117"/>
      <c r="N476" s="117"/>
      <c r="O476" s="117"/>
      <c r="P476" s="117"/>
      <c r="Q476" s="117"/>
      <c r="R476" s="117"/>
      <c r="S476" s="117"/>
      <c r="T476" s="117"/>
      <c r="U476" s="117"/>
      <c r="V476" s="117"/>
    </row>
    <row r="477" spans="1:22" ht="31.5" customHeight="1">
      <c r="A477" s="338" t="e">
        <f>'Bldg+Dev'!#REF!</f>
        <v>#REF!</v>
      </c>
      <c r="B477" s="340" t="e">
        <f>+'Bldg+Dev'!#REF!</f>
        <v>#REF!</v>
      </c>
      <c r="C477" s="340" t="e">
        <f>'Bldg+Dev'!#REF!</f>
        <v>#REF!</v>
      </c>
      <c r="D477" s="340" t="e">
        <f>'Bldg+Dev'!#REF!</f>
        <v>#REF!</v>
      </c>
      <c r="E477" s="340" t="e">
        <f>'Bldg+Dev'!#REF!</f>
        <v>#REF!</v>
      </c>
      <c r="F477" s="340" t="e">
        <f t="shared" si="7"/>
        <v>#REF!</v>
      </c>
      <c r="G477" s="194"/>
      <c r="H477" s="194"/>
      <c r="I477" s="127"/>
      <c r="J477" s="117"/>
      <c r="K477" s="117"/>
      <c r="L477" s="117"/>
      <c r="M477" s="117"/>
      <c r="N477" s="117"/>
      <c r="O477" s="117"/>
      <c r="P477" s="117"/>
      <c r="Q477" s="117"/>
      <c r="R477" s="117"/>
      <c r="S477" s="117"/>
      <c r="T477" s="117"/>
      <c r="U477" s="117"/>
      <c r="V477" s="117"/>
    </row>
    <row r="478" spans="1:22" ht="42.75" customHeight="1">
      <c r="A478" s="338" t="e">
        <f>'Bldg+Dev'!#REF!</f>
        <v>#REF!</v>
      </c>
      <c r="B478" s="340" t="e">
        <f>+'Bldg+Dev'!#REF!</f>
        <v>#REF!</v>
      </c>
      <c r="C478" s="340" t="e">
        <f>'Bldg+Dev'!#REF!</f>
        <v>#REF!</v>
      </c>
      <c r="D478" s="340" t="e">
        <f>'Bldg+Dev'!#REF!</f>
        <v>#REF!</v>
      </c>
      <c r="E478" s="340" t="e">
        <f>'Bldg+Dev'!#REF!</f>
        <v>#REF!</v>
      </c>
      <c r="F478" s="340" t="e">
        <f t="shared" si="7"/>
        <v>#REF!</v>
      </c>
      <c r="G478" s="194"/>
      <c r="H478" s="194"/>
      <c r="I478" s="127"/>
      <c r="J478" s="117"/>
      <c r="K478" s="117"/>
      <c r="L478" s="117"/>
      <c r="M478" s="117"/>
      <c r="N478" s="117"/>
      <c r="O478" s="117"/>
      <c r="P478" s="117"/>
      <c r="Q478" s="117"/>
      <c r="R478" s="117"/>
      <c r="S478" s="117"/>
      <c r="T478" s="117"/>
      <c r="U478" s="117"/>
      <c r="V478" s="117"/>
    </row>
    <row r="479" spans="1:22" ht="48.75" customHeight="1">
      <c r="A479" s="338" t="e">
        <f>'Bldg+Dev'!#REF!</f>
        <v>#REF!</v>
      </c>
      <c r="B479" s="340" t="e">
        <f>+'Bldg+Dev'!#REF!</f>
        <v>#REF!</v>
      </c>
      <c r="C479" s="340" t="e">
        <f>'Bldg+Dev'!#REF!</f>
        <v>#REF!</v>
      </c>
      <c r="D479" s="340" t="e">
        <f>'Bldg+Dev'!#REF!</f>
        <v>#REF!</v>
      </c>
      <c r="E479" s="340" t="e">
        <f>'Bldg+Dev'!#REF!</f>
        <v>#REF!</v>
      </c>
      <c r="F479" s="340" t="e">
        <f t="shared" si="7"/>
        <v>#REF!</v>
      </c>
      <c r="G479" s="194"/>
      <c r="H479" s="194"/>
      <c r="I479" s="127"/>
      <c r="J479" s="117"/>
      <c r="K479" s="117"/>
      <c r="L479" s="117"/>
      <c r="M479" s="117"/>
      <c r="N479" s="117"/>
      <c r="O479" s="117"/>
      <c r="P479" s="117"/>
      <c r="Q479" s="117"/>
      <c r="R479" s="117"/>
      <c r="S479" s="117"/>
      <c r="T479" s="117"/>
      <c r="U479" s="117"/>
      <c r="V479" s="117"/>
    </row>
    <row r="480" spans="1:22" ht="84.95" hidden="1" customHeight="1">
      <c r="A480" s="338" t="e">
        <f>'Bldg+Dev'!#REF!</f>
        <v>#REF!</v>
      </c>
      <c r="B480" s="340" t="e">
        <f>+'Bldg+Dev'!#REF!</f>
        <v>#REF!</v>
      </c>
      <c r="C480" s="340" t="e">
        <f>'Bldg+Dev'!#REF!</f>
        <v>#REF!</v>
      </c>
      <c r="D480" s="340" t="e">
        <f>'Bldg+Dev'!#REF!</f>
        <v>#REF!</v>
      </c>
      <c r="E480" s="340" t="e">
        <f>'Bldg+Dev'!#REF!</f>
        <v>#REF!</v>
      </c>
      <c r="F480" s="340" t="e">
        <f t="shared" si="7"/>
        <v>#REF!</v>
      </c>
      <c r="G480" s="194"/>
      <c r="H480" s="194"/>
      <c r="I480" s="127"/>
      <c r="J480" s="117"/>
      <c r="K480" s="117"/>
      <c r="L480" s="117"/>
      <c r="M480" s="117"/>
      <c r="N480" s="117"/>
      <c r="O480" s="117"/>
      <c r="P480" s="117"/>
      <c r="Q480" s="117"/>
      <c r="R480" s="117"/>
      <c r="S480" s="117"/>
      <c r="T480" s="117"/>
      <c r="U480" s="117"/>
      <c r="V480" s="117"/>
    </row>
    <row r="481" spans="1:22" ht="35.1" customHeight="1">
      <c r="A481" s="338">
        <f>'Bldg+Dev'!A189</f>
        <v>44.6</v>
      </c>
      <c r="B481" s="340" t="e">
        <f>+'Bldg+Dev'!U189</f>
        <v>#REF!</v>
      </c>
      <c r="C481" s="340" t="str">
        <f>'Bldg+Dev'!B189</f>
        <v>PVC SWR 110 mm dia with ISI mark type- A for Rain water down fall pipe</v>
      </c>
      <c r="D481" s="340">
        <f>'Bldg+Dev'!C189</f>
        <v>325.19</v>
      </c>
      <c r="E481" s="340" t="str">
        <f>'Bldg+Dev'!D189</f>
        <v>Rmt</v>
      </c>
      <c r="F481" s="340" t="e">
        <f t="shared" si="7"/>
        <v>#REF!</v>
      </c>
      <c r="G481" s="196"/>
      <c r="H481" s="196"/>
      <c r="I481" s="127"/>
      <c r="J481" s="117"/>
      <c r="K481" s="117"/>
      <c r="L481" s="117"/>
      <c r="M481" s="117"/>
      <c r="N481" s="117"/>
      <c r="O481" s="117"/>
      <c r="P481" s="117"/>
      <c r="Q481" s="117"/>
      <c r="R481" s="117"/>
      <c r="S481" s="117"/>
      <c r="T481" s="117"/>
      <c r="U481" s="117"/>
      <c r="V481" s="117"/>
    </row>
    <row r="482" spans="1:22" ht="29.25" customHeight="1">
      <c r="A482" s="338" t="e">
        <f>'Bldg+Dev'!#REF!</f>
        <v>#REF!</v>
      </c>
      <c r="B482" s="340" t="e">
        <f>+'Bldg+Dev'!#REF!</f>
        <v>#REF!</v>
      </c>
      <c r="C482" s="340" t="e">
        <f>'Bldg+Dev'!#REF!</f>
        <v>#REF!</v>
      </c>
      <c r="D482" s="340" t="e">
        <f>'Bldg+Dev'!#REF!</f>
        <v>#REF!</v>
      </c>
      <c r="E482" s="340" t="e">
        <f>'Bldg+Dev'!#REF!</f>
        <v>#REF!</v>
      </c>
      <c r="F482" s="340" t="e">
        <f t="shared" si="7"/>
        <v>#REF!</v>
      </c>
      <c r="G482" s="196"/>
      <c r="H482" s="196"/>
      <c r="I482" s="127"/>
      <c r="J482" s="117"/>
      <c r="K482" s="117"/>
      <c r="L482" s="117"/>
      <c r="M482" s="117"/>
      <c r="N482" s="117"/>
      <c r="O482" s="117"/>
      <c r="P482" s="117"/>
      <c r="Q482" s="117"/>
      <c r="R482" s="117"/>
      <c r="S482" s="117"/>
      <c r="T482" s="117"/>
      <c r="U482" s="117"/>
      <c r="V482" s="117"/>
    </row>
    <row r="483" spans="1:22" ht="40.5" customHeight="1">
      <c r="A483" s="338" t="e">
        <f>'Bldg+Dev'!#REF!</f>
        <v>#REF!</v>
      </c>
      <c r="B483" s="340" t="e">
        <f>+'Bldg+Dev'!#REF!</f>
        <v>#REF!</v>
      </c>
      <c r="C483" s="340" t="e">
        <f>'Bldg+Dev'!#REF!</f>
        <v>#REF!</v>
      </c>
      <c r="D483" s="340" t="e">
        <f>'Bldg+Dev'!#REF!</f>
        <v>#REF!</v>
      </c>
      <c r="E483" s="340" t="e">
        <f>'Bldg+Dev'!#REF!</f>
        <v>#REF!</v>
      </c>
      <c r="F483" s="340" t="e">
        <f t="shared" si="7"/>
        <v>#REF!</v>
      </c>
      <c r="G483" s="197"/>
      <c r="H483" s="197"/>
      <c r="J483" s="119"/>
      <c r="K483" s="117"/>
      <c r="L483" s="117"/>
      <c r="M483" s="117"/>
      <c r="N483" s="117"/>
      <c r="O483" s="117"/>
      <c r="P483" s="117"/>
      <c r="Q483" s="117"/>
      <c r="R483" s="117"/>
      <c r="S483" s="117"/>
      <c r="T483" s="117"/>
      <c r="U483" s="117"/>
      <c r="V483" s="117"/>
    </row>
    <row r="484" spans="1:22" ht="27.75" customHeight="1">
      <c r="A484" s="338" t="e">
        <f>'Bldg+Dev'!#REF!</f>
        <v>#REF!</v>
      </c>
      <c r="B484" s="340" t="e">
        <f>+'Bldg+Dev'!#REF!</f>
        <v>#REF!</v>
      </c>
      <c r="C484" s="340" t="e">
        <f>'Bldg+Dev'!#REF!</f>
        <v>#REF!</v>
      </c>
      <c r="D484" s="340" t="e">
        <f>'Bldg+Dev'!#REF!</f>
        <v>#REF!</v>
      </c>
      <c r="E484" s="340" t="e">
        <f>'Bldg+Dev'!#REF!</f>
        <v>#REF!</v>
      </c>
      <c r="F484" s="340" t="e">
        <f t="shared" si="7"/>
        <v>#REF!</v>
      </c>
      <c r="G484" s="188"/>
      <c r="H484" s="188"/>
      <c r="J484" s="119"/>
      <c r="K484" s="117"/>
      <c r="L484" s="117"/>
      <c r="M484" s="117"/>
      <c r="N484" s="117"/>
      <c r="O484" s="117"/>
      <c r="P484" s="117"/>
      <c r="Q484" s="117"/>
      <c r="R484" s="117"/>
      <c r="S484" s="117"/>
      <c r="T484" s="117"/>
      <c r="U484" s="117"/>
      <c r="V484" s="117"/>
    </row>
    <row r="485" spans="1:22" ht="27.75" customHeight="1">
      <c r="A485" s="338" t="e">
        <f>'Bldg+Dev'!#REF!</f>
        <v>#REF!</v>
      </c>
      <c r="B485" s="340" t="e">
        <f>+'Bldg+Dev'!#REF!</f>
        <v>#REF!</v>
      </c>
      <c r="C485" s="340" t="e">
        <f>'Bldg+Dev'!#REF!</f>
        <v>#REF!</v>
      </c>
      <c r="D485" s="340" t="e">
        <f>'Bldg+Dev'!#REF!</f>
        <v>#REF!</v>
      </c>
      <c r="E485" s="340" t="e">
        <f>'Bldg+Dev'!#REF!</f>
        <v>#REF!</v>
      </c>
      <c r="F485" s="340" t="e">
        <f t="shared" si="7"/>
        <v>#REF!</v>
      </c>
      <c r="G485" s="198"/>
      <c r="H485" s="198"/>
      <c r="I485" s="129"/>
      <c r="J485" s="123"/>
      <c r="K485" s="122"/>
      <c r="L485" s="123"/>
      <c r="M485" s="122"/>
      <c r="N485" s="124"/>
      <c r="O485" s="124"/>
      <c r="P485" s="124"/>
      <c r="Q485" s="122"/>
      <c r="R485" s="124"/>
      <c r="S485" s="122"/>
      <c r="T485" s="124"/>
      <c r="U485" s="122"/>
      <c r="V485" s="123"/>
    </row>
    <row r="486" spans="1:22" ht="53.25" customHeight="1">
      <c r="A486" s="338" t="e">
        <f>'Bldg+Dev'!#REF!</f>
        <v>#REF!</v>
      </c>
      <c r="B486" s="340" t="e">
        <f>+'Bldg+Dev'!#REF!</f>
        <v>#REF!</v>
      </c>
      <c r="C486" s="340" t="e">
        <f>'Bldg+Dev'!#REF!</f>
        <v>#REF!</v>
      </c>
      <c r="D486" s="340" t="e">
        <f>'Bldg+Dev'!#REF!</f>
        <v>#REF!</v>
      </c>
      <c r="E486" s="340" t="e">
        <f>'Bldg+Dev'!#REF!</f>
        <v>#REF!</v>
      </c>
      <c r="F486" s="340" t="e">
        <f t="shared" si="7"/>
        <v>#REF!</v>
      </c>
      <c r="G486" s="188"/>
      <c r="H486" s="188"/>
      <c r="T486" s="116"/>
    </row>
    <row r="487" spans="1:22" ht="41.25" customHeight="1">
      <c r="A487" s="338" t="e">
        <f>'Bldg+Dev'!#REF!</f>
        <v>#REF!</v>
      </c>
      <c r="B487" s="340" t="e">
        <f>+'Bldg+Dev'!#REF!</f>
        <v>#REF!</v>
      </c>
      <c r="C487" s="340" t="e">
        <f>'Bldg+Dev'!#REF!</f>
        <v>#REF!</v>
      </c>
      <c r="D487" s="340" t="e">
        <f>'Bldg+Dev'!#REF!</f>
        <v>#REF!</v>
      </c>
      <c r="E487" s="340" t="e">
        <f>'Bldg+Dev'!#REF!</f>
        <v>#REF!</v>
      </c>
      <c r="F487" s="340" t="e">
        <f t="shared" si="7"/>
        <v>#REF!</v>
      </c>
    </row>
    <row r="488" spans="1:22" ht="45" customHeight="1">
      <c r="A488" s="338" t="e">
        <f>'Bldg+Dev'!#REF!</f>
        <v>#REF!</v>
      </c>
      <c r="B488" s="340" t="e">
        <f>+'Bldg+Dev'!#REF!</f>
        <v>#REF!</v>
      </c>
      <c r="C488" s="340" t="e">
        <f>'Bldg+Dev'!#REF!</f>
        <v>#REF!</v>
      </c>
      <c r="D488" s="340" t="e">
        <f>'Bldg+Dev'!#REF!</f>
        <v>#REF!</v>
      </c>
      <c r="E488" s="340" t="e">
        <f>'Bldg+Dev'!#REF!</f>
        <v>#REF!</v>
      </c>
      <c r="F488" s="340" t="e">
        <f t="shared" si="7"/>
        <v>#REF!</v>
      </c>
    </row>
    <row r="489" spans="1:22" ht="26.25" customHeight="1">
      <c r="A489" s="338">
        <f>'Bldg+Dev'!A190</f>
        <v>58.3</v>
      </c>
      <c r="B489" s="339">
        <f>+'Bldg+Dev'!U190</f>
        <v>0</v>
      </c>
      <c r="C489" s="340" t="str">
        <f>'Bldg+Dev'!B190</f>
        <v>PVC SWR pipe (Soil line) with ISI mark - type 'B'.</v>
      </c>
      <c r="D489" s="340">
        <f>'Bldg+Dev'!C190</f>
        <v>0</v>
      </c>
      <c r="E489" s="340">
        <f>'Bldg+Dev'!D190</f>
        <v>0</v>
      </c>
      <c r="F489" s="340"/>
    </row>
    <row r="490" spans="1:22" ht="26.25" customHeight="1">
      <c r="A490" s="338">
        <f>'Bldg+Dev'!A191</f>
        <v>0</v>
      </c>
      <c r="B490" s="340" t="e">
        <f>+'Bldg+Dev'!U191</f>
        <v>#REF!</v>
      </c>
      <c r="C490" s="340" t="str">
        <f>'Bldg+Dev'!B191</f>
        <v>a. 110 mm dia.</v>
      </c>
      <c r="D490" s="340">
        <f>'Bldg+Dev'!C191</f>
        <v>505.46</v>
      </c>
      <c r="E490" s="340" t="str">
        <f>'Bldg+Dev'!D191</f>
        <v>Rmt</v>
      </c>
      <c r="F490" s="340" t="e">
        <f t="shared" si="7"/>
        <v>#REF!</v>
      </c>
    </row>
    <row r="491" spans="1:22" ht="26.25" customHeight="1">
      <c r="A491" s="338">
        <f>'Bldg+Dev'!A192</f>
        <v>0</v>
      </c>
      <c r="B491" s="340" t="e">
        <f>+'Bldg+Dev'!U192</f>
        <v>#REF!</v>
      </c>
      <c r="C491" s="340" t="str">
        <f>'Bldg+Dev'!B192</f>
        <v>b. 75 mm dia.</v>
      </c>
      <c r="D491" s="340">
        <f>'Bldg+Dev'!C192</f>
        <v>369.35</v>
      </c>
      <c r="E491" s="340" t="str">
        <f>'Bldg+Dev'!D192</f>
        <v>Rmt</v>
      </c>
      <c r="F491" s="340" t="e">
        <f t="shared" si="7"/>
        <v>#REF!</v>
      </c>
    </row>
    <row r="492" spans="1:22" ht="54.75" customHeight="1">
      <c r="A492" s="338" t="e">
        <f>'Bldg+Dev'!#REF!</f>
        <v>#REF!</v>
      </c>
      <c r="B492" s="340" t="e">
        <f>+'Bldg+Dev'!#REF!</f>
        <v>#REF!</v>
      </c>
      <c r="C492" s="340" t="e">
        <f>'Bldg+Dev'!#REF!</f>
        <v>#REF!</v>
      </c>
      <c r="D492" s="340" t="e">
        <f>'Bldg+Dev'!#REF!</f>
        <v>#REF!</v>
      </c>
      <c r="E492" s="340" t="e">
        <f>'Bldg+Dev'!#REF!</f>
        <v>#REF!</v>
      </c>
      <c r="F492" s="340" t="e">
        <f t="shared" si="7"/>
        <v>#REF!</v>
      </c>
    </row>
    <row r="493" spans="1:22" ht="42.75" customHeight="1">
      <c r="A493" s="338" t="e">
        <f>'Bldg+Dev'!#REF!</f>
        <v>#REF!</v>
      </c>
      <c r="B493" s="340" t="e">
        <f>+'Bldg+Dev'!#REF!</f>
        <v>#REF!</v>
      </c>
      <c r="C493" s="340" t="e">
        <f>'Bldg+Dev'!#REF!</f>
        <v>#REF!</v>
      </c>
      <c r="D493" s="340" t="e">
        <f>'Bldg+Dev'!#REF!</f>
        <v>#REF!</v>
      </c>
      <c r="E493" s="340" t="e">
        <f>'Bldg+Dev'!#REF!</f>
        <v>#REF!</v>
      </c>
      <c r="F493" s="340" t="e">
        <f t="shared" si="7"/>
        <v>#REF!</v>
      </c>
    </row>
    <row r="494" spans="1:22" ht="63.75" customHeight="1">
      <c r="A494" s="338" t="e">
        <f>'Bldg+Dev'!#REF!</f>
        <v>#REF!</v>
      </c>
      <c r="B494" s="339" t="e">
        <f>+'Bldg+Dev'!#REF!</f>
        <v>#REF!</v>
      </c>
      <c r="C494" s="340" t="e">
        <f>'Bldg+Dev'!#REF!</f>
        <v>#REF!</v>
      </c>
      <c r="D494" s="340" t="e">
        <f>'Bldg+Dev'!#REF!</f>
        <v>#REF!</v>
      </c>
      <c r="E494" s="340" t="e">
        <f>'Bldg+Dev'!#REF!</f>
        <v>#REF!</v>
      </c>
      <c r="F494" s="340"/>
    </row>
    <row r="495" spans="1:22" ht="24.95" customHeight="1">
      <c r="A495" s="338" t="e">
        <f>'Bldg+Dev'!#REF!</f>
        <v>#REF!</v>
      </c>
      <c r="B495" s="340" t="e">
        <f>+'Bldg+Dev'!#REF!</f>
        <v>#REF!</v>
      </c>
      <c r="C495" s="340" t="e">
        <f>'Bldg+Dev'!#REF!</f>
        <v>#REF!</v>
      </c>
      <c r="D495" s="340" t="e">
        <f>'Bldg+Dev'!#REF!</f>
        <v>#REF!</v>
      </c>
      <c r="E495" s="340" t="e">
        <f>'Bldg+Dev'!#REF!</f>
        <v>#REF!</v>
      </c>
      <c r="F495" s="340" t="e">
        <f t="shared" si="7"/>
        <v>#REF!</v>
      </c>
    </row>
    <row r="496" spans="1:22" ht="30.75" customHeight="1">
      <c r="A496" s="338" t="e">
        <f>'Bldg+Dev'!#REF!</f>
        <v>#REF!</v>
      </c>
      <c r="B496" s="340" t="e">
        <f>+'Bldg+Dev'!#REF!</f>
        <v>#REF!</v>
      </c>
      <c r="C496" s="340" t="e">
        <f>'Bldg+Dev'!#REF!</f>
        <v>#REF!</v>
      </c>
      <c r="D496" s="340" t="e">
        <f>'Bldg+Dev'!#REF!</f>
        <v>#REF!</v>
      </c>
      <c r="E496" s="340" t="e">
        <f>'Bldg+Dev'!#REF!</f>
        <v>#REF!</v>
      </c>
      <c r="F496" s="340" t="e">
        <f t="shared" si="7"/>
        <v>#REF!</v>
      </c>
    </row>
    <row r="497" spans="1:6" ht="24.95" customHeight="1">
      <c r="A497" s="338" t="e">
        <f>'Bldg+Dev'!#REF!</f>
        <v>#REF!</v>
      </c>
      <c r="B497" s="340" t="e">
        <f>+'Bldg+Dev'!#REF!</f>
        <v>#REF!</v>
      </c>
      <c r="C497" s="340" t="e">
        <f>'Bldg+Dev'!#REF!</f>
        <v>#REF!</v>
      </c>
      <c r="D497" s="340" t="e">
        <f>'Bldg+Dev'!#REF!</f>
        <v>#REF!</v>
      </c>
      <c r="E497" s="340" t="e">
        <f>'Bldg+Dev'!#REF!</f>
        <v>#REF!</v>
      </c>
      <c r="F497" s="340" t="e">
        <f t="shared" si="7"/>
        <v>#REF!</v>
      </c>
    </row>
    <row r="498" spans="1:6" ht="57.75" customHeight="1">
      <c r="A498" s="338" t="e">
        <f>'Bldg+Dev'!#REF!</f>
        <v>#REF!</v>
      </c>
      <c r="B498" s="340" t="e">
        <f>+'Bldg+Dev'!#REF!</f>
        <v>#REF!</v>
      </c>
      <c r="C498" s="340" t="e">
        <f>'Bldg+Dev'!#REF!</f>
        <v>#REF!</v>
      </c>
      <c r="D498" s="340" t="e">
        <f>'Bldg+Dev'!#REF!</f>
        <v>#REF!</v>
      </c>
      <c r="E498" s="340" t="e">
        <f>'Bldg+Dev'!#REF!</f>
        <v>#REF!</v>
      </c>
      <c r="F498" s="340" t="e">
        <f t="shared" si="7"/>
        <v>#REF!</v>
      </c>
    </row>
    <row r="499" spans="1:6" ht="61.5" customHeight="1">
      <c r="A499" s="338" t="e">
        <f>'Bldg+Dev'!#REF!</f>
        <v>#REF!</v>
      </c>
      <c r="B499" s="340" t="e">
        <f>+'Bldg+Dev'!#REF!</f>
        <v>#REF!</v>
      </c>
      <c r="C499" s="340" t="e">
        <f>'Bldg+Dev'!#REF!</f>
        <v>#REF!</v>
      </c>
      <c r="D499" s="340" t="e">
        <f>'Bldg+Dev'!#REF!</f>
        <v>#REF!</v>
      </c>
      <c r="E499" s="340" t="e">
        <f>'Bldg+Dev'!#REF!</f>
        <v>#REF!</v>
      </c>
      <c r="F499" s="340" t="e">
        <f t="shared" si="7"/>
        <v>#REF!</v>
      </c>
    </row>
    <row r="500" spans="1:6" ht="73.5" customHeight="1">
      <c r="A500" s="338" t="e">
        <f>'Bldg+Dev'!#REF!</f>
        <v>#REF!</v>
      </c>
      <c r="B500" s="340" t="e">
        <f>+'Bldg+Dev'!#REF!</f>
        <v>#REF!</v>
      </c>
      <c r="C500" s="340" t="e">
        <f>'Bldg+Dev'!#REF!</f>
        <v>#REF!</v>
      </c>
      <c r="D500" s="340" t="e">
        <f>'Bldg+Dev'!#REF!</f>
        <v>#REF!</v>
      </c>
      <c r="E500" s="340" t="e">
        <f>'Bldg+Dev'!#REF!</f>
        <v>#REF!</v>
      </c>
      <c r="F500" s="340" t="e">
        <f t="shared" si="7"/>
        <v>#REF!</v>
      </c>
    </row>
    <row r="501" spans="1:6" ht="16.5">
      <c r="A501" s="338" t="e">
        <f>'Bldg+Dev'!#REF!</f>
        <v>#REF!</v>
      </c>
      <c r="B501" s="340" t="e">
        <f>+'Bldg+Dev'!#REF!</f>
        <v>#REF!</v>
      </c>
      <c r="C501" s="340" t="e">
        <f>'Bldg+Dev'!#REF!</f>
        <v>#REF!</v>
      </c>
      <c r="D501" s="340" t="e">
        <f>'Bldg+Dev'!#REF!</f>
        <v>#REF!</v>
      </c>
      <c r="E501" s="340" t="e">
        <f>'Bldg+Dev'!#REF!</f>
        <v>#REF!</v>
      </c>
      <c r="F501" s="340" t="e">
        <f t="shared" si="7"/>
        <v>#REF!</v>
      </c>
    </row>
    <row r="502" spans="1:6" ht="41.25" customHeight="1">
      <c r="A502" s="338">
        <f>'Bldg+Dev'!A193</f>
        <v>70.5</v>
      </c>
      <c r="B502" s="340" t="e">
        <f>+'Bldg+Dev'!U193</f>
        <v>#REF!</v>
      </c>
      <c r="C502" s="340" t="str">
        <f>'Bldg+Dev'!B193</f>
        <v>S &amp; F of Tube light fitting  (patty  type ) with Electronic ballast and 36 W slim tube light</v>
      </c>
      <c r="D502" s="340">
        <f>'Bldg+Dev'!C193</f>
        <v>498</v>
      </c>
      <c r="E502" s="340" t="str">
        <f>'Bldg+Dev'!D193</f>
        <v>Each</v>
      </c>
      <c r="F502" s="340" t="e">
        <f t="shared" si="7"/>
        <v>#REF!</v>
      </c>
    </row>
    <row r="503" spans="1:6" ht="42.75" customHeight="1">
      <c r="A503" s="338">
        <f>'Bldg+Dev'!A194</f>
        <v>0</v>
      </c>
      <c r="B503" s="339">
        <f>+'Bldg+Dev'!U194</f>
        <v>0</v>
      </c>
      <c r="C503" s="340" t="str">
        <f>'Bldg+Dev'!B194</f>
        <v>Supply and delivery of Fan with ISI mark with Eletronic Dimmer</v>
      </c>
      <c r="D503" s="340">
        <f>'Bldg+Dev'!C194</f>
        <v>0</v>
      </c>
      <c r="E503" s="340">
        <f>'Bldg+Dev'!D194</f>
        <v>0</v>
      </c>
      <c r="F503" s="340"/>
    </row>
    <row r="504" spans="1:6" ht="23.25" customHeight="1">
      <c r="A504" s="338">
        <f>'Bldg+Dev'!A195</f>
        <v>0</v>
      </c>
      <c r="B504" s="340" t="e">
        <f>+'Bldg+Dev'!U195</f>
        <v>#REF!</v>
      </c>
      <c r="C504" s="340" t="str">
        <f>'Bldg+Dev'!B195</f>
        <v>a. 48" (1200 mm)</v>
      </c>
      <c r="D504" s="340">
        <f>'Bldg+Dev'!C195</f>
        <v>1499</v>
      </c>
      <c r="E504" s="340" t="str">
        <f>'Bldg+Dev'!D195</f>
        <v>Each</v>
      </c>
      <c r="F504" s="340" t="e">
        <f t="shared" si="7"/>
        <v>#REF!</v>
      </c>
    </row>
    <row r="505" spans="1:6" ht="58.5" customHeight="1">
      <c r="A505" s="338">
        <f>'Bldg+Dev'!A196</f>
        <v>0</v>
      </c>
      <c r="B505" s="340">
        <f>+'Bldg+Dev'!U196</f>
        <v>0</v>
      </c>
      <c r="C505" s="340" t="str">
        <f>'Bldg+Dev'!B196</f>
        <v>Run of 2 Wires of 4 sqmm PVC insulated single core multi strand fire retardant flexible copper cable with ISI mark confirming IS: 694:1990.</v>
      </c>
      <c r="D505" s="340">
        <f>'Bldg+Dev'!C196</f>
        <v>168.9</v>
      </c>
      <c r="E505" s="340" t="str">
        <f>'Bldg+Dev'!D196</f>
        <v>Rmt</v>
      </c>
      <c r="F505" s="340">
        <f t="shared" si="7"/>
        <v>0</v>
      </c>
    </row>
    <row r="506" spans="1:6" ht="57.75" customHeight="1">
      <c r="A506" s="338">
        <f>'Bldg+Dev'!A197</f>
        <v>77.5</v>
      </c>
      <c r="B506" s="340" t="e">
        <f>+'Bldg+Dev'!U197</f>
        <v>#REF!</v>
      </c>
      <c r="C506" s="340" t="str">
        <f>'Bldg+Dev'!B197</f>
        <v>Run of 2 Wires of 1.5 sqmm PVC insulated single core multi strand fire retardant flexible copper cable with ISI mark confirming IS: 694:1990.</v>
      </c>
      <c r="D506" s="340">
        <f>'Bldg+Dev'!C197</f>
        <v>120</v>
      </c>
      <c r="E506" s="340" t="str">
        <f>'Bldg+Dev'!D197</f>
        <v>Rmt</v>
      </c>
      <c r="F506" s="340" t="e">
        <f t="shared" si="7"/>
        <v>#REF!</v>
      </c>
    </row>
    <row r="507" spans="1:6" ht="22.5" customHeight="1">
      <c r="A507" s="338">
        <f>'Bldg+Dev'!A198</f>
        <v>112</v>
      </c>
      <c r="B507" s="340">
        <f>+'Bldg+Dev'!U198</f>
        <v>0</v>
      </c>
      <c r="C507" s="340" t="str">
        <f>'Bldg+Dev'!B198</f>
        <v>S &amp; F of Exsaust Fan 225mm dia</v>
      </c>
      <c r="D507" s="340">
        <f>'Bldg+Dev'!C198</f>
        <v>1591</v>
      </c>
      <c r="E507" s="340" t="str">
        <f>'Bldg+Dev'!D198</f>
        <v>Each</v>
      </c>
      <c r="F507" s="340">
        <f t="shared" si="7"/>
        <v>0</v>
      </c>
    </row>
    <row r="508" spans="1:6" ht="22.5" customHeight="1">
      <c r="A508" s="338">
        <f>'Bldg+Dev'!A199</f>
        <v>0</v>
      </c>
      <c r="B508" s="339">
        <f>+'Bldg+Dev'!U199</f>
        <v>0</v>
      </c>
      <c r="C508" s="340" t="str">
        <f>'Bldg+Dev'!B199</f>
        <v>Compact Fluoresent Lamp (CFL)</v>
      </c>
      <c r="D508" s="340">
        <f>'Bldg+Dev'!C199</f>
        <v>0</v>
      </c>
      <c r="E508" s="340">
        <f>'Bldg+Dev'!D199</f>
        <v>0</v>
      </c>
      <c r="F508" s="340"/>
    </row>
    <row r="509" spans="1:6" ht="26.25" customHeight="1">
      <c r="A509" s="338">
        <f>'Bldg+Dev'!A200</f>
        <v>0</v>
      </c>
      <c r="B509" s="340" t="e">
        <f>+'Bldg+Dev'!U200</f>
        <v>#REF!</v>
      </c>
      <c r="C509" s="340" t="str">
        <f>'Bldg+Dev'!B200</f>
        <v>a. 14W bulb for Bath &amp; WC</v>
      </c>
      <c r="D509" s="340">
        <f>'Bldg+Dev'!C200</f>
        <v>130</v>
      </c>
      <c r="E509" s="340" t="str">
        <f>'Bldg+Dev'!D200</f>
        <v>Each</v>
      </c>
      <c r="F509" s="340" t="e">
        <f t="shared" si="7"/>
        <v>#REF!</v>
      </c>
    </row>
    <row r="510" spans="1:6" ht="21.75" customHeight="1">
      <c r="A510" s="338">
        <f>'Bldg+Dev'!A201</f>
        <v>0</v>
      </c>
      <c r="B510" s="340" t="e">
        <f>+'Bldg+Dev'!U201</f>
        <v>#REF!</v>
      </c>
      <c r="C510" s="340" t="str">
        <f>'Bldg+Dev'!B201</f>
        <v>b. 18w bulb for Bulk Head fittings</v>
      </c>
      <c r="D510" s="340">
        <f>'Bldg+Dev'!C201</f>
        <v>170</v>
      </c>
      <c r="E510" s="340" t="str">
        <f>'Bldg+Dev'!D201</f>
        <v>Each</v>
      </c>
      <c r="F510" s="340" t="e">
        <f t="shared" si="7"/>
        <v>#REF!</v>
      </c>
    </row>
    <row r="511" spans="1:6" ht="26.25" customHeight="1">
      <c r="A511" s="338">
        <f>'Bldg+Dev'!A202</f>
        <v>0</v>
      </c>
      <c r="B511" s="340">
        <f>+'Bldg+Dev'!U202</f>
        <v>0</v>
      </c>
      <c r="C511" s="340" t="str">
        <f>'Bldg+Dev'!B202</f>
        <v>S &amp; F of Bulk head fitting suitable for CFL</v>
      </c>
      <c r="D511" s="340">
        <f>'Bldg+Dev'!C202</f>
        <v>443</v>
      </c>
      <c r="E511" s="340" t="str">
        <f>'Bldg+Dev'!D202</f>
        <v>Each</v>
      </c>
      <c r="F511" s="340">
        <f t="shared" si="7"/>
        <v>0</v>
      </c>
    </row>
    <row r="512" spans="1:6" ht="42" customHeight="1">
      <c r="A512" s="338" t="e">
        <f>'Bldg+Dev'!#REF!</f>
        <v>#REF!</v>
      </c>
      <c r="B512" s="339" t="e">
        <f>+'Bldg+Dev'!#REF!</f>
        <v>#REF!</v>
      </c>
      <c r="C512" s="340" t="e">
        <f>'Bldg+Dev'!#REF!</f>
        <v>#REF!</v>
      </c>
      <c r="D512" s="340" t="e">
        <f>'Bldg+Dev'!#REF!</f>
        <v>#REF!</v>
      </c>
      <c r="E512" s="340" t="e">
        <f>'Bldg+Dev'!#REF!</f>
        <v>#REF!</v>
      </c>
      <c r="F512" s="340"/>
    </row>
    <row r="513" spans="1:6" ht="22.5" customHeight="1">
      <c r="A513" s="338" t="e">
        <f>'Bldg+Dev'!#REF!</f>
        <v>#REF!</v>
      </c>
      <c r="B513" s="340" t="e">
        <f>+'Bldg+Dev'!#REF!</f>
        <v>#REF!</v>
      </c>
      <c r="C513" s="340" t="e">
        <f>'Bldg+Dev'!#REF!</f>
        <v>#REF!</v>
      </c>
      <c r="D513" s="340" t="e">
        <f>'Bldg+Dev'!#REF!</f>
        <v>#REF!</v>
      </c>
      <c r="E513" s="340" t="e">
        <f>'Bldg+Dev'!#REF!</f>
        <v>#REF!</v>
      </c>
      <c r="F513" s="340" t="e">
        <f t="shared" si="7"/>
        <v>#REF!</v>
      </c>
    </row>
    <row r="514" spans="1:6" ht="22.5" customHeight="1">
      <c r="A514" s="338" t="e">
        <f>'Bldg+Dev'!#REF!</f>
        <v>#REF!</v>
      </c>
      <c r="B514" s="340" t="e">
        <f>+'Bldg+Dev'!#REF!</f>
        <v>#REF!</v>
      </c>
      <c r="C514" s="340" t="e">
        <f>'Bldg+Dev'!#REF!</f>
        <v>#REF!</v>
      </c>
      <c r="D514" s="340" t="e">
        <f>'Bldg+Dev'!#REF!</f>
        <v>#REF!</v>
      </c>
      <c r="E514" s="340" t="e">
        <f>'Bldg+Dev'!#REF!</f>
        <v>#REF!</v>
      </c>
      <c r="F514" s="340" t="e">
        <f t="shared" si="7"/>
        <v>#REF!</v>
      </c>
    </row>
    <row r="515" spans="1:6" ht="38.25" customHeight="1">
      <c r="A515" s="338" t="e">
        <f>'Bldg+Dev'!#REF!</f>
        <v>#REF!</v>
      </c>
      <c r="B515" s="340" t="e">
        <f>+'Bldg+Dev'!#REF!</f>
        <v>#REF!</v>
      </c>
      <c r="C515" s="340" t="e">
        <f>'Bldg+Dev'!#REF!</f>
        <v>#REF!</v>
      </c>
      <c r="D515" s="340" t="e">
        <f>'Bldg+Dev'!#REF!</f>
        <v>#REF!</v>
      </c>
      <c r="E515" s="340" t="e">
        <f>'Bldg+Dev'!#REF!</f>
        <v>#REF!</v>
      </c>
      <c r="F515" s="340" t="e">
        <f t="shared" si="7"/>
        <v>#REF!</v>
      </c>
    </row>
    <row r="516" spans="1:6" ht="27.75" customHeight="1">
      <c r="A516" s="338">
        <f>'Bldg+Dev'!A204</f>
        <v>344.2</v>
      </c>
      <c r="B516" s="340" t="e">
        <f>+'Bldg+Dev'!U204</f>
        <v>#REF!</v>
      </c>
      <c r="C516" s="340" t="str">
        <f>'Bldg+Dev'!B204</f>
        <v>S&amp;F of Bevelled edge mirror 500 x 400 x 5.5mm</v>
      </c>
      <c r="D516" s="340">
        <f>'Bldg+Dev'!C204</f>
        <v>363</v>
      </c>
      <c r="E516" s="340" t="str">
        <f>'Bldg+Dev'!D204</f>
        <v>Each</v>
      </c>
      <c r="F516" s="340" t="e">
        <f t="shared" si="7"/>
        <v>#REF!</v>
      </c>
    </row>
    <row r="517" spans="1:6" ht="27.75" customHeight="1">
      <c r="A517" s="338" t="e">
        <f>'Bldg+Dev'!#REF!</f>
        <v>#REF!</v>
      </c>
      <c r="B517" s="340" t="e">
        <f>+'Bldg+Dev'!#REF!</f>
        <v>#REF!</v>
      </c>
      <c r="C517" s="340" t="e">
        <f>'Bldg+Dev'!#REF!</f>
        <v>#REF!</v>
      </c>
      <c r="D517" s="340" t="e">
        <f>'Bldg+Dev'!#REF!</f>
        <v>#REF!</v>
      </c>
      <c r="E517" s="340" t="e">
        <f>'Bldg+Dev'!#REF!</f>
        <v>#REF!</v>
      </c>
      <c r="F517" s="340" t="e">
        <f t="shared" si="7"/>
        <v>#REF!</v>
      </c>
    </row>
    <row r="518" spans="1:6" ht="27.75" customHeight="1">
      <c r="A518" s="338" t="e">
        <f>'Bldg+Dev'!#REF!</f>
        <v>#REF!</v>
      </c>
      <c r="B518" s="340" t="e">
        <f>+'Bldg+Dev'!#REF!</f>
        <v>#REF!</v>
      </c>
      <c r="C518" s="340" t="e">
        <f>'Bldg+Dev'!#REF!</f>
        <v>#REF!</v>
      </c>
      <c r="D518" s="340" t="e">
        <f>'Bldg+Dev'!#REF!</f>
        <v>#REF!</v>
      </c>
      <c r="E518" s="340" t="e">
        <f>'Bldg+Dev'!#REF!</f>
        <v>#REF!</v>
      </c>
      <c r="F518" s="340" t="e">
        <f t="shared" si="7"/>
        <v>#REF!</v>
      </c>
    </row>
    <row r="519" spans="1:6" ht="16.5" hidden="1">
      <c r="A519" s="338" t="e">
        <f>'Bldg+Dev'!#REF!</f>
        <v>#REF!</v>
      </c>
      <c r="B519" s="340" t="e">
        <f>+'Bldg+Dev'!#REF!</f>
        <v>#REF!</v>
      </c>
      <c r="C519" s="340" t="e">
        <f>'Bldg+Dev'!#REF!</f>
        <v>#REF!</v>
      </c>
      <c r="D519" s="340" t="e">
        <f>'Bldg+Dev'!#REF!</f>
        <v>#REF!</v>
      </c>
      <c r="E519" s="340" t="e">
        <f>'Bldg+Dev'!#REF!</f>
        <v>#REF!</v>
      </c>
      <c r="F519" s="340" t="e">
        <f t="shared" si="7"/>
        <v>#REF!</v>
      </c>
    </row>
    <row r="520" spans="1:6" ht="16.5" hidden="1">
      <c r="A520" s="338" t="e">
        <f>'Bldg+Dev'!#REF!</f>
        <v>#REF!</v>
      </c>
      <c r="B520" s="340" t="e">
        <f>+'Bldg+Dev'!#REF!</f>
        <v>#REF!</v>
      </c>
      <c r="C520" s="340" t="e">
        <f>'Bldg+Dev'!#REF!</f>
        <v>#REF!</v>
      </c>
      <c r="D520" s="340" t="e">
        <f>'Bldg+Dev'!#REF!</f>
        <v>#REF!</v>
      </c>
      <c r="E520" s="340" t="e">
        <f>'Bldg+Dev'!#REF!</f>
        <v>#REF!</v>
      </c>
      <c r="F520" s="340" t="e">
        <f t="shared" si="7"/>
        <v>#REF!</v>
      </c>
    </row>
    <row r="521" spans="1:6" ht="16.5" hidden="1">
      <c r="A521" s="338" t="e">
        <f>'Bldg+Dev'!#REF!</f>
        <v>#REF!</v>
      </c>
      <c r="B521" s="340" t="e">
        <f>+'Bldg+Dev'!#REF!</f>
        <v>#REF!</v>
      </c>
      <c r="C521" s="340" t="e">
        <f>'Bldg+Dev'!#REF!</f>
        <v>#REF!</v>
      </c>
      <c r="D521" s="340" t="e">
        <f>'Bldg+Dev'!#REF!</f>
        <v>#REF!</v>
      </c>
      <c r="E521" s="340" t="e">
        <f>'Bldg+Dev'!#REF!</f>
        <v>#REF!</v>
      </c>
      <c r="F521" s="340" t="e">
        <f>D521*B521</f>
        <v>#REF!</v>
      </c>
    </row>
    <row r="522" spans="1:6" ht="27.75" customHeight="1">
      <c r="A522" s="338" t="e">
        <f>'Bldg+Dev'!#REF!</f>
        <v>#REF!</v>
      </c>
      <c r="B522" s="340" t="e">
        <f>+'Bldg+Dev'!#REF!</f>
        <v>#REF!</v>
      </c>
      <c r="C522" s="340" t="e">
        <f>'Bldg+Dev'!#REF!</f>
        <v>#REF!</v>
      </c>
      <c r="D522" s="340" t="e">
        <f>'Bldg+Dev'!#REF!</f>
        <v>#REF!</v>
      </c>
      <c r="E522" s="340" t="e">
        <f>'Bldg+Dev'!#REF!</f>
        <v>#REF!</v>
      </c>
      <c r="F522" s="340" t="e">
        <f>D522*B522</f>
        <v>#REF!</v>
      </c>
    </row>
    <row r="523" spans="1:6" ht="27.75" customHeight="1">
      <c r="A523" s="338" t="str">
        <f>'Bldg+Dev'!A205</f>
        <v>51. 1</v>
      </c>
      <c r="B523" s="340">
        <f>+'Bldg+Dev'!U205</f>
        <v>0</v>
      </c>
      <c r="C523" s="340" t="str">
        <f>'Bldg+Dev'!B205</f>
        <v>HDPE water tank 200 lit capacity with ISI mark</v>
      </c>
      <c r="D523" s="340">
        <f>'Bldg+Dev'!C205</f>
        <v>1800</v>
      </c>
      <c r="E523" s="340" t="str">
        <f>'Bldg+Dev'!D205</f>
        <v>Each</v>
      </c>
      <c r="F523" s="340">
        <f>D523*B523</f>
        <v>0</v>
      </c>
    </row>
    <row r="524" spans="1:6" ht="27.75" customHeight="1">
      <c r="A524" s="338">
        <f>'Bldg+Dev'!A213</f>
        <v>0</v>
      </c>
      <c r="B524" s="339" t="str">
        <f>+'Bldg+Dev'!U213</f>
        <v>*</v>
      </c>
      <c r="C524" s="341" t="str">
        <f>'Bldg+Dev'!B213</f>
        <v>TOTAL</v>
      </c>
      <c r="D524" s="340">
        <f>'Bldg+Dev'!C213</f>
        <v>0</v>
      </c>
      <c r="E524" s="340">
        <f>'Bldg+Dev'!D213</f>
        <v>0</v>
      </c>
      <c r="F524" s="342" t="e">
        <f>SUM(F7:F523)</f>
        <v>#REF!</v>
      </c>
    </row>
    <row r="525" spans="1:6" ht="16.5" hidden="1">
      <c r="A525" s="338">
        <f>'Bldg+Dev'!A214</f>
        <v>0</v>
      </c>
      <c r="B525" s="329">
        <f>+'Bldg+Dev'!U214</f>
        <v>0</v>
      </c>
      <c r="C525" s="329">
        <f>'Bldg+Dev'!B214</f>
        <v>0</v>
      </c>
      <c r="D525" s="329">
        <f>'Bldg+Dev'!C214</f>
        <v>0</v>
      </c>
      <c r="E525" s="337">
        <f>'Bldg+Dev'!D214</f>
        <v>0</v>
      </c>
      <c r="F525" s="336" t="e">
        <f>'Bldg+Dev'!V213-F524</f>
        <v>#REF!</v>
      </c>
    </row>
    <row r="526" spans="1:6" ht="16.5" hidden="1">
      <c r="A526" s="338">
        <f>'Bldg+Dev'!A215</f>
        <v>0</v>
      </c>
      <c r="B526" s="330">
        <f>+'Bldg+Dev'!U215</f>
        <v>0</v>
      </c>
      <c r="C526" s="111" t="str">
        <f>'Bldg+Dev'!B215</f>
        <v>MS door of Size 1000 x 2100mm</v>
      </c>
      <c r="D526" s="111">
        <f>'Bldg+Dev'!C215</f>
        <v>8680</v>
      </c>
      <c r="E526" s="111" t="str">
        <f>'Bldg+Dev'!D215</f>
        <v>Each</v>
      </c>
    </row>
    <row r="527" spans="1:6" ht="16.5" hidden="1">
      <c r="A527" s="338">
        <f>'Bldg+Dev'!A216</f>
        <v>0</v>
      </c>
      <c r="B527" s="111" t="e">
        <f>+'Bldg+Dev'!U216</f>
        <v>#REF!</v>
      </c>
      <c r="C527" s="111" t="str">
        <f>'Bldg+Dev'!B216</f>
        <v>MS door of Size 750 x 1350mm</v>
      </c>
      <c r="D527" s="111">
        <f>'Bldg+Dev'!C216</f>
        <v>5666</v>
      </c>
      <c r="E527" s="111" t="str">
        <f>'Bldg+Dev'!D216</f>
        <v>Each</v>
      </c>
    </row>
    <row r="528" spans="1:6" ht="16.5" hidden="1">
      <c r="A528" s="338">
        <f>'Bldg+Dev'!A217</f>
        <v>0</v>
      </c>
      <c r="B528" s="111">
        <f>+'Bldg+Dev'!U217</f>
        <v>0</v>
      </c>
      <c r="C528" s="111" t="str">
        <f>'Bldg+Dev'!B217</f>
        <v>MS Ventilator of Size 900 x 600mm</v>
      </c>
      <c r="D528" s="111">
        <f>'Bldg+Dev'!C217</f>
        <v>4495</v>
      </c>
      <c r="E528" s="111" t="str">
        <f>'Bldg+Dev'!D217</f>
        <v>Sqm</v>
      </c>
    </row>
    <row r="529" spans="1:5" ht="16.5" hidden="1">
      <c r="A529" s="338">
        <f>'Bldg+Dev'!A221</f>
        <v>0</v>
      </c>
      <c r="B529" s="111">
        <f>+'Bldg+Dev'!U221</f>
        <v>0</v>
      </c>
      <c r="C529" s="111" t="str">
        <f>'Bldg+Dev'!B221</f>
        <v>TW double leaves shutter of size 1800 x 2100mm</v>
      </c>
      <c r="D529" s="111">
        <f>'Bldg+Dev'!C221</f>
        <v>3824.78</v>
      </c>
      <c r="E529" s="111" t="str">
        <f>'Bldg+Dev'!D221</f>
        <v>Sqm</v>
      </c>
    </row>
    <row r="530" spans="1:5" ht="16.5" hidden="1">
      <c r="A530" s="338">
        <f>'Bldg+Dev'!A224</f>
        <v>0</v>
      </c>
      <c r="B530" s="111">
        <f>+'Bldg+Dev'!U224</f>
        <v>0</v>
      </c>
      <c r="C530" s="111" t="str">
        <f>'Bldg+Dev'!B224</f>
        <v>1500 liters capacity of HDPE Water Tank</v>
      </c>
      <c r="D530" s="111">
        <f>'Bldg+Dev'!C224</f>
        <v>12300</v>
      </c>
      <c r="E530" s="111" t="str">
        <f>'Bldg+Dev'!D224</f>
        <v>Each</v>
      </c>
    </row>
    <row r="531" spans="1:5" ht="16.5" hidden="1">
      <c r="A531" s="338">
        <f>'Bldg+Dev'!A226</f>
        <v>0</v>
      </c>
      <c r="B531" s="111">
        <f>+'Bldg+Dev'!U226</f>
        <v>0</v>
      </c>
      <c r="C531" s="111" t="str">
        <f>'Bldg+Dev'!B226</f>
        <v xml:space="preserve">Eurocon Tiles flooring </v>
      </c>
      <c r="D531" s="111">
        <f>'Bldg+Dev'!C226</f>
        <v>925.43</v>
      </c>
      <c r="E531" s="111" t="str">
        <f>'Bldg+Dev'!D226</f>
        <v>Sqm</v>
      </c>
    </row>
    <row r="532" spans="1:5" ht="16.5" hidden="1">
      <c r="A532" s="338">
        <f>'Bldg+Dev'!A229</f>
        <v>0</v>
      </c>
      <c r="B532" s="111">
        <f>+'Bldg+Dev'!U229</f>
        <v>0</v>
      </c>
      <c r="C532" s="111" t="str">
        <f>'Bldg+Dev'!B229</f>
        <v xml:space="preserve">Granite Tiles flooring </v>
      </c>
      <c r="D532" s="111" t="e">
        <f>'Bldg+Dev'!C229</f>
        <v>#REF!</v>
      </c>
      <c r="E532" s="111" t="str">
        <f>'Bldg+Dev'!D229</f>
        <v>Sqm</v>
      </c>
    </row>
    <row r="533" spans="1:5" ht="16.5" hidden="1">
      <c r="A533" s="338">
        <f>'Bldg+Dev'!A230</f>
        <v>0</v>
      </c>
      <c r="B533" s="111">
        <f>+'Bldg+Dev'!U230</f>
        <v>0</v>
      </c>
      <c r="C533" s="111" t="str">
        <f>'Bldg+Dev'!B230</f>
        <v>Plastering with ccccm 1:3, 12mm mixed with WPC</v>
      </c>
      <c r="D533" s="111">
        <f>'Bldg+Dev'!C230</f>
        <v>136.35</v>
      </c>
      <c r="E533" s="111" t="str">
        <f>'Bldg+Dev'!D230</f>
        <v>Sqm</v>
      </c>
    </row>
    <row r="534" spans="1:5" ht="16.5" hidden="1">
      <c r="A534" s="338">
        <f>'Bldg+Dev'!A231</f>
        <v>0</v>
      </c>
      <c r="B534" s="111">
        <f>+'Bldg+Dev'!U231</f>
        <v>0</v>
      </c>
      <c r="C534" s="111" t="str">
        <f>'Bldg+Dev'!B231</f>
        <v>HDPE water tank 5000 lit capacity</v>
      </c>
      <c r="D534" s="111">
        <f>'Bldg+Dev'!C231</f>
        <v>41000</v>
      </c>
      <c r="E534" s="111" t="str">
        <f>'Bldg+Dev'!D231</f>
        <v>Each</v>
      </c>
    </row>
    <row r="535" spans="1:5" ht="16.5" hidden="1">
      <c r="A535" s="338">
        <f>'Bldg+Dev'!A232</f>
        <v>0</v>
      </c>
      <c r="B535" s="111">
        <f>+'Bldg+Dev'!U232</f>
        <v>0</v>
      </c>
      <c r="C535" s="111" t="str">
        <f>'Bldg+Dev'!B232</f>
        <v>T.W DOOR SHUTTER TWO LEAVES(1200 X 2100 mm</v>
      </c>
      <c r="D535" s="111">
        <f>'Bldg+Dev'!C232</f>
        <v>4240.83</v>
      </c>
      <c r="E535" s="111" t="str">
        <f>'Bldg+Dev'!D232</f>
        <v>Sqm</v>
      </c>
    </row>
    <row r="536" spans="1:5" ht="16.5" hidden="1">
      <c r="A536" s="338">
        <f>'Bldg+Dev'!A233</f>
        <v>0</v>
      </c>
      <c r="B536" s="111">
        <f>+'Bldg+Dev'!U233</f>
        <v>0</v>
      </c>
      <c r="C536" s="111" t="str">
        <f>'Bldg+Dev'!B233</f>
        <v>TW Panelled Door 1500 X 2100MM (Double leaves)</v>
      </c>
      <c r="D536" s="111">
        <f>'Bldg+Dev'!C233</f>
        <v>3982.09</v>
      </c>
      <c r="E536" s="111" t="str">
        <f>'Bldg+Dev'!D233</f>
        <v>Sqm</v>
      </c>
    </row>
    <row r="537" spans="1:5" ht="16.5" hidden="1">
      <c r="A537" s="338">
        <f>'Bldg+Dev'!A234</f>
        <v>0</v>
      </c>
      <c r="B537" s="111">
        <f>+'Bldg+Dev'!U234</f>
        <v>0</v>
      </c>
      <c r="C537" s="111" t="str">
        <f>'Bldg+Dev'!B234</f>
        <v>TW Panelled Door 1500 X 2400MM (Double leaves)</v>
      </c>
      <c r="D537" s="111">
        <f>'Bldg+Dev'!C234</f>
        <v>4385.8599999999997</v>
      </c>
      <c r="E537" s="111" t="str">
        <f>'Bldg+Dev'!D234</f>
        <v>Sqm</v>
      </c>
    </row>
    <row r="538" spans="1:5" ht="16.5" hidden="1">
      <c r="A538" s="338">
        <f>'Bldg+Dev'!A235</f>
        <v>0</v>
      </c>
      <c r="B538" s="111">
        <f>+'Bldg+Dev'!U235</f>
        <v>0</v>
      </c>
      <c r="C538" s="111" t="str">
        <f>'Bldg+Dev'!B235</f>
        <v>TW Panelled Door 1200 X 2400MM (Double leaves)</v>
      </c>
      <c r="D538" s="111">
        <f>'Bldg+Dev'!C235</f>
        <v>4968.4399999999996</v>
      </c>
      <c r="E538" s="111" t="str">
        <f>'Bldg+Dev'!D235</f>
        <v>Sqm</v>
      </c>
    </row>
    <row r="539" spans="1:5" ht="16.5" hidden="1">
      <c r="A539" s="338">
        <f>'Bldg+Dev'!A236</f>
        <v>0</v>
      </c>
      <c r="B539" s="111">
        <f>+'Bldg+Dev'!U236</f>
        <v>0</v>
      </c>
      <c r="C539" s="111" t="str">
        <f>'Bldg+Dev'!B236</f>
        <v>TW Panelled Door 1800 X 2400MM (Double leaves)</v>
      </c>
      <c r="D539" s="111">
        <f>'Bldg+Dev'!C236</f>
        <v>3677.07</v>
      </c>
      <c r="E539" s="111" t="str">
        <f>'Bldg+Dev'!D236</f>
        <v>Sqm</v>
      </c>
    </row>
    <row r="540" spans="1:5" ht="16.5" hidden="1">
      <c r="A540" s="338">
        <f>'Bldg+Dev'!A240</f>
        <v>0</v>
      </c>
      <c r="B540" s="111">
        <f>+'Bldg+Dev'!U240</f>
        <v>0</v>
      </c>
      <c r="C540" s="111" t="str">
        <f>'Bldg+Dev'!B240</f>
        <v>BWR door 900 x 2400   single leaf</v>
      </c>
      <c r="D540" s="111">
        <f>'Bldg+Dev'!C240</f>
        <v>4402.2700000000004</v>
      </c>
      <c r="E540" s="111" t="str">
        <f>'Bldg+Dev'!D240</f>
        <v>Sqm</v>
      </c>
    </row>
    <row r="541" spans="1:5" ht="16.5" hidden="1">
      <c r="A541" s="338">
        <f>'Bldg+Dev'!A241</f>
        <v>0</v>
      </c>
      <c r="B541" s="111">
        <f>+'Bldg+Dev'!U241</f>
        <v>0</v>
      </c>
      <c r="C541" s="111" t="str">
        <f>'Bldg+Dev'!B241</f>
        <v>BWR door 1050 x 2400   single leaf</v>
      </c>
      <c r="D541" s="111">
        <f>'Bldg+Dev'!C241</f>
        <v>3969.36</v>
      </c>
      <c r="E541" s="111" t="str">
        <f>'Bldg+Dev'!D241</f>
        <v>Sqm</v>
      </c>
    </row>
    <row r="542" spans="1:5" ht="16.5" hidden="1">
      <c r="A542" s="338">
        <f>'Bldg+Dev'!A242</f>
        <v>0</v>
      </c>
      <c r="B542" s="111">
        <f>+'Bldg+Dev'!U242</f>
        <v>0</v>
      </c>
      <c r="C542" s="111" t="str">
        <f>'Bldg+Dev'!B242</f>
        <v>BWR door 1200 x 2400   double leaves</v>
      </c>
      <c r="D542" s="111">
        <f>'Bldg+Dev'!C242</f>
        <v>4408.95</v>
      </c>
      <c r="E542" s="111" t="str">
        <f>'Bldg+Dev'!D242</f>
        <v>Sqm</v>
      </c>
    </row>
    <row r="543" spans="1:5" ht="16.5" hidden="1">
      <c r="A543" s="338">
        <f>'Bldg+Dev'!A243</f>
        <v>0</v>
      </c>
      <c r="B543" s="111">
        <f>+'Bldg+Dev'!U243</f>
        <v>0</v>
      </c>
    </row>
    <row r="544" spans="1:5" ht="16.5" hidden="1">
      <c r="A544" s="338">
        <f>'Bldg+Dev'!A244</f>
        <v>0</v>
      </c>
      <c r="B544" s="111">
        <f>+'Bldg+Dev'!U244</f>
        <v>0</v>
      </c>
    </row>
    <row r="545" spans="1:2" ht="16.5" hidden="1">
      <c r="A545" s="338">
        <f>'Bldg+Dev'!A245</f>
        <v>0</v>
      </c>
      <c r="B545" s="111">
        <f>+'Bldg+Dev'!U245</f>
        <v>0</v>
      </c>
    </row>
    <row r="546" spans="1:2" ht="16.5" hidden="1">
      <c r="A546" s="338">
        <f>'Bldg+Dev'!A246</f>
        <v>0</v>
      </c>
      <c r="B546" s="111">
        <f>+'Bldg+Dev'!U246</f>
        <v>0</v>
      </c>
    </row>
    <row r="547" spans="1:2" ht="16.5" hidden="1">
      <c r="A547" s="338">
        <f>'Bldg+Dev'!A247</f>
        <v>0</v>
      </c>
      <c r="B547" s="111">
        <f>+'Bldg+Dev'!U247</f>
        <v>0</v>
      </c>
    </row>
    <row r="548" spans="1:2" ht="16.5" hidden="1">
      <c r="A548" s="338">
        <f>'Bldg+Dev'!A248</f>
        <v>0</v>
      </c>
      <c r="B548" s="111">
        <f>+'Bldg+Dev'!U248</f>
        <v>0</v>
      </c>
    </row>
    <row r="549" spans="1:2" ht="16.5" hidden="1">
      <c r="A549" s="338">
        <f>'Bldg+Dev'!A249</f>
        <v>0</v>
      </c>
      <c r="B549" s="111">
        <f>+'Bldg+Dev'!U249</f>
        <v>0</v>
      </c>
    </row>
    <row r="550" spans="1:2" ht="16.5" hidden="1">
      <c r="A550" s="338">
        <f>'Bldg+Dev'!A250</f>
        <v>0</v>
      </c>
      <c r="B550" s="111">
        <f>+'Bldg+Dev'!U250</f>
        <v>0</v>
      </c>
    </row>
    <row r="551" spans="1:2" ht="16.5" hidden="1">
      <c r="A551" s="338">
        <f>'Bldg+Dev'!A251</f>
        <v>0</v>
      </c>
      <c r="B551" s="111">
        <f>+'Bldg+Dev'!U251</f>
        <v>0</v>
      </c>
    </row>
    <row r="552" spans="1:2" ht="16.5" hidden="1">
      <c r="A552" s="338">
        <f>'Bldg+Dev'!A252</f>
        <v>0</v>
      </c>
      <c r="B552" s="111">
        <f>+'Bldg+Dev'!U252</f>
        <v>0</v>
      </c>
    </row>
    <row r="553" spans="1:2" ht="16.5" hidden="1">
      <c r="A553" s="338">
        <f>'Bldg+Dev'!A253</f>
        <v>0</v>
      </c>
      <c r="B553" s="111">
        <f>+'Bldg+Dev'!U253</f>
        <v>0</v>
      </c>
    </row>
    <row r="554" spans="1:2" ht="16.5" hidden="1">
      <c r="A554" s="338">
        <f>'Bldg+Dev'!A254</f>
        <v>0</v>
      </c>
      <c r="B554" s="111">
        <f>+'Bldg+Dev'!U254</f>
        <v>0</v>
      </c>
    </row>
    <row r="555" spans="1:2" ht="16.5" hidden="1">
      <c r="A555" s="338">
        <f>'Bldg+Dev'!A255</f>
        <v>0</v>
      </c>
      <c r="B555" s="111">
        <f>+'Bldg+Dev'!U255</f>
        <v>0</v>
      </c>
    </row>
    <row r="556" spans="1:2" ht="16.5" hidden="1">
      <c r="A556" s="338">
        <f>'Bldg+Dev'!A256</f>
        <v>0</v>
      </c>
      <c r="B556" s="111">
        <f>+'Bldg+Dev'!U256</f>
        <v>0</v>
      </c>
    </row>
    <row r="557" spans="1:2" ht="16.5" hidden="1">
      <c r="A557" s="338">
        <f>'Bldg+Dev'!A257</f>
        <v>0</v>
      </c>
      <c r="B557" s="111">
        <f>+'Bldg+Dev'!U257</f>
        <v>0</v>
      </c>
    </row>
    <row r="558" spans="1:2" ht="16.5" hidden="1">
      <c r="A558" s="338">
        <f>'Bldg+Dev'!A259</f>
        <v>0</v>
      </c>
      <c r="B558" s="111">
        <f>+'Bldg+Dev'!U259</f>
        <v>0</v>
      </c>
    </row>
    <row r="559" spans="1:2" ht="16.5" hidden="1">
      <c r="A559" s="338">
        <f>'Bldg+Dev'!A260</f>
        <v>0</v>
      </c>
      <c r="B559" s="111">
        <f>+'Bldg+Dev'!U260</f>
        <v>0</v>
      </c>
    </row>
    <row r="560" spans="1:2" ht="16.5" hidden="1">
      <c r="A560" s="338">
        <f>'Bldg+Dev'!A261</f>
        <v>0</v>
      </c>
      <c r="B560" s="111">
        <f>+'Bldg+Dev'!U261</f>
        <v>0</v>
      </c>
    </row>
    <row r="561" spans="1:2" ht="16.5" hidden="1">
      <c r="A561" s="338">
        <f>'Bldg+Dev'!A262</f>
        <v>0</v>
      </c>
      <c r="B561" s="111">
        <f>+'Bldg+Dev'!U262</f>
        <v>0</v>
      </c>
    </row>
    <row r="562" spans="1:2" ht="16.5" hidden="1">
      <c r="A562" s="338">
        <f>'Bldg+Dev'!A263</f>
        <v>0</v>
      </c>
      <c r="B562" s="111">
        <f>+'Bldg+Dev'!U263</f>
        <v>0</v>
      </c>
    </row>
    <row r="563" spans="1:2" ht="16.5" hidden="1">
      <c r="A563" s="338">
        <f>'Bldg+Dev'!A264</f>
        <v>0</v>
      </c>
      <c r="B563" s="111">
        <f>+'Bldg+Dev'!U264</f>
        <v>0</v>
      </c>
    </row>
    <row r="564" spans="1:2" ht="16.5" hidden="1">
      <c r="A564" s="338">
        <f>'Bldg+Dev'!A265</f>
        <v>0</v>
      </c>
      <c r="B564" s="111">
        <f>+'Bldg+Dev'!U265</f>
        <v>0</v>
      </c>
    </row>
    <row r="565" spans="1:2" ht="16.5" hidden="1">
      <c r="A565" s="338">
        <f>'Bldg+Dev'!A266</f>
        <v>0</v>
      </c>
      <c r="B565" s="111">
        <f>+'Bldg+Dev'!U266</f>
        <v>0</v>
      </c>
    </row>
    <row r="566" spans="1:2" ht="16.5" hidden="1">
      <c r="A566" s="338">
        <f>'Bldg+Dev'!A267</f>
        <v>0</v>
      </c>
      <c r="B566" s="111">
        <f>+'Bldg+Dev'!U267</f>
        <v>0</v>
      </c>
    </row>
    <row r="567" spans="1:2" ht="16.5" hidden="1">
      <c r="A567" s="338">
        <f>'Bldg+Dev'!A268</f>
        <v>0</v>
      </c>
      <c r="B567" s="111">
        <f>+'Bldg+Dev'!U268</f>
        <v>0</v>
      </c>
    </row>
    <row r="568" spans="1:2" ht="16.5" hidden="1">
      <c r="A568" s="338">
        <f>'Bldg+Dev'!A269</f>
        <v>0</v>
      </c>
      <c r="B568" s="111">
        <f>+'Bldg+Dev'!U269</f>
        <v>0</v>
      </c>
    </row>
    <row r="569" spans="1:2" ht="16.5" hidden="1">
      <c r="A569" s="338">
        <f>'Bldg+Dev'!A270</f>
        <v>0</v>
      </c>
      <c r="B569" s="111">
        <f>+'Bldg+Dev'!U270</f>
        <v>0</v>
      </c>
    </row>
    <row r="570" spans="1:2" ht="16.5" hidden="1">
      <c r="A570" s="338">
        <f>'Bldg+Dev'!A271</f>
        <v>0</v>
      </c>
      <c r="B570" s="111">
        <f>+'Bldg+Dev'!U271</f>
        <v>0</v>
      </c>
    </row>
    <row r="571" spans="1:2" ht="16.5" hidden="1">
      <c r="A571" s="338">
        <f>'Bldg+Dev'!A272</f>
        <v>0</v>
      </c>
      <c r="B571" s="111">
        <f>+'Bldg+Dev'!U272</f>
        <v>0</v>
      </c>
    </row>
    <row r="572" spans="1:2" ht="16.5" hidden="1">
      <c r="A572" s="338">
        <f>'Bldg+Dev'!A273</f>
        <v>0</v>
      </c>
      <c r="B572" s="111">
        <f>+'Bldg+Dev'!U273</f>
        <v>0</v>
      </c>
    </row>
    <row r="573" spans="1:2" ht="16.5" hidden="1">
      <c r="A573" s="338">
        <f>'Bldg+Dev'!A274</f>
        <v>0</v>
      </c>
      <c r="B573" s="111">
        <f>+'Bldg+Dev'!U274</f>
        <v>0</v>
      </c>
    </row>
    <row r="574" spans="1:2" ht="16.5" hidden="1">
      <c r="A574" s="338">
        <f>'Bldg+Dev'!A275</f>
        <v>0</v>
      </c>
      <c r="B574" s="111">
        <f>+'Bldg+Dev'!U275</f>
        <v>0</v>
      </c>
    </row>
    <row r="575" spans="1:2" ht="16.5" hidden="1">
      <c r="A575" s="338">
        <f>'Bldg+Dev'!A276</f>
        <v>0</v>
      </c>
      <c r="B575" s="111">
        <f>+'Bldg+Dev'!U276</f>
        <v>0</v>
      </c>
    </row>
    <row r="576" spans="1:2" ht="16.5" hidden="1">
      <c r="A576" s="338">
        <f>'Bldg+Dev'!A277</f>
        <v>0</v>
      </c>
      <c r="B576" s="111">
        <f>+'Bldg+Dev'!U277</f>
        <v>0</v>
      </c>
    </row>
    <row r="577" spans="1:2" ht="16.5" hidden="1">
      <c r="A577" s="338">
        <f>'Bldg+Dev'!A278</f>
        <v>0</v>
      </c>
      <c r="B577" s="111">
        <f>+'Bldg+Dev'!U278</f>
        <v>0</v>
      </c>
    </row>
    <row r="578" spans="1:2" ht="16.5" hidden="1">
      <c r="A578" s="338">
        <f>'Bldg+Dev'!A279</f>
        <v>0</v>
      </c>
      <c r="B578" s="111">
        <f>+'Bldg+Dev'!U279</f>
        <v>0</v>
      </c>
    </row>
    <row r="579" spans="1:2" ht="16.5" hidden="1">
      <c r="A579" s="338">
        <f>'Bldg+Dev'!A280</f>
        <v>0</v>
      </c>
      <c r="B579" s="111">
        <f>+'Bldg+Dev'!U280</f>
        <v>0</v>
      </c>
    </row>
    <row r="580" spans="1:2" ht="16.5" hidden="1">
      <c r="A580" s="338">
        <f>'Bldg+Dev'!A281</f>
        <v>0</v>
      </c>
      <c r="B580" s="111">
        <f>+'Bldg+Dev'!U281</f>
        <v>0</v>
      </c>
    </row>
    <row r="581" spans="1:2" ht="16.5" hidden="1">
      <c r="A581" s="338">
        <f>'Bldg+Dev'!A282</f>
        <v>0</v>
      </c>
      <c r="B581" s="111">
        <f>+'Bldg+Dev'!U282</f>
        <v>0</v>
      </c>
    </row>
    <row r="582" spans="1:2" ht="16.5" hidden="1">
      <c r="A582" s="338">
        <f>'Bldg+Dev'!A283</f>
        <v>0</v>
      </c>
      <c r="B582" s="111">
        <f>+'Bldg+Dev'!U283</f>
        <v>0</v>
      </c>
    </row>
    <row r="583" spans="1:2" ht="16.5" hidden="1">
      <c r="A583" s="338">
        <f>'Bldg+Dev'!A284</f>
        <v>0</v>
      </c>
      <c r="B583" s="111">
        <f>+'Bldg+Dev'!U284</f>
        <v>0</v>
      </c>
    </row>
    <row r="584" spans="1:2" ht="16.5" hidden="1">
      <c r="A584" s="338">
        <f>'Bldg+Dev'!A285</f>
        <v>0</v>
      </c>
      <c r="B584" s="111">
        <f>+'Bldg+Dev'!U285</f>
        <v>0</v>
      </c>
    </row>
    <row r="585" spans="1:2" ht="16.5" hidden="1">
      <c r="A585" s="338">
        <f>'Bldg+Dev'!A286</f>
        <v>0</v>
      </c>
      <c r="B585" s="111">
        <f>+'Bldg+Dev'!U286</f>
        <v>0</v>
      </c>
    </row>
    <row r="586" spans="1:2" ht="16.5" hidden="1">
      <c r="A586" s="338">
        <f>'Bldg+Dev'!A287</f>
        <v>0</v>
      </c>
      <c r="B586" s="111">
        <f>+'Bldg+Dev'!U287</f>
        <v>0</v>
      </c>
    </row>
    <row r="587" spans="1:2" ht="16.5" hidden="1">
      <c r="A587" s="338">
        <f>'Bldg+Dev'!A288</f>
        <v>0</v>
      </c>
      <c r="B587" s="111">
        <f>+'Bldg+Dev'!U288</f>
        <v>0</v>
      </c>
    </row>
    <row r="588" spans="1:2" ht="16.5" hidden="1">
      <c r="A588" s="338">
        <f>'Bldg+Dev'!A289</f>
        <v>0</v>
      </c>
      <c r="B588" s="111">
        <f>+'Bldg+Dev'!U289</f>
        <v>0</v>
      </c>
    </row>
    <row r="589" spans="1:2" ht="16.5" hidden="1">
      <c r="A589" s="338">
        <f>'Bldg+Dev'!A290</f>
        <v>0</v>
      </c>
      <c r="B589" s="111">
        <f>+'Bldg+Dev'!U290</f>
        <v>0</v>
      </c>
    </row>
    <row r="590" spans="1:2" ht="16.5" hidden="1">
      <c r="A590" s="338">
        <f>'Bldg+Dev'!A291</f>
        <v>0</v>
      </c>
      <c r="B590" s="111">
        <f>+'Bldg+Dev'!U291</f>
        <v>0</v>
      </c>
    </row>
    <row r="591" spans="1:2" ht="16.5" hidden="1">
      <c r="A591" s="338">
        <f>'Bldg+Dev'!A292</f>
        <v>0</v>
      </c>
      <c r="B591" s="111">
        <f>+'Bldg+Dev'!U292</f>
        <v>0</v>
      </c>
    </row>
    <row r="592" spans="1:2" ht="16.5" hidden="1">
      <c r="A592" s="338">
        <f>'Bldg+Dev'!A293</f>
        <v>0</v>
      </c>
      <c r="B592" s="111">
        <f>+'Bldg+Dev'!U293</f>
        <v>0</v>
      </c>
    </row>
    <row r="593" spans="1:2" ht="16.5" hidden="1">
      <c r="A593" s="338">
        <f>'Bldg+Dev'!A294</f>
        <v>0</v>
      </c>
      <c r="B593" s="111">
        <f>+'Bldg+Dev'!U294</f>
        <v>0</v>
      </c>
    </row>
    <row r="594" spans="1:2" ht="16.5" hidden="1">
      <c r="A594" s="338">
        <f>'Bldg+Dev'!A295</f>
        <v>0</v>
      </c>
      <c r="B594" s="111">
        <f>+'Bldg+Dev'!U295</f>
        <v>0</v>
      </c>
    </row>
    <row r="595" spans="1:2" ht="16.5" hidden="1">
      <c r="A595" s="338">
        <f>'Bldg+Dev'!A296</f>
        <v>0</v>
      </c>
      <c r="B595" s="111">
        <f>+'Bldg+Dev'!U296</f>
        <v>0</v>
      </c>
    </row>
    <row r="596" spans="1:2" ht="16.5" hidden="1">
      <c r="A596" s="338">
        <f>'Bldg+Dev'!A297</f>
        <v>0</v>
      </c>
      <c r="B596" s="111">
        <f>+'Bldg+Dev'!U297</f>
        <v>0</v>
      </c>
    </row>
    <row r="597" spans="1:2" ht="16.5" hidden="1">
      <c r="A597" s="338">
        <f>'Bldg+Dev'!A298</f>
        <v>0</v>
      </c>
      <c r="B597" s="111">
        <f>+'Bldg+Dev'!U298</f>
        <v>0</v>
      </c>
    </row>
    <row r="598" spans="1:2" ht="16.5" hidden="1">
      <c r="A598" s="338">
        <f>'Bldg+Dev'!A299</f>
        <v>0</v>
      </c>
      <c r="B598" s="111">
        <f>+'Bldg+Dev'!U299</f>
        <v>0</v>
      </c>
    </row>
    <row r="599" spans="1:2" ht="16.5" hidden="1">
      <c r="A599" s="338">
        <f>'Bldg+Dev'!A305</f>
        <v>0</v>
      </c>
      <c r="B599" s="111">
        <f>+'Bldg+Dev'!U305</f>
        <v>0</v>
      </c>
    </row>
    <row r="600" spans="1:2" ht="16.5" hidden="1">
      <c r="A600" s="338">
        <f>'Bldg+Dev'!A306</f>
        <v>0</v>
      </c>
      <c r="B600" s="111">
        <f>+'Bldg+Dev'!U306</f>
        <v>0</v>
      </c>
    </row>
    <row r="601" spans="1:2" ht="16.5" hidden="1">
      <c r="A601" s="338">
        <f>'Bldg+Dev'!A307</f>
        <v>0</v>
      </c>
      <c r="B601" s="111">
        <f>+'Bldg+Dev'!U307</f>
        <v>0</v>
      </c>
    </row>
    <row r="602" spans="1:2" ht="16.5" hidden="1">
      <c r="A602" s="338">
        <f>'Bldg+Dev'!A308</f>
        <v>0</v>
      </c>
      <c r="B602" s="111">
        <f>+'Bldg+Dev'!U308</f>
        <v>0</v>
      </c>
    </row>
    <row r="603" spans="1:2" ht="16.5" hidden="1">
      <c r="A603" s="338">
        <f>'Bldg+Dev'!A309</f>
        <v>0</v>
      </c>
      <c r="B603" s="111">
        <f>+'Bldg+Dev'!U309</f>
        <v>0</v>
      </c>
    </row>
    <row r="604" spans="1:2" ht="16.5" hidden="1">
      <c r="A604" s="338">
        <f>'Bldg+Dev'!A310</f>
        <v>0</v>
      </c>
      <c r="B604" s="111">
        <f>+'Bldg+Dev'!U310</f>
        <v>0</v>
      </c>
    </row>
    <row r="605" spans="1:2" ht="16.5" hidden="1">
      <c r="A605" s="338">
        <f>'Bldg+Dev'!A311</f>
        <v>0</v>
      </c>
      <c r="B605" s="111">
        <f>+'Bldg+Dev'!U311</f>
        <v>0</v>
      </c>
    </row>
    <row r="606" spans="1:2" ht="16.5" hidden="1">
      <c r="A606" s="338">
        <f>'Bldg+Dev'!A312</f>
        <v>0</v>
      </c>
      <c r="B606" s="111">
        <f>+'Bldg+Dev'!U312</f>
        <v>0</v>
      </c>
    </row>
    <row r="607" spans="1:2" ht="16.5" hidden="1">
      <c r="A607" s="338">
        <f>'Bldg+Dev'!A313</f>
        <v>0</v>
      </c>
      <c r="B607" s="111">
        <f>+'Bldg+Dev'!U313</f>
        <v>0</v>
      </c>
    </row>
    <row r="608" spans="1:2" ht="16.5" hidden="1">
      <c r="A608" s="338">
        <f>'Bldg+Dev'!A314</f>
        <v>0</v>
      </c>
      <c r="B608" s="111">
        <f>+'Bldg+Dev'!U314</f>
        <v>0</v>
      </c>
    </row>
    <row r="609" spans="1:2" ht="16.5" hidden="1">
      <c r="A609" s="338">
        <f>'Bldg+Dev'!A315</f>
        <v>0</v>
      </c>
      <c r="B609" s="111">
        <f>+'Bldg+Dev'!U315</f>
        <v>0</v>
      </c>
    </row>
    <row r="610" spans="1:2" ht="16.5" hidden="1">
      <c r="A610" s="338">
        <f>'Bldg+Dev'!A316</f>
        <v>0</v>
      </c>
      <c r="B610" s="111">
        <f>+'Bldg+Dev'!U316</f>
        <v>0</v>
      </c>
    </row>
    <row r="611" spans="1:2" ht="16.5" hidden="1">
      <c r="A611" s="338">
        <f>'Bldg+Dev'!A317</f>
        <v>0</v>
      </c>
      <c r="B611" s="111">
        <f>+'Bldg+Dev'!U317</f>
        <v>0</v>
      </c>
    </row>
    <row r="612" spans="1:2" ht="16.5" hidden="1">
      <c r="A612" s="338">
        <f>'Bldg+Dev'!A318</f>
        <v>0</v>
      </c>
      <c r="B612" s="111">
        <f>+'Bldg+Dev'!U318</f>
        <v>0</v>
      </c>
    </row>
    <row r="613" spans="1:2" ht="16.5" hidden="1">
      <c r="A613" s="338">
        <f>'Bldg+Dev'!A319</f>
        <v>0</v>
      </c>
      <c r="B613" s="111">
        <f>+'Bldg+Dev'!U319</f>
        <v>0</v>
      </c>
    </row>
    <row r="614" spans="1:2" ht="16.5" hidden="1">
      <c r="A614" s="338">
        <f>'Bldg+Dev'!A320</f>
        <v>0</v>
      </c>
      <c r="B614" s="111">
        <f>+'Bldg+Dev'!U320</f>
        <v>0</v>
      </c>
    </row>
    <row r="615" spans="1:2" ht="16.5" hidden="1">
      <c r="A615" s="338">
        <f>'Bldg+Dev'!A321</f>
        <v>0</v>
      </c>
      <c r="B615" s="111">
        <f>+'Bldg+Dev'!U321</f>
        <v>0</v>
      </c>
    </row>
    <row r="616" spans="1:2" ht="16.5" hidden="1">
      <c r="A616" s="338">
        <f>'Bldg+Dev'!A322</f>
        <v>0</v>
      </c>
      <c r="B616" s="111">
        <f>+'Bldg+Dev'!U322</f>
        <v>0</v>
      </c>
    </row>
    <row r="617" spans="1:2" ht="16.5" hidden="1">
      <c r="A617" s="338">
        <f>'Bldg+Dev'!A323</f>
        <v>0</v>
      </c>
      <c r="B617" s="111">
        <f>+'Bldg+Dev'!U323</f>
        <v>0</v>
      </c>
    </row>
    <row r="618" spans="1:2" ht="16.5" hidden="1">
      <c r="A618" s="338">
        <f>'Bldg+Dev'!A324</f>
        <v>0</v>
      </c>
      <c r="B618" s="111">
        <f>+'Bldg+Dev'!U324</f>
        <v>0</v>
      </c>
    </row>
    <row r="619" spans="1:2" ht="16.5" hidden="1">
      <c r="A619" s="338">
        <f>'Bldg+Dev'!A325</f>
        <v>0</v>
      </c>
      <c r="B619" s="111">
        <f>+'Bldg+Dev'!U325</f>
        <v>0</v>
      </c>
    </row>
    <row r="620" spans="1:2" ht="16.5" hidden="1">
      <c r="A620" s="338">
        <f>'Bldg+Dev'!A326</f>
        <v>0</v>
      </c>
      <c r="B620" s="111">
        <f>+'Bldg+Dev'!U326</f>
        <v>0</v>
      </c>
    </row>
    <row r="621" spans="1:2" ht="16.5" hidden="1">
      <c r="A621" s="338">
        <f>'Bldg+Dev'!A327</f>
        <v>0</v>
      </c>
      <c r="B621" s="111">
        <f>+'Bldg+Dev'!U327</f>
        <v>0</v>
      </c>
    </row>
    <row r="622" spans="1:2" ht="16.5" hidden="1">
      <c r="A622" s="338">
        <f>'Bldg+Dev'!A328</f>
        <v>0</v>
      </c>
      <c r="B622" s="111">
        <f>+'Bldg+Dev'!U328</f>
        <v>0</v>
      </c>
    </row>
    <row r="623" spans="1:2" ht="16.5" hidden="1">
      <c r="A623" s="338">
        <f>'Bldg+Dev'!A329</f>
        <v>0</v>
      </c>
      <c r="B623" s="111">
        <f>+'Bldg+Dev'!U329</f>
        <v>0</v>
      </c>
    </row>
    <row r="624" spans="1:2" ht="16.5" hidden="1">
      <c r="A624" s="338">
        <f>'Bldg+Dev'!A330</f>
        <v>0</v>
      </c>
      <c r="B624" s="111">
        <f>+'Bldg+Dev'!U330</f>
        <v>0</v>
      </c>
    </row>
    <row r="625" spans="1:2" ht="16.5" hidden="1">
      <c r="A625" s="338">
        <f>'Bldg+Dev'!A331</f>
        <v>0</v>
      </c>
      <c r="B625" s="111">
        <f>+'Bldg+Dev'!U331</f>
        <v>0</v>
      </c>
    </row>
    <row r="626" spans="1:2" ht="16.5" hidden="1">
      <c r="A626" s="338">
        <f>'Bldg+Dev'!A332</f>
        <v>0</v>
      </c>
      <c r="B626" s="111">
        <f>+'Bldg+Dev'!U332</f>
        <v>0</v>
      </c>
    </row>
    <row r="627" spans="1:2" ht="16.5" hidden="1">
      <c r="A627" s="338">
        <f>'Bldg+Dev'!A333</f>
        <v>0</v>
      </c>
      <c r="B627" s="111">
        <f>+'Bldg+Dev'!U333</f>
        <v>0</v>
      </c>
    </row>
    <row r="628" spans="1:2" ht="16.5" hidden="1">
      <c r="A628" s="338">
        <f>'Bldg+Dev'!A334</f>
        <v>0</v>
      </c>
      <c r="B628" s="111">
        <f>+'Bldg+Dev'!U334</f>
        <v>0</v>
      </c>
    </row>
    <row r="629" spans="1:2" ht="16.5" hidden="1">
      <c r="A629" s="338">
        <f>'Bldg+Dev'!A335</f>
        <v>0</v>
      </c>
      <c r="B629" s="111">
        <f>+'Bldg+Dev'!U335</f>
        <v>0</v>
      </c>
    </row>
    <row r="630" spans="1:2" ht="16.5" hidden="1">
      <c r="A630" s="338">
        <f>'Bldg+Dev'!A336</f>
        <v>0</v>
      </c>
      <c r="B630" s="111">
        <f>+'Bldg+Dev'!U336</f>
        <v>0</v>
      </c>
    </row>
    <row r="631" spans="1:2" ht="16.5" hidden="1">
      <c r="A631" s="338">
        <f>'Bldg+Dev'!A337</f>
        <v>0</v>
      </c>
      <c r="B631" s="111">
        <f>+'Bldg+Dev'!U337</f>
        <v>0</v>
      </c>
    </row>
    <row r="632" spans="1:2" ht="16.5" hidden="1">
      <c r="A632" s="338">
        <f>'Bldg+Dev'!A338</f>
        <v>0</v>
      </c>
      <c r="B632" s="111">
        <f>+'Bldg+Dev'!U338</f>
        <v>0</v>
      </c>
    </row>
    <row r="633" spans="1:2" ht="16.5" hidden="1">
      <c r="A633" s="338">
        <f>'Bldg+Dev'!A339</f>
        <v>0</v>
      </c>
      <c r="B633" s="111">
        <f>+'Bldg+Dev'!U339</f>
        <v>0</v>
      </c>
    </row>
    <row r="634" spans="1:2" ht="16.5" hidden="1">
      <c r="A634" s="338">
        <f>'Bldg+Dev'!A340</f>
        <v>0</v>
      </c>
      <c r="B634" s="111">
        <f>+'Bldg+Dev'!U340</f>
        <v>0</v>
      </c>
    </row>
    <row r="635" spans="1:2" ht="16.5" hidden="1">
      <c r="A635" s="338">
        <f>'Bldg+Dev'!A341</f>
        <v>0</v>
      </c>
      <c r="B635" s="111">
        <f>+'Bldg+Dev'!U341</f>
        <v>0</v>
      </c>
    </row>
    <row r="636" spans="1:2" ht="16.5" hidden="1">
      <c r="A636" s="338">
        <f>'Bldg+Dev'!A342</f>
        <v>0</v>
      </c>
      <c r="B636" s="111">
        <f>+'Bldg+Dev'!U342</f>
        <v>0</v>
      </c>
    </row>
    <row r="637" spans="1:2" ht="16.5" hidden="1">
      <c r="A637" s="338">
        <f>'Bldg+Dev'!A343</f>
        <v>0</v>
      </c>
      <c r="B637" s="111">
        <f>+'Bldg+Dev'!U343</f>
        <v>0</v>
      </c>
    </row>
    <row r="638" spans="1:2" ht="16.5" hidden="1">
      <c r="A638" s="338">
        <f>'Bldg+Dev'!A344</f>
        <v>0</v>
      </c>
      <c r="B638" s="111">
        <f>+'Bldg+Dev'!U344</f>
        <v>0</v>
      </c>
    </row>
    <row r="639" spans="1:2" ht="16.5" hidden="1">
      <c r="A639" s="338">
        <f>'Bldg+Dev'!A345</f>
        <v>0</v>
      </c>
      <c r="B639" s="111">
        <f>+'Bldg+Dev'!U345</f>
        <v>0</v>
      </c>
    </row>
    <row r="640" spans="1:2" ht="16.5" hidden="1">
      <c r="A640" s="338">
        <f>'Bldg+Dev'!A346</f>
        <v>0</v>
      </c>
      <c r="B640" s="111">
        <f>+'Bldg+Dev'!U346</f>
        <v>0</v>
      </c>
    </row>
    <row r="641" spans="1:2" ht="16.5" hidden="1">
      <c r="A641" s="338">
        <f>'Bldg+Dev'!A347</f>
        <v>0</v>
      </c>
      <c r="B641" s="111">
        <f>+'Bldg+Dev'!U347</f>
        <v>0</v>
      </c>
    </row>
    <row r="642" spans="1:2" ht="16.5" hidden="1">
      <c r="A642" s="338">
        <f>'Bldg+Dev'!A348</f>
        <v>0</v>
      </c>
      <c r="B642" s="111">
        <f>+'Bldg+Dev'!U348</f>
        <v>0</v>
      </c>
    </row>
    <row r="643" spans="1:2" ht="16.5" hidden="1">
      <c r="A643" s="338">
        <f>'Bldg+Dev'!A349</f>
        <v>0</v>
      </c>
      <c r="B643" s="111">
        <f>+'Bldg+Dev'!U349</f>
        <v>0</v>
      </c>
    </row>
    <row r="644" spans="1:2" ht="16.5" hidden="1">
      <c r="A644" s="338">
        <f>'Bldg+Dev'!A350</f>
        <v>0</v>
      </c>
      <c r="B644" s="111">
        <f>+'Bldg+Dev'!U350</f>
        <v>0</v>
      </c>
    </row>
    <row r="645" spans="1:2" ht="16.5" hidden="1">
      <c r="A645" s="338">
        <f>'Bldg+Dev'!A351</f>
        <v>0</v>
      </c>
      <c r="B645" s="111">
        <f>+'Bldg+Dev'!U351</f>
        <v>0</v>
      </c>
    </row>
    <row r="646" spans="1:2" ht="16.5" hidden="1">
      <c r="A646" s="338">
        <f>'Bldg+Dev'!A352</f>
        <v>0</v>
      </c>
      <c r="B646" s="111">
        <f>+'Bldg+Dev'!U352</f>
        <v>0</v>
      </c>
    </row>
    <row r="647" spans="1:2" ht="16.5" hidden="1">
      <c r="A647" s="338">
        <f>'Bldg+Dev'!A353</f>
        <v>0</v>
      </c>
      <c r="B647" s="111">
        <f>+'Bldg+Dev'!U353</f>
        <v>0</v>
      </c>
    </row>
    <row r="648" spans="1:2" ht="16.5" hidden="1">
      <c r="A648" s="338">
        <f>'Bldg+Dev'!A354</f>
        <v>0</v>
      </c>
      <c r="B648" s="111">
        <f>+'Bldg+Dev'!U354</f>
        <v>0</v>
      </c>
    </row>
    <row r="649" spans="1:2" ht="16.5" hidden="1">
      <c r="A649" s="338">
        <f>'Bldg+Dev'!A355</f>
        <v>0</v>
      </c>
      <c r="B649" s="111">
        <f>+'Bldg+Dev'!U355</f>
        <v>0</v>
      </c>
    </row>
    <row r="650" spans="1:2" ht="16.5" hidden="1">
      <c r="A650" s="338">
        <f>'Bldg+Dev'!A356</f>
        <v>0</v>
      </c>
      <c r="B650" s="111">
        <f>+'Bldg+Dev'!U356</f>
        <v>0</v>
      </c>
    </row>
    <row r="651" spans="1:2" ht="16.5" hidden="1">
      <c r="A651" s="338">
        <f>'Bldg+Dev'!A357</f>
        <v>0</v>
      </c>
      <c r="B651" s="111">
        <f>+'Bldg+Dev'!U357</f>
        <v>0</v>
      </c>
    </row>
    <row r="652" spans="1:2" ht="16.5" hidden="1">
      <c r="A652" s="338">
        <f>'Bldg+Dev'!A358</f>
        <v>0</v>
      </c>
      <c r="B652" s="111">
        <f>+'Bldg+Dev'!U358</f>
        <v>0</v>
      </c>
    </row>
    <row r="653" spans="1:2" ht="16.5" hidden="1">
      <c r="A653" s="338">
        <f>'Bldg+Dev'!A359</f>
        <v>0</v>
      </c>
      <c r="B653" s="111">
        <f>+'Bldg+Dev'!U359</f>
        <v>0</v>
      </c>
    </row>
    <row r="654" spans="1:2" ht="16.5" hidden="1">
      <c r="A654" s="338">
        <f>'Bldg+Dev'!A360</f>
        <v>0</v>
      </c>
      <c r="B654" s="111">
        <f>+'Bldg+Dev'!U360</f>
        <v>0</v>
      </c>
    </row>
    <row r="655" spans="1:2" ht="16.5" hidden="1">
      <c r="A655" s="338">
        <f>'Bldg+Dev'!A361</f>
        <v>0</v>
      </c>
      <c r="B655" s="111">
        <f>+'Bldg+Dev'!U361</f>
        <v>0</v>
      </c>
    </row>
    <row r="656" spans="1:2" ht="16.5" hidden="1">
      <c r="A656" s="338">
        <f>'Bldg+Dev'!A362</f>
        <v>0</v>
      </c>
      <c r="B656" s="111">
        <f>+'Bldg+Dev'!U362</f>
        <v>0</v>
      </c>
    </row>
    <row r="657" spans="1:2" ht="16.5" hidden="1">
      <c r="A657" s="338">
        <f>'Bldg+Dev'!A363</f>
        <v>0</v>
      </c>
      <c r="B657" s="111">
        <f>+'Bldg+Dev'!U363</f>
        <v>0</v>
      </c>
    </row>
    <row r="658" spans="1:2" ht="16.5" hidden="1">
      <c r="A658" s="338">
        <f>'Bldg+Dev'!A364</f>
        <v>0</v>
      </c>
      <c r="B658" s="111">
        <f>+'Bldg+Dev'!U364</f>
        <v>0</v>
      </c>
    </row>
    <row r="659" spans="1:2" ht="16.5" hidden="1">
      <c r="A659" s="338">
        <f>'Bldg+Dev'!A365</f>
        <v>0</v>
      </c>
      <c r="B659" s="111">
        <f>+'Bldg+Dev'!U365</f>
        <v>0</v>
      </c>
    </row>
    <row r="660" spans="1:2" ht="16.5" hidden="1">
      <c r="A660" s="338">
        <f>'Bldg+Dev'!A366</f>
        <v>0</v>
      </c>
      <c r="B660" s="111">
        <f>+'Bldg+Dev'!U366</f>
        <v>0</v>
      </c>
    </row>
    <row r="661" spans="1:2" ht="16.5" hidden="1">
      <c r="A661" s="338">
        <f>'Bldg+Dev'!A367</f>
        <v>0</v>
      </c>
      <c r="B661" s="111">
        <f>+'Bldg+Dev'!U367</f>
        <v>0</v>
      </c>
    </row>
    <row r="662" spans="1:2" ht="16.5" hidden="1">
      <c r="A662" s="338">
        <f>'Bldg+Dev'!A368</f>
        <v>0</v>
      </c>
      <c r="B662" s="111">
        <f>+'Bldg+Dev'!U368</f>
        <v>0</v>
      </c>
    </row>
    <row r="663" spans="1:2" ht="16.5" hidden="1">
      <c r="A663" s="338">
        <f>'Bldg+Dev'!A369</f>
        <v>0</v>
      </c>
      <c r="B663" s="111">
        <f>+'Bldg+Dev'!U369</f>
        <v>0</v>
      </c>
    </row>
    <row r="664" spans="1:2" ht="16.5" hidden="1">
      <c r="A664" s="338">
        <f>'Bldg+Dev'!A370</f>
        <v>0</v>
      </c>
      <c r="B664" s="111">
        <f>+'Bldg+Dev'!U370</f>
        <v>0</v>
      </c>
    </row>
    <row r="665" spans="1:2" ht="16.5" hidden="1">
      <c r="A665" s="338">
        <f>'Bldg+Dev'!A371</f>
        <v>0</v>
      </c>
      <c r="B665" s="111">
        <f>+'Bldg+Dev'!U371</f>
        <v>0</v>
      </c>
    </row>
    <row r="666" spans="1:2" ht="16.5" hidden="1">
      <c r="A666" s="338">
        <f>'Bldg+Dev'!A372</f>
        <v>0</v>
      </c>
      <c r="B666" s="111">
        <f>+'Bldg+Dev'!U372</f>
        <v>0</v>
      </c>
    </row>
    <row r="667" spans="1:2" ht="16.5" hidden="1">
      <c r="A667" s="338">
        <f>'Bldg+Dev'!A373</f>
        <v>0</v>
      </c>
      <c r="B667" s="111">
        <f>+'Bldg+Dev'!U373</f>
        <v>0</v>
      </c>
    </row>
    <row r="668" spans="1:2" ht="16.5" hidden="1">
      <c r="A668" s="338">
        <f>'Bldg+Dev'!A374</f>
        <v>0</v>
      </c>
      <c r="B668" s="111">
        <f>+'Bldg+Dev'!U374</f>
        <v>0</v>
      </c>
    </row>
    <row r="669" spans="1:2" ht="16.5" hidden="1">
      <c r="A669" s="338">
        <f>'Bldg+Dev'!A375</f>
        <v>0</v>
      </c>
      <c r="B669" s="111">
        <f>+'Bldg+Dev'!U375</f>
        <v>0</v>
      </c>
    </row>
    <row r="670" spans="1:2" ht="16.5" hidden="1">
      <c r="A670" s="338">
        <f>'Bldg+Dev'!A376</f>
        <v>0</v>
      </c>
      <c r="B670" s="111">
        <f>+'Bldg+Dev'!U376</f>
        <v>0</v>
      </c>
    </row>
    <row r="671" spans="1:2" ht="16.5" hidden="1">
      <c r="A671" s="338">
        <f>'Bldg+Dev'!A377</f>
        <v>0</v>
      </c>
      <c r="B671" s="111">
        <f>+'Bldg+Dev'!U377</f>
        <v>0</v>
      </c>
    </row>
    <row r="672" spans="1:2" ht="16.5" hidden="1">
      <c r="A672" s="338">
        <f>'Bldg+Dev'!A378</f>
        <v>0</v>
      </c>
      <c r="B672" s="111">
        <f>+'Bldg+Dev'!U378</f>
        <v>0</v>
      </c>
    </row>
    <row r="673" spans="1:2" ht="16.5" hidden="1">
      <c r="A673" s="338">
        <f>'Bldg+Dev'!A379</f>
        <v>0</v>
      </c>
      <c r="B673" s="111">
        <f>+'Bldg+Dev'!U379</f>
        <v>0</v>
      </c>
    </row>
    <row r="674" spans="1:2" ht="16.5" hidden="1">
      <c r="A674" s="338">
        <f>'Bldg+Dev'!A380</f>
        <v>0</v>
      </c>
      <c r="B674" s="111">
        <f>+'Bldg+Dev'!U380</f>
        <v>0</v>
      </c>
    </row>
    <row r="675" spans="1:2" ht="16.5" hidden="1">
      <c r="A675" s="338">
        <f>'Bldg+Dev'!A381</f>
        <v>0</v>
      </c>
      <c r="B675" s="111">
        <f>+'Bldg+Dev'!U381</f>
        <v>0</v>
      </c>
    </row>
    <row r="676" spans="1:2" ht="16.5" hidden="1">
      <c r="A676" s="338">
        <f>'Bldg+Dev'!A382</f>
        <v>0</v>
      </c>
      <c r="B676" s="111">
        <f>+'Bldg+Dev'!U382</f>
        <v>0</v>
      </c>
    </row>
    <row r="677" spans="1:2" ht="16.5" hidden="1">
      <c r="A677" s="338">
        <f>'Bldg+Dev'!A383</f>
        <v>0</v>
      </c>
      <c r="B677" s="111">
        <f>+'Bldg+Dev'!U383</f>
        <v>0</v>
      </c>
    </row>
    <row r="678" spans="1:2" ht="16.5" hidden="1">
      <c r="A678" s="338">
        <f>'Bldg+Dev'!A384</f>
        <v>0</v>
      </c>
      <c r="B678" s="111">
        <f>+'Bldg+Dev'!U384</f>
        <v>0</v>
      </c>
    </row>
    <row r="679" spans="1:2" ht="16.5" hidden="1">
      <c r="A679" s="338">
        <f>'Bldg+Dev'!A385</f>
        <v>0</v>
      </c>
      <c r="B679" s="111">
        <f>+'Bldg+Dev'!U385</f>
        <v>0</v>
      </c>
    </row>
    <row r="680" spans="1:2" ht="16.5" hidden="1">
      <c r="A680" s="338">
        <f>'Bldg+Dev'!A386</f>
        <v>0</v>
      </c>
      <c r="B680" s="111">
        <f>+'Bldg+Dev'!U386</f>
        <v>0</v>
      </c>
    </row>
    <row r="681" spans="1:2" ht="16.5" hidden="1">
      <c r="A681" s="338">
        <f>'Bldg+Dev'!A387</f>
        <v>0</v>
      </c>
      <c r="B681" s="111">
        <f>+'Bldg+Dev'!U387</f>
        <v>0</v>
      </c>
    </row>
    <row r="682" spans="1:2" ht="16.5" hidden="1">
      <c r="A682" s="338">
        <f>'Bldg+Dev'!A388</f>
        <v>0</v>
      </c>
      <c r="B682" s="111">
        <f>+'Bldg+Dev'!U388</f>
        <v>0</v>
      </c>
    </row>
    <row r="683" spans="1:2" ht="16.5" hidden="1">
      <c r="A683" s="338">
        <f>'Bldg+Dev'!A389</f>
        <v>0</v>
      </c>
      <c r="B683" s="111">
        <f>+'Bldg+Dev'!U389</f>
        <v>0</v>
      </c>
    </row>
    <row r="684" spans="1:2" ht="16.5" hidden="1">
      <c r="A684" s="338">
        <f>'Bldg+Dev'!A390</f>
        <v>0</v>
      </c>
      <c r="B684" s="111">
        <f>+'Bldg+Dev'!U390</f>
        <v>0</v>
      </c>
    </row>
    <row r="685" spans="1:2" ht="16.5" hidden="1">
      <c r="A685" s="338">
        <f>'Bldg+Dev'!A391</f>
        <v>0</v>
      </c>
      <c r="B685" s="111">
        <f>+'Bldg+Dev'!U391</f>
        <v>0</v>
      </c>
    </row>
    <row r="686" spans="1:2" ht="16.5" hidden="1">
      <c r="A686" s="338">
        <f>'Bldg+Dev'!A392</f>
        <v>0</v>
      </c>
      <c r="B686" s="111">
        <f>+'Bldg+Dev'!U392</f>
        <v>0</v>
      </c>
    </row>
    <row r="687" spans="1:2" ht="16.5" hidden="1">
      <c r="A687" s="338">
        <f>'Bldg+Dev'!A393</f>
        <v>0</v>
      </c>
      <c r="B687" s="111">
        <f>+'Bldg+Dev'!U393</f>
        <v>0</v>
      </c>
    </row>
    <row r="688" spans="1:2" ht="16.5" hidden="1">
      <c r="A688" s="338">
        <f>'Bldg+Dev'!A394</f>
        <v>0</v>
      </c>
      <c r="B688" s="111">
        <f>+'Bldg+Dev'!U394</f>
        <v>0</v>
      </c>
    </row>
    <row r="689" spans="1:2" ht="16.5" hidden="1">
      <c r="A689" s="338">
        <f>'Bldg+Dev'!A395</f>
        <v>0</v>
      </c>
      <c r="B689" s="111">
        <f>+'Bldg+Dev'!U395</f>
        <v>0</v>
      </c>
    </row>
    <row r="690" spans="1:2" ht="16.5" hidden="1">
      <c r="A690" s="338">
        <f>'Bldg+Dev'!A396</f>
        <v>0</v>
      </c>
      <c r="B690" s="111">
        <f>+'Bldg+Dev'!U396</f>
        <v>0</v>
      </c>
    </row>
    <row r="691" spans="1:2" ht="16.5" hidden="1">
      <c r="A691" s="338">
        <f>'Bldg+Dev'!A397</f>
        <v>0</v>
      </c>
      <c r="B691" s="111">
        <f>+'Bldg+Dev'!U397</f>
        <v>0</v>
      </c>
    </row>
    <row r="692" spans="1:2" ht="16.5" hidden="1">
      <c r="A692" s="338">
        <f>'Bldg+Dev'!A398</f>
        <v>0</v>
      </c>
      <c r="B692" s="111">
        <f>+'Bldg+Dev'!U398</f>
        <v>0</v>
      </c>
    </row>
    <row r="693" spans="1:2" ht="16.5" hidden="1">
      <c r="A693" s="338">
        <f>'Bldg+Dev'!A399</f>
        <v>0</v>
      </c>
      <c r="B693" s="111">
        <f>+'Bldg+Dev'!U399</f>
        <v>0</v>
      </c>
    </row>
    <row r="694" spans="1:2" ht="16.5" hidden="1">
      <c r="A694" s="338">
        <f>'Bldg+Dev'!A400</f>
        <v>0</v>
      </c>
      <c r="B694" s="111">
        <f>+'Bldg+Dev'!U400</f>
        <v>0</v>
      </c>
    </row>
    <row r="695" spans="1:2" ht="16.5" hidden="1">
      <c r="A695" s="338">
        <f>'Bldg+Dev'!A401</f>
        <v>0</v>
      </c>
      <c r="B695" s="111">
        <f>+'Bldg+Dev'!U401</f>
        <v>0</v>
      </c>
    </row>
    <row r="696" spans="1:2" ht="16.5" hidden="1">
      <c r="A696" s="338">
        <f>'Bldg+Dev'!A402</f>
        <v>0</v>
      </c>
      <c r="B696" s="111">
        <f>+'Bldg+Dev'!U402</f>
        <v>0</v>
      </c>
    </row>
    <row r="697" spans="1:2" ht="16.5" hidden="1">
      <c r="A697" s="338">
        <f>'Bldg+Dev'!A403</f>
        <v>0</v>
      </c>
      <c r="B697" s="111">
        <f>+'Bldg+Dev'!U403</f>
        <v>0</v>
      </c>
    </row>
    <row r="698" spans="1:2" ht="16.5" hidden="1">
      <c r="A698" s="338">
        <f>'Bldg+Dev'!A404</f>
        <v>0</v>
      </c>
      <c r="B698" s="111">
        <f>+'Bldg+Dev'!U404</f>
        <v>0</v>
      </c>
    </row>
    <row r="699" spans="1:2" ht="16.5" hidden="1">
      <c r="A699" s="338">
        <f>'Bldg+Dev'!A405</f>
        <v>0</v>
      </c>
      <c r="B699" s="111">
        <f>+'Bldg+Dev'!U405</f>
        <v>0</v>
      </c>
    </row>
    <row r="700" spans="1:2" ht="16.5" hidden="1">
      <c r="A700" s="338">
        <f>'Bldg+Dev'!A406</f>
        <v>0</v>
      </c>
      <c r="B700" s="111">
        <f>+'Bldg+Dev'!U406</f>
        <v>0</v>
      </c>
    </row>
    <row r="701" spans="1:2" ht="16.5" hidden="1">
      <c r="A701" s="338">
        <f>'Bldg+Dev'!A407</f>
        <v>0</v>
      </c>
      <c r="B701" s="111">
        <f>+'Bldg+Dev'!U407</f>
        <v>0</v>
      </c>
    </row>
    <row r="702" spans="1:2" ht="16.5" hidden="1">
      <c r="A702" s="338">
        <f>'Bldg+Dev'!A408</f>
        <v>0</v>
      </c>
      <c r="B702" s="111">
        <f>+'Bldg+Dev'!U408</f>
        <v>0</v>
      </c>
    </row>
    <row r="703" spans="1:2" ht="16.5" hidden="1">
      <c r="A703" s="338">
        <f>'Bldg+Dev'!A409</f>
        <v>0</v>
      </c>
      <c r="B703" s="111">
        <f>+'Bldg+Dev'!U409</f>
        <v>0</v>
      </c>
    </row>
    <row r="704" spans="1:2" ht="16.5" hidden="1">
      <c r="A704" s="338">
        <f>'Bldg+Dev'!A410</f>
        <v>0</v>
      </c>
      <c r="B704" s="111">
        <f>+'Bldg+Dev'!U410</f>
        <v>0</v>
      </c>
    </row>
    <row r="705" spans="1:2" ht="16.5" hidden="1">
      <c r="A705" s="338">
        <f>'Bldg+Dev'!A411</f>
        <v>0</v>
      </c>
      <c r="B705" s="111">
        <f>+'Bldg+Dev'!U411</f>
        <v>0</v>
      </c>
    </row>
    <row r="706" spans="1:2" ht="16.5" hidden="1">
      <c r="A706" s="338">
        <f>'Bldg+Dev'!A412</f>
        <v>0</v>
      </c>
      <c r="B706" s="111">
        <f>+'Bldg+Dev'!U412</f>
        <v>0</v>
      </c>
    </row>
    <row r="707" spans="1:2" ht="16.5" hidden="1">
      <c r="A707" s="338">
        <f>'Bldg+Dev'!A413</f>
        <v>0</v>
      </c>
      <c r="B707" s="111">
        <f>+'Bldg+Dev'!U413</f>
        <v>0</v>
      </c>
    </row>
    <row r="708" spans="1:2" ht="16.5" hidden="1">
      <c r="A708" s="338">
        <f>'Bldg+Dev'!A414</f>
        <v>0</v>
      </c>
      <c r="B708" s="111">
        <f>+'Bldg+Dev'!U414</f>
        <v>0</v>
      </c>
    </row>
    <row r="709" spans="1:2" ht="16.5" hidden="1">
      <c r="A709" s="338">
        <f>'Bldg+Dev'!A415</f>
        <v>0</v>
      </c>
      <c r="B709" s="111">
        <f>+'Bldg+Dev'!U415</f>
        <v>0</v>
      </c>
    </row>
    <row r="710" spans="1:2" ht="16.5" hidden="1">
      <c r="A710" s="338">
        <f>'Bldg+Dev'!A416</f>
        <v>0</v>
      </c>
      <c r="B710" s="111">
        <f>+'Bldg+Dev'!U416</f>
        <v>0</v>
      </c>
    </row>
    <row r="711" spans="1:2" ht="16.5" hidden="1">
      <c r="A711" s="338">
        <f>'Bldg+Dev'!A417</f>
        <v>0</v>
      </c>
      <c r="B711" s="111">
        <f>+'Bldg+Dev'!U417</f>
        <v>0</v>
      </c>
    </row>
    <row r="712" spans="1:2" ht="16.5" hidden="1">
      <c r="A712" s="338">
        <f>'Bldg+Dev'!A418</f>
        <v>0</v>
      </c>
      <c r="B712" s="111">
        <f>+'Bldg+Dev'!U418</f>
        <v>0</v>
      </c>
    </row>
    <row r="713" spans="1:2" ht="16.5" hidden="1">
      <c r="A713" s="338">
        <f>'Bldg+Dev'!A419</f>
        <v>0</v>
      </c>
      <c r="B713" s="111">
        <f>+'Bldg+Dev'!U419</f>
        <v>0</v>
      </c>
    </row>
    <row r="714" spans="1:2" ht="16.5" hidden="1">
      <c r="A714" s="338">
        <f>'Bldg+Dev'!A420</f>
        <v>0</v>
      </c>
      <c r="B714" s="111">
        <f>+'Bldg+Dev'!U420</f>
        <v>0</v>
      </c>
    </row>
    <row r="715" spans="1:2" ht="16.5" hidden="1">
      <c r="A715" s="338">
        <f>'Bldg+Dev'!A421</f>
        <v>0</v>
      </c>
      <c r="B715" s="111">
        <f>+'Bldg+Dev'!U421</f>
        <v>0</v>
      </c>
    </row>
    <row r="716" spans="1:2" ht="16.5" hidden="1">
      <c r="A716" s="338">
        <f>'Bldg+Dev'!A422</f>
        <v>0</v>
      </c>
      <c r="B716" s="111">
        <f>+'Bldg+Dev'!U422</f>
        <v>0</v>
      </c>
    </row>
    <row r="717" spans="1:2" ht="16.5" hidden="1">
      <c r="A717" s="338">
        <f>'Bldg+Dev'!A423</f>
        <v>0</v>
      </c>
      <c r="B717" s="111">
        <f>+'Bldg+Dev'!U423</f>
        <v>0</v>
      </c>
    </row>
    <row r="718" spans="1:2" ht="16.5" hidden="1">
      <c r="A718" s="338">
        <f>'Bldg+Dev'!A424</f>
        <v>0</v>
      </c>
      <c r="B718" s="111">
        <f>+'Bldg+Dev'!U424</f>
        <v>0</v>
      </c>
    </row>
    <row r="719" spans="1:2" ht="16.5" hidden="1">
      <c r="A719" s="338">
        <f>'Bldg+Dev'!A425</f>
        <v>0</v>
      </c>
      <c r="B719" s="111">
        <f>+'Bldg+Dev'!U425</f>
        <v>0</v>
      </c>
    </row>
    <row r="720" spans="1:2" ht="16.5" hidden="1">
      <c r="A720" s="338">
        <f>'Bldg+Dev'!A426</f>
        <v>0</v>
      </c>
      <c r="B720" s="111">
        <f>+'Bldg+Dev'!U426</f>
        <v>0</v>
      </c>
    </row>
    <row r="721" spans="1:2" ht="16.5" hidden="1">
      <c r="A721" s="338">
        <f>'Bldg+Dev'!A427</f>
        <v>0</v>
      </c>
      <c r="B721" s="111">
        <f>+'Bldg+Dev'!U427</f>
        <v>0</v>
      </c>
    </row>
    <row r="722" spans="1:2" ht="16.5" hidden="1">
      <c r="A722" s="338">
        <f>'Bldg+Dev'!A428</f>
        <v>0</v>
      </c>
      <c r="B722" s="111">
        <f>+'Bldg+Dev'!U428</f>
        <v>0</v>
      </c>
    </row>
    <row r="723" spans="1:2" ht="16.5" hidden="1">
      <c r="A723" s="338">
        <f>'Bldg+Dev'!A429</f>
        <v>0</v>
      </c>
      <c r="B723" s="111">
        <f>+'Bldg+Dev'!U429</f>
        <v>0</v>
      </c>
    </row>
    <row r="724" spans="1:2" ht="16.5" hidden="1">
      <c r="A724" s="338">
        <f>'Bldg+Dev'!A430</f>
        <v>0</v>
      </c>
      <c r="B724" s="111">
        <f>+'Bldg+Dev'!U430</f>
        <v>0</v>
      </c>
    </row>
    <row r="725" spans="1:2" ht="16.5" hidden="1">
      <c r="A725" s="338">
        <f>'Bldg+Dev'!A431</f>
        <v>0</v>
      </c>
      <c r="B725" s="111">
        <f>+'Bldg+Dev'!U431</f>
        <v>0</v>
      </c>
    </row>
    <row r="726" spans="1:2" ht="16.5" hidden="1">
      <c r="A726" s="338">
        <f>'Bldg+Dev'!A432</f>
        <v>0</v>
      </c>
      <c r="B726" s="111">
        <f>+'Bldg+Dev'!U432</f>
        <v>0</v>
      </c>
    </row>
    <row r="727" spans="1:2" ht="16.5" hidden="1">
      <c r="A727" s="338">
        <f>'Bldg+Dev'!A433</f>
        <v>0</v>
      </c>
      <c r="B727" s="111">
        <f>+'Bldg+Dev'!U433</f>
        <v>0</v>
      </c>
    </row>
    <row r="728" spans="1:2" ht="16.5" hidden="1">
      <c r="A728" s="338">
        <f>'Bldg+Dev'!A434</f>
        <v>0</v>
      </c>
      <c r="B728" s="111">
        <f>+'Bldg+Dev'!U434</f>
        <v>0</v>
      </c>
    </row>
    <row r="729" spans="1:2" ht="16.5" hidden="1">
      <c r="A729" s="338">
        <f>'Bldg+Dev'!A435</f>
        <v>0</v>
      </c>
      <c r="B729" s="111">
        <f>+'Bldg+Dev'!U435</f>
        <v>0</v>
      </c>
    </row>
    <row r="730" spans="1:2" ht="16.5" hidden="1">
      <c r="A730" s="338">
        <f>'Bldg+Dev'!A436</f>
        <v>0</v>
      </c>
      <c r="B730" s="111">
        <f>+'Bldg+Dev'!U436</f>
        <v>0</v>
      </c>
    </row>
    <row r="731" spans="1:2" ht="16.5" hidden="1">
      <c r="A731" s="338">
        <f>'Bldg+Dev'!A437</f>
        <v>0</v>
      </c>
      <c r="B731" s="111">
        <f>+'Bldg+Dev'!U437</f>
        <v>0</v>
      </c>
    </row>
    <row r="732" spans="1:2" ht="16.5" hidden="1">
      <c r="A732" s="338">
        <f>'Bldg+Dev'!A438</f>
        <v>0</v>
      </c>
      <c r="B732" s="111">
        <f>+'Bldg+Dev'!U438</f>
        <v>0</v>
      </c>
    </row>
    <row r="733" spans="1:2" ht="16.5" hidden="1">
      <c r="A733" s="338">
        <f>'Bldg+Dev'!A439</f>
        <v>0</v>
      </c>
      <c r="B733" s="111">
        <f>+'Bldg+Dev'!U439</f>
        <v>0</v>
      </c>
    </row>
    <row r="734" spans="1:2" ht="16.5" hidden="1">
      <c r="A734" s="338">
        <f>'Bldg+Dev'!A440</f>
        <v>0</v>
      </c>
      <c r="B734" s="111">
        <f>+'Bldg+Dev'!U440</f>
        <v>0</v>
      </c>
    </row>
    <row r="735" spans="1:2" ht="16.5" hidden="1">
      <c r="A735" s="338">
        <f>'Bldg+Dev'!A441</f>
        <v>0</v>
      </c>
      <c r="B735" s="111">
        <f>+'Bldg+Dev'!U441</f>
        <v>0</v>
      </c>
    </row>
    <row r="736" spans="1:2" ht="16.5" hidden="1">
      <c r="A736" s="338">
        <f>'Bldg+Dev'!A442</f>
        <v>0</v>
      </c>
      <c r="B736" s="111">
        <f>+'Bldg+Dev'!U442</f>
        <v>0</v>
      </c>
    </row>
    <row r="737" spans="1:2" ht="16.5" hidden="1">
      <c r="A737" s="338">
        <f>'Bldg+Dev'!A443</f>
        <v>0</v>
      </c>
      <c r="B737" s="111">
        <f>+'Bldg+Dev'!U443</f>
        <v>0</v>
      </c>
    </row>
    <row r="738" spans="1:2" ht="16.5" hidden="1">
      <c r="A738" s="338">
        <f>'Bldg+Dev'!A444</f>
        <v>0</v>
      </c>
      <c r="B738" s="111">
        <f>+'Bldg+Dev'!U444</f>
        <v>0</v>
      </c>
    </row>
    <row r="739" spans="1:2" ht="16.5" hidden="1">
      <c r="A739" s="338">
        <f>'Bldg+Dev'!A445</f>
        <v>0</v>
      </c>
      <c r="B739" s="111">
        <f>+'Bldg+Dev'!U445</f>
        <v>0</v>
      </c>
    </row>
    <row r="740" spans="1:2" ht="16.5" hidden="1">
      <c r="A740" s="338">
        <f>'Bldg+Dev'!A446</f>
        <v>0</v>
      </c>
      <c r="B740" s="111">
        <f>+'Bldg+Dev'!U446</f>
        <v>0</v>
      </c>
    </row>
    <row r="741" spans="1:2" ht="16.5" hidden="1">
      <c r="A741" s="338">
        <f>'Bldg+Dev'!A447</f>
        <v>0</v>
      </c>
      <c r="B741" s="111">
        <f>+'Bldg+Dev'!U447</f>
        <v>0</v>
      </c>
    </row>
    <row r="742" spans="1:2" ht="16.5" hidden="1">
      <c r="A742" s="338">
        <f>'Bldg+Dev'!A448</f>
        <v>0</v>
      </c>
      <c r="B742" s="111">
        <f>+'Bldg+Dev'!U448</f>
        <v>0</v>
      </c>
    </row>
    <row r="743" spans="1:2" ht="16.5" hidden="1">
      <c r="A743" s="338">
        <f>'Bldg+Dev'!A449</f>
        <v>0</v>
      </c>
      <c r="B743" s="111">
        <f>+'Bldg+Dev'!U449</f>
        <v>0</v>
      </c>
    </row>
    <row r="744" spans="1:2" ht="16.5" hidden="1">
      <c r="A744" s="338">
        <f>'Bldg+Dev'!A450</f>
        <v>0</v>
      </c>
      <c r="B744" s="111">
        <f>+'Bldg+Dev'!U450</f>
        <v>0</v>
      </c>
    </row>
    <row r="745" spans="1:2" ht="16.5" hidden="1">
      <c r="A745" s="338">
        <f>'Bldg+Dev'!A451</f>
        <v>0</v>
      </c>
      <c r="B745" s="111">
        <f>+'Bldg+Dev'!U451</f>
        <v>0</v>
      </c>
    </row>
    <row r="746" spans="1:2" ht="16.5" hidden="1">
      <c r="A746" s="338">
        <f>'Bldg+Dev'!A452</f>
        <v>0</v>
      </c>
      <c r="B746" s="111">
        <f>+'Bldg+Dev'!U452</f>
        <v>0</v>
      </c>
    </row>
    <row r="747" spans="1:2" ht="16.5" hidden="1">
      <c r="A747" s="338">
        <f>'Bldg+Dev'!A453</f>
        <v>0</v>
      </c>
      <c r="B747" s="111">
        <f>+'Bldg+Dev'!U453</f>
        <v>0</v>
      </c>
    </row>
    <row r="748" spans="1:2" ht="16.5" hidden="1">
      <c r="A748" s="338">
        <f>'Bldg+Dev'!A454</f>
        <v>0</v>
      </c>
      <c r="B748" s="111">
        <f>+'Bldg+Dev'!U454</f>
        <v>0</v>
      </c>
    </row>
    <row r="749" spans="1:2" ht="16.5" hidden="1">
      <c r="A749" s="338">
        <f>'Bldg+Dev'!A455</f>
        <v>0</v>
      </c>
      <c r="B749" s="111">
        <f>+'Bldg+Dev'!U455</f>
        <v>0</v>
      </c>
    </row>
    <row r="750" spans="1:2" ht="16.5" hidden="1">
      <c r="A750" s="338">
        <f>'Bldg+Dev'!A456</f>
        <v>0</v>
      </c>
      <c r="B750" s="111">
        <f>+'Bldg+Dev'!U456</f>
        <v>0</v>
      </c>
    </row>
    <row r="751" spans="1:2" ht="16.5" hidden="1">
      <c r="A751" s="338">
        <f>'Bldg+Dev'!A457</f>
        <v>0</v>
      </c>
      <c r="B751" s="111">
        <f>+'Bldg+Dev'!U457</f>
        <v>0</v>
      </c>
    </row>
    <row r="752" spans="1:2" ht="16.5" hidden="1">
      <c r="A752" s="338">
        <f>'Bldg+Dev'!A458</f>
        <v>0</v>
      </c>
      <c r="B752" s="111">
        <f>+'Bldg+Dev'!U458</f>
        <v>0</v>
      </c>
    </row>
    <row r="753" spans="1:2" ht="16.5" hidden="1">
      <c r="A753" s="338">
        <f>'Bldg+Dev'!A459</f>
        <v>0</v>
      </c>
      <c r="B753" s="111">
        <f>+'Bldg+Dev'!U459</f>
        <v>0</v>
      </c>
    </row>
    <row r="754" spans="1:2" ht="16.5" hidden="1">
      <c r="A754" s="338">
        <f>'Bldg+Dev'!A460</f>
        <v>0</v>
      </c>
      <c r="B754" s="111">
        <f>+'Bldg+Dev'!U460</f>
        <v>0</v>
      </c>
    </row>
    <row r="755" spans="1:2" ht="16.5" hidden="1">
      <c r="A755" s="338">
        <f>'Bldg+Dev'!A461</f>
        <v>0</v>
      </c>
      <c r="B755" s="111">
        <f>+'Bldg+Dev'!U461</f>
        <v>0</v>
      </c>
    </row>
    <row r="756" spans="1:2" ht="16.5" hidden="1">
      <c r="A756" s="338">
        <f>'Bldg+Dev'!A462</f>
        <v>0</v>
      </c>
      <c r="B756" s="111">
        <f>+'Bldg+Dev'!U462</f>
        <v>0</v>
      </c>
    </row>
    <row r="757" spans="1:2" ht="16.5" hidden="1">
      <c r="A757" s="338">
        <f>'Bldg+Dev'!A463</f>
        <v>0</v>
      </c>
      <c r="B757" s="111">
        <f>+'Bldg+Dev'!U463</f>
        <v>0</v>
      </c>
    </row>
    <row r="758" spans="1:2" ht="16.5" hidden="1">
      <c r="A758" s="338">
        <f>'Bldg+Dev'!A464</f>
        <v>0</v>
      </c>
      <c r="B758" s="111">
        <f>+'Bldg+Dev'!U464</f>
        <v>0</v>
      </c>
    </row>
    <row r="759" spans="1:2" ht="16.5" hidden="1">
      <c r="A759" s="338">
        <f>'Bldg+Dev'!A465</f>
        <v>0</v>
      </c>
      <c r="B759" s="111">
        <f>+'Bldg+Dev'!U465</f>
        <v>0</v>
      </c>
    </row>
    <row r="760" spans="1:2" ht="16.5" hidden="1">
      <c r="A760" s="338">
        <f>'Bldg+Dev'!A466</f>
        <v>0</v>
      </c>
      <c r="B760" s="111">
        <f>+'Bldg+Dev'!U466</f>
        <v>0</v>
      </c>
    </row>
    <row r="761" spans="1:2" ht="16.5" hidden="1">
      <c r="A761" s="338">
        <f>'Bldg+Dev'!A467</f>
        <v>0</v>
      </c>
      <c r="B761" s="111">
        <f>+'Bldg+Dev'!U467</f>
        <v>0</v>
      </c>
    </row>
    <row r="762" spans="1:2" ht="16.5" hidden="1">
      <c r="A762" s="338">
        <f>'Bldg+Dev'!A468</f>
        <v>0</v>
      </c>
      <c r="B762" s="111">
        <f>+'Bldg+Dev'!U468</f>
        <v>0</v>
      </c>
    </row>
    <row r="763" spans="1:2" ht="16.5" hidden="1">
      <c r="A763" s="338">
        <f>'Bldg+Dev'!A469</f>
        <v>0</v>
      </c>
      <c r="B763" s="111">
        <f>+'Bldg+Dev'!U469</f>
        <v>0</v>
      </c>
    </row>
    <row r="764" spans="1:2" ht="16.5" hidden="1">
      <c r="A764" s="338">
        <f>'Bldg+Dev'!A470</f>
        <v>0</v>
      </c>
      <c r="B764" s="111">
        <f>+'Bldg+Dev'!U470</f>
        <v>0</v>
      </c>
    </row>
    <row r="765" spans="1:2" ht="16.5" hidden="1">
      <c r="A765" s="338">
        <f>'Bldg+Dev'!A471</f>
        <v>0</v>
      </c>
      <c r="B765" s="111">
        <f>+'Bldg+Dev'!U471</f>
        <v>0</v>
      </c>
    </row>
    <row r="766" spans="1:2" ht="16.5" hidden="1">
      <c r="A766" s="338">
        <f>'Bldg+Dev'!A472</f>
        <v>0</v>
      </c>
      <c r="B766" s="111">
        <f>+'Bldg+Dev'!U472</f>
        <v>0</v>
      </c>
    </row>
    <row r="767" spans="1:2" ht="16.5" hidden="1">
      <c r="A767" s="338">
        <f>'Bldg+Dev'!A473</f>
        <v>0</v>
      </c>
      <c r="B767" s="111">
        <f>+'Bldg+Dev'!U473</f>
        <v>0</v>
      </c>
    </row>
    <row r="768" spans="1:2" ht="16.5" hidden="1">
      <c r="A768" s="338">
        <f>'Bldg+Dev'!A474</f>
        <v>0</v>
      </c>
      <c r="B768" s="111">
        <f>+'Bldg+Dev'!U474</f>
        <v>0</v>
      </c>
    </row>
    <row r="769" spans="1:2" ht="16.5" hidden="1">
      <c r="A769" s="338">
        <f>'Bldg+Dev'!A475</f>
        <v>0</v>
      </c>
      <c r="B769" s="111">
        <f>+'Bldg+Dev'!U475</f>
        <v>0</v>
      </c>
    </row>
    <row r="770" spans="1:2" ht="16.5" hidden="1">
      <c r="A770" s="338">
        <f>'Bldg+Dev'!A476</f>
        <v>0</v>
      </c>
      <c r="B770" s="111">
        <f>+'Bldg+Dev'!U476</f>
        <v>0</v>
      </c>
    </row>
    <row r="771" spans="1:2" ht="16.5" hidden="1">
      <c r="A771" s="338">
        <f>'Bldg+Dev'!A477</f>
        <v>0</v>
      </c>
      <c r="B771" s="111">
        <f>+'Bldg+Dev'!U477</f>
        <v>0</v>
      </c>
    </row>
    <row r="772" spans="1:2" ht="16.5" hidden="1">
      <c r="A772" s="338">
        <f>'Bldg+Dev'!A478</f>
        <v>0</v>
      </c>
      <c r="B772" s="111">
        <f>+'Bldg+Dev'!U478</f>
        <v>0</v>
      </c>
    </row>
    <row r="773" spans="1:2" ht="16.5" hidden="1">
      <c r="A773" s="338">
        <f>'Bldg+Dev'!A479</f>
        <v>0</v>
      </c>
      <c r="B773" s="111">
        <f>+'Bldg+Dev'!U479</f>
        <v>0</v>
      </c>
    </row>
    <row r="774" spans="1:2" ht="16.5" hidden="1">
      <c r="A774" s="338">
        <f>'Bldg+Dev'!A480</f>
        <v>0</v>
      </c>
      <c r="B774" s="111">
        <f>+'Bldg+Dev'!U480</f>
        <v>0</v>
      </c>
    </row>
    <row r="775" spans="1:2" ht="16.5" hidden="1">
      <c r="B775" s="111">
        <f>+'Bldg+Dev'!U481</f>
        <v>0</v>
      </c>
    </row>
    <row r="776" spans="1:2" ht="16.5" hidden="1">
      <c r="B776" s="111">
        <f>+'Bldg+Dev'!U482</f>
        <v>0</v>
      </c>
    </row>
    <row r="777" spans="1:2" ht="16.5" hidden="1">
      <c r="B777" s="111">
        <f>+'Bldg+Dev'!U483</f>
        <v>0</v>
      </c>
    </row>
    <row r="778" spans="1:2" ht="16.5" hidden="1">
      <c r="B778" s="111">
        <f>+'Bldg+Dev'!U484</f>
        <v>0</v>
      </c>
    </row>
    <row r="779" spans="1:2" ht="16.5" hidden="1">
      <c r="B779" s="111">
        <f>+'Bldg+Dev'!U485</f>
        <v>0</v>
      </c>
    </row>
    <row r="780" spans="1:2" ht="16.5" hidden="1">
      <c r="B780" s="111">
        <f>+'Bldg+Dev'!U486</f>
        <v>0</v>
      </c>
    </row>
    <row r="781" spans="1:2" ht="16.5" hidden="1">
      <c r="B781" s="111">
        <f>+'Bldg+Dev'!U487</f>
        <v>0</v>
      </c>
    </row>
    <row r="782" spans="1:2" ht="16.5" hidden="1">
      <c r="B782" s="111">
        <f>+'Bldg+Dev'!U488</f>
        <v>0</v>
      </c>
    </row>
    <row r="783" spans="1:2" ht="16.5" hidden="1">
      <c r="B783" s="111">
        <f>+'Bldg+Dev'!U489</f>
        <v>0</v>
      </c>
    </row>
    <row r="784" spans="1:2" ht="16.5" hidden="1">
      <c r="B784" s="111">
        <f>+'Bldg+Dev'!U490</f>
        <v>0</v>
      </c>
    </row>
    <row r="785" spans="2:2" ht="16.5" hidden="1">
      <c r="B785" s="111">
        <f>+'Bldg+Dev'!U491</f>
        <v>0</v>
      </c>
    </row>
    <row r="786" spans="2:2" ht="16.5" hidden="1">
      <c r="B786" s="111">
        <f>+'Bldg+Dev'!U492</f>
        <v>0</v>
      </c>
    </row>
    <row r="787" spans="2:2" ht="16.5" hidden="1">
      <c r="B787" s="111">
        <f>+'Bldg+Dev'!U493</f>
        <v>0</v>
      </c>
    </row>
    <row r="788" spans="2:2" ht="16.5" hidden="1">
      <c r="B788" s="111">
        <f>+'Bldg+Dev'!U494</f>
        <v>0</v>
      </c>
    </row>
    <row r="789" spans="2:2" ht="16.5" hidden="1">
      <c r="B789" s="111">
        <f>+'Bldg+Dev'!U495</f>
        <v>0</v>
      </c>
    </row>
    <row r="790" spans="2:2" ht="16.5" hidden="1">
      <c r="B790" s="111">
        <f>+'Bldg+Dev'!U496</f>
        <v>0</v>
      </c>
    </row>
    <row r="791" spans="2:2" ht="16.5" hidden="1">
      <c r="B791" s="111">
        <f>+'Bldg+Dev'!U497</f>
        <v>0</v>
      </c>
    </row>
    <row r="792" spans="2:2" ht="16.5" hidden="1">
      <c r="B792" s="111">
        <f>+'Bldg+Dev'!U498</f>
        <v>0</v>
      </c>
    </row>
    <row r="793" spans="2:2" ht="16.5" hidden="1">
      <c r="B793" s="111">
        <f>+'Bldg+Dev'!U499</f>
        <v>0</v>
      </c>
    </row>
    <row r="794" spans="2:2" ht="16.5" hidden="1">
      <c r="B794" s="111">
        <f>+'Bldg+Dev'!U500</f>
        <v>0</v>
      </c>
    </row>
    <row r="795" spans="2:2" ht="16.5" hidden="1">
      <c r="B795" s="111">
        <f>+'Bldg+Dev'!U501</f>
        <v>0</v>
      </c>
    </row>
    <row r="796" spans="2:2" ht="16.5" hidden="1">
      <c r="B796" s="111">
        <f>+'Bldg+Dev'!U502</f>
        <v>0</v>
      </c>
    </row>
    <row r="797" spans="2:2" ht="16.5" hidden="1">
      <c r="B797" s="111">
        <f>+'Bldg+Dev'!U503</f>
        <v>0</v>
      </c>
    </row>
    <row r="798" spans="2:2" ht="16.5" hidden="1">
      <c r="B798" s="111">
        <f>+'Bldg+Dev'!U504</f>
        <v>0</v>
      </c>
    </row>
    <row r="799" spans="2:2" ht="16.5" hidden="1">
      <c r="B799" s="111">
        <f>+'Bldg+Dev'!U505</f>
        <v>0</v>
      </c>
    </row>
    <row r="800" spans="2:2" ht="16.5" hidden="1">
      <c r="B800" s="111">
        <f>+'Bldg+Dev'!U506</f>
        <v>0</v>
      </c>
    </row>
    <row r="801" spans="2:2" ht="16.5" hidden="1">
      <c r="B801" s="111">
        <f>+'Bldg+Dev'!U507</f>
        <v>0</v>
      </c>
    </row>
    <row r="802" spans="2:2" ht="16.5" hidden="1">
      <c r="B802" s="111">
        <f>+'Bldg+Dev'!U508</f>
        <v>0</v>
      </c>
    </row>
    <row r="803" spans="2:2" ht="16.5" hidden="1">
      <c r="B803" s="111">
        <f>+'Bldg+Dev'!U509</f>
        <v>0</v>
      </c>
    </row>
    <row r="804" spans="2:2" ht="16.5" hidden="1">
      <c r="B804" s="111">
        <f>+'Bldg+Dev'!U510</f>
        <v>0</v>
      </c>
    </row>
    <row r="805" spans="2:2" ht="16.5" hidden="1">
      <c r="B805" s="111">
        <f>+'Bldg+Dev'!U511</f>
        <v>0</v>
      </c>
    </row>
    <row r="806" spans="2:2" ht="16.5" hidden="1">
      <c r="B806" s="111">
        <f>+'Bldg+Dev'!U512</f>
        <v>0</v>
      </c>
    </row>
    <row r="807" spans="2:2" ht="16.5" hidden="1">
      <c r="B807" s="111">
        <f>+'Bldg+Dev'!U513</f>
        <v>0</v>
      </c>
    </row>
    <row r="808" spans="2:2" ht="16.5" hidden="1">
      <c r="B808" s="111">
        <f>+'Bldg+Dev'!U514</f>
        <v>0</v>
      </c>
    </row>
    <row r="809" spans="2:2" ht="16.5" hidden="1">
      <c r="B809" s="111">
        <f>+'Bldg+Dev'!U515</f>
        <v>0</v>
      </c>
    </row>
    <row r="810" spans="2:2" ht="16.5" hidden="1">
      <c r="B810" s="111">
        <f>+'Bldg+Dev'!U516</f>
        <v>0</v>
      </c>
    </row>
    <row r="811" spans="2:2" ht="16.5" hidden="1">
      <c r="B811" s="111">
        <f>+'Bldg+Dev'!U517</f>
        <v>0</v>
      </c>
    </row>
    <row r="812" spans="2:2" ht="16.5" hidden="1">
      <c r="B812" s="111">
        <f>+'Bldg+Dev'!U518</f>
        <v>0</v>
      </c>
    </row>
    <row r="813" spans="2:2" ht="16.5" hidden="1">
      <c r="B813" s="111">
        <f>+'Bldg+Dev'!U519</f>
        <v>0</v>
      </c>
    </row>
    <row r="814" spans="2:2" ht="16.5" hidden="1">
      <c r="B814" s="111">
        <f>+'Bldg+Dev'!U520</f>
        <v>0</v>
      </c>
    </row>
    <row r="815" spans="2:2" ht="16.5" hidden="1">
      <c r="B815" s="111">
        <f>+'Bldg+Dev'!U521</f>
        <v>0</v>
      </c>
    </row>
    <row r="816" spans="2:2" ht="16.5" hidden="1">
      <c r="B816" s="111">
        <f>+'Bldg+Dev'!U522</f>
        <v>0</v>
      </c>
    </row>
    <row r="817" spans="2:2" ht="16.5" hidden="1">
      <c r="B817" s="111">
        <f>+'Bldg+Dev'!U523</f>
        <v>0</v>
      </c>
    </row>
    <row r="818" spans="2:2" ht="16.5" hidden="1">
      <c r="B818" s="111">
        <f>+'Bldg+Dev'!U524</f>
        <v>0</v>
      </c>
    </row>
    <row r="819" spans="2:2" ht="16.5" hidden="1">
      <c r="B819" s="111">
        <f>+'Bldg+Dev'!U525</f>
        <v>0</v>
      </c>
    </row>
    <row r="820" spans="2:2" ht="16.5" hidden="1">
      <c r="B820" s="111">
        <f>+'Bldg+Dev'!U526</f>
        <v>0</v>
      </c>
    </row>
    <row r="821" spans="2:2" ht="16.5" hidden="1">
      <c r="B821" s="111">
        <f>+'Bldg+Dev'!U527</f>
        <v>0</v>
      </c>
    </row>
    <row r="822" spans="2:2" ht="16.5" hidden="1">
      <c r="B822" s="111">
        <f>+'Bldg+Dev'!U528</f>
        <v>0</v>
      </c>
    </row>
    <row r="823" spans="2:2" ht="16.5" hidden="1">
      <c r="B823" s="111">
        <f>+'Bldg+Dev'!U529</f>
        <v>0</v>
      </c>
    </row>
    <row r="824" spans="2:2" ht="16.5" hidden="1">
      <c r="B824" s="111">
        <f>+'Bldg+Dev'!U530</f>
        <v>0</v>
      </c>
    </row>
    <row r="825" spans="2:2" ht="16.5" hidden="1">
      <c r="B825" s="111">
        <f>+'Bldg+Dev'!U531</f>
        <v>0</v>
      </c>
    </row>
    <row r="826" spans="2:2" ht="16.5" hidden="1">
      <c r="B826" s="111">
        <f>+'Bldg+Dev'!U532</f>
        <v>0</v>
      </c>
    </row>
    <row r="827" spans="2:2" ht="16.5" hidden="1">
      <c r="B827" s="111">
        <f>+'Bldg+Dev'!U533</f>
        <v>0</v>
      </c>
    </row>
    <row r="828" spans="2:2" ht="16.5" hidden="1">
      <c r="B828" s="111">
        <f>+'Bldg+Dev'!U534</f>
        <v>0</v>
      </c>
    </row>
    <row r="829" spans="2:2" ht="16.5" hidden="1">
      <c r="B829" s="111">
        <f>+'Bldg+Dev'!U535</f>
        <v>0</v>
      </c>
    </row>
    <row r="830" spans="2:2" ht="16.5" hidden="1">
      <c r="B830" s="111">
        <f>+'Bldg+Dev'!U536</f>
        <v>0</v>
      </c>
    </row>
    <row r="831" spans="2:2" ht="16.5" hidden="1">
      <c r="B831" s="111">
        <f>+'Bldg+Dev'!U537</f>
        <v>0</v>
      </c>
    </row>
    <row r="832" spans="2:2" ht="16.5" hidden="1">
      <c r="B832" s="111">
        <f>+'Bldg+Dev'!U538</f>
        <v>0</v>
      </c>
    </row>
    <row r="833" spans="2:2" ht="16.5" hidden="1">
      <c r="B833" s="111">
        <f>+'Bldg+Dev'!U539</f>
        <v>0</v>
      </c>
    </row>
    <row r="834" spans="2:2" ht="16.5" hidden="1">
      <c r="B834" s="111">
        <f>+'Bldg+Dev'!U540</f>
        <v>0</v>
      </c>
    </row>
    <row r="835" spans="2:2" ht="16.5" hidden="1">
      <c r="B835" s="111">
        <f>+'Bldg+Dev'!U541</f>
        <v>0</v>
      </c>
    </row>
    <row r="836" spans="2:2" ht="16.5" hidden="1">
      <c r="B836" s="111">
        <f>+'Bldg+Dev'!U542</f>
        <v>0</v>
      </c>
    </row>
    <row r="837" spans="2:2" ht="16.5" hidden="1">
      <c r="B837" s="111">
        <f>+'Bldg+Dev'!U543</f>
        <v>0</v>
      </c>
    </row>
    <row r="838" spans="2:2" ht="16.5" hidden="1">
      <c r="B838" s="111">
        <f>+'Bldg+Dev'!U544</f>
        <v>0</v>
      </c>
    </row>
    <row r="839" spans="2:2" ht="16.5" hidden="1">
      <c r="B839" s="111">
        <f>+'Bldg+Dev'!U545</f>
        <v>0</v>
      </c>
    </row>
    <row r="840" spans="2:2" ht="16.5" hidden="1">
      <c r="B840" s="111">
        <f>+'Bldg+Dev'!U546</f>
        <v>0</v>
      </c>
    </row>
    <row r="841" spans="2:2" ht="16.5" hidden="1">
      <c r="B841" s="111">
        <f>+'Bldg+Dev'!U547</f>
        <v>0</v>
      </c>
    </row>
    <row r="842" spans="2:2" ht="16.5" hidden="1">
      <c r="B842" s="111">
        <f>+'Bldg+Dev'!U548</f>
        <v>0</v>
      </c>
    </row>
    <row r="843" spans="2:2" ht="16.5" hidden="1">
      <c r="B843" s="111">
        <f>+'Bldg+Dev'!U549</f>
        <v>0</v>
      </c>
    </row>
    <row r="844" spans="2:2" ht="16.5" hidden="1">
      <c r="B844" s="111">
        <f>+'Bldg+Dev'!U550</f>
        <v>0</v>
      </c>
    </row>
    <row r="845" spans="2:2" ht="16.5" hidden="1">
      <c r="B845" s="111">
        <f>+'Bldg+Dev'!U551</f>
        <v>0</v>
      </c>
    </row>
    <row r="846" spans="2:2" ht="16.5" hidden="1">
      <c r="B846" s="111">
        <f>+'Bldg+Dev'!U552</f>
        <v>0</v>
      </c>
    </row>
    <row r="847" spans="2:2" ht="16.5" hidden="1">
      <c r="B847" s="111">
        <f>+'Bldg+Dev'!U553</f>
        <v>0</v>
      </c>
    </row>
    <row r="848" spans="2:2" ht="16.5" hidden="1">
      <c r="B848" s="111">
        <f>+'Bldg+Dev'!U554</f>
        <v>0</v>
      </c>
    </row>
    <row r="849" spans="2:2" ht="16.5" hidden="1">
      <c r="B849" s="111">
        <f>+'Bldg+Dev'!U555</f>
        <v>0</v>
      </c>
    </row>
    <row r="850" spans="2:2" ht="16.5" hidden="1">
      <c r="B850" s="111">
        <f>+'Bldg+Dev'!U556</f>
        <v>0</v>
      </c>
    </row>
    <row r="851" spans="2:2" ht="16.5" hidden="1">
      <c r="B851" s="111">
        <f>+'Bldg+Dev'!U557</f>
        <v>0</v>
      </c>
    </row>
    <row r="852" spans="2:2" ht="16.5" hidden="1">
      <c r="B852" s="111">
        <f>+'Bldg+Dev'!U558</f>
        <v>0</v>
      </c>
    </row>
    <row r="853" spans="2:2" ht="16.5" hidden="1">
      <c r="B853" s="111">
        <f>+'Bldg+Dev'!U559</f>
        <v>0</v>
      </c>
    </row>
    <row r="854" spans="2:2" ht="16.5" hidden="1">
      <c r="B854" s="111">
        <f>+'Bldg+Dev'!U560</f>
        <v>0</v>
      </c>
    </row>
    <row r="855" spans="2:2" ht="16.5" hidden="1">
      <c r="B855" s="111">
        <f>+'Bldg+Dev'!U561</f>
        <v>0</v>
      </c>
    </row>
    <row r="856" spans="2:2" ht="16.5" hidden="1">
      <c r="B856" s="111">
        <f>+'Bldg+Dev'!U562</f>
        <v>0</v>
      </c>
    </row>
    <row r="857" spans="2:2" ht="16.5" hidden="1">
      <c r="B857" s="111">
        <f>+'Bldg+Dev'!U563</f>
        <v>0</v>
      </c>
    </row>
    <row r="858" spans="2:2" ht="16.5" hidden="1">
      <c r="B858" s="111">
        <f>+'Bldg+Dev'!U564</f>
        <v>0</v>
      </c>
    </row>
    <row r="859" spans="2:2" ht="16.5" hidden="1">
      <c r="B859" s="111">
        <f>+'Bldg+Dev'!U565</f>
        <v>0</v>
      </c>
    </row>
    <row r="860" spans="2:2" ht="16.5" hidden="1">
      <c r="B860" s="111">
        <f>+'Bldg+Dev'!U566</f>
        <v>0</v>
      </c>
    </row>
    <row r="861" spans="2:2" ht="16.5" hidden="1">
      <c r="B861" s="111">
        <f>+'Bldg+Dev'!U567</f>
        <v>0</v>
      </c>
    </row>
    <row r="862" spans="2:2" ht="16.5" hidden="1">
      <c r="B862" s="111">
        <f>+'Bldg+Dev'!U568</f>
        <v>0</v>
      </c>
    </row>
    <row r="863" spans="2:2" ht="16.5" hidden="1">
      <c r="B863" s="111">
        <f>+'Bldg+Dev'!U569</f>
        <v>0</v>
      </c>
    </row>
    <row r="864" spans="2:2" ht="16.5" hidden="1">
      <c r="B864" s="111">
        <f>+'Bldg+Dev'!U570</f>
        <v>0</v>
      </c>
    </row>
    <row r="865" spans="2:2" ht="16.5" hidden="1">
      <c r="B865" s="111">
        <f>+'Bldg+Dev'!U571</f>
        <v>0</v>
      </c>
    </row>
    <row r="866" spans="2:2" ht="16.5" hidden="1">
      <c r="B866" s="111">
        <f>+'Bldg+Dev'!U572</f>
        <v>0</v>
      </c>
    </row>
    <row r="867" spans="2:2" ht="16.5" hidden="1">
      <c r="B867" s="111">
        <f>+'Bldg+Dev'!U573</f>
        <v>0</v>
      </c>
    </row>
    <row r="868" spans="2:2" ht="16.5" hidden="1">
      <c r="B868" s="111">
        <f>+'Bldg+Dev'!U574</f>
        <v>0</v>
      </c>
    </row>
    <row r="869" spans="2:2" ht="16.5" hidden="1">
      <c r="B869" s="111">
        <f>+'Bldg+Dev'!U575</f>
        <v>0</v>
      </c>
    </row>
    <row r="870" spans="2:2" ht="16.5" hidden="1">
      <c r="B870" s="111">
        <f>+'Bldg+Dev'!U576</f>
        <v>0</v>
      </c>
    </row>
    <row r="871" spans="2:2" ht="16.5" hidden="1">
      <c r="B871" s="111">
        <f>+'Bldg+Dev'!U577</f>
        <v>0</v>
      </c>
    </row>
    <row r="872" spans="2:2" ht="16.5" hidden="1">
      <c r="B872" s="111">
        <f>+'Bldg+Dev'!U578</f>
        <v>0</v>
      </c>
    </row>
    <row r="873" spans="2:2" ht="16.5" hidden="1">
      <c r="B873" s="111">
        <f>+'Bldg+Dev'!U579</f>
        <v>0</v>
      </c>
    </row>
    <row r="874" spans="2:2" ht="16.5" hidden="1">
      <c r="B874" s="111">
        <f>+'Bldg+Dev'!U580</f>
        <v>0</v>
      </c>
    </row>
    <row r="875" spans="2:2" ht="16.5" hidden="1">
      <c r="B875" s="111">
        <f>+'Bldg+Dev'!U581</f>
        <v>0</v>
      </c>
    </row>
    <row r="876" spans="2:2" ht="16.5" hidden="1">
      <c r="B876" s="111">
        <f>+'Bldg+Dev'!U582</f>
        <v>0</v>
      </c>
    </row>
    <row r="877" spans="2:2" ht="16.5" hidden="1">
      <c r="B877" s="111">
        <f>+'Bldg+Dev'!U583</f>
        <v>0</v>
      </c>
    </row>
    <row r="878" spans="2:2" ht="16.5" hidden="1">
      <c r="B878" s="111">
        <f>+'Bldg+Dev'!U584</f>
        <v>0</v>
      </c>
    </row>
    <row r="879" spans="2:2" ht="16.5" hidden="1">
      <c r="B879" s="111">
        <f>+'Bldg+Dev'!U585</f>
        <v>0</v>
      </c>
    </row>
    <row r="880" spans="2:2" ht="16.5" hidden="1">
      <c r="B880" s="111">
        <f>+'Bldg+Dev'!U586</f>
        <v>0</v>
      </c>
    </row>
    <row r="881" spans="2:2" ht="16.5" hidden="1">
      <c r="B881" s="111">
        <f>+'Bldg+Dev'!U587</f>
        <v>0</v>
      </c>
    </row>
    <row r="882" spans="2:2" ht="16.5" hidden="1">
      <c r="B882" s="111">
        <f>+'Bldg+Dev'!U588</f>
        <v>0</v>
      </c>
    </row>
    <row r="883" spans="2:2" ht="16.5" hidden="1">
      <c r="B883" s="111">
        <f>+'Bldg+Dev'!U589</f>
        <v>0</v>
      </c>
    </row>
    <row r="884" spans="2:2" ht="16.5" hidden="1">
      <c r="B884" s="111">
        <f>+'Bldg+Dev'!U590</f>
        <v>0</v>
      </c>
    </row>
    <row r="885" spans="2:2" ht="16.5" hidden="1">
      <c r="B885" s="111">
        <f>+'Bldg+Dev'!U591</f>
        <v>0</v>
      </c>
    </row>
    <row r="886" spans="2:2" ht="16.5" hidden="1">
      <c r="B886" s="111">
        <f>+'Bldg+Dev'!U592</f>
        <v>0</v>
      </c>
    </row>
    <row r="887" spans="2:2" ht="16.5" hidden="1">
      <c r="B887" s="111">
        <f>+'Bldg+Dev'!U593</f>
        <v>0</v>
      </c>
    </row>
    <row r="888" spans="2:2" ht="16.5" hidden="1">
      <c r="B888" s="111">
        <f>+'Bldg+Dev'!U594</f>
        <v>0</v>
      </c>
    </row>
    <row r="889" spans="2:2" ht="16.5" hidden="1">
      <c r="B889" s="111">
        <f>+'Bldg+Dev'!U595</f>
        <v>0</v>
      </c>
    </row>
    <row r="890" spans="2:2" ht="16.5" hidden="1">
      <c r="B890" s="111">
        <f>+'Bldg+Dev'!U596</f>
        <v>0</v>
      </c>
    </row>
    <row r="891" spans="2:2" ht="16.5" hidden="1">
      <c r="B891" s="111">
        <f>+'Bldg+Dev'!U597</f>
        <v>0</v>
      </c>
    </row>
    <row r="892" spans="2:2" ht="16.5" hidden="1">
      <c r="B892" s="111">
        <f>+'Bldg+Dev'!U598</f>
        <v>0</v>
      </c>
    </row>
    <row r="893" spans="2:2" ht="16.5" hidden="1">
      <c r="B893" s="111">
        <f>+'Bldg+Dev'!U599</f>
        <v>0</v>
      </c>
    </row>
    <row r="894" spans="2:2" ht="16.5" hidden="1">
      <c r="B894" s="111">
        <f>+'Bldg+Dev'!U600</f>
        <v>0</v>
      </c>
    </row>
    <row r="895" spans="2:2" ht="16.5" hidden="1">
      <c r="B895" s="111">
        <f>+'Bldg+Dev'!U601</f>
        <v>0</v>
      </c>
    </row>
    <row r="896" spans="2:2" ht="16.5" hidden="1">
      <c r="B896" s="111">
        <f>+'Bldg+Dev'!U602</f>
        <v>0</v>
      </c>
    </row>
    <row r="897" spans="2:2" ht="16.5" hidden="1">
      <c r="B897" s="111">
        <f>+'Bldg+Dev'!U603</f>
        <v>0</v>
      </c>
    </row>
    <row r="898" spans="2:2" ht="16.5" hidden="1">
      <c r="B898" s="111">
        <f>+'Bldg+Dev'!U604</f>
        <v>0</v>
      </c>
    </row>
    <row r="899" spans="2:2" ht="16.5" hidden="1">
      <c r="B899" s="111">
        <f>+'Bldg+Dev'!U605</f>
        <v>0</v>
      </c>
    </row>
    <row r="900" spans="2:2" ht="16.5" hidden="1">
      <c r="B900" s="111">
        <f>+'Bldg+Dev'!U606</f>
        <v>0</v>
      </c>
    </row>
    <row r="901" spans="2:2" ht="16.5" hidden="1">
      <c r="B901" s="111">
        <f>+'Bldg+Dev'!U607</f>
        <v>0</v>
      </c>
    </row>
    <row r="902" spans="2:2" ht="16.5" hidden="1">
      <c r="B902" s="111">
        <f>+'Bldg+Dev'!U608</f>
        <v>0</v>
      </c>
    </row>
    <row r="903" spans="2:2" ht="16.5" hidden="1">
      <c r="B903" s="111">
        <f>+'Bldg+Dev'!U609</f>
        <v>0</v>
      </c>
    </row>
    <row r="904" spans="2:2" ht="16.5" hidden="1">
      <c r="B904" s="111">
        <f>+'Bldg+Dev'!U610</f>
        <v>0</v>
      </c>
    </row>
    <row r="905" spans="2:2" ht="16.5" hidden="1">
      <c r="B905" s="111">
        <f>+'Bldg+Dev'!U611</f>
        <v>0</v>
      </c>
    </row>
    <row r="906" spans="2:2" ht="16.5" hidden="1">
      <c r="B906" s="111">
        <f>+'Bldg+Dev'!U612</f>
        <v>0</v>
      </c>
    </row>
    <row r="907" spans="2:2" ht="16.5" hidden="1">
      <c r="B907" s="111">
        <f>+'Bldg+Dev'!U613</f>
        <v>0</v>
      </c>
    </row>
    <row r="908" spans="2:2" ht="16.5" hidden="1">
      <c r="B908" s="111">
        <f>+'Bldg+Dev'!U614</f>
        <v>0</v>
      </c>
    </row>
    <row r="909" spans="2:2" ht="16.5" hidden="1">
      <c r="B909" s="111">
        <f>+'Bldg+Dev'!U615</f>
        <v>0</v>
      </c>
    </row>
    <row r="910" spans="2:2" ht="16.5" hidden="1">
      <c r="B910" s="111">
        <f>+'Bldg+Dev'!U616</f>
        <v>0</v>
      </c>
    </row>
    <row r="911" spans="2:2" ht="16.5" hidden="1">
      <c r="B911" s="111">
        <f>+'Bldg+Dev'!U617</f>
        <v>0</v>
      </c>
    </row>
    <row r="912" spans="2:2" ht="16.5" hidden="1">
      <c r="B912" s="111">
        <f>+'Bldg+Dev'!U618</f>
        <v>0</v>
      </c>
    </row>
    <row r="913" spans="2:2" ht="16.5" hidden="1">
      <c r="B913" s="111">
        <f>+'Bldg+Dev'!U619</f>
        <v>0</v>
      </c>
    </row>
    <row r="914" spans="2:2" ht="16.5" hidden="1">
      <c r="B914" s="111">
        <f>+'Bldg+Dev'!U620</f>
        <v>0</v>
      </c>
    </row>
    <row r="915" spans="2:2" ht="16.5" hidden="1">
      <c r="B915" s="111">
        <f>+'Bldg+Dev'!U621</f>
        <v>0</v>
      </c>
    </row>
    <row r="916" spans="2:2" ht="16.5" hidden="1">
      <c r="B916" s="111">
        <f>+'Bldg+Dev'!U622</f>
        <v>0</v>
      </c>
    </row>
    <row r="917" spans="2:2" ht="16.5" hidden="1">
      <c r="B917" s="111">
        <f>+'Bldg+Dev'!U623</f>
        <v>0</v>
      </c>
    </row>
    <row r="918" spans="2:2" ht="16.5" hidden="1">
      <c r="B918" s="111">
        <f>+'Bldg+Dev'!U624</f>
        <v>0</v>
      </c>
    </row>
    <row r="919" spans="2:2" ht="16.5" hidden="1">
      <c r="B919" s="111">
        <f>+'Bldg+Dev'!U625</f>
        <v>0</v>
      </c>
    </row>
    <row r="920" spans="2:2" ht="16.5" hidden="1">
      <c r="B920" s="111">
        <f>+'Bldg+Dev'!U626</f>
        <v>0</v>
      </c>
    </row>
    <row r="921" spans="2:2" ht="16.5" hidden="1">
      <c r="B921" s="111">
        <f>+'Bldg+Dev'!U627</f>
        <v>0</v>
      </c>
    </row>
    <row r="922" spans="2:2" ht="16.5" hidden="1">
      <c r="B922" s="111">
        <f>+'Bldg+Dev'!U628</f>
        <v>0</v>
      </c>
    </row>
    <row r="923" spans="2:2" ht="16.5" hidden="1">
      <c r="B923" s="111">
        <f>+'Bldg+Dev'!U629</f>
        <v>0</v>
      </c>
    </row>
    <row r="924" spans="2:2" ht="16.5" hidden="1">
      <c r="B924" s="111">
        <f>+'Bldg+Dev'!U630</f>
        <v>0</v>
      </c>
    </row>
    <row r="925" spans="2:2" ht="16.5" hidden="1">
      <c r="B925" s="111">
        <f>+'Bldg+Dev'!U631</f>
        <v>0</v>
      </c>
    </row>
    <row r="926" spans="2:2" ht="16.5" hidden="1">
      <c r="B926" s="111">
        <f>+'Bldg+Dev'!U632</f>
        <v>0</v>
      </c>
    </row>
    <row r="927" spans="2:2" ht="16.5" hidden="1">
      <c r="B927" s="111">
        <f>+'Bldg+Dev'!U633</f>
        <v>0</v>
      </c>
    </row>
    <row r="928" spans="2:2" ht="16.5" hidden="1">
      <c r="B928" s="111">
        <f>+'Bldg+Dev'!U634</f>
        <v>0</v>
      </c>
    </row>
    <row r="929" spans="2:2" ht="16.5" hidden="1">
      <c r="B929" s="111">
        <f>+'Bldg+Dev'!U635</f>
        <v>0</v>
      </c>
    </row>
    <row r="930" spans="2:2" ht="16.5" hidden="1">
      <c r="B930" s="111">
        <f>+'Bldg+Dev'!U636</f>
        <v>0</v>
      </c>
    </row>
    <row r="931" spans="2:2" ht="16.5" hidden="1">
      <c r="B931" s="111">
        <f>+'Bldg+Dev'!U637</f>
        <v>0</v>
      </c>
    </row>
    <row r="932" spans="2:2" ht="16.5" hidden="1">
      <c r="B932" s="111">
        <f>+'Bldg+Dev'!U638</f>
        <v>0</v>
      </c>
    </row>
    <row r="933" spans="2:2" ht="16.5" hidden="1">
      <c r="B933" s="111">
        <f>+'Bldg+Dev'!U639</f>
        <v>0</v>
      </c>
    </row>
    <row r="934" spans="2:2" ht="16.5" hidden="1">
      <c r="B934" s="111">
        <f>+'Bldg+Dev'!U640</f>
        <v>0</v>
      </c>
    </row>
    <row r="935" spans="2:2" ht="16.5" hidden="1">
      <c r="B935" s="111">
        <f>+'Bldg+Dev'!U641</f>
        <v>0</v>
      </c>
    </row>
    <row r="936" spans="2:2" ht="16.5" hidden="1">
      <c r="B936" s="111">
        <f>+'Bldg+Dev'!U642</f>
        <v>0</v>
      </c>
    </row>
    <row r="937" spans="2:2" ht="16.5" hidden="1">
      <c r="B937" s="111">
        <f>+'Bldg+Dev'!U643</f>
        <v>0</v>
      </c>
    </row>
    <row r="938" spans="2:2" ht="16.5" hidden="1">
      <c r="B938" s="111">
        <f>+'Bldg+Dev'!U644</f>
        <v>0</v>
      </c>
    </row>
    <row r="939" spans="2:2" ht="16.5" hidden="1">
      <c r="B939" s="111">
        <f>+'Bldg+Dev'!U645</f>
        <v>0</v>
      </c>
    </row>
    <row r="940" spans="2:2" ht="16.5" hidden="1">
      <c r="B940" s="111">
        <f>+'Bldg+Dev'!U646</f>
        <v>0</v>
      </c>
    </row>
    <row r="941" spans="2:2" ht="16.5" hidden="1">
      <c r="B941" s="111">
        <f>+'Bldg+Dev'!U647</f>
        <v>0</v>
      </c>
    </row>
    <row r="942" spans="2:2" ht="16.5" hidden="1">
      <c r="B942" s="111">
        <f>+'Bldg+Dev'!U648</f>
        <v>0</v>
      </c>
    </row>
    <row r="943" spans="2:2" ht="16.5" hidden="1">
      <c r="B943" s="111">
        <f>+'Bldg+Dev'!U649</f>
        <v>0</v>
      </c>
    </row>
    <row r="944" spans="2:2" ht="16.5" hidden="1">
      <c r="B944" s="111">
        <f>+'Bldg+Dev'!U650</f>
        <v>0</v>
      </c>
    </row>
    <row r="945" spans="2:2" ht="16.5" hidden="1">
      <c r="B945" s="111">
        <f>+'Bldg+Dev'!U651</f>
        <v>0</v>
      </c>
    </row>
    <row r="946" spans="2:2" ht="16.5" hidden="1">
      <c r="B946" s="111">
        <f>+'Bldg+Dev'!U652</f>
        <v>0</v>
      </c>
    </row>
    <row r="947" spans="2:2" ht="16.5" hidden="1">
      <c r="B947" s="111">
        <f>+'Bldg+Dev'!U653</f>
        <v>0</v>
      </c>
    </row>
    <row r="948" spans="2:2" ht="16.5" hidden="1">
      <c r="B948" s="111">
        <f>+'Bldg+Dev'!U654</f>
        <v>0</v>
      </c>
    </row>
    <row r="949" spans="2:2" ht="16.5" hidden="1">
      <c r="B949" s="111">
        <f>+'Bldg+Dev'!U655</f>
        <v>0</v>
      </c>
    </row>
    <row r="950" spans="2:2" ht="16.5" hidden="1">
      <c r="B950" s="111">
        <f>+'Bldg+Dev'!U656</f>
        <v>0</v>
      </c>
    </row>
    <row r="951" spans="2:2" ht="16.5" hidden="1">
      <c r="B951" s="111">
        <f>+'Bldg+Dev'!U657</f>
        <v>0</v>
      </c>
    </row>
    <row r="952" spans="2:2" ht="16.5" hidden="1">
      <c r="B952" s="111">
        <f>+'Bldg+Dev'!U658</f>
        <v>0</v>
      </c>
    </row>
    <row r="953" spans="2:2" ht="16.5" hidden="1">
      <c r="B953" s="111">
        <f>+'Bldg+Dev'!U659</f>
        <v>0</v>
      </c>
    </row>
    <row r="954" spans="2:2" ht="16.5" hidden="1">
      <c r="B954" s="111">
        <f>+'Bldg+Dev'!U660</f>
        <v>0</v>
      </c>
    </row>
    <row r="955" spans="2:2" ht="16.5" hidden="1">
      <c r="B955" s="111">
        <f>+'Bldg+Dev'!U661</f>
        <v>0</v>
      </c>
    </row>
    <row r="956" spans="2:2" ht="16.5" hidden="1">
      <c r="B956" s="111">
        <f>+'Bldg+Dev'!U662</f>
        <v>0</v>
      </c>
    </row>
    <row r="957" spans="2:2" ht="16.5" hidden="1">
      <c r="B957" s="111">
        <f>+'Bldg+Dev'!U663</f>
        <v>0</v>
      </c>
    </row>
    <row r="958" spans="2:2" ht="16.5" hidden="1">
      <c r="B958" s="111">
        <f>+'Bldg+Dev'!U664</f>
        <v>0</v>
      </c>
    </row>
    <row r="959" spans="2:2" ht="16.5" hidden="1">
      <c r="B959" s="111">
        <f>+'Bldg+Dev'!U665</f>
        <v>0</v>
      </c>
    </row>
    <row r="960" spans="2:2" ht="16.5" hidden="1">
      <c r="B960" s="111">
        <f>+'Bldg+Dev'!U666</f>
        <v>0</v>
      </c>
    </row>
    <row r="961" spans="2:2" ht="16.5" hidden="1">
      <c r="B961" s="111">
        <f>+'Bldg+Dev'!U667</f>
        <v>0</v>
      </c>
    </row>
    <row r="962" spans="2:2" ht="16.5" hidden="1">
      <c r="B962" s="111">
        <f>+'Bldg+Dev'!U668</f>
        <v>0</v>
      </c>
    </row>
    <row r="963" spans="2:2" ht="16.5" hidden="1">
      <c r="B963" s="111">
        <f>+'Bldg+Dev'!U669</f>
        <v>0</v>
      </c>
    </row>
    <row r="964" spans="2:2" ht="16.5" hidden="1">
      <c r="B964" s="111">
        <f>+'Bldg+Dev'!U670</f>
        <v>0</v>
      </c>
    </row>
    <row r="965" spans="2:2" ht="16.5" hidden="1">
      <c r="B965" s="111">
        <f>+'Bldg+Dev'!U671</f>
        <v>0</v>
      </c>
    </row>
    <row r="966" spans="2:2" ht="16.5" hidden="1">
      <c r="B966" s="111">
        <f>+'Bldg+Dev'!U672</f>
        <v>0</v>
      </c>
    </row>
    <row r="967" spans="2:2" ht="16.5" hidden="1">
      <c r="B967" s="111">
        <f>+'Bldg+Dev'!U673</f>
        <v>0</v>
      </c>
    </row>
    <row r="968" spans="2:2" ht="16.5" hidden="1">
      <c r="B968" s="111">
        <f>+'Bldg+Dev'!U674</f>
        <v>0</v>
      </c>
    </row>
    <row r="969" spans="2:2" ht="16.5" hidden="1">
      <c r="B969" s="111">
        <f>+'Bldg+Dev'!U675</f>
        <v>0</v>
      </c>
    </row>
    <row r="970" spans="2:2" ht="16.5" hidden="1">
      <c r="B970" s="111">
        <f>+'Bldg+Dev'!U676</f>
        <v>0</v>
      </c>
    </row>
    <row r="971" spans="2:2" ht="16.5" hidden="1">
      <c r="B971" s="111">
        <f>+'Bldg+Dev'!U677</f>
        <v>0</v>
      </c>
    </row>
    <row r="972" spans="2:2" ht="16.5" hidden="1">
      <c r="B972" s="111">
        <f>+'Bldg+Dev'!U678</f>
        <v>0</v>
      </c>
    </row>
    <row r="973" spans="2:2" ht="16.5" hidden="1">
      <c r="B973" s="111">
        <f>+'Bldg+Dev'!U679</f>
        <v>0</v>
      </c>
    </row>
    <row r="974" spans="2:2" ht="16.5" hidden="1">
      <c r="B974" s="111">
        <f>+'Bldg+Dev'!U680</f>
        <v>0</v>
      </c>
    </row>
    <row r="975" spans="2:2" ht="16.5" hidden="1">
      <c r="B975" s="111">
        <f>+'Bldg+Dev'!U681</f>
        <v>0</v>
      </c>
    </row>
    <row r="976" spans="2:2" ht="16.5" hidden="1">
      <c r="B976" s="111">
        <f>+'Bldg+Dev'!U682</f>
        <v>0</v>
      </c>
    </row>
    <row r="977" spans="2:2" ht="16.5" hidden="1">
      <c r="B977" s="111">
        <f>+'Bldg+Dev'!U683</f>
        <v>0</v>
      </c>
    </row>
    <row r="978" spans="2:2" ht="16.5" hidden="1">
      <c r="B978" s="111">
        <f>+'Bldg+Dev'!U684</f>
        <v>0</v>
      </c>
    </row>
    <row r="979" spans="2:2" ht="16.5" hidden="1">
      <c r="B979" s="111">
        <f>+'Bldg+Dev'!U685</f>
        <v>0</v>
      </c>
    </row>
    <row r="980" spans="2:2" ht="16.5" hidden="1">
      <c r="B980" s="111">
        <f>+'Bldg+Dev'!U686</f>
        <v>0</v>
      </c>
    </row>
    <row r="981" spans="2:2" ht="16.5" hidden="1">
      <c r="B981" s="111">
        <f>+'Bldg+Dev'!U687</f>
        <v>0</v>
      </c>
    </row>
    <row r="982" spans="2:2" ht="16.5" hidden="1">
      <c r="B982" s="111">
        <f>+'Bldg+Dev'!U688</f>
        <v>0</v>
      </c>
    </row>
    <row r="983" spans="2:2" ht="16.5" hidden="1">
      <c r="B983" s="111">
        <f>+'Bldg+Dev'!U689</f>
        <v>0</v>
      </c>
    </row>
    <row r="984" spans="2:2" ht="16.5" hidden="1">
      <c r="B984" s="111">
        <f>+'Bldg+Dev'!U690</f>
        <v>0</v>
      </c>
    </row>
    <row r="985" spans="2:2" ht="16.5" hidden="1">
      <c r="B985" s="111">
        <f>+'Bldg+Dev'!U691</f>
        <v>0</v>
      </c>
    </row>
    <row r="986" spans="2:2" ht="16.5" hidden="1">
      <c r="B986" s="111">
        <f>+'Bldg+Dev'!U692</f>
        <v>0</v>
      </c>
    </row>
    <row r="987" spans="2:2" ht="16.5" hidden="1">
      <c r="B987" s="111">
        <f>+'Bldg+Dev'!U693</f>
        <v>0</v>
      </c>
    </row>
    <row r="988" spans="2:2" ht="16.5" hidden="1">
      <c r="B988" s="111">
        <f>+'Bldg+Dev'!U694</f>
        <v>0</v>
      </c>
    </row>
    <row r="989" spans="2:2" ht="16.5" hidden="1">
      <c r="B989" s="111">
        <f>+'Bldg+Dev'!U695</f>
        <v>0</v>
      </c>
    </row>
    <row r="990" spans="2:2" ht="16.5" hidden="1">
      <c r="B990" s="111">
        <f>+'Bldg+Dev'!U696</f>
        <v>0</v>
      </c>
    </row>
    <row r="991" spans="2:2" ht="16.5" hidden="1">
      <c r="B991" s="111">
        <f>+'Bldg+Dev'!U697</f>
        <v>0</v>
      </c>
    </row>
    <row r="992" spans="2:2" ht="16.5" hidden="1">
      <c r="B992" s="111">
        <f>+'Bldg+Dev'!U698</f>
        <v>0</v>
      </c>
    </row>
    <row r="993" spans="2:2" ht="16.5" hidden="1">
      <c r="B993" s="111">
        <f>+'Bldg+Dev'!U699</f>
        <v>0</v>
      </c>
    </row>
    <row r="994" spans="2:2" ht="16.5" hidden="1">
      <c r="B994" s="111">
        <f>+'Bldg+Dev'!U700</f>
        <v>0</v>
      </c>
    </row>
    <row r="995" spans="2:2" ht="16.5" hidden="1">
      <c r="B995" s="111">
        <f>+'Bldg+Dev'!U701</f>
        <v>0</v>
      </c>
    </row>
    <row r="996" spans="2:2" ht="16.5" hidden="1">
      <c r="B996" s="111">
        <f>+'Bldg+Dev'!U702</f>
        <v>0</v>
      </c>
    </row>
    <row r="997" spans="2:2" ht="16.5" hidden="1">
      <c r="B997" s="111">
        <f>+'Bldg+Dev'!U703</f>
        <v>0</v>
      </c>
    </row>
    <row r="998" spans="2:2" ht="16.5" hidden="1">
      <c r="B998" s="111">
        <f>+'Bldg+Dev'!U704</f>
        <v>0</v>
      </c>
    </row>
    <row r="999" spans="2:2" ht="16.5" hidden="1">
      <c r="B999" s="111">
        <f>+'Bldg+Dev'!U705</f>
        <v>0</v>
      </c>
    </row>
    <row r="1000" spans="2:2" ht="16.5" hidden="1">
      <c r="B1000" s="111">
        <f>+'Bldg+Dev'!U706</f>
        <v>0</v>
      </c>
    </row>
    <row r="1001" spans="2:2" ht="16.5" hidden="1">
      <c r="B1001" s="111">
        <f>+'Bldg+Dev'!U707</f>
        <v>0</v>
      </c>
    </row>
    <row r="1002" spans="2:2" ht="16.5" hidden="1">
      <c r="B1002" s="111">
        <f>+'Bldg+Dev'!U708</f>
        <v>0</v>
      </c>
    </row>
    <row r="1003" spans="2:2" ht="16.5" hidden="1">
      <c r="B1003" s="111">
        <f>+'Bldg+Dev'!U709</f>
        <v>0</v>
      </c>
    </row>
    <row r="1004" spans="2:2" ht="16.5" hidden="1">
      <c r="B1004" s="111">
        <f>+'Bldg+Dev'!U710</f>
        <v>0</v>
      </c>
    </row>
    <row r="1005" spans="2:2" ht="16.5" hidden="1">
      <c r="B1005" s="111">
        <f>+'Bldg+Dev'!U711</f>
        <v>0</v>
      </c>
    </row>
    <row r="1006" spans="2:2" ht="16.5" hidden="1">
      <c r="B1006" s="111">
        <f>+'Bldg+Dev'!U712</f>
        <v>0</v>
      </c>
    </row>
    <row r="1007" spans="2:2" ht="16.5" hidden="1">
      <c r="B1007" s="111">
        <f>+'Bldg+Dev'!U713</f>
        <v>0</v>
      </c>
    </row>
    <row r="1008" spans="2:2" ht="16.5" hidden="1">
      <c r="B1008" s="111">
        <f>+'Bldg+Dev'!U714</f>
        <v>0</v>
      </c>
    </row>
    <row r="1009" spans="2:2" ht="16.5" hidden="1">
      <c r="B1009" s="111">
        <f>+'Bldg+Dev'!U715</f>
        <v>0</v>
      </c>
    </row>
    <row r="1010" spans="2:2" ht="16.5" hidden="1">
      <c r="B1010" s="111">
        <f>+'Bldg+Dev'!U716</f>
        <v>0</v>
      </c>
    </row>
    <row r="1011" spans="2:2" ht="16.5" hidden="1">
      <c r="B1011" s="111">
        <f>+'Bldg+Dev'!U717</f>
        <v>0</v>
      </c>
    </row>
    <row r="1012" spans="2:2" ht="16.5" hidden="1">
      <c r="B1012" s="111">
        <f>+'Bldg+Dev'!U718</f>
        <v>0</v>
      </c>
    </row>
    <row r="1013" spans="2:2" ht="16.5" hidden="1">
      <c r="B1013" s="111">
        <f>+'Bldg+Dev'!U719</f>
        <v>0</v>
      </c>
    </row>
    <row r="1014" spans="2:2" ht="16.5" hidden="1">
      <c r="B1014" s="111">
        <f>+'Bldg+Dev'!U720</f>
        <v>0</v>
      </c>
    </row>
    <row r="1015" spans="2:2" ht="16.5" hidden="1">
      <c r="B1015" s="111">
        <f>+'Bldg+Dev'!U721</f>
        <v>0</v>
      </c>
    </row>
    <row r="1016" spans="2:2" ht="16.5" hidden="1">
      <c r="B1016" s="111">
        <f>+'Bldg+Dev'!U722</f>
        <v>0</v>
      </c>
    </row>
    <row r="1017" spans="2:2" ht="16.5" hidden="1">
      <c r="B1017" s="111">
        <f>+'Bldg+Dev'!U723</f>
        <v>0</v>
      </c>
    </row>
    <row r="1018" spans="2:2" ht="16.5" hidden="1">
      <c r="B1018" s="111">
        <f>+'Bldg+Dev'!U724</f>
        <v>0</v>
      </c>
    </row>
    <row r="1019" spans="2:2" ht="16.5" hidden="1">
      <c r="B1019" s="111">
        <f>+'Bldg+Dev'!U725</f>
        <v>0</v>
      </c>
    </row>
    <row r="1020" spans="2:2" ht="16.5" hidden="1">
      <c r="B1020" s="111">
        <f>+'Bldg+Dev'!U726</f>
        <v>0</v>
      </c>
    </row>
    <row r="1021" spans="2:2" ht="16.5" hidden="1">
      <c r="B1021" s="111">
        <f>+'Bldg+Dev'!U727</f>
        <v>0</v>
      </c>
    </row>
    <row r="1022" spans="2:2" ht="16.5" hidden="1">
      <c r="B1022" s="111">
        <f>+'Bldg+Dev'!U728</f>
        <v>0</v>
      </c>
    </row>
    <row r="1023" spans="2:2" ht="16.5" hidden="1">
      <c r="B1023" s="111">
        <f>+'Bldg+Dev'!U729</f>
        <v>0</v>
      </c>
    </row>
    <row r="1024" spans="2:2" ht="16.5" hidden="1">
      <c r="B1024" s="111">
        <f>+'Bldg+Dev'!U730</f>
        <v>0</v>
      </c>
    </row>
    <row r="1025" spans="2:2" ht="16.5" hidden="1">
      <c r="B1025" s="111">
        <f>+'Bldg+Dev'!U731</f>
        <v>0</v>
      </c>
    </row>
    <row r="1026" spans="2:2" ht="16.5" hidden="1">
      <c r="B1026" s="111">
        <f>+'Bldg+Dev'!U732</f>
        <v>0</v>
      </c>
    </row>
    <row r="1027" spans="2:2" ht="16.5" hidden="1">
      <c r="B1027" s="111">
        <f>+'Bldg+Dev'!U733</f>
        <v>0</v>
      </c>
    </row>
    <row r="1028" spans="2:2" ht="16.5" hidden="1">
      <c r="B1028" s="111">
        <f>+'Bldg+Dev'!U734</f>
        <v>0</v>
      </c>
    </row>
    <row r="1029" spans="2:2" ht="16.5" hidden="1">
      <c r="B1029" s="111">
        <f>+'Bldg+Dev'!U735</f>
        <v>0</v>
      </c>
    </row>
    <row r="1030" spans="2:2" ht="16.5" hidden="1">
      <c r="B1030" s="111">
        <f>+'Bldg+Dev'!U736</f>
        <v>0</v>
      </c>
    </row>
    <row r="1031" spans="2:2" ht="16.5" hidden="1">
      <c r="B1031" s="111">
        <f>+'Bldg+Dev'!U737</f>
        <v>0</v>
      </c>
    </row>
    <row r="1032" spans="2:2" ht="16.5" hidden="1">
      <c r="B1032" s="111">
        <f>+'Bldg+Dev'!U738</f>
        <v>0</v>
      </c>
    </row>
    <row r="1033" spans="2:2" ht="16.5" hidden="1">
      <c r="B1033" s="111">
        <f>+'Bldg+Dev'!U739</f>
        <v>0</v>
      </c>
    </row>
    <row r="1034" spans="2:2" ht="16.5" hidden="1">
      <c r="B1034" s="111">
        <f>+'Bldg+Dev'!U740</f>
        <v>0</v>
      </c>
    </row>
    <row r="1035" spans="2:2" ht="16.5" hidden="1">
      <c r="B1035" s="111">
        <f>+'Bldg+Dev'!U741</f>
        <v>0</v>
      </c>
    </row>
    <row r="1036" spans="2:2" ht="16.5" hidden="1">
      <c r="B1036" s="111">
        <f>+'Bldg+Dev'!U742</f>
        <v>0</v>
      </c>
    </row>
    <row r="1037" spans="2:2" ht="16.5" hidden="1">
      <c r="B1037" s="111">
        <f>+'Bldg+Dev'!U743</f>
        <v>0</v>
      </c>
    </row>
    <row r="1038" spans="2:2" ht="16.5" hidden="1">
      <c r="B1038" s="111">
        <f>+'Bldg+Dev'!U744</f>
        <v>0</v>
      </c>
    </row>
    <row r="1039" spans="2:2" ht="16.5" hidden="1">
      <c r="B1039" s="111">
        <f>+'Bldg+Dev'!U745</f>
        <v>0</v>
      </c>
    </row>
    <row r="1040" spans="2:2" ht="16.5" hidden="1">
      <c r="B1040" s="111">
        <f>+'Bldg+Dev'!U746</f>
        <v>0</v>
      </c>
    </row>
    <row r="1041" spans="2:2" ht="16.5" hidden="1">
      <c r="B1041" s="111">
        <f>+'Bldg+Dev'!U747</f>
        <v>0</v>
      </c>
    </row>
    <row r="1042" spans="2:2" ht="16.5" hidden="1">
      <c r="B1042" s="111">
        <f>+'Bldg+Dev'!U748</f>
        <v>0</v>
      </c>
    </row>
    <row r="1043" spans="2:2" ht="16.5" hidden="1">
      <c r="B1043" s="111">
        <f>+'Bldg+Dev'!U749</f>
        <v>0</v>
      </c>
    </row>
    <row r="1044" spans="2:2" ht="16.5" hidden="1">
      <c r="B1044" s="111">
        <f>+'Bldg+Dev'!U750</f>
        <v>0</v>
      </c>
    </row>
    <row r="1045" spans="2:2" ht="16.5" hidden="1">
      <c r="B1045" s="111">
        <f>+'Bldg+Dev'!U751</f>
        <v>0</v>
      </c>
    </row>
    <row r="1046" spans="2:2" ht="16.5" hidden="1">
      <c r="B1046" s="111">
        <f>+'Bldg+Dev'!U752</f>
        <v>0</v>
      </c>
    </row>
    <row r="1047" spans="2:2" ht="16.5" hidden="1">
      <c r="B1047" s="111">
        <f>+'Bldg+Dev'!U753</f>
        <v>0</v>
      </c>
    </row>
    <row r="1048" spans="2:2" ht="16.5" hidden="1">
      <c r="B1048" s="111">
        <f>+'Bldg+Dev'!U754</f>
        <v>0</v>
      </c>
    </row>
    <row r="1049" spans="2:2" ht="16.5" hidden="1">
      <c r="B1049" s="111">
        <f>+'Bldg+Dev'!U755</f>
        <v>0</v>
      </c>
    </row>
    <row r="1050" spans="2:2" ht="16.5" hidden="1">
      <c r="B1050" s="111">
        <f>+'Bldg+Dev'!U756</f>
        <v>0</v>
      </c>
    </row>
    <row r="1051" spans="2:2" ht="16.5" hidden="1">
      <c r="B1051" s="111">
        <f>+'Bldg+Dev'!U757</f>
        <v>0</v>
      </c>
    </row>
    <row r="1052" spans="2:2" ht="16.5" hidden="1">
      <c r="B1052" s="111">
        <f>+'Bldg+Dev'!U758</f>
        <v>0</v>
      </c>
    </row>
    <row r="1053" spans="2:2" ht="16.5" hidden="1">
      <c r="B1053" s="111">
        <f>+'Bldg+Dev'!U759</f>
        <v>0</v>
      </c>
    </row>
    <row r="1054" spans="2:2" ht="16.5" hidden="1">
      <c r="B1054" s="111">
        <f>+'Bldg+Dev'!U760</f>
        <v>0</v>
      </c>
    </row>
    <row r="1055" spans="2:2" ht="16.5" hidden="1">
      <c r="B1055" s="111">
        <f>+'Bldg+Dev'!U761</f>
        <v>0</v>
      </c>
    </row>
    <row r="1056" spans="2:2" ht="16.5" hidden="1">
      <c r="B1056" s="111">
        <f>+'Bldg+Dev'!U762</f>
        <v>0</v>
      </c>
    </row>
    <row r="1057" spans="2:2" ht="16.5" hidden="1">
      <c r="B1057" s="111">
        <f>+'Bldg+Dev'!U763</f>
        <v>0</v>
      </c>
    </row>
    <row r="1058" spans="2:2" ht="16.5" hidden="1">
      <c r="B1058" s="111">
        <f>+'Bldg+Dev'!U764</f>
        <v>0</v>
      </c>
    </row>
    <row r="1059" spans="2:2" ht="16.5" hidden="1">
      <c r="B1059" s="111">
        <f>+'Bldg+Dev'!U765</f>
        <v>0</v>
      </c>
    </row>
    <row r="1060" spans="2:2" ht="16.5" hidden="1">
      <c r="B1060" s="111">
        <f>+'Bldg+Dev'!U766</f>
        <v>0</v>
      </c>
    </row>
    <row r="1061" spans="2:2" ht="16.5" hidden="1">
      <c r="B1061" s="111">
        <f>+'Bldg+Dev'!U767</f>
        <v>0</v>
      </c>
    </row>
    <row r="1062" spans="2:2" ht="16.5" hidden="1">
      <c r="B1062" s="111">
        <f>+'Bldg+Dev'!U768</f>
        <v>0</v>
      </c>
    </row>
    <row r="1063" spans="2:2" ht="16.5" hidden="1">
      <c r="B1063" s="111">
        <f>+'Bldg+Dev'!U769</f>
        <v>0</v>
      </c>
    </row>
    <row r="1064" spans="2:2" ht="16.5" hidden="1">
      <c r="B1064" s="111">
        <f>+'Bldg+Dev'!U770</f>
        <v>0</v>
      </c>
    </row>
    <row r="1065" spans="2:2" ht="16.5" hidden="1">
      <c r="B1065" s="111">
        <f>+'Bldg+Dev'!U771</f>
        <v>0</v>
      </c>
    </row>
    <row r="1066" spans="2:2" ht="16.5" hidden="1">
      <c r="B1066" s="111">
        <f>+'Bldg+Dev'!U772</f>
        <v>0</v>
      </c>
    </row>
    <row r="1067" spans="2:2" ht="16.5" hidden="1">
      <c r="B1067" s="111">
        <f>+'Bldg+Dev'!U773</f>
        <v>0</v>
      </c>
    </row>
    <row r="1068" spans="2:2" ht="16.5" hidden="1">
      <c r="B1068" s="111">
        <f>+'Bldg+Dev'!U774</f>
        <v>0</v>
      </c>
    </row>
    <row r="1069" spans="2:2" ht="16.5" hidden="1">
      <c r="B1069" s="111">
        <f>+'Bldg+Dev'!U775</f>
        <v>0</v>
      </c>
    </row>
    <row r="1070" spans="2:2" ht="16.5" hidden="1">
      <c r="B1070" s="111">
        <f>+'Bldg+Dev'!U776</f>
        <v>0</v>
      </c>
    </row>
    <row r="1071" spans="2:2" ht="16.5" hidden="1">
      <c r="B1071" s="111">
        <f>+'Bldg+Dev'!U777</f>
        <v>0</v>
      </c>
    </row>
    <row r="1072" spans="2:2" ht="16.5" hidden="1">
      <c r="B1072" s="111">
        <f>+'Bldg+Dev'!U778</f>
        <v>0</v>
      </c>
    </row>
    <row r="1073" spans="2:2" ht="16.5" hidden="1">
      <c r="B1073" s="111">
        <f>+'Bldg+Dev'!U779</f>
        <v>0</v>
      </c>
    </row>
    <row r="1074" spans="2:2" ht="16.5" hidden="1">
      <c r="B1074" s="111">
        <f>+'Bldg+Dev'!U780</f>
        <v>0</v>
      </c>
    </row>
    <row r="1075" spans="2:2" ht="16.5" hidden="1">
      <c r="B1075" s="111">
        <f>+'Bldg+Dev'!U781</f>
        <v>0</v>
      </c>
    </row>
    <row r="1076" spans="2:2" ht="16.5" hidden="1">
      <c r="B1076" s="111">
        <f>+'Bldg+Dev'!U782</f>
        <v>0</v>
      </c>
    </row>
    <row r="1077" spans="2:2" ht="16.5" hidden="1">
      <c r="B1077" s="111">
        <f>+'Bldg+Dev'!U783</f>
        <v>0</v>
      </c>
    </row>
    <row r="1078" spans="2:2" ht="16.5" hidden="1">
      <c r="B1078" s="111">
        <f>+'Bldg+Dev'!U784</f>
        <v>0</v>
      </c>
    </row>
    <row r="1079" spans="2:2" ht="16.5" hidden="1">
      <c r="B1079" s="111">
        <f>+'Bldg+Dev'!U785</f>
        <v>0</v>
      </c>
    </row>
    <row r="1080" spans="2:2" ht="16.5" hidden="1">
      <c r="B1080" s="111">
        <f>+'Bldg+Dev'!U786</f>
        <v>0</v>
      </c>
    </row>
    <row r="1081" spans="2:2" ht="16.5" hidden="1">
      <c r="B1081" s="111">
        <f>+'Bldg+Dev'!U787</f>
        <v>0</v>
      </c>
    </row>
    <row r="1082" spans="2:2" ht="16.5" hidden="1">
      <c r="B1082" s="111">
        <f>+'Bldg+Dev'!U788</f>
        <v>0</v>
      </c>
    </row>
    <row r="1083" spans="2:2" ht="16.5" hidden="1">
      <c r="B1083" s="111">
        <f>+'Bldg+Dev'!U789</f>
        <v>0</v>
      </c>
    </row>
    <row r="1084" spans="2:2" ht="16.5" hidden="1">
      <c r="B1084" s="111">
        <f>+'Bldg+Dev'!U790</f>
        <v>0</v>
      </c>
    </row>
    <row r="1085" spans="2:2" ht="16.5" hidden="1">
      <c r="B1085" s="111">
        <f>+'Bldg+Dev'!U791</f>
        <v>0</v>
      </c>
    </row>
    <row r="1086" spans="2:2" ht="16.5" hidden="1">
      <c r="B1086" s="111">
        <f>+'Bldg+Dev'!U792</f>
        <v>0</v>
      </c>
    </row>
    <row r="1087" spans="2:2" ht="16.5" hidden="1">
      <c r="B1087" s="111">
        <f>+'Bldg+Dev'!U793</f>
        <v>0</v>
      </c>
    </row>
    <row r="1088" spans="2:2" ht="16.5" hidden="1">
      <c r="B1088" s="111">
        <f>+'Bldg+Dev'!U794</f>
        <v>0</v>
      </c>
    </row>
    <row r="1089" spans="2:2" ht="16.5" hidden="1">
      <c r="B1089" s="111">
        <f>+'Bldg+Dev'!U795</f>
        <v>0</v>
      </c>
    </row>
    <row r="1090" spans="2:2" ht="16.5" hidden="1">
      <c r="B1090" s="111">
        <f>+'Bldg+Dev'!U796</f>
        <v>0</v>
      </c>
    </row>
    <row r="1091" spans="2:2" ht="16.5" hidden="1">
      <c r="B1091" s="111">
        <f>+'Bldg+Dev'!U797</f>
        <v>0</v>
      </c>
    </row>
    <row r="1092" spans="2:2" ht="16.5" hidden="1">
      <c r="B1092" s="111">
        <f>+'Bldg+Dev'!U798</f>
        <v>0</v>
      </c>
    </row>
    <row r="1093" spans="2:2" ht="16.5" hidden="1">
      <c r="B1093" s="111">
        <f>+'Bldg+Dev'!U799</f>
        <v>0</v>
      </c>
    </row>
    <row r="1094" spans="2:2" ht="16.5" hidden="1">
      <c r="B1094" s="111">
        <f>+'Bldg+Dev'!U800</f>
        <v>0</v>
      </c>
    </row>
    <row r="1095" spans="2:2" ht="16.5" hidden="1">
      <c r="B1095" s="111">
        <f>+'Bldg+Dev'!U801</f>
        <v>0</v>
      </c>
    </row>
    <row r="1096" spans="2:2" ht="16.5" hidden="1">
      <c r="B1096" s="111">
        <f>+'Bldg+Dev'!U802</f>
        <v>0</v>
      </c>
    </row>
    <row r="1097" spans="2:2" ht="16.5" hidden="1">
      <c r="B1097" s="111">
        <f>+'Bldg+Dev'!U803</f>
        <v>0</v>
      </c>
    </row>
    <row r="1098" spans="2:2" ht="16.5" hidden="1">
      <c r="B1098" s="111">
        <f>+'Bldg+Dev'!U804</f>
        <v>0</v>
      </c>
    </row>
    <row r="1099" spans="2:2" ht="16.5" hidden="1">
      <c r="B1099" s="111">
        <f>+'Bldg+Dev'!U805</f>
        <v>0</v>
      </c>
    </row>
    <row r="1100" spans="2:2" ht="16.5" hidden="1">
      <c r="B1100" s="111">
        <f>+'Bldg+Dev'!U806</f>
        <v>0</v>
      </c>
    </row>
    <row r="1101" spans="2:2" ht="16.5" hidden="1">
      <c r="B1101" s="111">
        <f>+'Bldg+Dev'!U807</f>
        <v>0</v>
      </c>
    </row>
    <row r="1102" spans="2:2" ht="16.5" hidden="1">
      <c r="B1102" s="111">
        <f>+'Bldg+Dev'!U808</f>
        <v>0</v>
      </c>
    </row>
    <row r="1103" spans="2:2" ht="16.5" hidden="1">
      <c r="B1103" s="111">
        <f>+'Bldg+Dev'!U809</f>
        <v>0</v>
      </c>
    </row>
    <row r="1104" spans="2:2" ht="16.5" hidden="1">
      <c r="B1104" s="111">
        <f>+'Bldg+Dev'!U810</f>
        <v>0</v>
      </c>
    </row>
    <row r="1105" spans="2:2" ht="16.5" hidden="1">
      <c r="B1105" s="111">
        <f>+'Bldg+Dev'!U811</f>
        <v>0</v>
      </c>
    </row>
    <row r="1106" spans="2:2" ht="16.5" hidden="1">
      <c r="B1106" s="111">
        <f>+'Bldg+Dev'!U812</f>
        <v>0</v>
      </c>
    </row>
    <row r="1107" spans="2:2" ht="16.5" hidden="1">
      <c r="B1107" s="111">
        <f>+'Bldg+Dev'!U813</f>
        <v>0</v>
      </c>
    </row>
    <row r="1108" spans="2:2" ht="16.5" hidden="1">
      <c r="B1108" s="111">
        <f>+'Bldg+Dev'!U814</f>
        <v>0</v>
      </c>
    </row>
    <row r="1109" spans="2:2" ht="16.5" hidden="1">
      <c r="B1109" s="111">
        <f>+'Bldg+Dev'!U815</f>
        <v>0</v>
      </c>
    </row>
    <row r="1110" spans="2:2" ht="16.5" hidden="1">
      <c r="B1110" s="111">
        <f>+'Bldg+Dev'!U816</f>
        <v>0</v>
      </c>
    </row>
    <row r="1111" spans="2:2" ht="16.5" hidden="1">
      <c r="B1111" s="111">
        <f>+'Bldg+Dev'!U817</f>
        <v>0</v>
      </c>
    </row>
    <row r="1112" spans="2:2" ht="16.5" hidden="1">
      <c r="B1112" s="111">
        <f>+'Bldg+Dev'!U818</f>
        <v>0</v>
      </c>
    </row>
    <row r="1113" spans="2:2" ht="16.5" hidden="1">
      <c r="B1113" s="111">
        <f>+'Bldg+Dev'!U819</f>
        <v>0</v>
      </c>
    </row>
    <row r="1114" spans="2:2" ht="16.5" hidden="1">
      <c r="B1114" s="111">
        <f>+'Bldg+Dev'!U820</f>
        <v>0</v>
      </c>
    </row>
    <row r="1115" spans="2:2" ht="16.5" hidden="1">
      <c r="B1115" s="111">
        <f>+'Bldg+Dev'!U821</f>
        <v>0</v>
      </c>
    </row>
    <row r="1116" spans="2:2" ht="16.5" hidden="1">
      <c r="B1116" s="111">
        <f>+'Bldg+Dev'!U822</f>
        <v>0</v>
      </c>
    </row>
    <row r="1117" spans="2:2" ht="16.5" hidden="1">
      <c r="B1117" s="111">
        <f>+'Bldg+Dev'!U823</f>
        <v>0</v>
      </c>
    </row>
    <row r="1118" spans="2:2" ht="16.5" hidden="1">
      <c r="B1118" s="111">
        <f>+'Bldg+Dev'!U824</f>
        <v>0</v>
      </c>
    </row>
    <row r="1119" spans="2:2" ht="16.5" hidden="1">
      <c r="B1119" s="111">
        <f>+'Bldg+Dev'!U825</f>
        <v>0</v>
      </c>
    </row>
    <row r="1120" spans="2:2" ht="16.5" hidden="1">
      <c r="B1120" s="111">
        <f>+'Bldg+Dev'!U826</f>
        <v>0</v>
      </c>
    </row>
    <row r="1121" spans="2:2" ht="16.5" hidden="1">
      <c r="B1121" s="111">
        <f>+'Bldg+Dev'!U827</f>
        <v>0</v>
      </c>
    </row>
    <row r="1122" spans="2:2" ht="16.5" hidden="1">
      <c r="B1122" s="111">
        <f>+'Bldg+Dev'!U828</f>
        <v>0</v>
      </c>
    </row>
    <row r="1123" spans="2:2" ht="16.5" hidden="1">
      <c r="B1123" s="111">
        <f>+'Bldg+Dev'!U829</f>
        <v>0</v>
      </c>
    </row>
    <row r="1124" spans="2:2" ht="16.5" hidden="1">
      <c r="B1124" s="111">
        <f>+'Bldg+Dev'!U830</f>
        <v>0</v>
      </c>
    </row>
    <row r="1125" spans="2:2" ht="16.5" hidden="1">
      <c r="B1125" s="111">
        <f>+'Bldg+Dev'!U831</f>
        <v>0</v>
      </c>
    </row>
    <row r="1126" spans="2:2" ht="16.5" hidden="1">
      <c r="B1126" s="111">
        <f>+'Bldg+Dev'!U832</f>
        <v>0</v>
      </c>
    </row>
    <row r="1127" spans="2:2" ht="16.5" hidden="1">
      <c r="B1127" s="111">
        <f>+'Bldg+Dev'!U833</f>
        <v>0</v>
      </c>
    </row>
    <row r="1128" spans="2:2" ht="16.5" hidden="1">
      <c r="B1128" s="111">
        <f>+'Bldg+Dev'!U834</f>
        <v>0</v>
      </c>
    </row>
    <row r="1129" spans="2:2" ht="16.5" hidden="1">
      <c r="B1129" s="111">
        <f>+'Bldg+Dev'!U835</f>
        <v>0</v>
      </c>
    </row>
    <row r="1130" spans="2:2" ht="16.5" hidden="1">
      <c r="B1130" s="111">
        <f>+'Bldg+Dev'!U836</f>
        <v>0</v>
      </c>
    </row>
    <row r="1131" spans="2:2" ht="16.5" hidden="1">
      <c r="B1131" s="111">
        <f>+'Bldg+Dev'!U837</f>
        <v>0</v>
      </c>
    </row>
    <row r="1132" spans="2:2" ht="16.5" hidden="1">
      <c r="B1132" s="111">
        <f>+'Bldg+Dev'!U838</f>
        <v>0</v>
      </c>
    </row>
    <row r="1133" spans="2:2" ht="16.5" hidden="1">
      <c r="B1133" s="111">
        <f>+'Bldg+Dev'!U839</f>
        <v>0</v>
      </c>
    </row>
    <row r="1134" spans="2:2" ht="16.5" hidden="1">
      <c r="B1134" s="111">
        <f>+'Bldg+Dev'!U840</f>
        <v>0</v>
      </c>
    </row>
    <row r="1135" spans="2:2" ht="16.5" hidden="1">
      <c r="B1135" s="111">
        <f>+'Bldg+Dev'!U841</f>
        <v>0</v>
      </c>
    </row>
    <row r="1136" spans="2:2" ht="16.5" hidden="1">
      <c r="B1136" s="111">
        <f>+'Bldg+Dev'!U842</f>
        <v>0</v>
      </c>
    </row>
    <row r="1137" spans="2:2" ht="16.5" hidden="1">
      <c r="B1137" s="111">
        <f>+'Bldg+Dev'!U843</f>
        <v>0</v>
      </c>
    </row>
    <row r="1138" spans="2:2" ht="16.5" hidden="1">
      <c r="B1138" s="111">
        <f>+'Bldg+Dev'!U844</f>
        <v>0</v>
      </c>
    </row>
    <row r="1139" spans="2:2" ht="16.5" hidden="1">
      <c r="B1139" s="111">
        <f>+'Bldg+Dev'!U845</f>
        <v>0</v>
      </c>
    </row>
    <row r="1140" spans="2:2" ht="16.5" hidden="1">
      <c r="B1140" s="111">
        <f>+'Bldg+Dev'!U846</f>
        <v>0</v>
      </c>
    </row>
    <row r="1141" spans="2:2" ht="16.5" hidden="1">
      <c r="B1141" s="111">
        <f>+'Bldg+Dev'!U847</f>
        <v>0</v>
      </c>
    </row>
    <row r="1142" spans="2:2" ht="16.5" hidden="1">
      <c r="B1142" s="111">
        <f>+'Bldg+Dev'!U848</f>
        <v>0</v>
      </c>
    </row>
    <row r="1143" spans="2:2" ht="16.5" hidden="1">
      <c r="B1143" s="111">
        <f>+'Bldg+Dev'!U849</f>
        <v>0</v>
      </c>
    </row>
    <row r="1144" spans="2:2" ht="16.5" hidden="1">
      <c r="B1144" s="111">
        <f>+'Bldg+Dev'!U850</f>
        <v>0</v>
      </c>
    </row>
    <row r="1145" spans="2:2" ht="16.5" hidden="1">
      <c r="B1145" s="111">
        <f>+'Bldg+Dev'!U851</f>
        <v>0</v>
      </c>
    </row>
    <row r="1146" spans="2:2" ht="16.5" hidden="1">
      <c r="B1146" s="111">
        <f>+'Bldg+Dev'!U852</f>
        <v>0</v>
      </c>
    </row>
    <row r="1147" spans="2:2" ht="16.5" hidden="1">
      <c r="B1147" s="111">
        <f>+'Bldg+Dev'!U853</f>
        <v>0</v>
      </c>
    </row>
    <row r="1148" spans="2:2" ht="16.5" hidden="1">
      <c r="B1148" s="111">
        <f>+'Bldg+Dev'!U854</f>
        <v>0</v>
      </c>
    </row>
    <row r="1149" spans="2:2" ht="16.5" hidden="1">
      <c r="B1149" s="111">
        <f>+'Bldg+Dev'!U855</f>
        <v>0</v>
      </c>
    </row>
    <row r="1150" spans="2:2" ht="16.5" hidden="1">
      <c r="B1150" s="111">
        <f>+'Bldg+Dev'!U856</f>
        <v>0</v>
      </c>
    </row>
    <row r="1151" spans="2:2" ht="16.5" hidden="1">
      <c r="B1151" s="111">
        <f>+'Bldg+Dev'!U857</f>
        <v>0</v>
      </c>
    </row>
    <row r="1152" spans="2:2" ht="16.5" hidden="1">
      <c r="B1152" s="111">
        <f>+'Bldg+Dev'!U858</f>
        <v>0</v>
      </c>
    </row>
    <row r="1153" spans="2:2" ht="16.5" hidden="1">
      <c r="B1153" s="111">
        <f>+'Bldg+Dev'!U859</f>
        <v>0</v>
      </c>
    </row>
    <row r="1154" spans="2:2" ht="16.5" hidden="1">
      <c r="B1154" s="111">
        <f>+'Bldg+Dev'!U860</f>
        <v>0</v>
      </c>
    </row>
    <row r="1155" spans="2:2" ht="16.5" hidden="1">
      <c r="B1155" s="111">
        <f>+'Bldg+Dev'!U861</f>
        <v>0</v>
      </c>
    </row>
    <row r="1156" spans="2:2" ht="16.5" hidden="1">
      <c r="B1156" s="111">
        <f>+'Bldg+Dev'!U862</f>
        <v>0</v>
      </c>
    </row>
    <row r="1157" spans="2:2" ht="16.5" hidden="1">
      <c r="B1157" s="111">
        <f>+'Bldg+Dev'!U863</f>
        <v>0</v>
      </c>
    </row>
    <row r="1158" spans="2:2" ht="16.5" hidden="1">
      <c r="B1158" s="111">
        <f>+'Bldg+Dev'!U864</f>
        <v>0</v>
      </c>
    </row>
    <row r="1159" spans="2:2" ht="16.5" hidden="1">
      <c r="B1159" s="111">
        <f>+'Bldg+Dev'!U865</f>
        <v>0</v>
      </c>
    </row>
    <row r="1160" spans="2:2" ht="16.5" hidden="1">
      <c r="B1160" s="111">
        <f>+'Bldg+Dev'!U866</f>
        <v>0</v>
      </c>
    </row>
    <row r="1161" spans="2:2" ht="16.5" hidden="1">
      <c r="B1161" s="111">
        <f>+'Bldg+Dev'!U867</f>
        <v>0</v>
      </c>
    </row>
    <row r="1162" spans="2:2" ht="16.5" hidden="1">
      <c r="B1162" s="111">
        <f>+'Bldg+Dev'!U868</f>
        <v>0</v>
      </c>
    </row>
    <row r="1163" spans="2:2" ht="16.5" hidden="1">
      <c r="B1163" s="111">
        <f>+'Bldg+Dev'!U869</f>
        <v>0</v>
      </c>
    </row>
    <row r="1164" spans="2:2" ht="16.5" hidden="1">
      <c r="B1164" s="111">
        <f>+'Bldg+Dev'!U870</f>
        <v>0</v>
      </c>
    </row>
    <row r="1165" spans="2:2" ht="16.5" hidden="1">
      <c r="B1165" s="111">
        <f>+'Bldg+Dev'!U871</f>
        <v>0</v>
      </c>
    </row>
    <row r="1166" spans="2:2" ht="16.5" hidden="1">
      <c r="B1166" s="111">
        <f>+'Bldg+Dev'!U872</f>
        <v>0</v>
      </c>
    </row>
    <row r="1167" spans="2:2" ht="16.5" hidden="1">
      <c r="B1167" s="111">
        <f>+'Bldg+Dev'!U873</f>
        <v>0</v>
      </c>
    </row>
    <row r="1168" spans="2:2" ht="16.5" hidden="1">
      <c r="B1168" s="111">
        <f>+'Bldg+Dev'!U874</f>
        <v>0</v>
      </c>
    </row>
    <row r="1169" spans="2:2" ht="16.5" hidden="1">
      <c r="B1169" s="111">
        <f>+'Bldg+Dev'!U875</f>
        <v>0</v>
      </c>
    </row>
    <row r="1170" spans="2:2" ht="16.5" hidden="1">
      <c r="B1170" s="111">
        <f>+'Bldg+Dev'!U876</f>
        <v>0</v>
      </c>
    </row>
    <row r="1171" spans="2:2" ht="16.5" hidden="1">
      <c r="B1171" s="111">
        <f>+'Bldg+Dev'!U877</f>
        <v>0</v>
      </c>
    </row>
    <row r="1172" spans="2:2" ht="16.5" hidden="1">
      <c r="B1172" s="111">
        <f>+'Bldg+Dev'!U878</f>
        <v>0</v>
      </c>
    </row>
    <row r="1173" spans="2:2" ht="16.5" hidden="1">
      <c r="B1173" s="111">
        <f>+'Bldg+Dev'!U879</f>
        <v>0</v>
      </c>
    </row>
    <row r="1174" spans="2:2" ht="16.5" hidden="1">
      <c r="B1174" s="111">
        <f>+'Bldg+Dev'!U880</f>
        <v>0</v>
      </c>
    </row>
    <row r="1175" spans="2:2" ht="16.5" hidden="1">
      <c r="B1175" s="111">
        <f>+'Bldg+Dev'!U881</f>
        <v>0</v>
      </c>
    </row>
    <row r="1176" spans="2:2" ht="16.5" hidden="1">
      <c r="B1176" s="111">
        <f>+'Bldg+Dev'!U882</f>
        <v>0</v>
      </c>
    </row>
    <row r="1177" spans="2:2" ht="16.5" hidden="1">
      <c r="B1177" s="111">
        <f>+'Bldg+Dev'!U883</f>
        <v>0</v>
      </c>
    </row>
    <row r="1178" spans="2:2" ht="16.5" hidden="1">
      <c r="B1178" s="111">
        <f>+'Bldg+Dev'!U884</f>
        <v>0</v>
      </c>
    </row>
    <row r="1179" spans="2:2" ht="16.5" hidden="1">
      <c r="B1179" s="111">
        <f>+'Bldg+Dev'!U885</f>
        <v>0</v>
      </c>
    </row>
    <row r="1180" spans="2:2" ht="16.5" hidden="1">
      <c r="B1180" s="111">
        <f>+'Bldg+Dev'!U886</f>
        <v>0</v>
      </c>
    </row>
    <row r="1181" spans="2:2" ht="16.5" hidden="1">
      <c r="B1181" s="111">
        <f>+'Bldg+Dev'!U887</f>
        <v>0</v>
      </c>
    </row>
    <row r="1182" spans="2:2" ht="16.5" hidden="1">
      <c r="B1182" s="111">
        <f>+'Bldg+Dev'!U888</f>
        <v>0</v>
      </c>
    </row>
    <row r="1183" spans="2:2" ht="16.5" hidden="1">
      <c r="B1183" s="111">
        <f>+'Bldg+Dev'!U889</f>
        <v>0</v>
      </c>
    </row>
    <row r="1184" spans="2:2" ht="16.5" hidden="1">
      <c r="B1184" s="111">
        <f>+'Bldg+Dev'!U890</f>
        <v>0</v>
      </c>
    </row>
    <row r="1185" spans="2:2" ht="16.5" hidden="1">
      <c r="B1185" s="111">
        <f>+'Bldg+Dev'!U891</f>
        <v>0</v>
      </c>
    </row>
    <row r="1186" spans="2:2" ht="16.5" hidden="1">
      <c r="B1186" s="111">
        <f>+'Bldg+Dev'!U892</f>
        <v>0</v>
      </c>
    </row>
    <row r="1187" spans="2:2" ht="16.5" hidden="1">
      <c r="B1187" s="111">
        <f>+'Bldg+Dev'!U893</f>
        <v>0</v>
      </c>
    </row>
    <row r="1188" spans="2:2" ht="16.5" hidden="1">
      <c r="B1188" s="111">
        <f>+'Bldg+Dev'!U894</f>
        <v>0</v>
      </c>
    </row>
    <row r="1189" spans="2:2" ht="16.5" hidden="1">
      <c r="B1189" s="111">
        <f>+'Bldg+Dev'!U895</f>
        <v>0</v>
      </c>
    </row>
    <row r="1190" spans="2:2" ht="16.5" hidden="1">
      <c r="B1190" s="111">
        <f>+'Bldg+Dev'!U896</f>
        <v>0</v>
      </c>
    </row>
    <row r="1191" spans="2:2" ht="16.5" hidden="1">
      <c r="B1191" s="111">
        <f>+'Bldg+Dev'!U897</f>
        <v>0</v>
      </c>
    </row>
    <row r="1192" spans="2:2" ht="16.5" hidden="1">
      <c r="B1192" s="111">
        <f>+'Bldg+Dev'!U898</f>
        <v>0</v>
      </c>
    </row>
    <row r="1193" spans="2:2" ht="16.5" hidden="1">
      <c r="B1193" s="111">
        <f>+'Bldg+Dev'!U899</f>
        <v>0</v>
      </c>
    </row>
    <row r="1194" spans="2:2" ht="16.5" hidden="1">
      <c r="B1194" s="111">
        <f>+'Bldg+Dev'!U900</f>
        <v>0</v>
      </c>
    </row>
    <row r="1195" spans="2:2" ht="16.5" hidden="1">
      <c r="B1195" s="111">
        <f>+'Bldg+Dev'!U901</f>
        <v>0</v>
      </c>
    </row>
    <row r="1196" spans="2:2" ht="16.5" hidden="1">
      <c r="B1196" s="111">
        <f>+'Bldg+Dev'!U902</f>
        <v>0</v>
      </c>
    </row>
    <row r="1197" spans="2:2" ht="16.5" hidden="1">
      <c r="B1197" s="111">
        <f>+'Bldg+Dev'!U903</f>
        <v>0</v>
      </c>
    </row>
    <row r="1198" spans="2:2" ht="16.5" hidden="1">
      <c r="B1198" s="111">
        <f>+'Bldg+Dev'!U904</f>
        <v>0</v>
      </c>
    </row>
    <row r="1199" spans="2:2" ht="16.5" hidden="1">
      <c r="B1199" s="111">
        <f>+'Bldg+Dev'!U905</f>
        <v>0</v>
      </c>
    </row>
    <row r="1200" spans="2:2" ht="16.5" hidden="1">
      <c r="B1200" s="111">
        <f>+'Bldg+Dev'!U906</f>
        <v>0</v>
      </c>
    </row>
    <row r="1201" spans="2:2" ht="16.5" hidden="1">
      <c r="B1201" s="111">
        <f>+'Bldg+Dev'!U907</f>
        <v>0</v>
      </c>
    </row>
    <row r="1202" spans="2:2" ht="16.5" hidden="1">
      <c r="B1202" s="111">
        <f>+'Bldg+Dev'!U908</f>
        <v>0</v>
      </c>
    </row>
    <row r="1203" spans="2:2" ht="16.5" hidden="1">
      <c r="B1203" s="111">
        <f>+'Bldg+Dev'!U909</f>
        <v>0</v>
      </c>
    </row>
    <row r="1204" spans="2:2" ht="16.5" hidden="1">
      <c r="B1204" s="111">
        <f>+'Bldg+Dev'!U910</f>
        <v>0</v>
      </c>
    </row>
    <row r="1205" spans="2:2" ht="16.5" hidden="1">
      <c r="B1205" s="111">
        <f>+'Bldg+Dev'!U911</f>
        <v>0</v>
      </c>
    </row>
    <row r="1206" spans="2:2" ht="16.5" hidden="1">
      <c r="B1206" s="111">
        <f>+'Bldg+Dev'!U912</f>
        <v>0</v>
      </c>
    </row>
    <row r="1207" spans="2:2" ht="16.5" hidden="1">
      <c r="B1207" s="111">
        <f>+'Bldg+Dev'!U913</f>
        <v>0</v>
      </c>
    </row>
    <row r="1208" spans="2:2" ht="16.5" hidden="1">
      <c r="B1208" s="111">
        <f>+'Bldg+Dev'!U914</f>
        <v>0</v>
      </c>
    </row>
    <row r="1209" spans="2:2" ht="16.5" hidden="1">
      <c r="B1209" s="111">
        <f>+'Bldg+Dev'!U915</f>
        <v>0</v>
      </c>
    </row>
    <row r="1210" spans="2:2" ht="16.5" hidden="1">
      <c r="B1210" s="111">
        <f>+'Bldg+Dev'!U916</f>
        <v>0</v>
      </c>
    </row>
    <row r="1211" spans="2:2" ht="16.5" hidden="1">
      <c r="B1211" s="111">
        <f>+'Bldg+Dev'!U917</f>
        <v>0</v>
      </c>
    </row>
    <row r="1212" spans="2:2" ht="16.5" hidden="1">
      <c r="B1212" s="111">
        <f>+'Bldg+Dev'!U918</f>
        <v>0</v>
      </c>
    </row>
    <row r="1213" spans="2:2" ht="16.5" hidden="1">
      <c r="B1213" s="111">
        <f>+'Bldg+Dev'!U919</f>
        <v>0</v>
      </c>
    </row>
    <row r="1214" spans="2:2" ht="16.5" hidden="1">
      <c r="B1214" s="111">
        <f>+'Bldg+Dev'!U920</f>
        <v>0</v>
      </c>
    </row>
    <row r="1215" spans="2:2" ht="16.5" hidden="1">
      <c r="B1215" s="111">
        <f>+'Bldg+Dev'!U921</f>
        <v>0</v>
      </c>
    </row>
    <row r="1216" spans="2:2" ht="16.5" hidden="1">
      <c r="B1216" s="111">
        <f>+'Bldg+Dev'!U922</f>
        <v>0</v>
      </c>
    </row>
    <row r="1217" spans="2:2" ht="16.5" hidden="1">
      <c r="B1217" s="111">
        <f>+'Bldg+Dev'!U923</f>
        <v>0</v>
      </c>
    </row>
    <row r="1218" spans="2:2" ht="16.5" hidden="1">
      <c r="B1218" s="111">
        <f>+'Bldg+Dev'!U924</f>
        <v>0</v>
      </c>
    </row>
    <row r="1219" spans="2:2" ht="16.5" hidden="1">
      <c r="B1219" s="111">
        <f>+'Bldg+Dev'!U925</f>
        <v>0</v>
      </c>
    </row>
    <row r="1220" spans="2:2" ht="16.5" hidden="1">
      <c r="B1220" s="111">
        <f>+'Bldg+Dev'!U926</f>
        <v>0</v>
      </c>
    </row>
    <row r="1221" spans="2:2" ht="16.5" hidden="1">
      <c r="B1221" s="111">
        <f>+'Bldg+Dev'!U927</f>
        <v>0</v>
      </c>
    </row>
    <row r="1222" spans="2:2" ht="16.5" hidden="1">
      <c r="B1222" s="111">
        <f>+'Bldg+Dev'!U928</f>
        <v>0</v>
      </c>
    </row>
    <row r="1223" spans="2:2" ht="16.5" hidden="1">
      <c r="B1223" s="111">
        <f>+'Bldg+Dev'!U929</f>
        <v>0</v>
      </c>
    </row>
    <row r="1224" spans="2:2" ht="16.5" hidden="1">
      <c r="B1224" s="111">
        <f>+'Bldg+Dev'!U930</f>
        <v>0</v>
      </c>
    </row>
    <row r="1225" spans="2:2" ht="16.5" hidden="1">
      <c r="B1225" s="111">
        <f>+'Bldg+Dev'!U931</f>
        <v>0</v>
      </c>
    </row>
    <row r="1226" spans="2:2" ht="16.5" hidden="1">
      <c r="B1226" s="111">
        <f>+'Bldg+Dev'!U932</f>
        <v>0</v>
      </c>
    </row>
    <row r="1227" spans="2:2" ht="16.5" hidden="1">
      <c r="B1227" s="111">
        <f>+'Bldg+Dev'!U933</f>
        <v>0</v>
      </c>
    </row>
    <row r="1228" spans="2:2" ht="16.5" hidden="1">
      <c r="B1228" s="111">
        <f>+'Bldg+Dev'!U934</f>
        <v>0</v>
      </c>
    </row>
    <row r="1229" spans="2:2" ht="16.5" hidden="1">
      <c r="B1229" s="111">
        <f>+'Bldg+Dev'!U935</f>
        <v>0</v>
      </c>
    </row>
    <row r="1230" spans="2:2" ht="16.5" hidden="1">
      <c r="B1230" s="111">
        <f>+'Bldg+Dev'!U936</f>
        <v>0</v>
      </c>
    </row>
    <row r="1231" spans="2:2" ht="16.5" hidden="1">
      <c r="B1231" s="111">
        <f>+'Bldg+Dev'!U937</f>
        <v>0</v>
      </c>
    </row>
    <row r="1232" spans="2:2" ht="16.5" hidden="1">
      <c r="B1232" s="111">
        <f>+'Bldg+Dev'!U938</f>
        <v>0</v>
      </c>
    </row>
    <row r="1233" spans="2:2" ht="16.5" hidden="1">
      <c r="B1233" s="111">
        <f>+'Bldg+Dev'!U939</f>
        <v>0</v>
      </c>
    </row>
    <row r="1234" spans="2:2" ht="16.5" hidden="1">
      <c r="B1234" s="111">
        <f>+'Bldg+Dev'!U940</f>
        <v>0</v>
      </c>
    </row>
    <row r="1235" spans="2:2" ht="16.5" hidden="1">
      <c r="B1235" s="111">
        <f>+'Bldg+Dev'!U941</f>
        <v>0</v>
      </c>
    </row>
    <row r="1236" spans="2:2" ht="16.5" hidden="1">
      <c r="B1236" s="111">
        <f>+'Bldg+Dev'!U942</f>
        <v>0</v>
      </c>
    </row>
    <row r="1237" spans="2:2" ht="16.5" hidden="1">
      <c r="B1237" s="111">
        <f>+'Bldg+Dev'!U943</f>
        <v>0</v>
      </c>
    </row>
    <row r="1238" spans="2:2" ht="16.5" hidden="1">
      <c r="B1238" s="111">
        <f>+'Bldg+Dev'!U944</f>
        <v>0</v>
      </c>
    </row>
    <row r="1239" spans="2:2" ht="16.5" hidden="1">
      <c r="B1239" s="111">
        <f>+'Bldg+Dev'!U945</f>
        <v>0</v>
      </c>
    </row>
    <row r="1240" spans="2:2" ht="16.5" hidden="1">
      <c r="B1240" s="111">
        <f>+'Bldg+Dev'!U946</f>
        <v>0</v>
      </c>
    </row>
    <row r="1241" spans="2:2" ht="16.5" hidden="1">
      <c r="B1241" s="111">
        <f>+'Bldg+Dev'!U947</f>
        <v>0</v>
      </c>
    </row>
    <row r="1242" spans="2:2" ht="16.5" hidden="1">
      <c r="B1242" s="111">
        <f>+'Bldg+Dev'!U948</f>
        <v>0</v>
      </c>
    </row>
    <row r="1243" spans="2:2" ht="16.5" hidden="1">
      <c r="B1243" s="111">
        <f>+'Bldg+Dev'!U949</f>
        <v>0</v>
      </c>
    </row>
    <row r="1244" spans="2:2" ht="16.5" hidden="1">
      <c r="B1244" s="111">
        <f>+'Bldg+Dev'!U950</f>
        <v>0</v>
      </c>
    </row>
    <row r="1245" spans="2:2" ht="16.5" hidden="1">
      <c r="B1245" s="111">
        <f>+'Bldg+Dev'!U951</f>
        <v>0</v>
      </c>
    </row>
    <row r="1246" spans="2:2" ht="16.5" hidden="1">
      <c r="B1246" s="111">
        <f>+'Bldg+Dev'!U952</f>
        <v>0</v>
      </c>
    </row>
    <row r="1247" spans="2:2" ht="16.5" hidden="1">
      <c r="B1247" s="111">
        <f>+'Bldg+Dev'!U953</f>
        <v>0</v>
      </c>
    </row>
    <row r="1248" spans="2:2" ht="16.5" hidden="1">
      <c r="B1248" s="111">
        <f>+'Bldg+Dev'!U954</f>
        <v>0</v>
      </c>
    </row>
    <row r="1249" spans="2:2" ht="16.5" hidden="1">
      <c r="B1249" s="111">
        <f>+'Bldg+Dev'!U955</f>
        <v>0</v>
      </c>
    </row>
    <row r="1250" spans="2:2" ht="16.5" hidden="1">
      <c r="B1250" s="111">
        <f>+'Bldg+Dev'!U956</f>
        <v>0</v>
      </c>
    </row>
    <row r="1251" spans="2:2" ht="16.5" hidden="1">
      <c r="B1251" s="111">
        <f>+'Bldg+Dev'!U957</f>
        <v>0</v>
      </c>
    </row>
    <row r="1252" spans="2:2" ht="16.5" hidden="1">
      <c r="B1252" s="111">
        <f>+'Bldg+Dev'!U958</f>
        <v>0</v>
      </c>
    </row>
    <row r="1253" spans="2:2" ht="16.5" hidden="1">
      <c r="B1253" s="111">
        <f>+'Bldg+Dev'!U959</f>
        <v>0</v>
      </c>
    </row>
    <row r="1254" spans="2:2" ht="16.5" hidden="1">
      <c r="B1254" s="111">
        <f>+'Bldg+Dev'!U960</f>
        <v>0</v>
      </c>
    </row>
    <row r="1255" spans="2:2" ht="16.5" hidden="1">
      <c r="B1255" s="111">
        <f>+'Bldg+Dev'!U961</f>
        <v>0</v>
      </c>
    </row>
    <row r="1256" spans="2:2" ht="16.5" hidden="1">
      <c r="B1256" s="111">
        <f>+'Bldg+Dev'!U962</f>
        <v>0</v>
      </c>
    </row>
    <row r="1257" spans="2:2" ht="16.5" hidden="1">
      <c r="B1257" s="111">
        <f>+'Bldg+Dev'!U963</f>
        <v>0</v>
      </c>
    </row>
    <row r="1258" spans="2:2" ht="16.5" hidden="1">
      <c r="B1258" s="111">
        <f>+'Bldg+Dev'!U964</f>
        <v>0</v>
      </c>
    </row>
    <row r="1259" spans="2:2" ht="16.5" hidden="1">
      <c r="B1259" s="111">
        <f>+'Bldg+Dev'!U965</f>
        <v>0</v>
      </c>
    </row>
    <row r="1260" spans="2:2" ht="16.5" hidden="1">
      <c r="B1260" s="111">
        <f>+'Bldg+Dev'!U966</f>
        <v>0</v>
      </c>
    </row>
    <row r="1261" spans="2:2" ht="16.5" hidden="1">
      <c r="B1261" s="111">
        <f>+'Bldg+Dev'!U967</f>
        <v>0</v>
      </c>
    </row>
    <row r="1262" spans="2:2" ht="16.5" hidden="1">
      <c r="B1262" s="111">
        <f>+'Bldg+Dev'!U968</f>
        <v>0</v>
      </c>
    </row>
    <row r="1263" spans="2:2" ht="16.5" hidden="1">
      <c r="B1263" s="111">
        <f>+'Bldg+Dev'!U969</f>
        <v>0</v>
      </c>
    </row>
    <row r="1264" spans="2:2" ht="16.5" hidden="1">
      <c r="B1264" s="111">
        <f>+'Bldg+Dev'!U970</f>
        <v>0</v>
      </c>
    </row>
    <row r="1265" spans="2:2" ht="16.5" hidden="1">
      <c r="B1265" s="111">
        <f>+'Bldg+Dev'!U971</f>
        <v>0</v>
      </c>
    </row>
    <row r="1266" spans="2:2" ht="16.5" hidden="1">
      <c r="B1266" s="111">
        <f>+'Bldg+Dev'!U972</f>
        <v>0</v>
      </c>
    </row>
    <row r="1267" spans="2:2" ht="16.5" hidden="1">
      <c r="B1267" s="111">
        <f>+'Bldg+Dev'!U973</f>
        <v>0</v>
      </c>
    </row>
    <row r="1268" spans="2:2" ht="16.5" hidden="1">
      <c r="B1268" s="111">
        <f>+'Bldg+Dev'!U974</f>
        <v>0</v>
      </c>
    </row>
    <row r="1269" spans="2:2" ht="16.5" hidden="1">
      <c r="B1269" s="111">
        <f>+'Bldg+Dev'!U975</f>
        <v>0</v>
      </c>
    </row>
    <row r="1270" spans="2:2" ht="16.5" hidden="1">
      <c r="B1270" s="111">
        <f>+'Bldg+Dev'!U976</f>
        <v>0</v>
      </c>
    </row>
    <row r="1271" spans="2:2" ht="16.5" hidden="1">
      <c r="B1271" s="111">
        <f>+'Bldg+Dev'!U977</f>
        <v>0</v>
      </c>
    </row>
    <row r="1272" spans="2:2" ht="16.5" hidden="1">
      <c r="B1272" s="111">
        <f>+'Bldg+Dev'!U978</f>
        <v>0</v>
      </c>
    </row>
    <row r="1273" spans="2:2" ht="16.5" hidden="1">
      <c r="B1273" s="111">
        <f>+'Bldg+Dev'!U979</f>
        <v>0</v>
      </c>
    </row>
    <row r="1274" spans="2:2" ht="16.5" hidden="1">
      <c r="B1274" s="111">
        <f>+'Bldg+Dev'!U980</f>
        <v>0</v>
      </c>
    </row>
    <row r="1275" spans="2:2" ht="16.5" hidden="1">
      <c r="B1275" s="111">
        <f>+'Bldg+Dev'!U981</f>
        <v>0</v>
      </c>
    </row>
    <row r="1276" spans="2:2" ht="16.5" hidden="1">
      <c r="B1276" s="111">
        <f>+'Bldg+Dev'!U982</f>
        <v>0</v>
      </c>
    </row>
    <row r="1277" spans="2:2" ht="16.5" hidden="1">
      <c r="B1277" s="111">
        <f>+'Bldg+Dev'!U983</f>
        <v>0</v>
      </c>
    </row>
    <row r="1278" spans="2:2" ht="16.5" hidden="1">
      <c r="B1278" s="111">
        <f>+'Bldg+Dev'!U984</f>
        <v>0</v>
      </c>
    </row>
    <row r="1279" spans="2:2" ht="16.5" hidden="1">
      <c r="B1279" s="111">
        <f>+'Bldg+Dev'!U985</f>
        <v>0</v>
      </c>
    </row>
    <row r="1280" spans="2:2" ht="16.5" hidden="1">
      <c r="B1280" s="111">
        <f>+'Bldg+Dev'!U986</f>
        <v>0</v>
      </c>
    </row>
    <row r="1281" spans="2:2" ht="16.5" hidden="1">
      <c r="B1281" s="111">
        <f>+'Bldg+Dev'!U987</f>
        <v>0</v>
      </c>
    </row>
    <row r="1282" spans="2:2" ht="16.5" hidden="1">
      <c r="B1282" s="111">
        <f>+'Bldg+Dev'!U988</f>
        <v>0</v>
      </c>
    </row>
    <row r="1283" spans="2:2" ht="16.5" hidden="1">
      <c r="B1283" s="111">
        <f>+'Bldg+Dev'!U989</f>
        <v>0</v>
      </c>
    </row>
    <row r="1284" spans="2:2" ht="16.5" hidden="1">
      <c r="B1284" s="111">
        <f>+'Bldg+Dev'!U990</f>
        <v>0</v>
      </c>
    </row>
    <row r="1285" spans="2:2" ht="16.5" hidden="1">
      <c r="B1285" s="111">
        <f>+'Bldg+Dev'!U991</f>
        <v>0</v>
      </c>
    </row>
    <row r="1286" spans="2:2" ht="16.5" hidden="1">
      <c r="B1286" s="111">
        <f>+'Bldg+Dev'!U992</f>
        <v>0</v>
      </c>
    </row>
    <row r="1287" spans="2:2" ht="16.5" hidden="1">
      <c r="B1287" s="111">
        <f>+'Bldg+Dev'!U993</f>
        <v>0</v>
      </c>
    </row>
    <row r="1288" spans="2:2" ht="16.5" hidden="1">
      <c r="B1288" s="111">
        <f>+'Bldg+Dev'!U994</f>
        <v>0</v>
      </c>
    </row>
    <row r="1289" spans="2:2" ht="16.5" hidden="1">
      <c r="B1289" s="111">
        <f>+'Bldg+Dev'!U995</f>
        <v>0</v>
      </c>
    </row>
    <row r="1290" spans="2:2" ht="16.5" hidden="1">
      <c r="B1290" s="111">
        <f>+'Bldg+Dev'!U996</f>
        <v>0</v>
      </c>
    </row>
    <row r="1291" spans="2:2" ht="16.5" hidden="1">
      <c r="B1291" s="111">
        <f>+'Bldg+Dev'!U997</f>
        <v>0</v>
      </c>
    </row>
    <row r="1292" spans="2:2" ht="16.5" hidden="1">
      <c r="B1292" s="111">
        <f>+'Bldg+Dev'!U998</f>
        <v>0</v>
      </c>
    </row>
    <row r="1293" spans="2:2" ht="16.5" hidden="1">
      <c r="B1293" s="111">
        <f>+'Bldg+Dev'!U999</f>
        <v>0</v>
      </c>
    </row>
    <row r="1294" spans="2:2" ht="16.5" hidden="1">
      <c r="B1294" s="111">
        <f>+'Bldg+Dev'!U1000</f>
        <v>0</v>
      </c>
    </row>
    <row r="1295" spans="2:2" ht="16.5" hidden="1">
      <c r="B1295" s="111">
        <f>+'Bldg+Dev'!U1001</f>
        <v>0</v>
      </c>
    </row>
    <row r="1296" spans="2:2" ht="16.5" hidden="1">
      <c r="B1296" s="111">
        <f>+'Bldg+Dev'!U1002</f>
        <v>0</v>
      </c>
    </row>
    <row r="1297" spans="2:2" ht="16.5" hidden="1">
      <c r="B1297" s="111">
        <f>+'Bldg+Dev'!U1003</f>
        <v>0</v>
      </c>
    </row>
    <row r="1298" spans="2:2" ht="16.5" hidden="1">
      <c r="B1298" s="111">
        <f>+'Bldg+Dev'!U1004</f>
        <v>0</v>
      </c>
    </row>
    <row r="1299" spans="2:2" ht="16.5" hidden="1">
      <c r="B1299" s="111">
        <f>+'Bldg+Dev'!U1005</f>
        <v>0</v>
      </c>
    </row>
    <row r="1300" spans="2:2" ht="16.5" hidden="1">
      <c r="B1300" s="111">
        <f>+'Bldg+Dev'!U1006</f>
        <v>0</v>
      </c>
    </row>
    <row r="1301" spans="2:2" ht="16.5" hidden="1">
      <c r="B1301" s="111">
        <f>+'Bldg+Dev'!U1007</f>
        <v>0</v>
      </c>
    </row>
    <row r="1302" spans="2:2" ht="16.5" hidden="1">
      <c r="B1302" s="111">
        <f>+'Bldg+Dev'!U1008</f>
        <v>0</v>
      </c>
    </row>
    <row r="1303" spans="2:2" ht="16.5" hidden="1">
      <c r="B1303" s="111">
        <f>+'Bldg+Dev'!U1009</f>
        <v>0</v>
      </c>
    </row>
    <row r="1304" spans="2:2" ht="16.5" hidden="1">
      <c r="B1304" s="111">
        <f>+'Bldg+Dev'!U1010</f>
        <v>0</v>
      </c>
    </row>
    <row r="1305" spans="2:2" ht="16.5" hidden="1">
      <c r="B1305" s="111">
        <f>+'Bldg+Dev'!U1011</f>
        <v>0</v>
      </c>
    </row>
    <row r="1306" spans="2:2" ht="16.5" hidden="1">
      <c r="B1306" s="111">
        <f>+'Bldg+Dev'!U1012</f>
        <v>0</v>
      </c>
    </row>
    <row r="1307" spans="2:2" ht="16.5" hidden="1">
      <c r="B1307" s="111">
        <f>+'Bldg+Dev'!U1013</f>
        <v>0</v>
      </c>
    </row>
    <row r="1308" spans="2:2" ht="16.5" hidden="1">
      <c r="B1308" s="111">
        <f>+'Bldg+Dev'!U1014</f>
        <v>0</v>
      </c>
    </row>
    <row r="1309" spans="2:2" ht="16.5" hidden="1">
      <c r="B1309" s="111">
        <f>+'Bldg+Dev'!U1015</f>
        <v>0</v>
      </c>
    </row>
    <row r="1310" spans="2:2" ht="16.5" hidden="1">
      <c r="B1310" s="111">
        <f>+'Bldg+Dev'!U1016</f>
        <v>0</v>
      </c>
    </row>
    <row r="1311" spans="2:2" ht="16.5" hidden="1">
      <c r="B1311" s="111">
        <f>+'Bldg+Dev'!U1017</f>
        <v>0</v>
      </c>
    </row>
    <row r="1312" spans="2:2" ht="16.5" hidden="1">
      <c r="B1312" s="111">
        <f>+'Bldg+Dev'!U1018</f>
        <v>0</v>
      </c>
    </row>
    <row r="1313" spans="2:2" ht="16.5" hidden="1">
      <c r="B1313" s="111">
        <f>+'Bldg+Dev'!U1019</f>
        <v>0</v>
      </c>
    </row>
    <row r="1314" spans="2:2" ht="16.5" hidden="1">
      <c r="B1314" s="111">
        <f>+'Bldg+Dev'!U1020</f>
        <v>0</v>
      </c>
    </row>
    <row r="1315" spans="2:2" ht="16.5" hidden="1">
      <c r="B1315" s="111">
        <f>+'Bldg+Dev'!U1021</f>
        <v>0</v>
      </c>
    </row>
    <row r="1316" spans="2:2" ht="16.5" hidden="1">
      <c r="B1316" s="111">
        <f>+'Bldg+Dev'!U1022</f>
        <v>0</v>
      </c>
    </row>
    <row r="1317" spans="2:2" ht="16.5" hidden="1">
      <c r="B1317" s="111">
        <f>+'Bldg+Dev'!U1023</f>
        <v>0</v>
      </c>
    </row>
    <row r="1318" spans="2:2" ht="16.5" hidden="1">
      <c r="B1318" s="111">
        <f>+'Bldg+Dev'!U1024</f>
        <v>0</v>
      </c>
    </row>
    <row r="1319" spans="2:2" ht="16.5" hidden="1">
      <c r="B1319" s="111">
        <f>+'Bldg+Dev'!U1025</f>
        <v>0</v>
      </c>
    </row>
    <row r="1320" spans="2:2" ht="16.5" hidden="1">
      <c r="B1320" s="111">
        <f>+'Bldg+Dev'!U1026</f>
        <v>0</v>
      </c>
    </row>
    <row r="1321" spans="2:2" ht="16.5" hidden="1">
      <c r="B1321" s="111">
        <f>+'Bldg+Dev'!U1027</f>
        <v>0</v>
      </c>
    </row>
    <row r="1322" spans="2:2" ht="16.5" hidden="1">
      <c r="B1322" s="111">
        <f>+'Bldg+Dev'!U1028</f>
        <v>0</v>
      </c>
    </row>
    <row r="1323" spans="2:2" ht="16.5" hidden="1">
      <c r="B1323" s="111">
        <f>+'Bldg+Dev'!U1029</f>
        <v>0</v>
      </c>
    </row>
    <row r="1324" spans="2:2" ht="16.5" hidden="1">
      <c r="B1324" s="111">
        <f>+'Bldg+Dev'!U1030</f>
        <v>0</v>
      </c>
    </row>
    <row r="1325" spans="2:2" ht="16.5" hidden="1">
      <c r="B1325" s="111">
        <f>+'Bldg+Dev'!U1031</f>
        <v>0</v>
      </c>
    </row>
    <row r="1326" spans="2:2" ht="16.5" hidden="1">
      <c r="B1326" s="111">
        <f>+'Bldg+Dev'!U1032</f>
        <v>0</v>
      </c>
    </row>
    <row r="1327" spans="2:2" ht="16.5" hidden="1">
      <c r="B1327" s="111">
        <f>+'Bldg+Dev'!U1033</f>
        <v>0</v>
      </c>
    </row>
    <row r="1328" spans="2:2" ht="16.5" hidden="1">
      <c r="B1328" s="111">
        <f>+'Bldg+Dev'!U1034</f>
        <v>0</v>
      </c>
    </row>
    <row r="1329" spans="2:2" ht="16.5" hidden="1">
      <c r="B1329" s="111">
        <f>+'Bldg+Dev'!U1035</f>
        <v>0</v>
      </c>
    </row>
    <row r="1330" spans="2:2" ht="16.5" hidden="1">
      <c r="B1330" s="111">
        <f>+'Bldg+Dev'!U1036</f>
        <v>0</v>
      </c>
    </row>
    <row r="1331" spans="2:2" ht="16.5" hidden="1">
      <c r="B1331" s="111">
        <f>+'Bldg+Dev'!U1037</f>
        <v>0</v>
      </c>
    </row>
    <row r="1332" spans="2:2" ht="16.5" hidden="1">
      <c r="B1332" s="111">
        <f>+'Bldg+Dev'!U1038</f>
        <v>0</v>
      </c>
    </row>
    <row r="1333" spans="2:2" ht="16.5" hidden="1">
      <c r="B1333" s="111">
        <f>+'Bldg+Dev'!U1039</f>
        <v>0</v>
      </c>
    </row>
    <row r="1334" spans="2:2" ht="16.5" hidden="1">
      <c r="B1334" s="111">
        <f>+'Bldg+Dev'!U1040</f>
        <v>0</v>
      </c>
    </row>
    <row r="1335" spans="2:2" ht="16.5" hidden="1">
      <c r="B1335" s="111">
        <f>+'Bldg+Dev'!U1041</f>
        <v>0</v>
      </c>
    </row>
    <row r="1336" spans="2:2" ht="16.5" hidden="1">
      <c r="B1336" s="111">
        <f>+'Bldg+Dev'!U1042</f>
        <v>0</v>
      </c>
    </row>
    <row r="1337" spans="2:2" ht="16.5" hidden="1">
      <c r="B1337" s="111">
        <f>+'Bldg+Dev'!U1043</f>
        <v>0</v>
      </c>
    </row>
    <row r="1338" spans="2:2" ht="16.5" hidden="1">
      <c r="B1338" s="111">
        <f>+'Bldg+Dev'!U1044</f>
        <v>0</v>
      </c>
    </row>
    <row r="1339" spans="2:2" ht="16.5" hidden="1">
      <c r="B1339" s="111">
        <f>+'Bldg+Dev'!U1045</f>
        <v>0</v>
      </c>
    </row>
    <row r="1340" spans="2:2" ht="16.5" hidden="1">
      <c r="B1340" s="111">
        <f>+'Bldg+Dev'!U1046</f>
        <v>0</v>
      </c>
    </row>
    <row r="1341" spans="2:2" ht="16.5" hidden="1">
      <c r="B1341" s="111">
        <f>+'Bldg+Dev'!U1047</f>
        <v>0</v>
      </c>
    </row>
    <row r="1342" spans="2:2" ht="16.5" hidden="1">
      <c r="B1342" s="111">
        <f>+'Bldg+Dev'!U1048</f>
        <v>0</v>
      </c>
    </row>
    <row r="1343" spans="2:2" ht="16.5" hidden="1">
      <c r="B1343" s="111">
        <f>+'Bldg+Dev'!U1049</f>
        <v>0</v>
      </c>
    </row>
    <row r="1344" spans="2:2" ht="16.5" hidden="1">
      <c r="B1344" s="111">
        <f>+'Bldg+Dev'!U1050</f>
        <v>0</v>
      </c>
    </row>
    <row r="1345" spans="2:2" ht="16.5" hidden="1">
      <c r="B1345" s="111">
        <f>+'Bldg+Dev'!U1051</f>
        <v>0</v>
      </c>
    </row>
    <row r="1346" spans="2:2" ht="16.5" hidden="1">
      <c r="B1346" s="111">
        <f>+'Bldg+Dev'!U1052</f>
        <v>0</v>
      </c>
    </row>
    <row r="1347" spans="2:2" ht="16.5" hidden="1">
      <c r="B1347" s="111">
        <f>+'Bldg+Dev'!U1053</f>
        <v>0</v>
      </c>
    </row>
    <row r="1348" spans="2:2" ht="16.5" hidden="1">
      <c r="B1348" s="111">
        <f>+'Bldg+Dev'!U1054</f>
        <v>0</v>
      </c>
    </row>
    <row r="1349" spans="2:2" ht="16.5" hidden="1">
      <c r="B1349" s="111">
        <f>+'Bldg+Dev'!U1055</f>
        <v>0</v>
      </c>
    </row>
    <row r="1350" spans="2:2" ht="16.5" hidden="1">
      <c r="B1350" s="111">
        <f>+'Bldg+Dev'!U1056</f>
        <v>0</v>
      </c>
    </row>
    <row r="1351" spans="2:2" ht="16.5" hidden="1">
      <c r="B1351" s="111">
        <f>+'Bldg+Dev'!U1057</f>
        <v>0</v>
      </c>
    </row>
    <row r="1352" spans="2:2" ht="16.5" hidden="1">
      <c r="B1352" s="111">
        <f>+'Bldg+Dev'!U1058</f>
        <v>0</v>
      </c>
    </row>
    <row r="1353" spans="2:2" ht="16.5" hidden="1">
      <c r="B1353" s="111">
        <f>+'Bldg+Dev'!U1059</f>
        <v>0</v>
      </c>
    </row>
    <row r="1354" spans="2:2" ht="16.5" hidden="1">
      <c r="B1354" s="111">
        <f>+'Bldg+Dev'!U1060</f>
        <v>0</v>
      </c>
    </row>
    <row r="1355" spans="2:2" ht="16.5" hidden="1">
      <c r="B1355" s="111">
        <f>+'Bldg+Dev'!U1061</f>
        <v>0</v>
      </c>
    </row>
    <row r="1356" spans="2:2" ht="16.5" hidden="1">
      <c r="B1356" s="111">
        <f>+'Bldg+Dev'!U1062</f>
        <v>0</v>
      </c>
    </row>
    <row r="1357" spans="2:2" ht="16.5" hidden="1">
      <c r="B1357" s="111">
        <f>+'Bldg+Dev'!U1063</f>
        <v>0</v>
      </c>
    </row>
    <row r="1358" spans="2:2" ht="16.5" hidden="1">
      <c r="B1358" s="111">
        <f>+'Bldg+Dev'!U1064</f>
        <v>0</v>
      </c>
    </row>
    <row r="1359" spans="2:2" ht="16.5" hidden="1">
      <c r="B1359" s="111">
        <f>+'Bldg+Dev'!U1065</f>
        <v>0</v>
      </c>
    </row>
    <row r="1360" spans="2:2" ht="16.5" hidden="1">
      <c r="B1360" s="111">
        <f>+'Bldg+Dev'!U1066</f>
        <v>0</v>
      </c>
    </row>
    <row r="1361" spans="2:2" ht="16.5" hidden="1">
      <c r="B1361" s="111">
        <f>+'Bldg+Dev'!U1067</f>
        <v>0</v>
      </c>
    </row>
    <row r="1362" spans="2:2" ht="16.5" hidden="1">
      <c r="B1362" s="111">
        <f>+'Bldg+Dev'!U1068</f>
        <v>0</v>
      </c>
    </row>
    <row r="1363" spans="2:2" ht="16.5" hidden="1">
      <c r="B1363" s="111">
        <f>+'Bldg+Dev'!U1069</f>
        <v>0</v>
      </c>
    </row>
    <row r="1364" spans="2:2" ht="16.5" hidden="1">
      <c r="B1364" s="111">
        <f>+'Bldg+Dev'!U1070</f>
        <v>0</v>
      </c>
    </row>
    <row r="1365" spans="2:2" ht="16.5" hidden="1">
      <c r="B1365" s="111">
        <f>+'Bldg+Dev'!U1071</f>
        <v>0</v>
      </c>
    </row>
    <row r="1366" spans="2:2" ht="16.5" hidden="1">
      <c r="B1366" s="111">
        <f>+'Bldg+Dev'!U1072</f>
        <v>0</v>
      </c>
    </row>
    <row r="1367" spans="2:2" ht="16.5" hidden="1">
      <c r="B1367" s="111">
        <f>+'Bldg+Dev'!U1073</f>
        <v>0</v>
      </c>
    </row>
    <row r="1368" spans="2:2" ht="16.5" hidden="1">
      <c r="B1368" s="111">
        <f>+'Bldg+Dev'!U1074</f>
        <v>0</v>
      </c>
    </row>
    <row r="1369" spans="2:2" ht="16.5" hidden="1">
      <c r="B1369" s="111">
        <f>+'Bldg+Dev'!U1075</f>
        <v>0</v>
      </c>
    </row>
    <row r="1370" spans="2:2" ht="16.5" hidden="1">
      <c r="B1370" s="111">
        <f>+'Bldg+Dev'!U1076</f>
        <v>0</v>
      </c>
    </row>
    <row r="1371" spans="2:2" ht="16.5" hidden="1">
      <c r="B1371" s="111">
        <f>+'Bldg+Dev'!U1077</f>
        <v>0</v>
      </c>
    </row>
    <row r="1372" spans="2:2" ht="16.5" hidden="1">
      <c r="B1372" s="111">
        <f>+'Bldg+Dev'!U1078</f>
        <v>0</v>
      </c>
    </row>
    <row r="1373" spans="2:2" ht="16.5" hidden="1">
      <c r="B1373" s="111">
        <f>+'Bldg+Dev'!U1079</f>
        <v>0</v>
      </c>
    </row>
    <row r="1374" spans="2:2" ht="16.5" hidden="1">
      <c r="B1374" s="111">
        <f>+'Bldg+Dev'!U1080</f>
        <v>0</v>
      </c>
    </row>
    <row r="1375" spans="2:2" ht="16.5" hidden="1">
      <c r="B1375" s="111">
        <f>+'Bldg+Dev'!U1081</f>
        <v>0</v>
      </c>
    </row>
    <row r="1376" spans="2:2" ht="16.5" hidden="1">
      <c r="B1376" s="111">
        <f>+'Bldg+Dev'!U1082</f>
        <v>0</v>
      </c>
    </row>
    <row r="1377" spans="2:2" ht="16.5" hidden="1">
      <c r="B1377" s="111">
        <f>+'Bldg+Dev'!U1083</f>
        <v>0</v>
      </c>
    </row>
    <row r="1378" spans="2:2" ht="16.5" hidden="1">
      <c r="B1378" s="111">
        <f>+'Bldg+Dev'!U1084</f>
        <v>0</v>
      </c>
    </row>
    <row r="1379" spans="2:2" ht="16.5" hidden="1">
      <c r="B1379" s="111">
        <f>+'Bldg+Dev'!U1085</f>
        <v>0</v>
      </c>
    </row>
    <row r="1380" spans="2:2" ht="16.5" hidden="1">
      <c r="B1380" s="111">
        <f>+'Bldg+Dev'!U1086</f>
        <v>0</v>
      </c>
    </row>
    <row r="1381" spans="2:2" ht="16.5" hidden="1">
      <c r="B1381" s="111">
        <f>+'Bldg+Dev'!U1087</f>
        <v>0</v>
      </c>
    </row>
    <row r="1382" spans="2:2" ht="16.5" hidden="1">
      <c r="B1382" s="111">
        <f>+'Bldg+Dev'!U1088</f>
        <v>0</v>
      </c>
    </row>
    <row r="1383" spans="2:2" ht="16.5" hidden="1">
      <c r="B1383" s="111">
        <f>+'Bldg+Dev'!U1089</f>
        <v>0</v>
      </c>
    </row>
    <row r="1384" spans="2:2" ht="16.5" hidden="1">
      <c r="B1384" s="111">
        <f>+'Bldg+Dev'!U1090</f>
        <v>0</v>
      </c>
    </row>
    <row r="1385" spans="2:2" ht="16.5" hidden="1">
      <c r="B1385" s="111">
        <f>+'Bldg+Dev'!U1091</f>
        <v>0</v>
      </c>
    </row>
    <row r="1386" spans="2:2" ht="16.5" hidden="1">
      <c r="B1386" s="111">
        <f>+'Bldg+Dev'!U1092</f>
        <v>0</v>
      </c>
    </row>
    <row r="1387" spans="2:2" ht="16.5" hidden="1">
      <c r="B1387" s="111">
        <f>+'Bldg+Dev'!U1093</f>
        <v>0</v>
      </c>
    </row>
    <row r="1388" spans="2:2" ht="16.5" hidden="1">
      <c r="B1388" s="111">
        <f>+'Bldg+Dev'!U1094</f>
        <v>0</v>
      </c>
    </row>
    <row r="1389" spans="2:2" ht="16.5" hidden="1">
      <c r="B1389" s="111">
        <f>+'Bldg+Dev'!U1095</f>
        <v>0</v>
      </c>
    </row>
    <row r="1390" spans="2:2" ht="16.5" hidden="1">
      <c r="B1390" s="111">
        <f>+'Bldg+Dev'!U1096</f>
        <v>0</v>
      </c>
    </row>
    <row r="1391" spans="2:2" ht="16.5" hidden="1">
      <c r="B1391" s="111">
        <f>+'Bldg+Dev'!U1097</f>
        <v>0</v>
      </c>
    </row>
    <row r="1392" spans="2:2" ht="16.5" hidden="1">
      <c r="B1392" s="111">
        <f>+'Bldg+Dev'!U1098</f>
        <v>0</v>
      </c>
    </row>
    <row r="1393" spans="2:2" ht="16.5" hidden="1">
      <c r="B1393" s="111">
        <f>+'Bldg+Dev'!U1099</f>
        <v>0</v>
      </c>
    </row>
    <row r="1394" spans="2:2" ht="16.5" hidden="1">
      <c r="B1394" s="111">
        <f>+'Bldg+Dev'!U1100</f>
        <v>0</v>
      </c>
    </row>
    <row r="1395" spans="2:2" ht="16.5" hidden="1">
      <c r="B1395" s="111">
        <f>+'Bldg+Dev'!U1101</f>
        <v>0</v>
      </c>
    </row>
    <row r="1396" spans="2:2" ht="16.5" hidden="1">
      <c r="B1396" s="111">
        <f>+'Bldg+Dev'!U1102</f>
        <v>0</v>
      </c>
    </row>
    <row r="1397" spans="2:2" ht="16.5" hidden="1">
      <c r="B1397" s="111">
        <f>+'Bldg+Dev'!U1103</f>
        <v>0</v>
      </c>
    </row>
    <row r="1398" spans="2:2" ht="16.5" hidden="1">
      <c r="B1398" s="111">
        <f>+'Bldg+Dev'!U1104</f>
        <v>0</v>
      </c>
    </row>
    <row r="1399" spans="2:2" ht="16.5" hidden="1">
      <c r="B1399" s="111">
        <f>+'Bldg+Dev'!U1105</f>
        <v>0</v>
      </c>
    </row>
    <row r="1400" spans="2:2" ht="16.5" hidden="1">
      <c r="B1400" s="111">
        <f>+'Bldg+Dev'!U1106</f>
        <v>0</v>
      </c>
    </row>
    <row r="1401" spans="2:2" ht="16.5" hidden="1">
      <c r="B1401" s="111">
        <f>+'Bldg+Dev'!U1107</f>
        <v>0</v>
      </c>
    </row>
    <row r="1402" spans="2:2" ht="16.5" hidden="1">
      <c r="B1402" s="111">
        <f>+'Bldg+Dev'!U1108</f>
        <v>0</v>
      </c>
    </row>
    <row r="1403" spans="2:2" ht="16.5" hidden="1">
      <c r="B1403" s="111">
        <f>+'Bldg+Dev'!U1109</f>
        <v>0</v>
      </c>
    </row>
    <row r="1404" spans="2:2" ht="16.5" hidden="1">
      <c r="B1404" s="111">
        <f>+'Bldg+Dev'!U1110</f>
        <v>0</v>
      </c>
    </row>
    <row r="1405" spans="2:2" ht="16.5" hidden="1">
      <c r="B1405" s="111">
        <f>+'Bldg+Dev'!U1111</f>
        <v>0</v>
      </c>
    </row>
    <row r="1406" spans="2:2" ht="16.5" hidden="1">
      <c r="B1406" s="111">
        <f>+'Bldg+Dev'!U1112</f>
        <v>0</v>
      </c>
    </row>
    <row r="1407" spans="2:2" ht="16.5" hidden="1">
      <c r="B1407" s="111">
        <f>+'Bldg+Dev'!U1113</f>
        <v>0</v>
      </c>
    </row>
    <row r="1408" spans="2:2" ht="16.5" hidden="1">
      <c r="B1408" s="111">
        <f>+'Bldg+Dev'!U1114</f>
        <v>0</v>
      </c>
    </row>
    <row r="1409" spans="2:2" ht="16.5" hidden="1">
      <c r="B1409" s="111">
        <f>+'Bldg+Dev'!U1115</f>
        <v>0</v>
      </c>
    </row>
    <row r="1410" spans="2:2" ht="16.5" hidden="1">
      <c r="B1410" s="111">
        <f>+'Bldg+Dev'!U1116</f>
        <v>0</v>
      </c>
    </row>
    <row r="1411" spans="2:2" ht="16.5" hidden="1">
      <c r="B1411" s="111">
        <f>+'Bldg+Dev'!U1117</f>
        <v>0</v>
      </c>
    </row>
    <row r="1412" spans="2:2" ht="16.5" hidden="1">
      <c r="B1412" s="111">
        <f>+'Bldg+Dev'!U1118</f>
        <v>0</v>
      </c>
    </row>
    <row r="1413" spans="2:2" ht="16.5" hidden="1">
      <c r="B1413" s="111">
        <f>+'Bldg+Dev'!U1119</f>
        <v>0</v>
      </c>
    </row>
    <row r="1414" spans="2:2" ht="16.5" hidden="1">
      <c r="B1414" s="111">
        <f>+'Bldg+Dev'!U1120</f>
        <v>0</v>
      </c>
    </row>
    <row r="1415" spans="2:2" ht="16.5" hidden="1">
      <c r="B1415" s="111">
        <f>+'Bldg+Dev'!U1121</f>
        <v>0</v>
      </c>
    </row>
    <row r="1416" spans="2:2" ht="16.5" hidden="1">
      <c r="B1416" s="111">
        <f>+'Bldg+Dev'!U1122</f>
        <v>0</v>
      </c>
    </row>
    <row r="1417" spans="2:2" ht="16.5" hidden="1">
      <c r="B1417" s="111">
        <f>+'Bldg+Dev'!U1123</f>
        <v>0</v>
      </c>
    </row>
    <row r="1418" spans="2:2" ht="16.5" hidden="1">
      <c r="B1418" s="111">
        <f>+'Bldg+Dev'!U1124</f>
        <v>0</v>
      </c>
    </row>
    <row r="1419" spans="2:2" ht="16.5" hidden="1">
      <c r="B1419" s="111">
        <f>+'Bldg+Dev'!U1125</f>
        <v>0</v>
      </c>
    </row>
    <row r="1420" spans="2:2" ht="16.5" hidden="1">
      <c r="B1420" s="111">
        <f>+'Bldg+Dev'!U1126</f>
        <v>0</v>
      </c>
    </row>
    <row r="1421" spans="2:2" ht="16.5" hidden="1">
      <c r="B1421" s="111">
        <f>+'Bldg+Dev'!U1127</f>
        <v>0</v>
      </c>
    </row>
    <row r="1422" spans="2:2" ht="16.5" hidden="1">
      <c r="B1422" s="111">
        <f>+'Bldg+Dev'!U1128</f>
        <v>0</v>
      </c>
    </row>
    <row r="1423" spans="2:2" ht="16.5" hidden="1">
      <c r="B1423" s="111">
        <f>+'Bldg+Dev'!U1129</f>
        <v>0</v>
      </c>
    </row>
    <row r="1424" spans="2:2" ht="16.5" hidden="1">
      <c r="B1424" s="111">
        <f>+'Bldg+Dev'!U1130</f>
        <v>0</v>
      </c>
    </row>
    <row r="1425" spans="2:2" ht="16.5" hidden="1">
      <c r="B1425" s="111">
        <f>+'Bldg+Dev'!U1131</f>
        <v>0</v>
      </c>
    </row>
    <row r="1426" spans="2:2" ht="16.5" hidden="1">
      <c r="B1426" s="111">
        <f>+'Bldg+Dev'!U1132</f>
        <v>0</v>
      </c>
    </row>
    <row r="1427" spans="2:2" ht="16.5" hidden="1">
      <c r="B1427" s="111">
        <f>+'Bldg+Dev'!U1133</f>
        <v>0</v>
      </c>
    </row>
    <row r="1428" spans="2:2" ht="16.5" hidden="1">
      <c r="B1428" s="111">
        <f>+'Bldg+Dev'!U1134</f>
        <v>0</v>
      </c>
    </row>
    <row r="1429" spans="2:2" ht="16.5" hidden="1">
      <c r="B1429" s="111">
        <f>+'Bldg+Dev'!U1135</f>
        <v>0</v>
      </c>
    </row>
    <row r="1430" spans="2:2" ht="16.5" hidden="1">
      <c r="B1430" s="111">
        <f>+'Bldg+Dev'!U1136</f>
        <v>0</v>
      </c>
    </row>
    <row r="1431" spans="2:2" ht="16.5" hidden="1">
      <c r="B1431" s="111">
        <f>+'Bldg+Dev'!U1137</f>
        <v>0</v>
      </c>
    </row>
    <row r="1432" spans="2:2" ht="16.5" hidden="1">
      <c r="B1432" s="111">
        <f>+'Bldg+Dev'!U1138</f>
        <v>0</v>
      </c>
    </row>
    <row r="1433" spans="2:2" ht="16.5" hidden="1">
      <c r="B1433" s="111">
        <f>+'Bldg+Dev'!U1139</f>
        <v>0</v>
      </c>
    </row>
    <row r="1434" spans="2:2" ht="16.5" hidden="1">
      <c r="B1434" s="111">
        <f>+'Bldg+Dev'!U1140</f>
        <v>0</v>
      </c>
    </row>
    <row r="1435" spans="2:2" ht="16.5" hidden="1">
      <c r="B1435" s="111">
        <f>+'Bldg+Dev'!U1141</f>
        <v>0</v>
      </c>
    </row>
    <row r="1436" spans="2:2" ht="16.5" hidden="1">
      <c r="B1436" s="111">
        <f>+'Bldg+Dev'!U1142</f>
        <v>0</v>
      </c>
    </row>
    <row r="1437" spans="2:2" ht="16.5" hidden="1">
      <c r="B1437" s="111">
        <f>+'Bldg+Dev'!U1143</f>
        <v>0</v>
      </c>
    </row>
    <row r="1438" spans="2:2" ht="16.5" hidden="1">
      <c r="B1438" s="111">
        <f>+'Bldg+Dev'!U1144</f>
        <v>0</v>
      </c>
    </row>
    <row r="1439" spans="2:2" ht="16.5" hidden="1">
      <c r="B1439" s="111">
        <f>+'Bldg+Dev'!U1145</f>
        <v>0</v>
      </c>
    </row>
    <row r="1440" spans="2:2" ht="16.5" hidden="1">
      <c r="B1440" s="111">
        <f>+'Bldg+Dev'!U1146</f>
        <v>0</v>
      </c>
    </row>
    <row r="1441" spans="2:2" ht="16.5" hidden="1">
      <c r="B1441" s="111">
        <f>+'Bldg+Dev'!U1147</f>
        <v>0</v>
      </c>
    </row>
    <row r="1442" spans="2:2" ht="16.5" hidden="1">
      <c r="B1442" s="111">
        <f>+'Bldg+Dev'!U1148</f>
        <v>0</v>
      </c>
    </row>
    <row r="1443" spans="2:2" ht="16.5" hidden="1">
      <c r="B1443" s="111">
        <f>+'Bldg+Dev'!U1149</f>
        <v>0</v>
      </c>
    </row>
    <row r="1444" spans="2:2" ht="16.5" hidden="1">
      <c r="B1444" s="111">
        <f>+'Bldg+Dev'!U1150</f>
        <v>0</v>
      </c>
    </row>
    <row r="1445" spans="2:2" ht="16.5" hidden="1">
      <c r="B1445" s="111">
        <f>+'Bldg+Dev'!U1151</f>
        <v>0</v>
      </c>
    </row>
    <row r="1446" spans="2:2" ht="16.5" hidden="1">
      <c r="B1446" s="111">
        <f>+'Bldg+Dev'!U1152</f>
        <v>0</v>
      </c>
    </row>
    <row r="1447" spans="2:2" ht="16.5" hidden="1">
      <c r="B1447" s="111">
        <f>+'Bldg+Dev'!U1153</f>
        <v>0</v>
      </c>
    </row>
    <row r="1448" spans="2:2" ht="16.5" hidden="1">
      <c r="B1448" s="111">
        <f>+'Bldg+Dev'!U1154</f>
        <v>0</v>
      </c>
    </row>
    <row r="1449" spans="2:2" ht="16.5" hidden="1">
      <c r="B1449" s="111">
        <f>+'Bldg+Dev'!U1155</f>
        <v>0</v>
      </c>
    </row>
    <row r="1450" spans="2:2" ht="16.5" hidden="1">
      <c r="B1450" s="111">
        <f>+'Bldg+Dev'!U1156</f>
        <v>0</v>
      </c>
    </row>
    <row r="1451" spans="2:2" ht="16.5" hidden="1">
      <c r="B1451" s="111">
        <f>+'Bldg+Dev'!U1157</f>
        <v>0</v>
      </c>
    </row>
    <row r="1452" spans="2:2" ht="16.5" hidden="1">
      <c r="B1452" s="111">
        <f>+'Bldg+Dev'!U1158</f>
        <v>0</v>
      </c>
    </row>
    <row r="1453" spans="2:2" ht="16.5" hidden="1">
      <c r="B1453" s="111">
        <f>+'Bldg+Dev'!U1159</f>
        <v>0</v>
      </c>
    </row>
    <row r="1454" spans="2:2" ht="16.5" hidden="1">
      <c r="B1454" s="111">
        <f>+'Bldg+Dev'!U1160</f>
        <v>0</v>
      </c>
    </row>
    <row r="1455" spans="2:2" ht="16.5" hidden="1">
      <c r="B1455" s="111">
        <f>+'Bldg+Dev'!U1161</f>
        <v>0</v>
      </c>
    </row>
    <row r="1456" spans="2:2" ht="16.5" hidden="1">
      <c r="B1456" s="111">
        <f>+'Bldg+Dev'!U1162</f>
        <v>0</v>
      </c>
    </row>
    <row r="1457" spans="2:2" ht="16.5" hidden="1">
      <c r="B1457" s="111">
        <f>+'Bldg+Dev'!U1163</f>
        <v>0</v>
      </c>
    </row>
    <row r="1458" spans="2:2" ht="16.5" hidden="1">
      <c r="B1458" s="111">
        <f>+'Bldg+Dev'!U1164</f>
        <v>0</v>
      </c>
    </row>
    <row r="1459" spans="2:2" ht="16.5" hidden="1">
      <c r="B1459" s="111">
        <f>+'Bldg+Dev'!U1165</f>
        <v>0</v>
      </c>
    </row>
    <row r="1460" spans="2:2" ht="16.5" hidden="1">
      <c r="B1460" s="111">
        <f>+'Bldg+Dev'!U1166</f>
        <v>0</v>
      </c>
    </row>
    <row r="1461" spans="2:2" ht="16.5" hidden="1">
      <c r="B1461" s="111">
        <f>+'Bldg+Dev'!U1167</f>
        <v>0</v>
      </c>
    </row>
    <row r="1462" spans="2:2" ht="16.5" hidden="1">
      <c r="B1462" s="111">
        <f>+'Bldg+Dev'!U1168</f>
        <v>0</v>
      </c>
    </row>
    <row r="1463" spans="2:2" ht="16.5" hidden="1">
      <c r="B1463" s="111">
        <f>+'Bldg+Dev'!U1169</f>
        <v>0</v>
      </c>
    </row>
    <row r="1464" spans="2:2" ht="16.5" hidden="1">
      <c r="B1464" s="111">
        <f>+'Bldg+Dev'!U1170</f>
        <v>0</v>
      </c>
    </row>
    <row r="1465" spans="2:2" ht="16.5" hidden="1">
      <c r="B1465" s="111">
        <f>+'Bldg+Dev'!U1171</f>
        <v>0</v>
      </c>
    </row>
    <row r="1466" spans="2:2" ht="16.5" hidden="1">
      <c r="B1466" s="111">
        <f>+'Bldg+Dev'!U1172</f>
        <v>0</v>
      </c>
    </row>
    <row r="1467" spans="2:2" ht="16.5" hidden="1">
      <c r="B1467" s="111">
        <f>+'Bldg+Dev'!U1173</f>
        <v>0</v>
      </c>
    </row>
    <row r="1468" spans="2:2" ht="16.5" hidden="1">
      <c r="B1468" s="111">
        <f>+'Bldg+Dev'!U1174</f>
        <v>0</v>
      </c>
    </row>
    <row r="1469" spans="2:2" ht="16.5" hidden="1">
      <c r="B1469" s="111">
        <f>+'Bldg+Dev'!U1175</f>
        <v>0</v>
      </c>
    </row>
    <row r="1470" spans="2:2" ht="16.5" hidden="1">
      <c r="B1470" s="111">
        <f>+'Bldg+Dev'!U1176</f>
        <v>0</v>
      </c>
    </row>
    <row r="1471" spans="2:2" ht="16.5" hidden="1">
      <c r="B1471" s="111">
        <f>+'Bldg+Dev'!U1177</f>
        <v>0</v>
      </c>
    </row>
    <row r="1472" spans="2:2" ht="16.5" hidden="1">
      <c r="B1472" s="111">
        <f>+'Bldg+Dev'!U1178</f>
        <v>0</v>
      </c>
    </row>
    <row r="1473" spans="2:2" ht="16.5" hidden="1">
      <c r="B1473" s="111">
        <f>+'Bldg+Dev'!U1179</f>
        <v>0</v>
      </c>
    </row>
    <row r="1474" spans="2:2" ht="16.5" hidden="1">
      <c r="B1474" s="111">
        <f>+'Bldg+Dev'!U1180</f>
        <v>0</v>
      </c>
    </row>
    <row r="1475" spans="2:2" ht="16.5" hidden="1">
      <c r="B1475" s="111">
        <f>+'Bldg+Dev'!U1181</f>
        <v>0</v>
      </c>
    </row>
    <row r="1476" spans="2:2" ht="16.5" hidden="1">
      <c r="B1476" s="111">
        <f>+'Bldg+Dev'!U1182</f>
        <v>0</v>
      </c>
    </row>
    <row r="1477" spans="2:2" ht="16.5" hidden="1">
      <c r="B1477" s="111">
        <f>+'Bldg+Dev'!U1183</f>
        <v>0</v>
      </c>
    </row>
    <row r="1478" spans="2:2" ht="16.5" hidden="1">
      <c r="B1478" s="111">
        <f>+'Bldg+Dev'!U1184</f>
        <v>0</v>
      </c>
    </row>
    <row r="1479" spans="2:2" ht="16.5" hidden="1">
      <c r="B1479" s="111">
        <f>+'Bldg+Dev'!U1185</f>
        <v>0</v>
      </c>
    </row>
    <row r="1480" spans="2:2" ht="16.5" hidden="1">
      <c r="B1480" s="111">
        <f>+'Bldg+Dev'!U1186</f>
        <v>0</v>
      </c>
    </row>
    <row r="1481" spans="2:2" ht="16.5" hidden="1">
      <c r="B1481" s="111">
        <f>+'Bldg+Dev'!U1187</f>
        <v>0</v>
      </c>
    </row>
    <row r="1482" spans="2:2" ht="16.5" hidden="1">
      <c r="B1482" s="111">
        <f>+'Bldg+Dev'!U1188</f>
        <v>0</v>
      </c>
    </row>
    <row r="1483" spans="2:2" ht="16.5" hidden="1">
      <c r="B1483" s="111">
        <f>+'Bldg+Dev'!U1189</f>
        <v>0</v>
      </c>
    </row>
    <row r="1484" spans="2:2" ht="16.5" hidden="1">
      <c r="B1484" s="111">
        <f>+'Bldg+Dev'!U1190</f>
        <v>0</v>
      </c>
    </row>
    <row r="1485" spans="2:2" ht="16.5" hidden="1">
      <c r="B1485" s="111">
        <f>+'Bldg+Dev'!U1191</f>
        <v>0</v>
      </c>
    </row>
    <row r="1486" spans="2:2" ht="16.5" hidden="1">
      <c r="B1486" s="111">
        <f>+'Bldg+Dev'!U1192</f>
        <v>0</v>
      </c>
    </row>
    <row r="1487" spans="2:2" ht="16.5" hidden="1">
      <c r="B1487" s="111">
        <f>+'Bldg+Dev'!U1193</f>
        <v>0</v>
      </c>
    </row>
    <row r="1488" spans="2:2" ht="16.5" hidden="1">
      <c r="B1488" s="111">
        <f>+'Bldg+Dev'!U1194</f>
        <v>0</v>
      </c>
    </row>
    <row r="1489" spans="2:2" ht="16.5" hidden="1">
      <c r="B1489" s="111">
        <f>+'Bldg+Dev'!U1195</f>
        <v>0</v>
      </c>
    </row>
    <row r="1490" spans="2:2" ht="16.5" hidden="1">
      <c r="B1490" s="111">
        <f>+'Bldg+Dev'!U1196</f>
        <v>0</v>
      </c>
    </row>
    <row r="1491" spans="2:2" ht="16.5" hidden="1">
      <c r="B1491" s="111">
        <f>+'Bldg+Dev'!U1197</f>
        <v>0</v>
      </c>
    </row>
    <row r="1492" spans="2:2" ht="16.5" hidden="1">
      <c r="B1492" s="111">
        <f>+'Bldg+Dev'!U1198</f>
        <v>0</v>
      </c>
    </row>
    <row r="1493" spans="2:2" ht="16.5" hidden="1">
      <c r="B1493" s="111">
        <f>+'Bldg+Dev'!U1199</f>
        <v>0</v>
      </c>
    </row>
    <row r="1494" spans="2:2" ht="16.5" hidden="1">
      <c r="B1494" s="111">
        <f>+'Bldg+Dev'!U1200</f>
        <v>0</v>
      </c>
    </row>
    <row r="1495" spans="2:2" ht="16.5" hidden="1">
      <c r="B1495" s="111">
        <f>+'Bldg+Dev'!U1201</f>
        <v>0</v>
      </c>
    </row>
    <row r="1496" spans="2:2" ht="16.5" hidden="1">
      <c r="B1496" s="111">
        <f>+'Bldg+Dev'!U1202</f>
        <v>0</v>
      </c>
    </row>
    <row r="1497" spans="2:2" ht="16.5" hidden="1">
      <c r="B1497" s="111">
        <f>+'Bldg+Dev'!U1203</f>
        <v>0</v>
      </c>
    </row>
    <row r="1498" spans="2:2" ht="16.5" hidden="1">
      <c r="B1498" s="111">
        <f>+'Bldg+Dev'!U1204</f>
        <v>0</v>
      </c>
    </row>
    <row r="1499" spans="2:2" ht="16.5" hidden="1">
      <c r="B1499" s="111">
        <f>+'Bldg+Dev'!U1205</f>
        <v>0</v>
      </c>
    </row>
    <row r="1500" spans="2:2" ht="16.5" hidden="1">
      <c r="B1500" s="111">
        <f>+'Bldg+Dev'!U1206</f>
        <v>0</v>
      </c>
    </row>
    <row r="1501" spans="2:2" ht="16.5" hidden="1">
      <c r="B1501" s="111">
        <f>+'Bldg+Dev'!U1207</f>
        <v>0</v>
      </c>
    </row>
    <row r="1502" spans="2:2" ht="16.5" hidden="1">
      <c r="B1502" s="111">
        <f>+'Bldg+Dev'!U1208</f>
        <v>0</v>
      </c>
    </row>
    <row r="1503" spans="2:2" ht="16.5" hidden="1">
      <c r="B1503" s="111">
        <f>+'Bldg+Dev'!U1209</f>
        <v>0</v>
      </c>
    </row>
    <row r="1504" spans="2:2" ht="16.5" hidden="1">
      <c r="B1504" s="111">
        <f>+'Bldg+Dev'!U1210</f>
        <v>0</v>
      </c>
    </row>
    <row r="1505" spans="2:2" ht="16.5" hidden="1">
      <c r="B1505" s="111">
        <f>+'Bldg+Dev'!U1211</f>
        <v>0</v>
      </c>
    </row>
    <row r="1506" spans="2:2" ht="16.5" hidden="1">
      <c r="B1506" s="111">
        <f>+'Bldg+Dev'!U1212</f>
        <v>0</v>
      </c>
    </row>
    <row r="1507" spans="2:2" ht="16.5" hidden="1">
      <c r="B1507" s="111">
        <f>+'Bldg+Dev'!U1213</f>
        <v>0</v>
      </c>
    </row>
    <row r="1508" spans="2:2" ht="16.5" hidden="1">
      <c r="B1508" s="111">
        <f>+'Bldg+Dev'!U1214</f>
        <v>0</v>
      </c>
    </row>
    <row r="1509" spans="2:2" ht="16.5" hidden="1">
      <c r="B1509" s="111">
        <f>+'Bldg+Dev'!U1215</f>
        <v>0</v>
      </c>
    </row>
    <row r="1510" spans="2:2" ht="16.5" hidden="1">
      <c r="B1510" s="111">
        <f>+'Bldg+Dev'!U1216</f>
        <v>0</v>
      </c>
    </row>
    <row r="1511" spans="2:2" ht="16.5" hidden="1">
      <c r="B1511" s="111">
        <f>+'Bldg+Dev'!U1217</f>
        <v>0</v>
      </c>
    </row>
    <row r="1512" spans="2:2" ht="16.5" hidden="1">
      <c r="B1512" s="111">
        <f>+'Bldg+Dev'!U1218</f>
        <v>0</v>
      </c>
    </row>
    <row r="1513" spans="2:2" ht="16.5" hidden="1">
      <c r="B1513" s="111">
        <f>+'Bldg+Dev'!U1219</f>
        <v>0</v>
      </c>
    </row>
    <row r="1514" spans="2:2" ht="16.5" hidden="1">
      <c r="B1514" s="111">
        <f>+'Bldg+Dev'!U1220</f>
        <v>0</v>
      </c>
    </row>
    <row r="1515" spans="2:2" ht="16.5" hidden="1">
      <c r="B1515" s="111">
        <f>+'Bldg+Dev'!U1221</f>
        <v>0</v>
      </c>
    </row>
    <row r="1516" spans="2:2" ht="16.5" hidden="1">
      <c r="B1516" s="111">
        <f>+'Bldg+Dev'!U1222</f>
        <v>0</v>
      </c>
    </row>
    <row r="1517" spans="2:2" ht="16.5" hidden="1">
      <c r="B1517" s="111">
        <f>+'Bldg+Dev'!U1223</f>
        <v>0</v>
      </c>
    </row>
    <row r="1518" spans="2:2" ht="16.5" hidden="1">
      <c r="B1518" s="111">
        <f>+'Bldg+Dev'!U1224</f>
        <v>0</v>
      </c>
    </row>
    <row r="1519" spans="2:2" ht="16.5" hidden="1">
      <c r="B1519" s="111">
        <f>+'Bldg+Dev'!U1225</f>
        <v>0</v>
      </c>
    </row>
    <row r="1520" spans="2:2" ht="16.5" hidden="1">
      <c r="B1520" s="111">
        <f>+'Bldg+Dev'!U1226</f>
        <v>0</v>
      </c>
    </row>
    <row r="1521" spans="2:2" ht="16.5" hidden="1">
      <c r="B1521" s="111">
        <f>+'Bldg+Dev'!U1227</f>
        <v>0</v>
      </c>
    </row>
    <row r="1522" spans="2:2" ht="16.5" hidden="1">
      <c r="B1522" s="111">
        <f>+'Bldg+Dev'!U1228</f>
        <v>0</v>
      </c>
    </row>
    <row r="1523" spans="2:2" ht="16.5" hidden="1">
      <c r="B1523" s="111">
        <f>+'Bldg+Dev'!U1229</f>
        <v>0</v>
      </c>
    </row>
    <row r="1524" spans="2:2" ht="16.5" hidden="1">
      <c r="B1524" s="111">
        <f>+'Bldg+Dev'!U1230</f>
        <v>0</v>
      </c>
    </row>
    <row r="1525" spans="2:2" ht="16.5" hidden="1">
      <c r="B1525" s="111">
        <f>+'Bldg+Dev'!U1231</f>
        <v>0</v>
      </c>
    </row>
    <row r="1526" spans="2:2" ht="16.5" hidden="1">
      <c r="B1526" s="111">
        <f>+'Bldg+Dev'!U1232</f>
        <v>0</v>
      </c>
    </row>
    <row r="1527" spans="2:2" ht="16.5" hidden="1">
      <c r="B1527" s="111">
        <f>+'Bldg+Dev'!U1233</f>
        <v>0</v>
      </c>
    </row>
    <row r="1528" spans="2:2" ht="16.5" hidden="1">
      <c r="B1528" s="111">
        <f>+'Bldg+Dev'!U1234</f>
        <v>0</v>
      </c>
    </row>
    <row r="1529" spans="2:2" ht="16.5" hidden="1">
      <c r="B1529" s="111">
        <f>+'Bldg+Dev'!U1235</f>
        <v>0</v>
      </c>
    </row>
    <row r="1530" spans="2:2" ht="16.5" hidden="1">
      <c r="B1530" s="111">
        <f>+'Bldg+Dev'!U1236</f>
        <v>0</v>
      </c>
    </row>
    <row r="1531" spans="2:2" ht="16.5" hidden="1">
      <c r="B1531" s="111">
        <f>+'Bldg+Dev'!U1237</f>
        <v>0</v>
      </c>
    </row>
    <row r="1532" spans="2:2" ht="16.5" hidden="1">
      <c r="B1532" s="111">
        <f>+'Bldg+Dev'!U1238</f>
        <v>0</v>
      </c>
    </row>
    <row r="1533" spans="2:2" ht="16.5" hidden="1">
      <c r="B1533" s="111">
        <f>+'Bldg+Dev'!U1239</f>
        <v>0</v>
      </c>
    </row>
    <row r="1534" spans="2:2" ht="16.5" hidden="1">
      <c r="B1534" s="111">
        <f>+'Bldg+Dev'!U1240</f>
        <v>0</v>
      </c>
    </row>
    <row r="1535" spans="2:2" ht="16.5" hidden="1">
      <c r="B1535" s="111">
        <f>+'Bldg+Dev'!U1241</f>
        <v>0</v>
      </c>
    </row>
    <row r="1536" spans="2:2" ht="16.5" hidden="1">
      <c r="B1536" s="111">
        <f>+'Bldg+Dev'!U1242</f>
        <v>0</v>
      </c>
    </row>
    <row r="1537" spans="2:2" ht="16.5" hidden="1">
      <c r="B1537" s="111">
        <f>+'Bldg+Dev'!U1243</f>
        <v>0</v>
      </c>
    </row>
    <row r="1538" spans="2:2" ht="16.5" hidden="1">
      <c r="B1538" s="111">
        <f>+'Bldg+Dev'!U1244</f>
        <v>0</v>
      </c>
    </row>
    <row r="1539" spans="2:2" ht="16.5" hidden="1">
      <c r="B1539" s="111">
        <f>+'Bldg+Dev'!U1245</f>
        <v>0</v>
      </c>
    </row>
    <row r="1540" spans="2:2" ht="16.5" hidden="1">
      <c r="B1540" s="111">
        <f>+'Bldg+Dev'!U1246</f>
        <v>0</v>
      </c>
    </row>
    <row r="1541" spans="2:2" ht="16.5" hidden="1">
      <c r="B1541" s="111">
        <f>+'Bldg+Dev'!U1247</f>
        <v>0</v>
      </c>
    </row>
    <row r="1542" spans="2:2" ht="16.5" hidden="1">
      <c r="B1542" s="111">
        <f>+'Bldg+Dev'!U1248</f>
        <v>0</v>
      </c>
    </row>
    <row r="1543" spans="2:2" ht="16.5" hidden="1">
      <c r="B1543" s="111">
        <f>+'Bldg+Dev'!U1249</f>
        <v>0</v>
      </c>
    </row>
    <row r="1544" spans="2:2" ht="16.5" hidden="1">
      <c r="B1544" s="111">
        <f>+'Bldg+Dev'!U1250</f>
        <v>0</v>
      </c>
    </row>
    <row r="1545" spans="2:2" ht="16.5" hidden="1">
      <c r="B1545" s="111">
        <f>+'Bldg+Dev'!U1251</f>
        <v>0</v>
      </c>
    </row>
    <row r="1546" spans="2:2" ht="16.5" hidden="1">
      <c r="B1546" s="111">
        <f>+'Bldg+Dev'!U1252</f>
        <v>0</v>
      </c>
    </row>
    <row r="1547" spans="2:2" ht="16.5" hidden="1">
      <c r="B1547" s="111">
        <f>+'Bldg+Dev'!U1253</f>
        <v>0</v>
      </c>
    </row>
    <row r="1548" spans="2:2" ht="16.5" hidden="1">
      <c r="B1548" s="111">
        <f>+'Bldg+Dev'!U1254</f>
        <v>0</v>
      </c>
    </row>
    <row r="1549" spans="2:2" ht="16.5" hidden="1">
      <c r="B1549" s="111">
        <f>+'Bldg+Dev'!U1255</f>
        <v>0</v>
      </c>
    </row>
    <row r="1550" spans="2:2" ht="16.5" hidden="1">
      <c r="B1550" s="111">
        <f>+'Bldg+Dev'!U1256</f>
        <v>0</v>
      </c>
    </row>
    <row r="1551" spans="2:2" ht="16.5" hidden="1">
      <c r="B1551" s="111">
        <f>+'Bldg+Dev'!U1257</f>
        <v>0</v>
      </c>
    </row>
    <row r="1552" spans="2:2" ht="16.5" hidden="1">
      <c r="B1552" s="111">
        <f>+'Bldg+Dev'!U1258</f>
        <v>0</v>
      </c>
    </row>
    <row r="1553" spans="2:2" ht="16.5" hidden="1">
      <c r="B1553" s="111">
        <f>+'Bldg+Dev'!U1259</f>
        <v>0</v>
      </c>
    </row>
    <row r="1554" spans="2:2" ht="16.5" hidden="1">
      <c r="B1554" s="111">
        <f>+'Bldg+Dev'!U1260</f>
        <v>0</v>
      </c>
    </row>
    <row r="1555" spans="2:2" ht="16.5" hidden="1">
      <c r="B1555" s="111">
        <f>+'Bldg+Dev'!U1261</f>
        <v>0</v>
      </c>
    </row>
    <row r="1556" spans="2:2" ht="16.5" hidden="1">
      <c r="B1556" s="111">
        <f>+'Bldg+Dev'!U1262</f>
        <v>0</v>
      </c>
    </row>
    <row r="1557" spans="2:2" ht="16.5" hidden="1">
      <c r="B1557" s="111">
        <f>+'Bldg+Dev'!U1263</f>
        <v>0</v>
      </c>
    </row>
    <row r="1558" spans="2:2" ht="16.5" hidden="1">
      <c r="B1558" s="111">
        <f>+'Bldg+Dev'!U1264</f>
        <v>0</v>
      </c>
    </row>
    <row r="1559" spans="2:2" ht="16.5" hidden="1">
      <c r="B1559" s="111">
        <f>+'Bldg+Dev'!U1265</f>
        <v>0</v>
      </c>
    </row>
    <row r="1560" spans="2:2" ht="16.5" hidden="1">
      <c r="B1560" s="111">
        <f>+'Bldg+Dev'!U1266</f>
        <v>0</v>
      </c>
    </row>
    <row r="1561" spans="2:2" ht="16.5" hidden="1">
      <c r="B1561" s="111">
        <f>+'Bldg+Dev'!U1267</f>
        <v>0</v>
      </c>
    </row>
    <row r="1562" spans="2:2" ht="16.5" hidden="1">
      <c r="B1562" s="111">
        <f>+'Bldg+Dev'!U1268</f>
        <v>0</v>
      </c>
    </row>
    <row r="1563" spans="2:2" ht="16.5" hidden="1">
      <c r="B1563" s="111">
        <f>+'Bldg+Dev'!U1269</f>
        <v>0</v>
      </c>
    </row>
    <row r="1564" spans="2:2" ht="16.5" hidden="1">
      <c r="B1564" s="111">
        <f>+'Bldg+Dev'!U1270</f>
        <v>0</v>
      </c>
    </row>
    <row r="1565" spans="2:2" ht="16.5" hidden="1">
      <c r="B1565" s="111">
        <f>+'Bldg+Dev'!U1271</f>
        <v>0</v>
      </c>
    </row>
    <row r="1566" spans="2:2" ht="16.5" hidden="1">
      <c r="B1566" s="111">
        <f>+'Bldg+Dev'!U1272</f>
        <v>0</v>
      </c>
    </row>
    <row r="1567" spans="2:2" ht="16.5" hidden="1">
      <c r="B1567" s="111">
        <f>+'Bldg+Dev'!U1273</f>
        <v>0</v>
      </c>
    </row>
    <row r="1568" spans="2:2" ht="16.5" hidden="1">
      <c r="B1568" s="111">
        <f>+'Bldg+Dev'!U1274</f>
        <v>0</v>
      </c>
    </row>
    <row r="1569" spans="2:2" ht="16.5" hidden="1">
      <c r="B1569" s="111">
        <f>+'Bldg+Dev'!U1275</f>
        <v>0</v>
      </c>
    </row>
    <row r="1570" spans="2:2" ht="16.5" hidden="1">
      <c r="B1570" s="111">
        <f>+'Bldg+Dev'!U1276</f>
        <v>0</v>
      </c>
    </row>
    <row r="1571" spans="2:2" ht="16.5" hidden="1">
      <c r="B1571" s="111">
        <f>+'Bldg+Dev'!U1277</f>
        <v>0</v>
      </c>
    </row>
    <row r="1572" spans="2:2" ht="16.5" hidden="1">
      <c r="B1572" s="111">
        <f>+'Bldg+Dev'!U1278</f>
        <v>0</v>
      </c>
    </row>
    <row r="1573" spans="2:2" ht="16.5" hidden="1">
      <c r="B1573" s="111">
        <f>+'Bldg+Dev'!U1279</f>
        <v>0</v>
      </c>
    </row>
    <row r="1574" spans="2:2" ht="16.5" hidden="1">
      <c r="B1574" s="111">
        <f>+'Bldg+Dev'!U1280</f>
        <v>0</v>
      </c>
    </row>
    <row r="1575" spans="2:2" ht="16.5" hidden="1">
      <c r="B1575" s="111">
        <f>+'Bldg+Dev'!U1281</f>
        <v>0</v>
      </c>
    </row>
    <row r="1576" spans="2:2" ht="16.5" hidden="1">
      <c r="B1576" s="111">
        <f>+'Bldg+Dev'!U1282</f>
        <v>0</v>
      </c>
    </row>
    <row r="1577" spans="2:2" ht="16.5" hidden="1">
      <c r="B1577" s="111">
        <f>+'Bldg+Dev'!U1283</f>
        <v>0</v>
      </c>
    </row>
    <row r="1578" spans="2:2" ht="16.5" hidden="1">
      <c r="B1578" s="111">
        <f>+'Bldg+Dev'!U1284</f>
        <v>0</v>
      </c>
    </row>
    <row r="1579" spans="2:2" ht="16.5" hidden="1">
      <c r="B1579" s="111">
        <f>+'Bldg+Dev'!U1285</f>
        <v>0</v>
      </c>
    </row>
    <row r="1580" spans="2:2" ht="16.5" hidden="1">
      <c r="B1580" s="111">
        <f>+'Bldg+Dev'!U1286</f>
        <v>0</v>
      </c>
    </row>
    <row r="1581" spans="2:2" ht="16.5" hidden="1">
      <c r="B1581" s="111">
        <f>+'Bldg+Dev'!U1287</f>
        <v>0</v>
      </c>
    </row>
    <row r="1582" spans="2:2" ht="16.5" hidden="1">
      <c r="B1582" s="111">
        <f>+'Bldg+Dev'!U1288</f>
        <v>0</v>
      </c>
    </row>
    <row r="1583" spans="2:2" ht="16.5" hidden="1">
      <c r="B1583" s="111">
        <f>+'Bldg+Dev'!U1289</f>
        <v>0</v>
      </c>
    </row>
    <row r="1584" spans="2:2" ht="16.5" hidden="1">
      <c r="B1584" s="111">
        <f>+'Bldg+Dev'!U1290</f>
        <v>0</v>
      </c>
    </row>
    <row r="1585" spans="2:2" ht="16.5" hidden="1">
      <c r="B1585" s="111">
        <f>+'Bldg+Dev'!U1291</f>
        <v>0</v>
      </c>
    </row>
    <row r="1586" spans="2:2" ht="16.5" hidden="1">
      <c r="B1586" s="111">
        <f>+'Bldg+Dev'!U1292</f>
        <v>0</v>
      </c>
    </row>
    <row r="1587" spans="2:2" ht="16.5" hidden="1">
      <c r="B1587" s="111">
        <f>+'Bldg+Dev'!U1293</f>
        <v>0</v>
      </c>
    </row>
    <row r="1588" spans="2:2" ht="16.5" hidden="1">
      <c r="B1588" s="111">
        <f>+'Bldg+Dev'!U1294</f>
        <v>0</v>
      </c>
    </row>
    <row r="1589" spans="2:2" ht="16.5" hidden="1">
      <c r="B1589" s="111">
        <f>+'Bldg+Dev'!U1295</f>
        <v>0</v>
      </c>
    </row>
    <row r="1590" spans="2:2" ht="16.5" hidden="1">
      <c r="B1590" s="111">
        <f>+'Bldg+Dev'!U1296</f>
        <v>0</v>
      </c>
    </row>
    <row r="1591" spans="2:2" ht="16.5" hidden="1">
      <c r="B1591" s="111">
        <f>+'Bldg+Dev'!U1297</f>
        <v>0</v>
      </c>
    </row>
    <row r="1592" spans="2:2" ht="16.5" hidden="1">
      <c r="B1592" s="111">
        <f>+'Bldg+Dev'!U1298</f>
        <v>0</v>
      </c>
    </row>
    <row r="1593" spans="2:2" ht="16.5" hidden="1">
      <c r="B1593" s="111">
        <f>+'Bldg+Dev'!U1299</f>
        <v>0</v>
      </c>
    </row>
    <row r="1594" spans="2:2" ht="16.5" hidden="1">
      <c r="B1594" s="111">
        <f>+'Bldg+Dev'!U1300</f>
        <v>0</v>
      </c>
    </row>
    <row r="1595" spans="2:2" ht="16.5" hidden="1">
      <c r="B1595" s="111">
        <f>+'Bldg+Dev'!U1301</f>
        <v>0</v>
      </c>
    </row>
    <row r="1596" spans="2:2" ht="16.5" hidden="1">
      <c r="B1596" s="111">
        <f>+'Bldg+Dev'!U1302</f>
        <v>0</v>
      </c>
    </row>
    <row r="1597" spans="2:2" ht="16.5" hidden="1">
      <c r="B1597" s="111">
        <f>+'Bldg+Dev'!U1303</f>
        <v>0</v>
      </c>
    </row>
    <row r="1598" spans="2:2" ht="16.5" hidden="1">
      <c r="B1598" s="111">
        <f>+'Bldg+Dev'!U1304</f>
        <v>0</v>
      </c>
    </row>
    <row r="1599" spans="2:2" ht="16.5" hidden="1">
      <c r="B1599" s="111">
        <f>+'Bldg+Dev'!U1305</f>
        <v>0</v>
      </c>
    </row>
    <row r="1600" spans="2:2" ht="16.5" hidden="1">
      <c r="B1600" s="111">
        <f>+'Bldg+Dev'!U1306</f>
        <v>0</v>
      </c>
    </row>
    <row r="1601" spans="2:2" ht="16.5" hidden="1">
      <c r="B1601" s="111">
        <f>+'Bldg+Dev'!U1307</f>
        <v>0</v>
      </c>
    </row>
    <row r="1602" spans="2:2" ht="16.5" hidden="1">
      <c r="B1602" s="111">
        <f>+'Bldg+Dev'!U1308</f>
        <v>0</v>
      </c>
    </row>
    <row r="1603" spans="2:2" ht="16.5" hidden="1">
      <c r="B1603" s="111">
        <f>+'Bldg+Dev'!U1309</f>
        <v>0</v>
      </c>
    </row>
    <row r="1604" spans="2:2" ht="16.5" hidden="1">
      <c r="B1604" s="111">
        <f>+'Bldg+Dev'!U1310</f>
        <v>0</v>
      </c>
    </row>
    <row r="1605" spans="2:2" ht="16.5" hidden="1">
      <c r="B1605" s="111">
        <f>+'Bldg+Dev'!U1311</f>
        <v>0</v>
      </c>
    </row>
    <row r="1606" spans="2:2" ht="16.5" hidden="1">
      <c r="B1606" s="111">
        <f>+'Bldg+Dev'!U1312</f>
        <v>0</v>
      </c>
    </row>
    <row r="1607" spans="2:2" ht="16.5" hidden="1">
      <c r="B1607" s="111">
        <f>+'Bldg+Dev'!U1313</f>
        <v>0</v>
      </c>
    </row>
    <row r="1608" spans="2:2" ht="16.5" hidden="1">
      <c r="B1608" s="111">
        <f>+'Bldg+Dev'!U1314</f>
        <v>0</v>
      </c>
    </row>
    <row r="1609" spans="2:2" ht="16.5" hidden="1">
      <c r="B1609" s="111">
        <f>+'Bldg+Dev'!U1315</f>
        <v>0</v>
      </c>
    </row>
    <row r="1610" spans="2:2" ht="16.5" hidden="1">
      <c r="B1610" s="111">
        <f>+'Bldg+Dev'!U1316</f>
        <v>0</v>
      </c>
    </row>
    <row r="1611" spans="2:2" ht="16.5" hidden="1">
      <c r="B1611" s="111">
        <f>+'Bldg+Dev'!U1317</f>
        <v>0</v>
      </c>
    </row>
    <row r="1612" spans="2:2" ht="16.5" hidden="1">
      <c r="B1612" s="111">
        <f>+'Bldg+Dev'!U1318</f>
        <v>0</v>
      </c>
    </row>
    <row r="1613" spans="2:2" ht="16.5" hidden="1">
      <c r="B1613" s="111">
        <f>+'Bldg+Dev'!U1319</f>
        <v>0</v>
      </c>
    </row>
    <row r="1614" spans="2:2" ht="16.5" hidden="1">
      <c r="B1614" s="111">
        <f>+'Bldg+Dev'!U1320</f>
        <v>0</v>
      </c>
    </row>
    <row r="1615" spans="2:2" ht="16.5" hidden="1">
      <c r="B1615" s="111">
        <f>+'Bldg+Dev'!U1321</f>
        <v>0</v>
      </c>
    </row>
    <row r="1616" spans="2:2" ht="16.5" hidden="1">
      <c r="B1616" s="111">
        <f>+'Bldg+Dev'!U1322</f>
        <v>0</v>
      </c>
    </row>
    <row r="1617" spans="2:2" ht="16.5" hidden="1">
      <c r="B1617" s="111">
        <f>+'Bldg+Dev'!U1323</f>
        <v>0</v>
      </c>
    </row>
    <row r="1618" spans="2:2" ht="16.5" hidden="1">
      <c r="B1618" s="111">
        <f>+'Bldg+Dev'!U1324</f>
        <v>0</v>
      </c>
    </row>
    <row r="1619" spans="2:2" ht="16.5" hidden="1">
      <c r="B1619" s="111">
        <f>+'Bldg+Dev'!U1325</f>
        <v>0</v>
      </c>
    </row>
    <row r="1620" spans="2:2" ht="16.5" hidden="1">
      <c r="B1620" s="111">
        <f>+'Bldg+Dev'!U1326</f>
        <v>0</v>
      </c>
    </row>
    <row r="1621" spans="2:2" ht="16.5" hidden="1">
      <c r="B1621" s="111">
        <f>+'Bldg+Dev'!U1327</f>
        <v>0</v>
      </c>
    </row>
    <row r="1622" spans="2:2" ht="16.5" hidden="1">
      <c r="B1622" s="111">
        <f>+'Bldg+Dev'!U1328</f>
        <v>0</v>
      </c>
    </row>
    <row r="1623" spans="2:2" ht="16.5" hidden="1">
      <c r="B1623" s="111">
        <f>+'Bldg+Dev'!U1329</f>
        <v>0</v>
      </c>
    </row>
    <row r="1624" spans="2:2" ht="16.5" hidden="1">
      <c r="B1624" s="111">
        <f>+'Bldg+Dev'!U1330</f>
        <v>0</v>
      </c>
    </row>
    <row r="1625" spans="2:2" ht="16.5" hidden="1">
      <c r="B1625" s="111">
        <f>+'Bldg+Dev'!U1331</f>
        <v>0</v>
      </c>
    </row>
    <row r="1626" spans="2:2" ht="16.5" hidden="1">
      <c r="B1626" s="111">
        <f>+'Bldg+Dev'!U1332</f>
        <v>0</v>
      </c>
    </row>
    <row r="1627" spans="2:2" ht="16.5" hidden="1">
      <c r="B1627" s="111">
        <f>+'Bldg+Dev'!U1333</f>
        <v>0</v>
      </c>
    </row>
    <row r="1628" spans="2:2" ht="16.5" hidden="1">
      <c r="B1628" s="111">
        <f>+'Bldg+Dev'!U1334</f>
        <v>0</v>
      </c>
    </row>
    <row r="1629" spans="2:2" ht="16.5" hidden="1">
      <c r="B1629" s="111">
        <f>+'Bldg+Dev'!U1335</f>
        <v>0</v>
      </c>
    </row>
    <row r="1630" spans="2:2" ht="16.5" hidden="1">
      <c r="B1630" s="111">
        <f>+'Bldg+Dev'!U1336</f>
        <v>0</v>
      </c>
    </row>
    <row r="1631" spans="2:2" ht="16.5" hidden="1">
      <c r="B1631" s="111">
        <f>+'Bldg+Dev'!U1337</f>
        <v>0</v>
      </c>
    </row>
    <row r="1632" spans="2:2" ht="16.5" hidden="1">
      <c r="B1632" s="111">
        <f>+'Bldg+Dev'!U1338</f>
        <v>0</v>
      </c>
    </row>
    <row r="1633" spans="2:2" ht="16.5" hidden="1">
      <c r="B1633" s="111">
        <f>+'Bldg+Dev'!U1339</f>
        <v>0</v>
      </c>
    </row>
    <row r="1634" spans="2:2" ht="16.5" hidden="1">
      <c r="B1634" s="111">
        <f>+'Bldg+Dev'!U1340</f>
        <v>0</v>
      </c>
    </row>
    <row r="1635" spans="2:2" ht="16.5" hidden="1">
      <c r="B1635" s="111">
        <f>+'Bldg+Dev'!U1341</f>
        <v>0</v>
      </c>
    </row>
    <row r="1636" spans="2:2" ht="16.5" hidden="1">
      <c r="B1636" s="111">
        <f>+'Bldg+Dev'!U1342</f>
        <v>0</v>
      </c>
    </row>
    <row r="1637" spans="2:2" ht="16.5" hidden="1">
      <c r="B1637" s="111">
        <f>+'Bldg+Dev'!U1343</f>
        <v>0</v>
      </c>
    </row>
    <row r="1638" spans="2:2" ht="16.5" hidden="1">
      <c r="B1638" s="111">
        <f>+'Bldg+Dev'!U1344</f>
        <v>0</v>
      </c>
    </row>
    <row r="1639" spans="2:2" ht="16.5" hidden="1">
      <c r="B1639" s="111">
        <f>+'Bldg+Dev'!U1345</f>
        <v>0</v>
      </c>
    </row>
    <row r="1640" spans="2:2" ht="16.5" hidden="1">
      <c r="B1640" s="111">
        <f>+'Bldg+Dev'!U1346</f>
        <v>0</v>
      </c>
    </row>
    <row r="1641" spans="2:2" ht="16.5" hidden="1">
      <c r="B1641" s="111">
        <f>+'Bldg+Dev'!U1347</f>
        <v>0</v>
      </c>
    </row>
    <row r="1642" spans="2:2" ht="16.5" hidden="1">
      <c r="B1642" s="111">
        <f>+'Bldg+Dev'!U1348</f>
        <v>0</v>
      </c>
    </row>
    <row r="1643" spans="2:2" ht="16.5" hidden="1">
      <c r="B1643" s="111">
        <f>+'Bldg+Dev'!U1349</f>
        <v>0</v>
      </c>
    </row>
    <row r="1644" spans="2:2" ht="16.5" hidden="1">
      <c r="B1644" s="111">
        <f>+'Bldg+Dev'!U1350</f>
        <v>0</v>
      </c>
    </row>
    <row r="1645" spans="2:2" ht="16.5" hidden="1">
      <c r="B1645" s="111">
        <f>+'Bldg+Dev'!U1351</f>
        <v>0</v>
      </c>
    </row>
    <row r="1646" spans="2:2" ht="16.5" hidden="1">
      <c r="B1646" s="111">
        <f>+'Bldg+Dev'!U1352</f>
        <v>0</v>
      </c>
    </row>
    <row r="1647" spans="2:2" ht="16.5" hidden="1">
      <c r="B1647" s="111">
        <f>+'Bldg+Dev'!U1353</f>
        <v>0</v>
      </c>
    </row>
    <row r="1648" spans="2:2" ht="16.5" hidden="1">
      <c r="B1648" s="111">
        <f>+'Bldg+Dev'!U1354</f>
        <v>0</v>
      </c>
    </row>
    <row r="1649" spans="2:2" ht="16.5" hidden="1">
      <c r="B1649" s="111">
        <f>+'Bldg+Dev'!U1355</f>
        <v>0</v>
      </c>
    </row>
    <row r="1650" spans="2:2" ht="16.5" hidden="1">
      <c r="B1650" s="111">
        <f>+'Bldg+Dev'!U1356</f>
        <v>0</v>
      </c>
    </row>
    <row r="1651" spans="2:2" ht="16.5" hidden="1">
      <c r="B1651" s="111">
        <f>+'Bldg+Dev'!U1357</f>
        <v>0</v>
      </c>
    </row>
    <row r="1652" spans="2:2" ht="16.5" hidden="1">
      <c r="B1652" s="111">
        <f>+'Bldg+Dev'!U1358</f>
        <v>0</v>
      </c>
    </row>
    <row r="1653" spans="2:2" ht="16.5" hidden="1">
      <c r="B1653" s="111">
        <f>+'Bldg+Dev'!U1359</f>
        <v>0</v>
      </c>
    </row>
    <row r="1654" spans="2:2" ht="16.5" hidden="1">
      <c r="B1654" s="111">
        <f>+'Bldg+Dev'!U1360</f>
        <v>0</v>
      </c>
    </row>
    <row r="1655" spans="2:2" ht="16.5" hidden="1">
      <c r="B1655" s="111">
        <f>+'Bldg+Dev'!U1361</f>
        <v>0</v>
      </c>
    </row>
    <row r="1656" spans="2:2" ht="16.5" hidden="1">
      <c r="B1656" s="111">
        <f>+'Bldg+Dev'!U1362</f>
        <v>0</v>
      </c>
    </row>
    <row r="1657" spans="2:2" ht="16.5" hidden="1">
      <c r="B1657" s="111">
        <f>+'Bldg+Dev'!U1363</f>
        <v>0</v>
      </c>
    </row>
    <row r="1658" spans="2:2" ht="16.5" hidden="1">
      <c r="B1658" s="111">
        <f>+'Bldg+Dev'!U1364</f>
        <v>0</v>
      </c>
    </row>
    <row r="1659" spans="2:2" ht="16.5" hidden="1">
      <c r="B1659" s="111">
        <f>+'Bldg+Dev'!U1365</f>
        <v>0</v>
      </c>
    </row>
    <row r="1660" spans="2:2" ht="16.5" hidden="1">
      <c r="B1660" s="111">
        <f>+'Bldg+Dev'!U1366</f>
        <v>0</v>
      </c>
    </row>
    <row r="1661" spans="2:2" ht="16.5" hidden="1">
      <c r="B1661" s="111">
        <f>+'Bldg+Dev'!U1367</f>
        <v>0</v>
      </c>
    </row>
    <row r="1662" spans="2:2" ht="16.5" hidden="1">
      <c r="B1662" s="111">
        <f>+'Bldg+Dev'!U1368</f>
        <v>0</v>
      </c>
    </row>
    <row r="1663" spans="2:2" ht="16.5" hidden="1">
      <c r="B1663" s="111">
        <f>+'Bldg+Dev'!U1369</f>
        <v>0</v>
      </c>
    </row>
    <row r="1664" spans="2:2" ht="16.5" hidden="1">
      <c r="B1664" s="111">
        <f>+'Bldg+Dev'!U1370</f>
        <v>0</v>
      </c>
    </row>
    <row r="1665" spans="2:2" ht="16.5" hidden="1">
      <c r="B1665" s="111">
        <f>+'Bldg+Dev'!U1371</f>
        <v>0</v>
      </c>
    </row>
    <row r="1666" spans="2:2" ht="16.5" hidden="1">
      <c r="B1666" s="111">
        <f>+'Bldg+Dev'!U1372</f>
        <v>0</v>
      </c>
    </row>
    <row r="1667" spans="2:2" ht="16.5" hidden="1">
      <c r="B1667" s="111">
        <f>+'Bldg+Dev'!U1373</f>
        <v>0</v>
      </c>
    </row>
    <row r="1668" spans="2:2" ht="16.5" hidden="1">
      <c r="B1668" s="111">
        <f>+'Bldg+Dev'!U1374</f>
        <v>0</v>
      </c>
    </row>
    <row r="1669" spans="2:2" ht="16.5" hidden="1">
      <c r="B1669" s="111">
        <f>+'Bldg+Dev'!U1375</f>
        <v>0</v>
      </c>
    </row>
    <row r="1670" spans="2:2" ht="16.5" hidden="1">
      <c r="B1670" s="111">
        <f>+'Bldg+Dev'!U1376</f>
        <v>0</v>
      </c>
    </row>
    <row r="1671" spans="2:2" ht="16.5" hidden="1">
      <c r="B1671" s="111">
        <f>+'Bldg+Dev'!U1377</f>
        <v>0</v>
      </c>
    </row>
    <row r="1672" spans="2:2" ht="16.5" hidden="1">
      <c r="B1672" s="111">
        <f>+'Bldg+Dev'!U1378</f>
        <v>0</v>
      </c>
    </row>
    <row r="1673" spans="2:2" ht="16.5" hidden="1">
      <c r="B1673" s="111">
        <f>+'Bldg+Dev'!U1379</f>
        <v>0</v>
      </c>
    </row>
    <row r="1674" spans="2:2" ht="16.5" hidden="1">
      <c r="B1674" s="111">
        <f>+'Bldg+Dev'!U1380</f>
        <v>0</v>
      </c>
    </row>
    <row r="1675" spans="2:2" ht="16.5" hidden="1">
      <c r="B1675" s="111">
        <f>+'Bldg+Dev'!U1381</f>
        <v>0</v>
      </c>
    </row>
    <row r="1676" spans="2:2" ht="16.5" hidden="1">
      <c r="B1676" s="111">
        <f>+'Bldg+Dev'!U1382</f>
        <v>0</v>
      </c>
    </row>
    <row r="1677" spans="2:2" ht="16.5" hidden="1">
      <c r="B1677" s="111">
        <f>+'Bldg+Dev'!U1383</f>
        <v>0</v>
      </c>
    </row>
    <row r="1678" spans="2:2" ht="16.5" hidden="1">
      <c r="B1678" s="111">
        <f>+'Bldg+Dev'!U1384</f>
        <v>0</v>
      </c>
    </row>
    <row r="1679" spans="2:2" ht="16.5" hidden="1">
      <c r="B1679" s="111">
        <f>+'Bldg+Dev'!U1385</f>
        <v>0</v>
      </c>
    </row>
    <row r="1680" spans="2:2" ht="16.5" hidden="1">
      <c r="B1680" s="111">
        <f>+'Bldg+Dev'!U1386</f>
        <v>0</v>
      </c>
    </row>
    <row r="1681" spans="2:2" ht="16.5" hidden="1">
      <c r="B1681" s="111">
        <f>+'Bldg+Dev'!U1387</f>
        <v>0</v>
      </c>
    </row>
    <row r="1682" spans="2:2" ht="16.5" hidden="1">
      <c r="B1682" s="111">
        <f>+'Bldg+Dev'!U1388</f>
        <v>0</v>
      </c>
    </row>
    <row r="1683" spans="2:2" ht="16.5" hidden="1">
      <c r="B1683" s="111">
        <f>+'Bldg+Dev'!U1389</f>
        <v>0</v>
      </c>
    </row>
    <row r="1684" spans="2:2" ht="16.5" hidden="1">
      <c r="B1684" s="111">
        <f>+'Bldg+Dev'!U1390</f>
        <v>0</v>
      </c>
    </row>
    <row r="1685" spans="2:2" ht="16.5" hidden="1">
      <c r="B1685" s="111">
        <f>+'Bldg+Dev'!U1391</f>
        <v>0</v>
      </c>
    </row>
    <row r="1686" spans="2:2" ht="16.5" hidden="1">
      <c r="B1686" s="111">
        <f>+'Bldg+Dev'!U1392</f>
        <v>0</v>
      </c>
    </row>
    <row r="1687" spans="2:2" ht="16.5" hidden="1">
      <c r="B1687" s="111">
        <f>+'Bldg+Dev'!U1393</f>
        <v>0</v>
      </c>
    </row>
    <row r="1688" spans="2:2" ht="16.5" hidden="1">
      <c r="B1688" s="111">
        <f>+'Bldg+Dev'!U1394</f>
        <v>0</v>
      </c>
    </row>
    <row r="1689" spans="2:2" ht="16.5" hidden="1">
      <c r="B1689" s="111">
        <f>+'Bldg+Dev'!U1395</f>
        <v>0</v>
      </c>
    </row>
    <row r="1690" spans="2:2" ht="16.5" hidden="1">
      <c r="B1690" s="111">
        <f>+'Bldg+Dev'!U1396</f>
        <v>0</v>
      </c>
    </row>
    <row r="1691" spans="2:2" ht="16.5" hidden="1">
      <c r="B1691" s="111">
        <f>+'Bldg+Dev'!U1397</f>
        <v>0</v>
      </c>
    </row>
    <row r="1692" spans="2:2" ht="16.5" hidden="1">
      <c r="B1692" s="111">
        <f>+'Bldg+Dev'!U1398</f>
        <v>0</v>
      </c>
    </row>
    <row r="1693" spans="2:2" ht="16.5" hidden="1">
      <c r="B1693" s="111">
        <f>+'Bldg+Dev'!U1399</f>
        <v>0</v>
      </c>
    </row>
    <row r="1694" spans="2:2" ht="16.5" hidden="1">
      <c r="B1694" s="111">
        <f>+'Bldg+Dev'!U1400</f>
        <v>0</v>
      </c>
    </row>
    <row r="1695" spans="2:2" ht="16.5" hidden="1">
      <c r="B1695" s="111">
        <f>+'Bldg+Dev'!U1401</f>
        <v>0</v>
      </c>
    </row>
    <row r="1696" spans="2:2" ht="16.5" hidden="1">
      <c r="B1696" s="111">
        <f>+'Bldg+Dev'!U1402</f>
        <v>0</v>
      </c>
    </row>
    <row r="1697" spans="2:2" ht="16.5" hidden="1">
      <c r="B1697" s="111">
        <f>+'Bldg+Dev'!U1403</f>
        <v>0</v>
      </c>
    </row>
    <row r="1698" spans="2:2" ht="16.5" hidden="1">
      <c r="B1698" s="111">
        <f>+'Bldg+Dev'!U1404</f>
        <v>0</v>
      </c>
    </row>
    <row r="1699" spans="2:2" ht="16.5" hidden="1">
      <c r="B1699" s="111">
        <f>+'Bldg+Dev'!U1405</f>
        <v>0</v>
      </c>
    </row>
    <row r="1700" spans="2:2" ht="16.5" hidden="1">
      <c r="B1700" s="111">
        <f>+'Bldg+Dev'!U1406</f>
        <v>0</v>
      </c>
    </row>
    <row r="1701" spans="2:2" ht="16.5" hidden="1">
      <c r="B1701" s="111">
        <f>+'Bldg+Dev'!U1407</f>
        <v>0</v>
      </c>
    </row>
    <row r="1702" spans="2:2" ht="16.5" hidden="1">
      <c r="B1702" s="111">
        <f>+'Bldg+Dev'!U1408</f>
        <v>0</v>
      </c>
    </row>
    <row r="1703" spans="2:2" ht="16.5" hidden="1">
      <c r="B1703" s="111">
        <f>+'Bldg+Dev'!U1409</f>
        <v>0</v>
      </c>
    </row>
    <row r="1704" spans="2:2" ht="16.5" hidden="1">
      <c r="B1704" s="111">
        <f>+'Bldg+Dev'!U1410</f>
        <v>0</v>
      </c>
    </row>
    <row r="1705" spans="2:2" ht="16.5" hidden="1">
      <c r="B1705" s="111">
        <f>+'Bldg+Dev'!U1411</f>
        <v>0</v>
      </c>
    </row>
    <row r="1706" spans="2:2" ht="16.5" hidden="1">
      <c r="B1706" s="111">
        <f>+'Bldg+Dev'!U1412</f>
        <v>0</v>
      </c>
    </row>
    <row r="1707" spans="2:2" ht="16.5" hidden="1">
      <c r="B1707" s="111">
        <f>+'Bldg+Dev'!U1413</f>
        <v>0</v>
      </c>
    </row>
    <row r="1708" spans="2:2" ht="16.5" hidden="1">
      <c r="B1708" s="111">
        <f>+'Bldg+Dev'!U1414</f>
        <v>0</v>
      </c>
    </row>
    <row r="1709" spans="2:2" ht="16.5" hidden="1">
      <c r="B1709" s="111">
        <f>+'Bldg+Dev'!U1415</f>
        <v>0</v>
      </c>
    </row>
    <row r="1710" spans="2:2" ht="16.5" hidden="1">
      <c r="B1710" s="111">
        <f>+'Bldg+Dev'!U1416</f>
        <v>0</v>
      </c>
    </row>
    <row r="1711" spans="2:2" ht="16.5" hidden="1">
      <c r="B1711" s="111">
        <f>+'Bldg+Dev'!U1417</f>
        <v>0</v>
      </c>
    </row>
    <row r="1712" spans="2:2" ht="16.5" hidden="1">
      <c r="B1712" s="111">
        <f>+'Bldg+Dev'!U1418</f>
        <v>0</v>
      </c>
    </row>
    <row r="1713" spans="2:2" ht="16.5" hidden="1">
      <c r="B1713" s="111">
        <f>+'Bldg+Dev'!U1419</f>
        <v>0</v>
      </c>
    </row>
    <row r="1714" spans="2:2" ht="16.5" hidden="1">
      <c r="B1714" s="111">
        <f>+'Bldg+Dev'!U1420</f>
        <v>0</v>
      </c>
    </row>
    <row r="1715" spans="2:2" ht="16.5" hidden="1">
      <c r="B1715" s="111">
        <f>+'Bldg+Dev'!U1421</f>
        <v>0</v>
      </c>
    </row>
    <row r="1716" spans="2:2" ht="16.5" hidden="1">
      <c r="B1716" s="111">
        <f>+'Bldg+Dev'!U1422</f>
        <v>0</v>
      </c>
    </row>
    <row r="1717" spans="2:2" ht="16.5" hidden="1">
      <c r="B1717" s="111">
        <f>+'Bldg+Dev'!U1423</f>
        <v>0</v>
      </c>
    </row>
    <row r="1718" spans="2:2" ht="16.5" hidden="1">
      <c r="B1718" s="111">
        <f>+'Bldg+Dev'!U1424</f>
        <v>0</v>
      </c>
    </row>
    <row r="1719" spans="2:2" ht="16.5" hidden="1">
      <c r="B1719" s="111">
        <f>+'Bldg+Dev'!U1425</f>
        <v>0</v>
      </c>
    </row>
    <row r="1720" spans="2:2" ht="16.5" hidden="1">
      <c r="B1720" s="111">
        <f>+'Bldg+Dev'!U1426</f>
        <v>0</v>
      </c>
    </row>
    <row r="1721" spans="2:2" ht="16.5" hidden="1">
      <c r="B1721" s="111">
        <f>+'Bldg+Dev'!U1427</f>
        <v>0</v>
      </c>
    </row>
    <row r="1722" spans="2:2" ht="16.5" hidden="1">
      <c r="B1722" s="111">
        <f>+'Bldg+Dev'!U1428</f>
        <v>0</v>
      </c>
    </row>
    <row r="1723" spans="2:2" ht="16.5" hidden="1">
      <c r="B1723" s="111">
        <f>+'Bldg+Dev'!U1429</f>
        <v>0</v>
      </c>
    </row>
    <row r="1724" spans="2:2" ht="16.5" hidden="1">
      <c r="B1724" s="111">
        <f>+'Bldg+Dev'!U1430</f>
        <v>0</v>
      </c>
    </row>
    <row r="1725" spans="2:2" ht="16.5" hidden="1">
      <c r="B1725" s="111">
        <f>+'Bldg+Dev'!U1431</f>
        <v>0</v>
      </c>
    </row>
    <row r="1726" spans="2:2" ht="16.5" hidden="1">
      <c r="B1726" s="111">
        <f>+'Bldg+Dev'!U1432</f>
        <v>0</v>
      </c>
    </row>
    <row r="1727" spans="2:2" ht="16.5" hidden="1">
      <c r="B1727" s="111">
        <f>+'Bldg+Dev'!U1433</f>
        <v>0</v>
      </c>
    </row>
    <row r="1728" spans="2:2" ht="16.5" hidden="1">
      <c r="B1728" s="111">
        <f>+'Bldg+Dev'!U1434</f>
        <v>0</v>
      </c>
    </row>
    <row r="1729" spans="2:2" ht="16.5" hidden="1">
      <c r="B1729" s="111">
        <f>+'Bldg+Dev'!U1435</f>
        <v>0</v>
      </c>
    </row>
    <row r="1730" spans="2:2" ht="16.5" hidden="1">
      <c r="B1730" s="111">
        <f>+'Bldg+Dev'!U1436</f>
        <v>0</v>
      </c>
    </row>
    <row r="1731" spans="2:2" ht="16.5" hidden="1">
      <c r="B1731" s="111">
        <f>+'Bldg+Dev'!U1437</f>
        <v>0</v>
      </c>
    </row>
    <row r="1732" spans="2:2" ht="16.5" hidden="1">
      <c r="B1732" s="111">
        <f>+'Bldg+Dev'!U1438</f>
        <v>0</v>
      </c>
    </row>
    <row r="1733" spans="2:2" ht="16.5" hidden="1">
      <c r="B1733" s="111">
        <f>+'Bldg+Dev'!U1439</f>
        <v>0</v>
      </c>
    </row>
    <row r="1734" spans="2:2" ht="16.5" hidden="1">
      <c r="B1734" s="111">
        <f>+'Bldg+Dev'!U1440</f>
        <v>0</v>
      </c>
    </row>
    <row r="1735" spans="2:2" ht="16.5" hidden="1">
      <c r="B1735" s="111">
        <f>+'Bldg+Dev'!U1441</f>
        <v>0</v>
      </c>
    </row>
    <row r="1736" spans="2:2" ht="16.5" hidden="1">
      <c r="B1736" s="111">
        <f>+'Bldg+Dev'!U1442</f>
        <v>0</v>
      </c>
    </row>
    <row r="1737" spans="2:2" ht="16.5" hidden="1">
      <c r="B1737" s="111">
        <f>+'Bldg+Dev'!U1443</f>
        <v>0</v>
      </c>
    </row>
    <row r="1738" spans="2:2" ht="16.5" hidden="1">
      <c r="B1738" s="111">
        <f>+'Bldg+Dev'!U1444</f>
        <v>0</v>
      </c>
    </row>
    <row r="1739" spans="2:2" ht="16.5" hidden="1">
      <c r="B1739" s="111">
        <f>+'Bldg+Dev'!U1445</f>
        <v>0</v>
      </c>
    </row>
    <row r="1740" spans="2:2" ht="16.5" hidden="1">
      <c r="B1740" s="111">
        <f>+'Bldg+Dev'!U1446</f>
        <v>0</v>
      </c>
    </row>
    <row r="1741" spans="2:2" ht="16.5" hidden="1">
      <c r="B1741" s="111">
        <f>+'Bldg+Dev'!U1447</f>
        <v>0</v>
      </c>
    </row>
    <row r="1742" spans="2:2" ht="16.5" hidden="1">
      <c r="B1742" s="111">
        <f>+'Bldg+Dev'!U1448</f>
        <v>0</v>
      </c>
    </row>
    <row r="1743" spans="2:2" ht="16.5" hidden="1">
      <c r="B1743" s="111">
        <f>+'Bldg+Dev'!U1449</f>
        <v>0</v>
      </c>
    </row>
    <row r="1744" spans="2:2" ht="16.5" hidden="1">
      <c r="B1744" s="111">
        <f>+'Bldg+Dev'!U1450</f>
        <v>0</v>
      </c>
    </row>
    <row r="1745" spans="2:2" ht="16.5" hidden="1">
      <c r="B1745" s="111">
        <f>+'Bldg+Dev'!U1451</f>
        <v>0</v>
      </c>
    </row>
    <row r="1746" spans="2:2" ht="16.5" hidden="1">
      <c r="B1746" s="111">
        <f>+'Bldg+Dev'!U1452</f>
        <v>0</v>
      </c>
    </row>
    <row r="1747" spans="2:2" ht="16.5" hidden="1">
      <c r="B1747" s="111">
        <f>+'Bldg+Dev'!U1453</f>
        <v>0</v>
      </c>
    </row>
    <row r="1748" spans="2:2" ht="16.5" hidden="1">
      <c r="B1748" s="111">
        <f>+'Bldg+Dev'!U1454</f>
        <v>0</v>
      </c>
    </row>
    <row r="1749" spans="2:2" ht="16.5" hidden="1">
      <c r="B1749" s="111">
        <f>+'Bldg+Dev'!U1455</f>
        <v>0</v>
      </c>
    </row>
    <row r="1750" spans="2:2" ht="16.5" hidden="1">
      <c r="B1750" s="111">
        <f>+'Bldg+Dev'!U1456</f>
        <v>0</v>
      </c>
    </row>
    <row r="1751" spans="2:2" ht="16.5" hidden="1">
      <c r="B1751" s="111">
        <f>+'Bldg+Dev'!U1457</f>
        <v>0</v>
      </c>
    </row>
    <row r="1752" spans="2:2" ht="16.5" hidden="1">
      <c r="B1752" s="111">
        <f>+'Bldg+Dev'!U1458</f>
        <v>0</v>
      </c>
    </row>
    <row r="1753" spans="2:2" ht="16.5" hidden="1">
      <c r="B1753" s="111">
        <f>+'Bldg+Dev'!U1459</f>
        <v>0</v>
      </c>
    </row>
    <row r="1754" spans="2:2" ht="16.5" hidden="1">
      <c r="B1754" s="111">
        <f>+'Bldg+Dev'!U1460</f>
        <v>0</v>
      </c>
    </row>
    <row r="1755" spans="2:2" ht="16.5" hidden="1">
      <c r="B1755" s="111">
        <f>+'Bldg+Dev'!U1461</f>
        <v>0</v>
      </c>
    </row>
    <row r="1756" spans="2:2" ht="16.5" hidden="1">
      <c r="B1756" s="111">
        <f>+'Bldg+Dev'!U1462</f>
        <v>0</v>
      </c>
    </row>
    <row r="1757" spans="2:2" ht="16.5" hidden="1">
      <c r="B1757" s="111">
        <f>+'Bldg+Dev'!U1463</f>
        <v>0</v>
      </c>
    </row>
    <row r="1758" spans="2:2" ht="16.5" hidden="1">
      <c r="B1758" s="111">
        <f>+'Bldg+Dev'!U1464</f>
        <v>0</v>
      </c>
    </row>
    <row r="1759" spans="2:2" ht="16.5" hidden="1">
      <c r="B1759" s="111">
        <f>+'Bldg+Dev'!U1465</f>
        <v>0</v>
      </c>
    </row>
    <row r="1760" spans="2:2" ht="16.5" hidden="1">
      <c r="B1760" s="111">
        <f>+'Bldg+Dev'!U1466</f>
        <v>0</v>
      </c>
    </row>
    <row r="1761" spans="2:2" ht="16.5" hidden="1">
      <c r="B1761" s="111">
        <f>+'Bldg+Dev'!U1467</f>
        <v>0</v>
      </c>
    </row>
    <row r="1762" spans="2:2" ht="16.5" hidden="1">
      <c r="B1762" s="111">
        <f>+'Bldg+Dev'!U1468</f>
        <v>0</v>
      </c>
    </row>
    <row r="1763" spans="2:2" ht="16.5" hidden="1">
      <c r="B1763" s="111">
        <f>+'Bldg+Dev'!U1469</f>
        <v>0</v>
      </c>
    </row>
    <row r="1764" spans="2:2" ht="16.5" hidden="1">
      <c r="B1764" s="111">
        <f>+'Bldg+Dev'!U1470</f>
        <v>0</v>
      </c>
    </row>
    <row r="1765" spans="2:2" ht="16.5" hidden="1">
      <c r="B1765" s="111">
        <f>+'Bldg+Dev'!U1471</f>
        <v>0</v>
      </c>
    </row>
    <row r="1766" spans="2:2" ht="16.5" hidden="1">
      <c r="B1766" s="111">
        <f>+'Bldg+Dev'!U1472</f>
        <v>0</v>
      </c>
    </row>
    <row r="1767" spans="2:2" ht="16.5" hidden="1">
      <c r="B1767" s="111">
        <f>+'Bldg+Dev'!U1473</f>
        <v>0</v>
      </c>
    </row>
    <row r="1768" spans="2:2" ht="16.5" hidden="1">
      <c r="B1768" s="111">
        <f>+'Bldg+Dev'!U1474</f>
        <v>0</v>
      </c>
    </row>
    <row r="1769" spans="2:2" ht="16.5" hidden="1">
      <c r="B1769" s="111">
        <f>+'Bldg+Dev'!U1475</f>
        <v>0</v>
      </c>
    </row>
    <row r="1770" spans="2:2" ht="16.5" hidden="1">
      <c r="B1770" s="111">
        <f>+'Bldg+Dev'!U1476</f>
        <v>0</v>
      </c>
    </row>
    <row r="1771" spans="2:2" ht="16.5" hidden="1">
      <c r="B1771" s="111">
        <f>+'Bldg+Dev'!U1477</f>
        <v>0</v>
      </c>
    </row>
    <row r="1772" spans="2:2" ht="16.5" hidden="1">
      <c r="B1772" s="111">
        <f>+'Bldg+Dev'!U1478</f>
        <v>0</v>
      </c>
    </row>
    <row r="1773" spans="2:2" ht="16.5" hidden="1">
      <c r="B1773" s="111">
        <f>+'Bldg+Dev'!U1479</f>
        <v>0</v>
      </c>
    </row>
    <row r="1774" spans="2:2" ht="16.5" hidden="1">
      <c r="B1774" s="111">
        <f>+'Bldg+Dev'!U1480</f>
        <v>0</v>
      </c>
    </row>
    <row r="1775" spans="2:2" ht="16.5" hidden="1">
      <c r="B1775" s="111">
        <f>+'Bldg+Dev'!U1481</f>
        <v>0</v>
      </c>
    </row>
    <row r="1776" spans="2:2" ht="16.5" hidden="1">
      <c r="B1776" s="111">
        <f>+'Bldg+Dev'!U1482</f>
        <v>0</v>
      </c>
    </row>
    <row r="1777" spans="2:2" ht="16.5" hidden="1">
      <c r="B1777" s="111">
        <f>+'Bldg+Dev'!U1483</f>
        <v>0</v>
      </c>
    </row>
    <row r="1778" spans="2:2" ht="16.5" hidden="1">
      <c r="B1778" s="111">
        <f>+'Bldg+Dev'!U1484</f>
        <v>0</v>
      </c>
    </row>
    <row r="1779" spans="2:2" ht="16.5" hidden="1">
      <c r="B1779" s="111">
        <f>+'Bldg+Dev'!U1485</f>
        <v>0</v>
      </c>
    </row>
    <row r="1780" spans="2:2" ht="16.5" hidden="1">
      <c r="B1780" s="111">
        <f>+'Bldg+Dev'!U1486</f>
        <v>0</v>
      </c>
    </row>
    <row r="1781" spans="2:2" ht="16.5" hidden="1">
      <c r="B1781" s="111">
        <f>+'Bldg+Dev'!U1487</f>
        <v>0</v>
      </c>
    </row>
    <row r="1782" spans="2:2" ht="16.5" hidden="1">
      <c r="B1782" s="111">
        <f>+'Bldg+Dev'!U1488</f>
        <v>0</v>
      </c>
    </row>
    <row r="1783" spans="2:2" ht="16.5" hidden="1">
      <c r="B1783" s="111">
        <f>+'Bldg+Dev'!U1489</f>
        <v>0</v>
      </c>
    </row>
    <row r="1784" spans="2:2" ht="16.5" hidden="1">
      <c r="B1784" s="111">
        <f>+'Bldg+Dev'!U1490</f>
        <v>0</v>
      </c>
    </row>
    <row r="1785" spans="2:2" ht="16.5" hidden="1">
      <c r="B1785" s="111">
        <f>+'Bldg+Dev'!U1491</f>
        <v>0</v>
      </c>
    </row>
    <row r="1786" spans="2:2" ht="16.5" hidden="1">
      <c r="B1786" s="111">
        <f>+'Bldg+Dev'!U1492</f>
        <v>0</v>
      </c>
    </row>
    <row r="1787" spans="2:2" ht="16.5" hidden="1">
      <c r="B1787" s="111">
        <f>+'Bldg+Dev'!U1493</f>
        <v>0</v>
      </c>
    </row>
    <row r="1788" spans="2:2" ht="16.5" hidden="1">
      <c r="B1788" s="111">
        <f>+'Bldg+Dev'!U1494</f>
        <v>0</v>
      </c>
    </row>
    <row r="1789" spans="2:2" ht="16.5" hidden="1">
      <c r="B1789" s="111">
        <f>+'Bldg+Dev'!U1495</f>
        <v>0</v>
      </c>
    </row>
    <row r="1790" spans="2:2" ht="16.5" hidden="1">
      <c r="B1790" s="111">
        <f>+'Bldg+Dev'!U1496</f>
        <v>0</v>
      </c>
    </row>
    <row r="1791" spans="2:2" ht="16.5" hidden="1">
      <c r="B1791" s="111">
        <f>+'Bldg+Dev'!U1497</f>
        <v>0</v>
      </c>
    </row>
    <row r="1792" spans="2:2" ht="16.5" hidden="1">
      <c r="B1792" s="111">
        <f>+'Bldg+Dev'!U1498</f>
        <v>0</v>
      </c>
    </row>
    <row r="1793" spans="2:2" ht="16.5" hidden="1">
      <c r="B1793" s="111">
        <f>+'Bldg+Dev'!U1499</f>
        <v>0</v>
      </c>
    </row>
    <row r="1794" spans="2:2" ht="16.5" hidden="1">
      <c r="B1794" s="111">
        <f>+'Bldg+Dev'!U1500</f>
        <v>0</v>
      </c>
    </row>
    <row r="1795" spans="2:2" ht="16.5" hidden="1">
      <c r="B1795" s="111">
        <f>+'Bldg+Dev'!U1501</f>
        <v>0</v>
      </c>
    </row>
    <row r="1796" spans="2:2" ht="16.5" hidden="1">
      <c r="B1796" s="111">
        <f>+'Bldg+Dev'!U1502</f>
        <v>0</v>
      </c>
    </row>
    <row r="1797" spans="2:2" ht="16.5" hidden="1">
      <c r="B1797" s="111">
        <f>+'Bldg+Dev'!U1503</f>
        <v>0</v>
      </c>
    </row>
    <row r="1798" spans="2:2" ht="16.5" hidden="1">
      <c r="B1798" s="111">
        <f>+'Bldg+Dev'!U1504</f>
        <v>0</v>
      </c>
    </row>
    <row r="1799" spans="2:2" ht="16.5" hidden="1">
      <c r="B1799" s="111">
        <f>+'Bldg+Dev'!U1505</f>
        <v>0</v>
      </c>
    </row>
    <row r="1800" spans="2:2" ht="16.5" hidden="1">
      <c r="B1800" s="111">
        <f>+'Bldg+Dev'!U1506</f>
        <v>0</v>
      </c>
    </row>
    <row r="1801" spans="2:2" ht="16.5" hidden="1">
      <c r="B1801" s="111">
        <f>+'Bldg+Dev'!U1507</f>
        <v>0</v>
      </c>
    </row>
    <row r="1802" spans="2:2" ht="16.5" hidden="1">
      <c r="B1802" s="111">
        <f>+'Bldg+Dev'!U1508</f>
        <v>0</v>
      </c>
    </row>
    <row r="1803" spans="2:2" ht="16.5" hidden="1">
      <c r="B1803" s="111">
        <f>+'Bldg+Dev'!U1509</f>
        <v>0</v>
      </c>
    </row>
    <row r="1804" spans="2:2" ht="16.5" hidden="1">
      <c r="B1804" s="111">
        <f>+'Bldg+Dev'!U1510</f>
        <v>0</v>
      </c>
    </row>
    <row r="1805" spans="2:2" ht="16.5" hidden="1">
      <c r="B1805" s="111">
        <f>+'Bldg+Dev'!U1511</f>
        <v>0</v>
      </c>
    </row>
    <row r="1806" spans="2:2" ht="16.5" hidden="1">
      <c r="B1806" s="111">
        <f>+'Bldg+Dev'!U1512</f>
        <v>0</v>
      </c>
    </row>
    <row r="1807" spans="2:2" ht="16.5" hidden="1">
      <c r="B1807" s="111">
        <f>+'Bldg+Dev'!U1513</f>
        <v>0</v>
      </c>
    </row>
    <row r="1808" spans="2:2" ht="16.5" hidden="1">
      <c r="B1808" s="111">
        <f>+'Bldg+Dev'!U1514</f>
        <v>0</v>
      </c>
    </row>
    <row r="1809" spans="2:2" ht="16.5" hidden="1">
      <c r="B1809" s="111">
        <f>+'Bldg+Dev'!U1515</f>
        <v>0</v>
      </c>
    </row>
    <row r="1810" spans="2:2" ht="16.5" hidden="1">
      <c r="B1810" s="111">
        <f>+'Bldg+Dev'!U1516</f>
        <v>0</v>
      </c>
    </row>
    <row r="1811" spans="2:2" ht="16.5" hidden="1">
      <c r="B1811" s="111">
        <f>+'Bldg+Dev'!U1517</f>
        <v>0</v>
      </c>
    </row>
    <row r="1812" spans="2:2" ht="16.5" hidden="1">
      <c r="B1812" s="111">
        <f>+'Bldg+Dev'!U1518</f>
        <v>0</v>
      </c>
    </row>
    <row r="1813" spans="2:2" ht="16.5" hidden="1">
      <c r="B1813" s="111">
        <f>+'Bldg+Dev'!U1519</f>
        <v>0</v>
      </c>
    </row>
    <row r="1814" spans="2:2" ht="16.5" hidden="1">
      <c r="B1814" s="111">
        <f>+'Bldg+Dev'!U1520</f>
        <v>0</v>
      </c>
    </row>
    <row r="1815" spans="2:2" ht="16.5" hidden="1">
      <c r="B1815" s="111">
        <f>+'Bldg+Dev'!U1521</f>
        <v>0</v>
      </c>
    </row>
    <row r="1816" spans="2:2" ht="16.5" hidden="1">
      <c r="B1816" s="111">
        <f>+'Bldg+Dev'!U1522</f>
        <v>0</v>
      </c>
    </row>
    <row r="1817" spans="2:2" ht="16.5" hidden="1">
      <c r="B1817" s="111">
        <f>+'Bldg+Dev'!U1523</f>
        <v>0</v>
      </c>
    </row>
    <row r="1818" spans="2:2" ht="16.5" hidden="1">
      <c r="B1818" s="111">
        <f>+'Bldg+Dev'!U1524</f>
        <v>0</v>
      </c>
    </row>
    <row r="1819" spans="2:2" ht="16.5" hidden="1">
      <c r="B1819" s="111">
        <f>+'Bldg+Dev'!U1525</f>
        <v>0</v>
      </c>
    </row>
    <row r="1820" spans="2:2" ht="16.5" hidden="1">
      <c r="B1820" s="111">
        <f>+'Bldg+Dev'!U1526</f>
        <v>0</v>
      </c>
    </row>
    <row r="1821" spans="2:2" ht="16.5" hidden="1">
      <c r="B1821" s="111">
        <f>+'Bldg+Dev'!U1527</f>
        <v>0</v>
      </c>
    </row>
    <row r="1822" spans="2:2" ht="16.5" hidden="1">
      <c r="B1822" s="111">
        <f>+'Bldg+Dev'!U1528</f>
        <v>0</v>
      </c>
    </row>
    <row r="1823" spans="2:2" ht="16.5" hidden="1">
      <c r="B1823" s="111">
        <f>+'Bldg+Dev'!U1529</f>
        <v>0</v>
      </c>
    </row>
    <row r="1824" spans="2:2" ht="16.5" hidden="1">
      <c r="B1824" s="111">
        <f>+'Bldg+Dev'!U1530</f>
        <v>0</v>
      </c>
    </row>
    <row r="1825" spans="2:2" ht="16.5" hidden="1">
      <c r="B1825" s="111">
        <f>+'Bldg+Dev'!U1531</f>
        <v>0</v>
      </c>
    </row>
    <row r="1826" spans="2:2" ht="16.5" hidden="1">
      <c r="B1826" s="111">
        <f>+'Bldg+Dev'!U1532</f>
        <v>0</v>
      </c>
    </row>
    <row r="1827" spans="2:2" ht="16.5" hidden="1">
      <c r="B1827" s="111">
        <f>+'Bldg+Dev'!U1533</f>
        <v>0</v>
      </c>
    </row>
    <row r="1828" spans="2:2" ht="16.5" hidden="1">
      <c r="B1828" s="111">
        <f>+'Bldg+Dev'!U1534</f>
        <v>0</v>
      </c>
    </row>
    <row r="1829" spans="2:2" ht="16.5" hidden="1">
      <c r="B1829" s="111">
        <f>+'Bldg+Dev'!U1535</f>
        <v>0</v>
      </c>
    </row>
    <row r="1830" spans="2:2" ht="16.5" hidden="1">
      <c r="B1830" s="111">
        <f>+'Bldg+Dev'!U1536</f>
        <v>0</v>
      </c>
    </row>
    <row r="1831" spans="2:2" ht="16.5" hidden="1">
      <c r="B1831" s="111">
        <f>+'Bldg+Dev'!U1537</f>
        <v>0</v>
      </c>
    </row>
    <row r="1832" spans="2:2" ht="16.5" hidden="1">
      <c r="B1832" s="111">
        <f>+'Bldg+Dev'!U1538</f>
        <v>0</v>
      </c>
    </row>
    <row r="1833" spans="2:2" ht="16.5" hidden="1">
      <c r="B1833" s="111">
        <f>+'Bldg+Dev'!U1539</f>
        <v>0</v>
      </c>
    </row>
    <row r="1834" spans="2:2" ht="16.5" hidden="1">
      <c r="B1834" s="111">
        <f>+'Bldg+Dev'!U1540</f>
        <v>0</v>
      </c>
    </row>
    <row r="1835" spans="2:2" ht="16.5" hidden="1">
      <c r="B1835" s="111">
        <f>+'Bldg+Dev'!U1541</f>
        <v>0</v>
      </c>
    </row>
    <row r="1836" spans="2:2" ht="16.5" hidden="1">
      <c r="B1836" s="111">
        <f>+'Bldg+Dev'!U1542</f>
        <v>0</v>
      </c>
    </row>
    <row r="1837" spans="2:2" ht="16.5" hidden="1">
      <c r="B1837" s="111">
        <f>+'Bldg+Dev'!U1543</f>
        <v>0</v>
      </c>
    </row>
    <row r="1838" spans="2:2" ht="16.5" hidden="1">
      <c r="B1838" s="111">
        <f>+'Bldg+Dev'!U1544</f>
        <v>0</v>
      </c>
    </row>
    <row r="1839" spans="2:2" ht="16.5" hidden="1">
      <c r="B1839" s="111">
        <f>+'Bldg+Dev'!U1545</f>
        <v>0</v>
      </c>
    </row>
    <row r="1840" spans="2:2" ht="16.5" hidden="1">
      <c r="B1840" s="111">
        <f>+'Bldg+Dev'!U1546</f>
        <v>0</v>
      </c>
    </row>
    <row r="1841" spans="2:2" ht="16.5" hidden="1">
      <c r="B1841" s="111">
        <f>+'Bldg+Dev'!U1547</f>
        <v>0</v>
      </c>
    </row>
    <row r="1842" spans="2:2" ht="16.5" hidden="1">
      <c r="B1842" s="111">
        <f>+'Bldg+Dev'!U1548</f>
        <v>0</v>
      </c>
    </row>
    <row r="1843" spans="2:2" ht="16.5" hidden="1">
      <c r="B1843" s="111">
        <f>+'Bldg+Dev'!U1549</f>
        <v>0</v>
      </c>
    </row>
    <row r="1844" spans="2:2" ht="16.5" hidden="1">
      <c r="B1844" s="111">
        <f>+'Bldg+Dev'!U1550</f>
        <v>0</v>
      </c>
    </row>
    <row r="1845" spans="2:2" ht="16.5" hidden="1">
      <c r="B1845" s="111">
        <f>+'Bldg+Dev'!U1551</f>
        <v>0</v>
      </c>
    </row>
    <row r="1846" spans="2:2" ht="16.5" hidden="1">
      <c r="B1846" s="111">
        <f>+'Bldg+Dev'!U1552</f>
        <v>0</v>
      </c>
    </row>
    <row r="1847" spans="2:2" ht="16.5" hidden="1">
      <c r="B1847" s="111">
        <f>+'Bldg+Dev'!U1553</f>
        <v>0</v>
      </c>
    </row>
    <row r="1848" spans="2:2" ht="16.5" hidden="1">
      <c r="B1848" s="111">
        <f>+'Bldg+Dev'!U1554</f>
        <v>0</v>
      </c>
    </row>
    <row r="1849" spans="2:2" ht="16.5" hidden="1">
      <c r="B1849" s="111">
        <f>+'Bldg+Dev'!U1555</f>
        <v>0</v>
      </c>
    </row>
    <row r="1850" spans="2:2" ht="16.5" hidden="1">
      <c r="B1850" s="111">
        <f>+'Bldg+Dev'!U1556</f>
        <v>0</v>
      </c>
    </row>
    <row r="1851" spans="2:2" ht="16.5" hidden="1">
      <c r="B1851" s="111">
        <f>+'Bldg+Dev'!U1557</f>
        <v>0</v>
      </c>
    </row>
    <row r="1852" spans="2:2" ht="16.5" hidden="1">
      <c r="B1852" s="111">
        <f>+'Bldg+Dev'!U1558</f>
        <v>0</v>
      </c>
    </row>
    <row r="1853" spans="2:2" ht="16.5" hidden="1">
      <c r="B1853" s="111">
        <f>+'Bldg+Dev'!U1559</f>
        <v>0</v>
      </c>
    </row>
    <row r="1854" spans="2:2" ht="16.5" hidden="1">
      <c r="B1854" s="111">
        <f>+'Bldg+Dev'!U1560</f>
        <v>0</v>
      </c>
    </row>
    <row r="1855" spans="2:2" ht="16.5" hidden="1">
      <c r="B1855" s="111">
        <f>+'Bldg+Dev'!U1561</f>
        <v>0</v>
      </c>
    </row>
    <row r="1856" spans="2:2" ht="16.5" hidden="1">
      <c r="B1856" s="111">
        <f>+'Bldg+Dev'!U1562</f>
        <v>0</v>
      </c>
    </row>
    <row r="1857" spans="2:2" ht="16.5" hidden="1">
      <c r="B1857" s="111">
        <f>+'Bldg+Dev'!U1563</f>
        <v>0</v>
      </c>
    </row>
    <row r="1858" spans="2:2" ht="16.5" hidden="1">
      <c r="B1858" s="111">
        <f>+'Bldg+Dev'!U1564</f>
        <v>0</v>
      </c>
    </row>
    <row r="1859" spans="2:2" ht="16.5" hidden="1">
      <c r="B1859" s="111">
        <f>+'Bldg+Dev'!U1565</f>
        <v>0</v>
      </c>
    </row>
    <row r="1860" spans="2:2" ht="16.5" hidden="1">
      <c r="B1860" s="111">
        <f>+'Bldg+Dev'!U1566</f>
        <v>0</v>
      </c>
    </row>
    <row r="1861" spans="2:2" ht="16.5" hidden="1">
      <c r="B1861" s="111">
        <f>+'Bldg+Dev'!U1567</f>
        <v>0</v>
      </c>
    </row>
    <row r="1862" spans="2:2" ht="16.5" hidden="1">
      <c r="B1862" s="111">
        <f>+'Bldg+Dev'!U1568</f>
        <v>0</v>
      </c>
    </row>
    <row r="1863" spans="2:2" ht="16.5" hidden="1">
      <c r="B1863" s="111">
        <f>+'Bldg+Dev'!U1569</f>
        <v>0</v>
      </c>
    </row>
    <row r="1864" spans="2:2" ht="16.5" hidden="1">
      <c r="B1864" s="111">
        <f>+'Bldg+Dev'!U1570</f>
        <v>0</v>
      </c>
    </row>
    <row r="1865" spans="2:2" ht="16.5" hidden="1">
      <c r="B1865" s="111">
        <f>+'Bldg+Dev'!U1571</f>
        <v>0</v>
      </c>
    </row>
    <row r="1866" spans="2:2" ht="16.5" hidden="1">
      <c r="B1866" s="111">
        <f>+'Bldg+Dev'!U1572</f>
        <v>0</v>
      </c>
    </row>
    <row r="1867" spans="2:2" ht="16.5" hidden="1">
      <c r="B1867" s="111">
        <f>+'Bldg+Dev'!U1573</f>
        <v>0</v>
      </c>
    </row>
    <row r="1868" spans="2:2" ht="16.5" hidden="1">
      <c r="B1868" s="111">
        <f>+'Bldg+Dev'!U1574</f>
        <v>0</v>
      </c>
    </row>
    <row r="1869" spans="2:2" ht="16.5" hidden="1">
      <c r="B1869" s="111">
        <f>+'Bldg+Dev'!U1575</f>
        <v>0</v>
      </c>
    </row>
    <row r="1870" spans="2:2" ht="16.5" hidden="1">
      <c r="B1870" s="111">
        <f>+'Bldg+Dev'!U1576</f>
        <v>0</v>
      </c>
    </row>
    <row r="1871" spans="2:2" ht="16.5" hidden="1">
      <c r="B1871" s="111">
        <f>+'Bldg+Dev'!U1577</f>
        <v>0</v>
      </c>
    </row>
    <row r="1872" spans="2:2" ht="16.5" hidden="1">
      <c r="B1872" s="111">
        <f>+'Bldg+Dev'!U1578</f>
        <v>0</v>
      </c>
    </row>
    <row r="1873" spans="2:2" ht="16.5" hidden="1">
      <c r="B1873" s="111">
        <f>+'Bldg+Dev'!U1579</f>
        <v>0</v>
      </c>
    </row>
    <row r="1874" spans="2:2" ht="16.5" hidden="1">
      <c r="B1874" s="111">
        <f>+'Bldg+Dev'!U1580</f>
        <v>0</v>
      </c>
    </row>
    <row r="1875" spans="2:2" ht="16.5" hidden="1">
      <c r="B1875" s="111">
        <f>+'Bldg+Dev'!U1581</f>
        <v>0</v>
      </c>
    </row>
    <row r="1876" spans="2:2" ht="16.5" hidden="1">
      <c r="B1876" s="111">
        <f>+'Bldg+Dev'!U1582</f>
        <v>0</v>
      </c>
    </row>
    <row r="1877" spans="2:2" ht="16.5" hidden="1">
      <c r="B1877" s="111">
        <f>+'Bldg+Dev'!U1583</f>
        <v>0</v>
      </c>
    </row>
    <row r="1878" spans="2:2" ht="16.5" hidden="1">
      <c r="B1878" s="111">
        <f>+'Bldg+Dev'!U1584</f>
        <v>0</v>
      </c>
    </row>
    <row r="1879" spans="2:2" ht="16.5" hidden="1">
      <c r="B1879" s="111">
        <f>+'Bldg+Dev'!U1585</f>
        <v>0</v>
      </c>
    </row>
    <row r="1880" spans="2:2" ht="16.5" hidden="1">
      <c r="B1880" s="111">
        <f>+'Bldg+Dev'!U1586</f>
        <v>0</v>
      </c>
    </row>
    <row r="1881" spans="2:2" ht="16.5" hidden="1">
      <c r="B1881" s="111">
        <f>+'Bldg+Dev'!U1587</f>
        <v>0</v>
      </c>
    </row>
    <row r="1882" spans="2:2" ht="16.5" hidden="1">
      <c r="B1882" s="111">
        <f>+'Bldg+Dev'!U1588</f>
        <v>0</v>
      </c>
    </row>
    <row r="1883" spans="2:2" ht="16.5" hidden="1">
      <c r="B1883" s="111">
        <f>+'Bldg+Dev'!U1589</f>
        <v>0</v>
      </c>
    </row>
    <row r="1884" spans="2:2" ht="16.5" hidden="1">
      <c r="B1884" s="111">
        <f>+'Bldg+Dev'!U1590</f>
        <v>0</v>
      </c>
    </row>
    <row r="1885" spans="2:2" ht="16.5" hidden="1">
      <c r="B1885" s="111">
        <f>+'Bldg+Dev'!U1591</f>
        <v>0</v>
      </c>
    </row>
    <row r="1886" spans="2:2" ht="16.5" hidden="1">
      <c r="B1886" s="111">
        <f>+'Bldg+Dev'!U1592</f>
        <v>0</v>
      </c>
    </row>
    <row r="1887" spans="2:2" ht="16.5" hidden="1">
      <c r="B1887" s="111">
        <f>+'Bldg+Dev'!U1593</f>
        <v>0</v>
      </c>
    </row>
    <row r="1888" spans="2:2" ht="16.5" hidden="1">
      <c r="B1888" s="111">
        <f>+'Bldg+Dev'!U1594</f>
        <v>0</v>
      </c>
    </row>
    <row r="1889" spans="2:2" ht="16.5" hidden="1">
      <c r="B1889" s="111">
        <f>+'Bldg+Dev'!U1595</f>
        <v>0</v>
      </c>
    </row>
    <row r="1890" spans="2:2" ht="16.5" hidden="1">
      <c r="B1890" s="111">
        <f>+'Bldg+Dev'!U1596</f>
        <v>0</v>
      </c>
    </row>
    <row r="1891" spans="2:2" ht="16.5" hidden="1">
      <c r="B1891" s="111">
        <f>+'Bldg+Dev'!U1597</f>
        <v>0</v>
      </c>
    </row>
    <row r="1892" spans="2:2" ht="16.5" hidden="1">
      <c r="B1892" s="111">
        <f>+'Bldg+Dev'!U1598</f>
        <v>0</v>
      </c>
    </row>
    <row r="1893" spans="2:2" ht="16.5" hidden="1">
      <c r="B1893" s="111">
        <f>+'Bldg+Dev'!U1599</f>
        <v>0</v>
      </c>
    </row>
    <row r="1894" spans="2:2" ht="16.5" hidden="1">
      <c r="B1894" s="111">
        <f>+'Bldg+Dev'!U1600</f>
        <v>0</v>
      </c>
    </row>
    <row r="1895" spans="2:2" ht="16.5" hidden="1">
      <c r="B1895" s="111">
        <f>+'Bldg+Dev'!U1601</f>
        <v>0</v>
      </c>
    </row>
    <row r="1896" spans="2:2" ht="16.5" hidden="1">
      <c r="B1896" s="111">
        <f>+'Bldg+Dev'!U1602</f>
        <v>0</v>
      </c>
    </row>
    <row r="1897" spans="2:2" ht="16.5" hidden="1">
      <c r="B1897" s="111">
        <f>+'Bldg+Dev'!U1603</f>
        <v>0</v>
      </c>
    </row>
    <row r="1898" spans="2:2" ht="16.5" hidden="1">
      <c r="B1898" s="111">
        <f>+'Bldg+Dev'!U1604</f>
        <v>0</v>
      </c>
    </row>
    <row r="1899" spans="2:2" ht="16.5" hidden="1">
      <c r="B1899" s="111">
        <f>+'Bldg+Dev'!U1605</f>
        <v>0</v>
      </c>
    </row>
    <row r="1900" spans="2:2" ht="16.5" hidden="1">
      <c r="B1900" s="111">
        <f>+'Bldg+Dev'!U1606</f>
        <v>0</v>
      </c>
    </row>
    <row r="1901" spans="2:2" ht="16.5" hidden="1">
      <c r="B1901" s="111">
        <f>+'Bldg+Dev'!U1607</f>
        <v>0</v>
      </c>
    </row>
    <row r="1902" spans="2:2" ht="16.5" hidden="1">
      <c r="B1902" s="111">
        <f>+'Bldg+Dev'!U1608</f>
        <v>0</v>
      </c>
    </row>
    <row r="1903" spans="2:2" ht="16.5" hidden="1">
      <c r="B1903" s="111">
        <f>+'Bldg+Dev'!U1609</f>
        <v>0</v>
      </c>
    </row>
    <row r="1904" spans="2:2" ht="16.5" hidden="1">
      <c r="B1904" s="111">
        <f>+'Bldg+Dev'!U1610</f>
        <v>0</v>
      </c>
    </row>
    <row r="1905" spans="2:2" ht="16.5" hidden="1">
      <c r="B1905" s="111">
        <f>+'Bldg+Dev'!U1611</f>
        <v>0</v>
      </c>
    </row>
    <row r="1906" spans="2:2" ht="16.5" hidden="1">
      <c r="B1906" s="111">
        <f>+'Bldg+Dev'!U1612</f>
        <v>0</v>
      </c>
    </row>
    <row r="1907" spans="2:2" ht="16.5" hidden="1">
      <c r="B1907" s="111">
        <f>+'Bldg+Dev'!U1613</f>
        <v>0</v>
      </c>
    </row>
    <row r="1908" spans="2:2" ht="16.5" hidden="1">
      <c r="B1908" s="111">
        <f>+'Bldg+Dev'!U1614</f>
        <v>0</v>
      </c>
    </row>
    <row r="1909" spans="2:2" ht="16.5" hidden="1">
      <c r="B1909" s="111">
        <f>+'Bldg+Dev'!U1615</f>
        <v>0</v>
      </c>
    </row>
    <row r="1910" spans="2:2" ht="16.5" hidden="1">
      <c r="B1910" s="111">
        <f>+'Bldg+Dev'!U1616</f>
        <v>0</v>
      </c>
    </row>
    <row r="1911" spans="2:2" ht="16.5" hidden="1">
      <c r="B1911" s="111">
        <f>+'Bldg+Dev'!U1617</f>
        <v>0</v>
      </c>
    </row>
    <row r="1912" spans="2:2" ht="16.5" hidden="1">
      <c r="B1912" s="111">
        <f>+'Bldg+Dev'!U1618</f>
        <v>0</v>
      </c>
    </row>
    <row r="1913" spans="2:2" ht="16.5" hidden="1">
      <c r="B1913" s="111">
        <f>+'Bldg+Dev'!U1619</f>
        <v>0</v>
      </c>
    </row>
    <row r="1914" spans="2:2" ht="16.5" hidden="1">
      <c r="B1914" s="111">
        <f>+'Bldg+Dev'!U1620</f>
        <v>0</v>
      </c>
    </row>
    <row r="1915" spans="2:2" ht="16.5" hidden="1">
      <c r="B1915" s="111">
        <f>+'Bldg+Dev'!U1621</f>
        <v>0</v>
      </c>
    </row>
    <row r="1916" spans="2:2" ht="16.5" hidden="1">
      <c r="B1916" s="111">
        <f>+'Bldg+Dev'!U1622</f>
        <v>0</v>
      </c>
    </row>
    <row r="1917" spans="2:2" ht="16.5" hidden="1">
      <c r="B1917" s="111">
        <f>+'Bldg+Dev'!U1623</f>
        <v>0</v>
      </c>
    </row>
    <row r="1918" spans="2:2" ht="16.5" hidden="1">
      <c r="B1918" s="111">
        <f>+'Bldg+Dev'!U1624</f>
        <v>0</v>
      </c>
    </row>
    <row r="1919" spans="2:2" ht="16.5" hidden="1">
      <c r="B1919" s="111">
        <f>+'Bldg+Dev'!U1625</f>
        <v>0</v>
      </c>
    </row>
    <row r="1920" spans="2:2" ht="16.5" hidden="1">
      <c r="B1920" s="111">
        <f>+'Bldg+Dev'!U1626</f>
        <v>0</v>
      </c>
    </row>
    <row r="1921" spans="2:2" ht="16.5" hidden="1">
      <c r="B1921" s="111">
        <f>+'Bldg+Dev'!U1627</f>
        <v>0</v>
      </c>
    </row>
    <row r="1922" spans="2:2" ht="16.5" hidden="1">
      <c r="B1922" s="111">
        <f>+'Bldg+Dev'!U1628</f>
        <v>0</v>
      </c>
    </row>
    <row r="1923" spans="2:2" ht="16.5" hidden="1">
      <c r="B1923" s="111">
        <f>+'Bldg+Dev'!U1629</f>
        <v>0</v>
      </c>
    </row>
    <row r="1924" spans="2:2" ht="16.5" hidden="1">
      <c r="B1924" s="111">
        <f>+'Bldg+Dev'!U1630</f>
        <v>0</v>
      </c>
    </row>
    <row r="1925" spans="2:2" ht="16.5" hidden="1">
      <c r="B1925" s="111">
        <f>+'Bldg+Dev'!U1631</f>
        <v>0</v>
      </c>
    </row>
    <row r="1926" spans="2:2" ht="16.5" hidden="1">
      <c r="B1926" s="111">
        <f>+'Bldg+Dev'!U1632</f>
        <v>0</v>
      </c>
    </row>
    <row r="1927" spans="2:2" ht="16.5" hidden="1">
      <c r="B1927" s="111">
        <f>+'Bldg+Dev'!U1633</f>
        <v>0</v>
      </c>
    </row>
    <row r="1928" spans="2:2" ht="16.5" hidden="1">
      <c r="B1928" s="111">
        <f>+'Bldg+Dev'!U1634</f>
        <v>0</v>
      </c>
    </row>
    <row r="1929" spans="2:2" ht="16.5" hidden="1">
      <c r="B1929" s="111">
        <f>+'Bldg+Dev'!U1635</f>
        <v>0</v>
      </c>
    </row>
    <row r="1930" spans="2:2" ht="16.5" hidden="1">
      <c r="B1930" s="111">
        <f>+'Bldg+Dev'!U1636</f>
        <v>0</v>
      </c>
    </row>
    <row r="1931" spans="2:2" ht="16.5" hidden="1">
      <c r="B1931" s="111">
        <f>+'Bldg+Dev'!U1637</f>
        <v>0</v>
      </c>
    </row>
    <row r="1932" spans="2:2" ht="16.5" hidden="1">
      <c r="B1932" s="111">
        <f>+'Bldg+Dev'!U1638</f>
        <v>0</v>
      </c>
    </row>
    <row r="1933" spans="2:2" ht="16.5" hidden="1">
      <c r="B1933" s="111">
        <f>+'Bldg+Dev'!U1639</f>
        <v>0</v>
      </c>
    </row>
    <row r="1934" spans="2:2" ht="16.5" hidden="1">
      <c r="B1934" s="111">
        <f>+'Bldg+Dev'!U1640</f>
        <v>0</v>
      </c>
    </row>
    <row r="1935" spans="2:2" ht="16.5" hidden="1">
      <c r="B1935" s="111">
        <f>+'Bldg+Dev'!U1641</f>
        <v>0</v>
      </c>
    </row>
    <row r="1936" spans="2:2" ht="16.5" hidden="1">
      <c r="B1936" s="111">
        <f>+'Bldg+Dev'!U1642</f>
        <v>0</v>
      </c>
    </row>
    <row r="1937" spans="2:2" ht="16.5" hidden="1">
      <c r="B1937" s="111">
        <f>+'Bldg+Dev'!U1643</f>
        <v>0</v>
      </c>
    </row>
    <row r="1938" spans="2:2" ht="16.5" hidden="1">
      <c r="B1938" s="111">
        <f>+'Bldg+Dev'!U1644</f>
        <v>0</v>
      </c>
    </row>
    <row r="1939" spans="2:2" ht="16.5" hidden="1">
      <c r="B1939" s="111">
        <f>+'Bldg+Dev'!U1645</f>
        <v>0</v>
      </c>
    </row>
    <row r="1940" spans="2:2" ht="16.5" hidden="1">
      <c r="B1940" s="111">
        <f>+'Bldg+Dev'!U1646</f>
        <v>0</v>
      </c>
    </row>
    <row r="1941" spans="2:2" ht="16.5" hidden="1">
      <c r="B1941" s="111">
        <f>+'Bldg+Dev'!U1647</f>
        <v>0</v>
      </c>
    </row>
    <row r="1942" spans="2:2" ht="16.5" hidden="1">
      <c r="B1942" s="111">
        <f>+'Bldg+Dev'!U1648</f>
        <v>0</v>
      </c>
    </row>
    <row r="1943" spans="2:2" ht="16.5" hidden="1">
      <c r="B1943" s="111">
        <f>+'Bldg+Dev'!U1649</f>
        <v>0</v>
      </c>
    </row>
    <row r="1944" spans="2:2" ht="16.5" hidden="1">
      <c r="B1944" s="111">
        <f>+'Bldg+Dev'!U1650</f>
        <v>0</v>
      </c>
    </row>
    <row r="1945" spans="2:2" ht="16.5" hidden="1">
      <c r="B1945" s="111">
        <f>+'Bldg+Dev'!U1651</f>
        <v>0</v>
      </c>
    </row>
    <row r="1946" spans="2:2" ht="16.5" hidden="1">
      <c r="B1946" s="111">
        <f>+'Bldg+Dev'!U1652</f>
        <v>0</v>
      </c>
    </row>
    <row r="1947" spans="2:2" ht="16.5" hidden="1">
      <c r="B1947" s="111">
        <f>+'Bldg+Dev'!U1653</f>
        <v>0</v>
      </c>
    </row>
    <row r="1948" spans="2:2" ht="16.5" hidden="1">
      <c r="B1948" s="111">
        <f>+'Bldg+Dev'!U1654</f>
        <v>0</v>
      </c>
    </row>
    <row r="1949" spans="2:2" ht="16.5" hidden="1">
      <c r="B1949" s="111">
        <f>+'Bldg+Dev'!U1655</f>
        <v>0</v>
      </c>
    </row>
    <row r="1950" spans="2:2" ht="16.5" hidden="1">
      <c r="B1950" s="111">
        <f>+'Bldg+Dev'!U1656</f>
        <v>0</v>
      </c>
    </row>
    <row r="1951" spans="2:2" ht="16.5" hidden="1">
      <c r="B1951" s="111">
        <f>+'Bldg+Dev'!U1657</f>
        <v>0</v>
      </c>
    </row>
    <row r="1952" spans="2:2" ht="16.5" hidden="1">
      <c r="B1952" s="111">
        <f>+'Bldg+Dev'!U1658</f>
        <v>0</v>
      </c>
    </row>
    <row r="1953" spans="2:2" ht="16.5" hidden="1">
      <c r="B1953" s="111">
        <f>+'Bldg+Dev'!U1659</f>
        <v>0</v>
      </c>
    </row>
    <row r="1954" spans="2:2" ht="16.5" hidden="1">
      <c r="B1954" s="111">
        <f>+'Bldg+Dev'!U1660</f>
        <v>0</v>
      </c>
    </row>
    <row r="1955" spans="2:2" ht="16.5" hidden="1">
      <c r="B1955" s="111">
        <f>+'Bldg+Dev'!U1661</f>
        <v>0</v>
      </c>
    </row>
    <row r="1956" spans="2:2" ht="16.5" hidden="1">
      <c r="B1956" s="111">
        <f>+'Bldg+Dev'!U1662</f>
        <v>0</v>
      </c>
    </row>
    <row r="1957" spans="2:2" ht="16.5" hidden="1">
      <c r="B1957" s="111">
        <f>+'Bldg+Dev'!U1663</f>
        <v>0</v>
      </c>
    </row>
    <row r="1958" spans="2:2" ht="16.5" hidden="1">
      <c r="B1958" s="111">
        <f>+'Bldg+Dev'!U1664</f>
        <v>0</v>
      </c>
    </row>
    <row r="1959" spans="2:2" ht="16.5" hidden="1">
      <c r="B1959" s="111">
        <f>+'Bldg+Dev'!U1665</f>
        <v>0</v>
      </c>
    </row>
    <row r="1960" spans="2:2" ht="16.5" hidden="1">
      <c r="B1960" s="111">
        <f>+'Bldg+Dev'!U1666</f>
        <v>0</v>
      </c>
    </row>
    <row r="1961" spans="2:2" ht="16.5" hidden="1">
      <c r="B1961" s="111">
        <f>+'Bldg+Dev'!U1667</f>
        <v>0</v>
      </c>
    </row>
    <row r="1962" spans="2:2" ht="16.5" hidden="1">
      <c r="B1962" s="111">
        <f>+'Bldg+Dev'!U1668</f>
        <v>0</v>
      </c>
    </row>
    <row r="1963" spans="2:2" ht="16.5" hidden="1">
      <c r="B1963" s="111">
        <f>+'Bldg+Dev'!U1669</f>
        <v>0</v>
      </c>
    </row>
    <row r="1964" spans="2:2" ht="16.5" hidden="1">
      <c r="B1964" s="111">
        <f>+'Bldg+Dev'!U1670</f>
        <v>0</v>
      </c>
    </row>
    <row r="1965" spans="2:2" ht="16.5" hidden="1">
      <c r="B1965" s="111">
        <f>+'Bldg+Dev'!U1671</f>
        <v>0</v>
      </c>
    </row>
    <row r="1966" spans="2:2" ht="16.5" hidden="1">
      <c r="B1966" s="111">
        <f>+'Bldg+Dev'!U1672</f>
        <v>0</v>
      </c>
    </row>
    <row r="1967" spans="2:2" ht="16.5" hidden="1">
      <c r="B1967" s="111">
        <f>+'Bldg+Dev'!U1673</f>
        <v>0</v>
      </c>
    </row>
    <row r="1968" spans="2:2" ht="16.5" hidden="1">
      <c r="B1968" s="111">
        <f>+'Bldg+Dev'!U1674</f>
        <v>0</v>
      </c>
    </row>
    <row r="1969" spans="2:2" ht="16.5" hidden="1">
      <c r="B1969" s="111">
        <f>+'Bldg+Dev'!U1675</f>
        <v>0</v>
      </c>
    </row>
    <row r="1970" spans="2:2" ht="16.5" hidden="1">
      <c r="B1970" s="111">
        <f>+'Bldg+Dev'!U1676</f>
        <v>0</v>
      </c>
    </row>
    <row r="1971" spans="2:2" ht="16.5" hidden="1">
      <c r="B1971" s="111">
        <f>+'Bldg+Dev'!U1677</f>
        <v>0</v>
      </c>
    </row>
    <row r="1972" spans="2:2" ht="16.5" hidden="1">
      <c r="B1972" s="111">
        <f>+'Bldg+Dev'!U1678</f>
        <v>0</v>
      </c>
    </row>
    <row r="1973" spans="2:2" ht="16.5" hidden="1">
      <c r="B1973" s="111">
        <f>+'Bldg+Dev'!U1679</f>
        <v>0</v>
      </c>
    </row>
    <row r="1974" spans="2:2" ht="16.5" hidden="1">
      <c r="B1974" s="111">
        <f>+'Bldg+Dev'!U1680</f>
        <v>0</v>
      </c>
    </row>
    <row r="1975" spans="2:2" ht="16.5" hidden="1">
      <c r="B1975" s="111">
        <f>+'Bldg+Dev'!U1681</f>
        <v>0</v>
      </c>
    </row>
    <row r="1976" spans="2:2" ht="16.5" hidden="1">
      <c r="B1976" s="111">
        <f>+'Bldg+Dev'!U1682</f>
        <v>0</v>
      </c>
    </row>
    <row r="1977" spans="2:2" ht="16.5" hidden="1">
      <c r="B1977" s="111">
        <f>+'Bldg+Dev'!U1683</f>
        <v>0</v>
      </c>
    </row>
    <row r="1978" spans="2:2" ht="16.5" hidden="1">
      <c r="B1978" s="111">
        <f>+'Bldg+Dev'!U1684</f>
        <v>0</v>
      </c>
    </row>
    <row r="1979" spans="2:2" ht="16.5" hidden="1">
      <c r="B1979" s="111">
        <f>+'Bldg+Dev'!U1685</f>
        <v>0</v>
      </c>
    </row>
    <row r="1980" spans="2:2" ht="16.5" hidden="1">
      <c r="B1980" s="111">
        <f>+'Bldg+Dev'!U1686</f>
        <v>0</v>
      </c>
    </row>
    <row r="1981" spans="2:2" ht="16.5" hidden="1">
      <c r="B1981" s="111">
        <f>+'Bldg+Dev'!U1687</f>
        <v>0</v>
      </c>
    </row>
    <row r="1982" spans="2:2" ht="16.5" hidden="1">
      <c r="B1982" s="111">
        <f>+'Bldg+Dev'!U1688</f>
        <v>0</v>
      </c>
    </row>
    <row r="1983" spans="2:2" ht="16.5" hidden="1">
      <c r="B1983" s="111">
        <f>+'Bldg+Dev'!U1689</f>
        <v>0</v>
      </c>
    </row>
    <row r="1984" spans="2:2" ht="16.5" hidden="1">
      <c r="B1984" s="111">
        <f>+'Bldg+Dev'!U1690</f>
        <v>0</v>
      </c>
    </row>
    <row r="1985" spans="2:2" ht="16.5" hidden="1">
      <c r="B1985" s="111">
        <f>+'Bldg+Dev'!U1691</f>
        <v>0</v>
      </c>
    </row>
    <row r="1986" spans="2:2" ht="16.5" hidden="1">
      <c r="B1986" s="111">
        <f>+'Bldg+Dev'!U1692</f>
        <v>0</v>
      </c>
    </row>
    <row r="1987" spans="2:2" ht="16.5" hidden="1">
      <c r="B1987" s="111">
        <f>+'Bldg+Dev'!U1693</f>
        <v>0</v>
      </c>
    </row>
    <row r="1988" spans="2:2" ht="16.5" hidden="1">
      <c r="B1988" s="111">
        <f>+'Bldg+Dev'!U1694</f>
        <v>0</v>
      </c>
    </row>
    <row r="1989" spans="2:2" ht="16.5" hidden="1">
      <c r="B1989" s="111">
        <f>+'Bldg+Dev'!U1695</f>
        <v>0</v>
      </c>
    </row>
    <row r="1990" spans="2:2" ht="16.5" hidden="1">
      <c r="B1990" s="111">
        <f>+'Bldg+Dev'!U1696</f>
        <v>0</v>
      </c>
    </row>
    <row r="1991" spans="2:2" ht="16.5" hidden="1">
      <c r="B1991" s="111">
        <f>+'Bldg+Dev'!U1697</f>
        <v>0</v>
      </c>
    </row>
    <row r="1992" spans="2:2" ht="16.5" hidden="1">
      <c r="B1992" s="111">
        <f>+'Bldg+Dev'!U1698</f>
        <v>0</v>
      </c>
    </row>
    <row r="1993" spans="2:2" ht="16.5" hidden="1">
      <c r="B1993" s="111">
        <f>+'Bldg+Dev'!U1699</f>
        <v>0</v>
      </c>
    </row>
    <row r="1994" spans="2:2" ht="16.5" hidden="1">
      <c r="B1994" s="111">
        <f>+'Bldg+Dev'!U1700</f>
        <v>0</v>
      </c>
    </row>
    <row r="1995" spans="2:2" ht="16.5" hidden="1">
      <c r="B1995" s="111">
        <f>+'Bldg+Dev'!U1701</f>
        <v>0</v>
      </c>
    </row>
    <row r="1996" spans="2:2" ht="16.5" hidden="1">
      <c r="B1996" s="111">
        <f>+'Bldg+Dev'!U1702</f>
        <v>0</v>
      </c>
    </row>
    <row r="1997" spans="2:2" ht="16.5" hidden="1">
      <c r="B1997" s="111">
        <f>+'Bldg+Dev'!U1703</f>
        <v>0</v>
      </c>
    </row>
    <row r="1998" spans="2:2" ht="16.5" hidden="1">
      <c r="B1998" s="111">
        <f>+'Bldg+Dev'!U1704</f>
        <v>0</v>
      </c>
    </row>
    <row r="1999" spans="2:2" ht="16.5" hidden="1">
      <c r="B1999" s="111">
        <f>+'Bldg+Dev'!U1705</f>
        <v>0</v>
      </c>
    </row>
    <row r="2000" spans="2:2" ht="16.5" hidden="1">
      <c r="B2000" s="111">
        <f>+'Bldg+Dev'!U1706</f>
        <v>0</v>
      </c>
    </row>
    <row r="2001" spans="2:2" ht="16.5" hidden="1">
      <c r="B2001" s="111">
        <f>+'Bldg+Dev'!U1707</f>
        <v>0</v>
      </c>
    </row>
    <row r="2002" spans="2:2" ht="16.5" hidden="1">
      <c r="B2002" s="111">
        <f>+'Bldg+Dev'!U1708</f>
        <v>0</v>
      </c>
    </row>
    <row r="2003" spans="2:2" ht="16.5" hidden="1">
      <c r="B2003" s="111">
        <f>+'Bldg+Dev'!U1709</f>
        <v>0</v>
      </c>
    </row>
    <row r="2004" spans="2:2" ht="16.5" hidden="1">
      <c r="B2004" s="111">
        <f>+'Bldg+Dev'!U1710</f>
        <v>0</v>
      </c>
    </row>
    <row r="2005" spans="2:2" ht="16.5" hidden="1">
      <c r="B2005" s="111">
        <f>+'Bldg+Dev'!U1711</f>
        <v>0</v>
      </c>
    </row>
    <row r="2006" spans="2:2" ht="16.5" hidden="1">
      <c r="B2006" s="111">
        <f>+'Bldg+Dev'!U1712</f>
        <v>0</v>
      </c>
    </row>
    <row r="2007" spans="2:2" ht="16.5" hidden="1">
      <c r="B2007" s="111">
        <f>+'Bldg+Dev'!U1713</f>
        <v>0</v>
      </c>
    </row>
    <row r="2008" spans="2:2" ht="16.5" hidden="1">
      <c r="B2008" s="111">
        <f>+'Bldg+Dev'!U1714</f>
        <v>0</v>
      </c>
    </row>
    <row r="2009" spans="2:2" ht="16.5" hidden="1">
      <c r="B2009" s="111">
        <f>+'Bldg+Dev'!U1715</f>
        <v>0</v>
      </c>
    </row>
    <row r="2010" spans="2:2" ht="16.5" hidden="1">
      <c r="B2010" s="111">
        <f>+'Bldg+Dev'!U1716</f>
        <v>0</v>
      </c>
    </row>
    <row r="2011" spans="2:2" ht="16.5" hidden="1">
      <c r="B2011" s="111">
        <f>+'Bldg+Dev'!U1717</f>
        <v>0</v>
      </c>
    </row>
    <row r="2012" spans="2:2" ht="16.5" hidden="1">
      <c r="B2012" s="111">
        <f>+'Bldg+Dev'!U1718</f>
        <v>0</v>
      </c>
    </row>
    <row r="2013" spans="2:2" ht="16.5" hidden="1">
      <c r="B2013" s="111">
        <f>+'Bldg+Dev'!U1719</f>
        <v>0</v>
      </c>
    </row>
    <row r="2014" spans="2:2" ht="16.5" hidden="1">
      <c r="B2014" s="111">
        <f>+'Bldg+Dev'!U1720</f>
        <v>0</v>
      </c>
    </row>
    <row r="2015" spans="2:2" ht="16.5" hidden="1">
      <c r="B2015" s="111">
        <f>+'Bldg+Dev'!U1721</f>
        <v>0</v>
      </c>
    </row>
    <row r="2016" spans="2:2" ht="16.5" hidden="1">
      <c r="B2016" s="111">
        <f>+'Bldg+Dev'!U1722</f>
        <v>0</v>
      </c>
    </row>
    <row r="2017" spans="2:2" ht="16.5" hidden="1">
      <c r="B2017" s="111">
        <f>+'Bldg+Dev'!U1723</f>
        <v>0</v>
      </c>
    </row>
    <row r="2018" spans="2:2" ht="16.5" hidden="1">
      <c r="B2018" s="111">
        <f>+'Bldg+Dev'!U1724</f>
        <v>0</v>
      </c>
    </row>
    <row r="2019" spans="2:2" ht="16.5" hidden="1">
      <c r="B2019" s="111">
        <f>+'Bldg+Dev'!U1725</f>
        <v>0</v>
      </c>
    </row>
    <row r="2020" spans="2:2" ht="16.5" hidden="1">
      <c r="B2020" s="111">
        <f>+'Bldg+Dev'!U1726</f>
        <v>0</v>
      </c>
    </row>
    <row r="2021" spans="2:2" ht="16.5" hidden="1">
      <c r="B2021" s="111">
        <f>+'Bldg+Dev'!U1727</f>
        <v>0</v>
      </c>
    </row>
    <row r="2022" spans="2:2" ht="16.5" hidden="1">
      <c r="B2022" s="111">
        <f>+'Bldg+Dev'!U1728</f>
        <v>0</v>
      </c>
    </row>
    <row r="2023" spans="2:2" ht="16.5" hidden="1">
      <c r="B2023" s="111">
        <f>+'Bldg+Dev'!U1729</f>
        <v>0</v>
      </c>
    </row>
    <row r="2024" spans="2:2" ht="16.5" hidden="1">
      <c r="B2024" s="111">
        <f>+'Bldg+Dev'!U1730</f>
        <v>0</v>
      </c>
    </row>
    <row r="2025" spans="2:2" ht="16.5" hidden="1">
      <c r="B2025" s="111">
        <f>+'Bldg+Dev'!U1731</f>
        <v>0</v>
      </c>
    </row>
    <row r="2026" spans="2:2" ht="16.5" hidden="1">
      <c r="B2026" s="111">
        <f>+'Bldg+Dev'!U1732</f>
        <v>0</v>
      </c>
    </row>
    <row r="2027" spans="2:2" ht="16.5" hidden="1">
      <c r="B2027" s="111">
        <f>+'Bldg+Dev'!U1733</f>
        <v>0</v>
      </c>
    </row>
    <row r="2028" spans="2:2" ht="16.5" hidden="1">
      <c r="B2028" s="111">
        <f>+'Bldg+Dev'!U1734</f>
        <v>0</v>
      </c>
    </row>
    <row r="2029" spans="2:2" ht="16.5" hidden="1">
      <c r="B2029" s="111">
        <f>+'Bldg+Dev'!U1735</f>
        <v>0</v>
      </c>
    </row>
    <row r="2030" spans="2:2" ht="16.5" hidden="1">
      <c r="B2030" s="111">
        <f>+'Bldg+Dev'!U1736</f>
        <v>0</v>
      </c>
    </row>
    <row r="2031" spans="2:2" ht="16.5" hidden="1">
      <c r="B2031" s="111">
        <f>+'Bldg+Dev'!U1737</f>
        <v>0</v>
      </c>
    </row>
    <row r="2032" spans="2:2" ht="16.5" hidden="1">
      <c r="B2032" s="111">
        <f>+'Bldg+Dev'!U1738</f>
        <v>0</v>
      </c>
    </row>
    <row r="2033" spans="2:2" ht="16.5" hidden="1">
      <c r="B2033" s="111">
        <f>+'Bldg+Dev'!U1739</f>
        <v>0</v>
      </c>
    </row>
    <row r="2034" spans="2:2" ht="16.5" hidden="1">
      <c r="B2034" s="111">
        <f>+'Bldg+Dev'!U1740</f>
        <v>0</v>
      </c>
    </row>
    <row r="2035" spans="2:2" ht="16.5" hidden="1">
      <c r="B2035" s="111">
        <f>+'Bldg+Dev'!U1741</f>
        <v>0</v>
      </c>
    </row>
    <row r="2036" spans="2:2" ht="16.5" hidden="1">
      <c r="B2036" s="111">
        <f>+'Bldg+Dev'!U1742</f>
        <v>0</v>
      </c>
    </row>
    <row r="2037" spans="2:2" ht="16.5" hidden="1">
      <c r="B2037" s="111">
        <f>+'Bldg+Dev'!U1743</f>
        <v>0</v>
      </c>
    </row>
    <row r="2038" spans="2:2" ht="16.5" hidden="1">
      <c r="B2038" s="111">
        <f>+'Bldg+Dev'!U1744</f>
        <v>0</v>
      </c>
    </row>
    <row r="2039" spans="2:2" ht="16.5" hidden="1">
      <c r="B2039" s="111">
        <f>+'Bldg+Dev'!U1745</f>
        <v>0</v>
      </c>
    </row>
    <row r="2040" spans="2:2" ht="16.5" hidden="1">
      <c r="B2040" s="111">
        <f>+'Bldg+Dev'!U1746</f>
        <v>0</v>
      </c>
    </row>
    <row r="2041" spans="2:2" ht="16.5" hidden="1">
      <c r="B2041" s="111">
        <f>+'Bldg+Dev'!U1747</f>
        <v>0</v>
      </c>
    </row>
    <row r="2042" spans="2:2" ht="16.5" hidden="1">
      <c r="B2042" s="111">
        <f>+'Bldg+Dev'!U1748</f>
        <v>0</v>
      </c>
    </row>
    <row r="2043" spans="2:2" ht="16.5" hidden="1">
      <c r="B2043" s="111">
        <f>+'Bldg+Dev'!U1749</f>
        <v>0</v>
      </c>
    </row>
    <row r="2044" spans="2:2" ht="16.5" hidden="1">
      <c r="B2044" s="111">
        <f>+'Bldg+Dev'!U1750</f>
        <v>0</v>
      </c>
    </row>
    <row r="2045" spans="2:2" ht="16.5" hidden="1">
      <c r="B2045" s="111">
        <f>+'Bldg+Dev'!U1751</f>
        <v>0</v>
      </c>
    </row>
    <row r="2046" spans="2:2" ht="16.5" hidden="1">
      <c r="B2046" s="111">
        <f>+'Bldg+Dev'!U1752</f>
        <v>0</v>
      </c>
    </row>
    <row r="2047" spans="2:2" ht="16.5" hidden="1">
      <c r="B2047" s="111">
        <f>+'Bldg+Dev'!U1753</f>
        <v>0</v>
      </c>
    </row>
    <row r="2048" spans="2:2" ht="16.5" hidden="1">
      <c r="B2048" s="111">
        <f>+'Bldg+Dev'!U1754</f>
        <v>0</v>
      </c>
    </row>
    <row r="2049" spans="2:2" ht="16.5" hidden="1">
      <c r="B2049" s="111">
        <f>+'Bldg+Dev'!U1755</f>
        <v>0</v>
      </c>
    </row>
    <row r="2050" spans="2:2" ht="16.5" hidden="1">
      <c r="B2050" s="111">
        <f>+'Bldg+Dev'!U1756</f>
        <v>0</v>
      </c>
    </row>
    <row r="2051" spans="2:2" ht="16.5" hidden="1">
      <c r="B2051" s="111">
        <f>+'Bldg+Dev'!U1757</f>
        <v>0</v>
      </c>
    </row>
    <row r="2052" spans="2:2" ht="16.5" hidden="1">
      <c r="B2052" s="111">
        <f>+'Bldg+Dev'!U1758</f>
        <v>0</v>
      </c>
    </row>
    <row r="2053" spans="2:2" ht="16.5" hidden="1">
      <c r="B2053" s="111">
        <f>+'Bldg+Dev'!U1759</f>
        <v>0</v>
      </c>
    </row>
    <row r="2054" spans="2:2" ht="16.5" hidden="1">
      <c r="B2054" s="111">
        <f>+'Bldg+Dev'!U1760</f>
        <v>0</v>
      </c>
    </row>
    <row r="2055" spans="2:2" ht="16.5" hidden="1">
      <c r="B2055" s="111">
        <f>+'Bldg+Dev'!U1761</f>
        <v>0</v>
      </c>
    </row>
    <row r="2056" spans="2:2" ht="16.5" hidden="1">
      <c r="B2056" s="111">
        <f>+'Bldg+Dev'!U1762</f>
        <v>0</v>
      </c>
    </row>
    <row r="2057" spans="2:2" ht="16.5" hidden="1">
      <c r="B2057" s="111">
        <f>+'Bldg+Dev'!U1763</f>
        <v>0</v>
      </c>
    </row>
    <row r="2058" spans="2:2" ht="16.5" hidden="1">
      <c r="B2058" s="111">
        <f>+'Bldg+Dev'!U1764</f>
        <v>0</v>
      </c>
    </row>
    <row r="2059" spans="2:2" ht="16.5" hidden="1">
      <c r="B2059" s="111">
        <f>+'Bldg+Dev'!U1765</f>
        <v>0</v>
      </c>
    </row>
    <row r="2060" spans="2:2" ht="16.5" hidden="1">
      <c r="B2060" s="111">
        <f>+'Bldg+Dev'!U1766</f>
        <v>0</v>
      </c>
    </row>
    <row r="2061" spans="2:2" ht="16.5" hidden="1">
      <c r="B2061" s="111">
        <f>+'Bldg+Dev'!U1767</f>
        <v>0</v>
      </c>
    </row>
    <row r="2062" spans="2:2" ht="16.5" hidden="1">
      <c r="B2062" s="111">
        <f>+'Bldg+Dev'!U1768</f>
        <v>0</v>
      </c>
    </row>
    <row r="2063" spans="2:2" ht="16.5" hidden="1">
      <c r="B2063" s="111">
        <f>+'Bldg+Dev'!U1769</f>
        <v>0</v>
      </c>
    </row>
    <row r="2064" spans="2:2" ht="16.5" hidden="1">
      <c r="B2064" s="111">
        <f>+'Bldg+Dev'!U1770</f>
        <v>0</v>
      </c>
    </row>
    <row r="2065" spans="2:2" ht="16.5" hidden="1">
      <c r="B2065" s="111">
        <f>+'Bldg+Dev'!U1771</f>
        <v>0</v>
      </c>
    </row>
    <row r="2066" spans="2:2" ht="16.5" hidden="1">
      <c r="B2066" s="111">
        <f>+'Bldg+Dev'!U1772</f>
        <v>0</v>
      </c>
    </row>
    <row r="2067" spans="2:2" ht="16.5" hidden="1">
      <c r="B2067" s="111">
        <f>+'Bldg+Dev'!U1773</f>
        <v>0</v>
      </c>
    </row>
    <row r="2068" spans="2:2" ht="16.5" hidden="1">
      <c r="B2068" s="111">
        <f>+'Bldg+Dev'!U1774</f>
        <v>0</v>
      </c>
    </row>
    <row r="2069" spans="2:2" ht="16.5" hidden="1">
      <c r="B2069" s="111">
        <f>+'Bldg+Dev'!U1775</f>
        <v>0</v>
      </c>
    </row>
    <row r="2070" spans="2:2" ht="16.5" hidden="1">
      <c r="B2070" s="111">
        <f>+'Bldg+Dev'!U1776</f>
        <v>0</v>
      </c>
    </row>
    <row r="2071" spans="2:2" ht="16.5" hidden="1">
      <c r="B2071" s="111">
        <f>+'Bldg+Dev'!U1777</f>
        <v>0</v>
      </c>
    </row>
    <row r="2072" spans="2:2" ht="16.5" hidden="1">
      <c r="B2072" s="111">
        <f>+'Bldg+Dev'!U1778</f>
        <v>0</v>
      </c>
    </row>
    <row r="2073" spans="2:2" ht="16.5" hidden="1">
      <c r="B2073" s="111">
        <f>+'Bldg+Dev'!U1779</f>
        <v>0</v>
      </c>
    </row>
    <row r="2074" spans="2:2" ht="16.5" hidden="1">
      <c r="B2074" s="111">
        <f>+'Bldg+Dev'!U1780</f>
        <v>0</v>
      </c>
    </row>
    <row r="2075" spans="2:2" ht="16.5" hidden="1">
      <c r="B2075" s="111">
        <f>+'Bldg+Dev'!U1781</f>
        <v>0</v>
      </c>
    </row>
    <row r="2076" spans="2:2" ht="16.5" hidden="1">
      <c r="B2076" s="111">
        <f>+'Bldg+Dev'!U1782</f>
        <v>0</v>
      </c>
    </row>
    <row r="2077" spans="2:2" ht="16.5" hidden="1">
      <c r="B2077" s="111">
        <f>+'Bldg+Dev'!U1783</f>
        <v>0</v>
      </c>
    </row>
    <row r="2078" spans="2:2" ht="16.5" hidden="1">
      <c r="B2078" s="111">
        <f>+'Bldg+Dev'!U1784</f>
        <v>0</v>
      </c>
    </row>
    <row r="2079" spans="2:2" ht="16.5" hidden="1">
      <c r="B2079" s="111">
        <f>+'Bldg+Dev'!U1785</f>
        <v>0</v>
      </c>
    </row>
    <row r="2080" spans="2:2" ht="16.5" hidden="1">
      <c r="B2080" s="111">
        <f>+'Bldg+Dev'!U1786</f>
        <v>0</v>
      </c>
    </row>
    <row r="2081" spans="2:2" ht="16.5" hidden="1">
      <c r="B2081" s="111">
        <f>+'Bldg+Dev'!U1787</f>
        <v>0</v>
      </c>
    </row>
    <row r="2082" spans="2:2" ht="16.5" hidden="1">
      <c r="B2082" s="111">
        <f>+'Bldg+Dev'!U1788</f>
        <v>0</v>
      </c>
    </row>
    <row r="2083" spans="2:2" ht="16.5" hidden="1">
      <c r="B2083" s="111">
        <f>+'Bldg+Dev'!U1789</f>
        <v>0</v>
      </c>
    </row>
    <row r="2084" spans="2:2" ht="16.5" hidden="1">
      <c r="B2084" s="111">
        <f>+'Bldg+Dev'!U1790</f>
        <v>0</v>
      </c>
    </row>
    <row r="2085" spans="2:2" ht="16.5" hidden="1">
      <c r="B2085" s="111">
        <f>+'Bldg+Dev'!U1791</f>
        <v>0</v>
      </c>
    </row>
    <row r="2086" spans="2:2" ht="16.5" hidden="1">
      <c r="B2086" s="111">
        <f>+'Bldg+Dev'!U1792</f>
        <v>0</v>
      </c>
    </row>
    <row r="2087" spans="2:2" ht="16.5" hidden="1">
      <c r="B2087" s="111">
        <f>+'Bldg+Dev'!U1793</f>
        <v>0</v>
      </c>
    </row>
    <row r="2088" spans="2:2" ht="16.5" hidden="1">
      <c r="B2088" s="111">
        <f>+'Bldg+Dev'!U1794</f>
        <v>0</v>
      </c>
    </row>
    <row r="2089" spans="2:2" ht="16.5" hidden="1">
      <c r="B2089" s="111">
        <f>+'Bldg+Dev'!U1795</f>
        <v>0</v>
      </c>
    </row>
    <row r="2090" spans="2:2" ht="16.5" hidden="1">
      <c r="B2090" s="111">
        <f>+'Bldg+Dev'!U1796</f>
        <v>0</v>
      </c>
    </row>
    <row r="2091" spans="2:2" ht="16.5" hidden="1">
      <c r="B2091" s="111">
        <f>+'Bldg+Dev'!U1797</f>
        <v>0</v>
      </c>
    </row>
    <row r="2092" spans="2:2" ht="16.5" hidden="1">
      <c r="B2092" s="111">
        <f>+'Bldg+Dev'!U1798</f>
        <v>0</v>
      </c>
    </row>
    <row r="2093" spans="2:2" ht="16.5" hidden="1">
      <c r="B2093" s="111">
        <f>+'Bldg+Dev'!U1799</f>
        <v>0</v>
      </c>
    </row>
    <row r="2094" spans="2:2" ht="16.5" hidden="1">
      <c r="B2094" s="111">
        <f>+'Bldg+Dev'!U1800</f>
        <v>0</v>
      </c>
    </row>
    <row r="2095" spans="2:2" ht="16.5" hidden="1">
      <c r="B2095" s="111">
        <f>+'Bldg+Dev'!U1801</f>
        <v>0</v>
      </c>
    </row>
    <row r="2096" spans="2:2" ht="16.5" hidden="1">
      <c r="B2096" s="111">
        <f>+'Bldg+Dev'!U1802</f>
        <v>0</v>
      </c>
    </row>
    <row r="2097" spans="2:2" ht="16.5" hidden="1">
      <c r="B2097" s="111">
        <f>+'Bldg+Dev'!U1803</f>
        <v>0</v>
      </c>
    </row>
    <row r="2098" spans="2:2" ht="16.5" hidden="1">
      <c r="B2098" s="111">
        <f>+'Bldg+Dev'!U1804</f>
        <v>0</v>
      </c>
    </row>
    <row r="2099" spans="2:2" ht="16.5" hidden="1">
      <c r="B2099" s="111">
        <f>+'Bldg+Dev'!U1805</f>
        <v>0</v>
      </c>
    </row>
    <row r="2100" spans="2:2" ht="16.5" hidden="1">
      <c r="B2100" s="111">
        <f>+'Bldg+Dev'!U1806</f>
        <v>0</v>
      </c>
    </row>
    <row r="2101" spans="2:2" ht="16.5" hidden="1">
      <c r="B2101" s="111">
        <f>+'Bldg+Dev'!U1807</f>
        <v>0</v>
      </c>
    </row>
    <row r="2102" spans="2:2" ht="16.5" hidden="1">
      <c r="B2102" s="111">
        <f>+'Bldg+Dev'!U1808</f>
        <v>0</v>
      </c>
    </row>
    <row r="2103" spans="2:2" ht="16.5" hidden="1">
      <c r="B2103" s="111">
        <f>+'Bldg+Dev'!U1809</f>
        <v>0</v>
      </c>
    </row>
    <row r="2104" spans="2:2" ht="16.5" hidden="1">
      <c r="B2104" s="111">
        <f>+'Bldg+Dev'!U1810</f>
        <v>0</v>
      </c>
    </row>
    <row r="2105" spans="2:2" ht="16.5" hidden="1">
      <c r="B2105" s="111">
        <f>+'Bldg+Dev'!U1811</f>
        <v>0</v>
      </c>
    </row>
    <row r="2106" spans="2:2" ht="16.5" hidden="1">
      <c r="B2106" s="111">
        <f>+'Bldg+Dev'!U1812</f>
        <v>0</v>
      </c>
    </row>
    <row r="2107" spans="2:2" ht="16.5" hidden="1">
      <c r="B2107" s="111">
        <f>+'Bldg+Dev'!U1813</f>
        <v>0</v>
      </c>
    </row>
    <row r="2108" spans="2:2" ht="16.5" hidden="1">
      <c r="B2108" s="111">
        <f>+'Bldg+Dev'!U1814</f>
        <v>0</v>
      </c>
    </row>
    <row r="2109" spans="2:2" ht="16.5" hidden="1">
      <c r="B2109" s="111">
        <f>+'Bldg+Dev'!U1815</f>
        <v>0</v>
      </c>
    </row>
    <row r="2110" spans="2:2" ht="16.5" hidden="1">
      <c r="B2110" s="111">
        <f>+'Bldg+Dev'!U1816</f>
        <v>0</v>
      </c>
    </row>
    <row r="2111" spans="2:2" ht="16.5" hidden="1">
      <c r="B2111" s="111">
        <f>+'Bldg+Dev'!U1817</f>
        <v>0</v>
      </c>
    </row>
    <row r="2112" spans="2:2" ht="16.5" hidden="1">
      <c r="B2112" s="111">
        <f>+'Bldg+Dev'!U1818</f>
        <v>0</v>
      </c>
    </row>
    <row r="2113" spans="2:2" ht="16.5" hidden="1">
      <c r="B2113" s="111">
        <f>+'Bldg+Dev'!U1819</f>
        <v>0</v>
      </c>
    </row>
    <row r="2114" spans="2:2" ht="16.5" hidden="1">
      <c r="B2114" s="111">
        <f>+'Bldg+Dev'!U1820</f>
        <v>0</v>
      </c>
    </row>
    <row r="2115" spans="2:2" ht="16.5" hidden="1">
      <c r="B2115" s="111">
        <f>+'Bldg+Dev'!U1821</f>
        <v>0</v>
      </c>
    </row>
    <row r="2116" spans="2:2" ht="16.5" hidden="1">
      <c r="B2116" s="111">
        <f>+'Bldg+Dev'!U1822</f>
        <v>0</v>
      </c>
    </row>
    <row r="2117" spans="2:2" ht="16.5" hidden="1">
      <c r="B2117" s="111">
        <f>+'Bldg+Dev'!U1823</f>
        <v>0</v>
      </c>
    </row>
    <row r="2118" spans="2:2" ht="16.5" hidden="1">
      <c r="B2118" s="111">
        <f>+'Bldg+Dev'!U1824</f>
        <v>0</v>
      </c>
    </row>
    <row r="2119" spans="2:2" ht="16.5" hidden="1">
      <c r="B2119" s="111">
        <f>+'Bldg+Dev'!U1825</f>
        <v>0</v>
      </c>
    </row>
    <row r="2120" spans="2:2" ht="16.5" hidden="1">
      <c r="B2120" s="111">
        <f>+'Bldg+Dev'!U1826</f>
        <v>0</v>
      </c>
    </row>
    <row r="2121" spans="2:2" ht="16.5" hidden="1">
      <c r="B2121" s="111">
        <f>+'Bldg+Dev'!U1827</f>
        <v>0</v>
      </c>
    </row>
    <row r="2122" spans="2:2" ht="16.5" hidden="1">
      <c r="B2122" s="111">
        <f>+'Bldg+Dev'!U1828</f>
        <v>0</v>
      </c>
    </row>
    <row r="2123" spans="2:2" ht="16.5" hidden="1">
      <c r="B2123" s="111">
        <f>+'Bldg+Dev'!U1829</f>
        <v>0</v>
      </c>
    </row>
    <row r="2124" spans="2:2" ht="16.5" hidden="1">
      <c r="B2124" s="111">
        <f>+'Bldg+Dev'!U1830</f>
        <v>0</v>
      </c>
    </row>
    <row r="2125" spans="2:2" ht="16.5" hidden="1">
      <c r="B2125" s="111">
        <f>+'Bldg+Dev'!U1831</f>
        <v>0</v>
      </c>
    </row>
    <row r="2126" spans="2:2" ht="16.5" hidden="1">
      <c r="B2126" s="111">
        <f>+'Bldg+Dev'!U1832</f>
        <v>0</v>
      </c>
    </row>
    <row r="2127" spans="2:2" ht="16.5" hidden="1">
      <c r="B2127" s="111">
        <f>+'Bldg+Dev'!U1833</f>
        <v>0</v>
      </c>
    </row>
    <row r="2128" spans="2:2" ht="16.5" hidden="1">
      <c r="B2128" s="111">
        <f>+'Bldg+Dev'!U1834</f>
        <v>0</v>
      </c>
    </row>
    <row r="2129" spans="2:2" ht="16.5" hidden="1">
      <c r="B2129" s="111">
        <f>+'Bldg+Dev'!U1835</f>
        <v>0</v>
      </c>
    </row>
    <row r="2130" spans="2:2" ht="16.5" hidden="1">
      <c r="B2130" s="111">
        <f>+'Bldg+Dev'!U1836</f>
        <v>0</v>
      </c>
    </row>
    <row r="2131" spans="2:2" ht="16.5" hidden="1">
      <c r="B2131" s="111">
        <f>+'Bldg+Dev'!U1837</f>
        <v>0</v>
      </c>
    </row>
    <row r="2132" spans="2:2" ht="16.5" hidden="1">
      <c r="B2132" s="111">
        <f>+'Bldg+Dev'!U1838</f>
        <v>0</v>
      </c>
    </row>
    <row r="2133" spans="2:2" ht="16.5" hidden="1">
      <c r="B2133" s="111">
        <f>+'Bldg+Dev'!U1839</f>
        <v>0</v>
      </c>
    </row>
    <row r="2134" spans="2:2" ht="16.5" hidden="1">
      <c r="B2134" s="111">
        <f>+'Bldg+Dev'!U1840</f>
        <v>0</v>
      </c>
    </row>
    <row r="2135" spans="2:2" ht="16.5" hidden="1">
      <c r="B2135" s="111">
        <f>+'Bldg+Dev'!U1841</f>
        <v>0</v>
      </c>
    </row>
    <row r="2136" spans="2:2" ht="16.5" hidden="1">
      <c r="B2136" s="111">
        <f>+'Bldg+Dev'!U1842</f>
        <v>0</v>
      </c>
    </row>
    <row r="2137" spans="2:2" ht="16.5" hidden="1">
      <c r="B2137" s="111">
        <f>+'Bldg+Dev'!U1843</f>
        <v>0</v>
      </c>
    </row>
    <row r="2138" spans="2:2" ht="16.5" hidden="1">
      <c r="B2138" s="111">
        <f>+'Bldg+Dev'!U1844</f>
        <v>0</v>
      </c>
    </row>
    <row r="2139" spans="2:2" ht="16.5" hidden="1">
      <c r="B2139" s="111">
        <f>+'Bldg+Dev'!U1845</f>
        <v>0</v>
      </c>
    </row>
    <row r="2140" spans="2:2" ht="16.5" hidden="1">
      <c r="B2140" s="111">
        <f>+'Bldg+Dev'!U1846</f>
        <v>0</v>
      </c>
    </row>
    <row r="2141" spans="2:2" ht="16.5" hidden="1">
      <c r="B2141" s="111">
        <f>+'Bldg+Dev'!U1847</f>
        <v>0</v>
      </c>
    </row>
    <row r="2142" spans="2:2" ht="16.5" hidden="1">
      <c r="B2142" s="111">
        <f>+'Bldg+Dev'!U1848</f>
        <v>0</v>
      </c>
    </row>
    <row r="2143" spans="2:2" ht="16.5" hidden="1">
      <c r="B2143" s="111">
        <f>+'Bldg+Dev'!U1849</f>
        <v>0</v>
      </c>
    </row>
    <row r="2144" spans="2:2" ht="16.5" hidden="1">
      <c r="B2144" s="111">
        <f>+'Bldg+Dev'!U1850</f>
        <v>0</v>
      </c>
    </row>
    <row r="2145" spans="2:2" ht="16.5" hidden="1">
      <c r="B2145" s="111">
        <f>+'Bldg+Dev'!U1851</f>
        <v>0</v>
      </c>
    </row>
    <row r="2146" spans="2:2" ht="16.5" hidden="1">
      <c r="B2146" s="111">
        <f>+'Bldg+Dev'!U1852</f>
        <v>0</v>
      </c>
    </row>
    <row r="2147" spans="2:2" ht="16.5" hidden="1">
      <c r="B2147" s="111">
        <f>+'Bldg+Dev'!U1853</f>
        <v>0</v>
      </c>
    </row>
    <row r="2148" spans="2:2" ht="16.5" hidden="1">
      <c r="B2148" s="111">
        <f>+'Bldg+Dev'!U1854</f>
        <v>0</v>
      </c>
    </row>
    <row r="2149" spans="2:2" ht="16.5" hidden="1">
      <c r="B2149" s="111">
        <f>+'Bldg+Dev'!U1855</f>
        <v>0</v>
      </c>
    </row>
    <row r="2150" spans="2:2" ht="16.5" hidden="1">
      <c r="B2150" s="111">
        <f>+'Bldg+Dev'!U1856</f>
        <v>0</v>
      </c>
    </row>
    <row r="2151" spans="2:2" ht="16.5" hidden="1">
      <c r="B2151" s="111">
        <f>+'Bldg+Dev'!U1857</f>
        <v>0</v>
      </c>
    </row>
    <row r="2152" spans="2:2" ht="16.5" hidden="1">
      <c r="B2152" s="111">
        <f>+'Bldg+Dev'!U1858</f>
        <v>0</v>
      </c>
    </row>
    <row r="2153" spans="2:2" ht="16.5" hidden="1">
      <c r="B2153" s="111">
        <f>+'Bldg+Dev'!U1859</f>
        <v>0</v>
      </c>
    </row>
    <row r="2154" spans="2:2" ht="16.5" hidden="1">
      <c r="B2154" s="111">
        <f>+'Bldg+Dev'!U1860</f>
        <v>0</v>
      </c>
    </row>
    <row r="2155" spans="2:2" ht="16.5" hidden="1">
      <c r="B2155" s="111">
        <f>+'Bldg+Dev'!U1861</f>
        <v>0</v>
      </c>
    </row>
    <row r="2156" spans="2:2" ht="16.5" hidden="1">
      <c r="B2156" s="111">
        <f>+'Bldg+Dev'!U1862</f>
        <v>0</v>
      </c>
    </row>
    <row r="2157" spans="2:2" ht="16.5" hidden="1">
      <c r="B2157" s="111">
        <f>+'Bldg+Dev'!U1863</f>
        <v>0</v>
      </c>
    </row>
    <row r="2158" spans="2:2" ht="16.5" hidden="1">
      <c r="B2158" s="111">
        <f>+'Bldg+Dev'!U1864</f>
        <v>0</v>
      </c>
    </row>
    <row r="2159" spans="2:2" ht="16.5" hidden="1">
      <c r="B2159" s="111">
        <f>+'Bldg+Dev'!U1865</f>
        <v>0</v>
      </c>
    </row>
    <row r="2160" spans="2:2" ht="16.5" hidden="1">
      <c r="B2160" s="111">
        <f>+'Bldg+Dev'!U1866</f>
        <v>0</v>
      </c>
    </row>
    <row r="2161" spans="2:2" ht="16.5" hidden="1">
      <c r="B2161" s="111">
        <f>+'Bldg+Dev'!U1867</f>
        <v>0</v>
      </c>
    </row>
    <row r="2162" spans="2:2" ht="16.5" hidden="1">
      <c r="B2162" s="111">
        <f>+'Bldg+Dev'!U1868</f>
        <v>0</v>
      </c>
    </row>
    <row r="2163" spans="2:2" ht="16.5" hidden="1">
      <c r="B2163" s="111">
        <f>+'Bldg+Dev'!U1869</f>
        <v>0</v>
      </c>
    </row>
    <row r="2164" spans="2:2" ht="16.5" hidden="1">
      <c r="B2164" s="111">
        <f>+'Bldg+Dev'!U1870</f>
        <v>0</v>
      </c>
    </row>
    <row r="2165" spans="2:2" ht="16.5" hidden="1">
      <c r="B2165" s="111">
        <f>+'Bldg+Dev'!U1871</f>
        <v>0</v>
      </c>
    </row>
    <row r="2166" spans="2:2" ht="16.5" hidden="1">
      <c r="B2166" s="111">
        <f>+'Bldg+Dev'!U1872</f>
        <v>0</v>
      </c>
    </row>
    <row r="2167" spans="2:2" ht="16.5" hidden="1">
      <c r="B2167" s="111">
        <f>+'Bldg+Dev'!U1873</f>
        <v>0</v>
      </c>
    </row>
    <row r="2168" spans="2:2" ht="16.5" hidden="1">
      <c r="B2168" s="111">
        <f>+'Bldg+Dev'!U1874</f>
        <v>0</v>
      </c>
    </row>
    <row r="2169" spans="2:2" ht="16.5" hidden="1">
      <c r="B2169" s="111">
        <f>+'Bldg+Dev'!U1875</f>
        <v>0</v>
      </c>
    </row>
    <row r="2170" spans="2:2" ht="16.5" hidden="1">
      <c r="B2170" s="111">
        <f>+'Bldg+Dev'!U1876</f>
        <v>0</v>
      </c>
    </row>
    <row r="2171" spans="2:2" ht="16.5" hidden="1">
      <c r="B2171" s="111">
        <f>+'Bldg+Dev'!U1877</f>
        <v>0</v>
      </c>
    </row>
    <row r="2172" spans="2:2" ht="16.5" hidden="1">
      <c r="B2172" s="111">
        <f>+'Bldg+Dev'!U1878</f>
        <v>0</v>
      </c>
    </row>
    <row r="2173" spans="2:2" ht="16.5" hidden="1">
      <c r="B2173" s="111">
        <f>+'Bldg+Dev'!U1879</f>
        <v>0</v>
      </c>
    </row>
    <row r="2174" spans="2:2" ht="16.5" hidden="1">
      <c r="B2174" s="111">
        <f>+'Bldg+Dev'!U1880</f>
        <v>0</v>
      </c>
    </row>
    <row r="2175" spans="2:2" ht="16.5" hidden="1">
      <c r="B2175" s="111">
        <f>+'Bldg+Dev'!U1881</f>
        <v>0</v>
      </c>
    </row>
    <row r="2176" spans="2:2" ht="16.5" hidden="1">
      <c r="B2176" s="111">
        <f>+'Bldg+Dev'!U1882</f>
        <v>0</v>
      </c>
    </row>
    <row r="2177" spans="2:2" ht="16.5" hidden="1">
      <c r="B2177" s="111">
        <f>+'Bldg+Dev'!U1883</f>
        <v>0</v>
      </c>
    </row>
    <row r="2178" spans="2:2" ht="16.5" hidden="1">
      <c r="B2178" s="111">
        <f>+'Bldg+Dev'!U1884</f>
        <v>0</v>
      </c>
    </row>
    <row r="2179" spans="2:2" ht="16.5" hidden="1">
      <c r="B2179" s="111">
        <f>+'Bldg+Dev'!U1885</f>
        <v>0</v>
      </c>
    </row>
    <row r="2180" spans="2:2" ht="16.5" hidden="1">
      <c r="B2180" s="111">
        <f>+'Bldg+Dev'!U1886</f>
        <v>0</v>
      </c>
    </row>
    <row r="2181" spans="2:2" ht="16.5" hidden="1">
      <c r="B2181" s="111">
        <f>+'Bldg+Dev'!U1887</f>
        <v>0</v>
      </c>
    </row>
    <row r="2182" spans="2:2" ht="16.5" hidden="1">
      <c r="B2182" s="111">
        <f>+'Bldg+Dev'!U1888</f>
        <v>0</v>
      </c>
    </row>
    <row r="2183" spans="2:2" ht="16.5" hidden="1">
      <c r="B2183" s="111">
        <f>+'Bldg+Dev'!U1889</f>
        <v>0</v>
      </c>
    </row>
    <row r="2184" spans="2:2" ht="16.5" hidden="1">
      <c r="B2184" s="111">
        <f>+'Bldg+Dev'!U1890</f>
        <v>0</v>
      </c>
    </row>
    <row r="2185" spans="2:2" ht="16.5" hidden="1">
      <c r="B2185" s="111">
        <f>+'Bldg+Dev'!U1891</f>
        <v>0</v>
      </c>
    </row>
    <row r="2186" spans="2:2" ht="16.5" hidden="1">
      <c r="B2186" s="111">
        <f>+'Bldg+Dev'!U1892</f>
        <v>0</v>
      </c>
    </row>
    <row r="2187" spans="2:2" ht="16.5" hidden="1">
      <c r="B2187" s="111">
        <f>+'Bldg+Dev'!U1893</f>
        <v>0</v>
      </c>
    </row>
    <row r="2188" spans="2:2" ht="16.5" hidden="1">
      <c r="B2188" s="111">
        <f>+'Bldg+Dev'!U1894</f>
        <v>0</v>
      </c>
    </row>
    <row r="2189" spans="2:2" ht="16.5" hidden="1">
      <c r="B2189" s="111">
        <f>+'Bldg+Dev'!U1895</f>
        <v>0</v>
      </c>
    </row>
    <row r="2190" spans="2:2" ht="16.5" hidden="1">
      <c r="B2190" s="111">
        <f>+'Bldg+Dev'!U1896</f>
        <v>0</v>
      </c>
    </row>
    <row r="2191" spans="2:2" ht="16.5" hidden="1">
      <c r="B2191" s="111">
        <f>+'Bldg+Dev'!U1897</f>
        <v>0</v>
      </c>
    </row>
    <row r="2192" spans="2:2" ht="16.5" hidden="1">
      <c r="B2192" s="111">
        <f>+'Bldg+Dev'!U1898</f>
        <v>0</v>
      </c>
    </row>
    <row r="2193" spans="2:2" ht="16.5" hidden="1">
      <c r="B2193" s="111">
        <f>+'Bldg+Dev'!U1899</f>
        <v>0</v>
      </c>
    </row>
    <row r="2194" spans="2:2" ht="16.5" hidden="1">
      <c r="B2194" s="111">
        <f>+'Bldg+Dev'!U1900</f>
        <v>0</v>
      </c>
    </row>
    <row r="2195" spans="2:2" ht="16.5" hidden="1">
      <c r="B2195" s="111">
        <f>+'Bldg+Dev'!U1901</f>
        <v>0</v>
      </c>
    </row>
    <row r="2196" spans="2:2" ht="16.5" hidden="1">
      <c r="B2196" s="111">
        <f>+'Bldg+Dev'!U1902</f>
        <v>0</v>
      </c>
    </row>
    <row r="2197" spans="2:2" ht="16.5" hidden="1">
      <c r="B2197" s="111">
        <f>+'Bldg+Dev'!U1903</f>
        <v>0</v>
      </c>
    </row>
    <row r="2198" spans="2:2" ht="16.5" hidden="1">
      <c r="B2198" s="111">
        <f>+'Bldg+Dev'!U1904</f>
        <v>0</v>
      </c>
    </row>
    <row r="2199" spans="2:2" ht="16.5" hidden="1">
      <c r="B2199" s="111">
        <f>+'Bldg+Dev'!U1905</f>
        <v>0</v>
      </c>
    </row>
    <row r="2200" spans="2:2" ht="16.5" hidden="1">
      <c r="B2200" s="111">
        <f>+'Bldg+Dev'!U1906</f>
        <v>0</v>
      </c>
    </row>
    <row r="2201" spans="2:2" ht="16.5" hidden="1">
      <c r="B2201" s="111">
        <f>+'Bldg+Dev'!U1907</f>
        <v>0</v>
      </c>
    </row>
    <row r="2202" spans="2:2" ht="16.5" hidden="1">
      <c r="B2202" s="111">
        <f>+'Bldg+Dev'!U1908</f>
        <v>0</v>
      </c>
    </row>
    <row r="2203" spans="2:2" ht="16.5" hidden="1">
      <c r="B2203" s="111">
        <f>+'Bldg+Dev'!U1909</f>
        <v>0</v>
      </c>
    </row>
    <row r="2204" spans="2:2" ht="16.5" hidden="1">
      <c r="B2204" s="111">
        <f>+'Bldg+Dev'!U1910</f>
        <v>0</v>
      </c>
    </row>
    <row r="2205" spans="2:2" ht="16.5" hidden="1">
      <c r="B2205" s="111">
        <f>+'Bldg+Dev'!U1911</f>
        <v>0</v>
      </c>
    </row>
    <row r="2206" spans="2:2" ht="16.5" hidden="1">
      <c r="B2206" s="111">
        <f>+'Bldg+Dev'!U1912</f>
        <v>0</v>
      </c>
    </row>
    <row r="2207" spans="2:2" ht="16.5" hidden="1">
      <c r="B2207" s="111">
        <f>+'Bldg+Dev'!U1913</f>
        <v>0</v>
      </c>
    </row>
    <row r="2208" spans="2:2" ht="16.5" hidden="1">
      <c r="B2208" s="111">
        <f>+'Bldg+Dev'!U1914</f>
        <v>0</v>
      </c>
    </row>
    <row r="2209" spans="2:2" ht="16.5" hidden="1">
      <c r="B2209" s="111">
        <f>+'Bldg+Dev'!U1915</f>
        <v>0</v>
      </c>
    </row>
    <row r="2210" spans="2:2" ht="16.5" hidden="1">
      <c r="B2210" s="111">
        <f>+'Bldg+Dev'!U1916</f>
        <v>0</v>
      </c>
    </row>
    <row r="2211" spans="2:2" ht="16.5" hidden="1">
      <c r="B2211" s="111">
        <f>+'Bldg+Dev'!U1917</f>
        <v>0</v>
      </c>
    </row>
    <row r="2212" spans="2:2" ht="16.5" hidden="1">
      <c r="B2212" s="111">
        <f>+'Bldg+Dev'!U1918</f>
        <v>0</v>
      </c>
    </row>
    <row r="2213" spans="2:2" ht="16.5" hidden="1">
      <c r="B2213" s="111">
        <f>+'Bldg+Dev'!U1919</f>
        <v>0</v>
      </c>
    </row>
    <row r="2214" spans="2:2" ht="16.5" hidden="1">
      <c r="B2214" s="111">
        <f>+'Bldg+Dev'!U1920</f>
        <v>0</v>
      </c>
    </row>
    <row r="2215" spans="2:2" ht="16.5" hidden="1">
      <c r="B2215" s="111">
        <f>+'Bldg+Dev'!U1921</f>
        <v>0</v>
      </c>
    </row>
    <row r="2216" spans="2:2" ht="16.5" hidden="1">
      <c r="B2216" s="111">
        <f>+'Bldg+Dev'!U1922</f>
        <v>0</v>
      </c>
    </row>
    <row r="2217" spans="2:2" ht="16.5" hidden="1">
      <c r="B2217" s="111">
        <f>+'Bldg+Dev'!U1923</f>
        <v>0</v>
      </c>
    </row>
    <row r="2218" spans="2:2" ht="16.5" hidden="1">
      <c r="B2218" s="111">
        <f>+'Bldg+Dev'!U1924</f>
        <v>0</v>
      </c>
    </row>
    <row r="2219" spans="2:2" ht="16.5" hidden="1">
      <c r="B2219" s="111">
        <f>+'Bldg+Dev'!U1925</f>
        <v>0</v>
      </c>
    </row>
    <row r="2220" spans="2:2" ht="16.5" hidden="1">
      <c r="B2220" s="111">
        <f>+'Bldg+Dev'!U1926</f>
        <v>0</v>
      </c>
    </row>
    <row r="2221" spans="2:2" ht="16.5" hidden="1">
      <c r="B2221" s="111">
        <f>+'Bldg+Dev'!U1927</f>
        <v>0</v>
      </c>
    </row>
    <row r="2222" spans="2:2" ht="16.5" hidden="1">
      <c r="B2222" s="111">
        <f>+'Bldg+Dev'!U1928</f>
        <v>0</v>
      </c>
    </row>
    <row r="2223" spans="2:2" ht="16.5" hidden="1">
      <c r="B2223" s="111">
        <f>+'Bldg+Dev'!U1929</f>
        <v>0</v>
      </c>
    </row>
    <row r="2224" spans="2:2" ht="16.5" hidden="1">
      <c r="B2224" s="111">
        <f>+'Bldg+Dev'!U1930</f>
        <v>0</v>
      </c>
    </row>
    <row r="2225" spans="2:2" ht="16.5" hidden="1">
      <c r="B2225" s="111">
        <f>+'Bldg+Dev'!U1931</f>
        <v>0</v>
      </c>
    </row>
    <row r="2226" spans="2:2" ht="16.5" hidden="1">
      <c r="B2226" s="111">
        <f>+'Bldg+Dev'!U1932</f>
        <v>0</v>
      </c>
    </row>
    <row r="2227" spans="2:2" ht="16.5" hidden="1">
      <c r="B2227" s="111">
        <f>+'Bldg+Dev'!U1933</f>
        <v>0</v>
      </c>
    </row>
    <row r="2228" spans="2:2" ht="16.5" hidden="1">
      <c r="B2228" s="111">
        <f>+'Bldg+Dev'!U1934</f>
        <v>0</v>
      </c>
    </row>
    <row r="2229" spans="2:2" ht="16.5" hidden="1">
      <c r="B2229" s="111">
        <f>+'Bldg+Dev'!U1935</f>
        <v>0</v>
      </c>
    </row>
    <row r="2230" spans="2:2" ht="16.5" hidden="1">
      <c r="B2230" s="111">
        <f>+'Bldg+Dev'!U1936</f>
        <v>0</v>
      </c>
    </row>
    <row r="2231" spans="2:2" ht="16.5" hidden="1">
      <c r="B2231" s="111">
        <f>+'Bldg+Dev'!U1937</f>
        <v>0</v>
      </c>
    </row>
    <row r="2232" spans="2:2" ht="16.5" hidden="1">
      <c r="B2232" s="111">
        <f>+'Bldg+Dev'!U1938</f>
        <v>0</v>
      </c>
    </row>
    <row r="2233" spans="2:2" ht="16.5" hidden="1">
      <c r="B2233" s="111">
        <f>+'Bldg+Dev'!U1939</f>
        <v>0</v>
      </c>
    </row>
    <row r="2234" spans="2:2" ht="16.5" hidden="1">
      <c r="B2234" s="111">
        <f>+'Bldg+Dev'!U1940</f>
        <v>0</v>
      </c>
    </row>
    <row r="2235" spans="2:2" ht="16.5" hidden="1">
      <c r="B2235" s="111">
        <f>+'Bldg+Dev'!U1941</f>
        <v>0</v>
      </c>
    </row>
    <row r="2236" spans="2:2" ht="16.5" hidden="1">
      <c r="B2236" s="111">
        <f>+'Bldg+Dev'!U1942</f>
        <v>0</v>
      </c>
    </row>
    <row r="2237" spans="2:2" ht="16.5" hidden="1">
      <c r="B2237" s="111">
        <f>+'Bldg+Dev'!U1943</f>
        <v>0</v>
      </c>
    </row>
    <row r="2238" spans="2:2" ht="16.5" hidden="1">
      <c r="B2238" s="111">
        <f>+'Bldg+Dev'!U1944</f>
        <v>0</v>
      </c>
    </row>
    <row r="2239" spans="2:2" ht="16.5" hidden="1">
      <c r="B2239" s="111">
        <f>+'Bldg+Dev'!U1945</f>
        <v>0</v>
      </c>
    </row>
    <row r="2240" spans="2:2" ht="16.5" hidden="1">
      <c r="B2240" s="111">
        <f>+'Bldg+Dev'!U1946</f>
        <v>0</v>
      </c>
    </row>
    <row r="2241" spans="2:2" ht="16.5" hidden="1">
      <c r="B2241" s="111">
        <f>+'Bldg+Dev'!U1947</f>
        <v>0</v>
      </c>
    </row>
    <row r="2242" spans="2:2" ht="16.5" hidden="1">
      <c r="B2242" s="111">
        <f>+'Bldg+Dev'!U1948</f>
        <v>0</v>
      </c>
    </row>
    <row r="2243" spans="2:2" ht="16.5" hidden="1">
      <c r="B2243" s="111">
        <f>+'Bldg+Dev'!U1949</f>
        <v>0</v>
      </c>
    </row>
    <row r="2244" spans="2:2" ht="16.5" hidden="1">
      <c r="B2244" s="111">
        <f>+'Bldg+Dev'!U1950</f>
        <v>0</v>
      </c>
    </row>
    <row r="2245" spans="2:2" ht="16.5" hidden="1">
      <c r="B2245" s="111">
        <f>+'Bldg+Dev'!U1951</f>
        <v>0</v>
      </c>
    </row>
    <row r="2246" spans="2:2" ht="16.5" hidden="1">
      <c r="B2246" s="111">
        <f>+'Bldg+Dev'!U1952</f>
        <v>0</v>
      </c>
    </row>
    <row r="2247" spans="2:2" ht="16.5" hidden="1">
      <c r="B2247" s="111">
        <f>+'Bldg+Dev'!U1953</f>
        <v>0</v>
      </c>
    </row>
    <row r="2248" spans="2:2" ht="16.5" hidden="1">
      <c r="B2248" s="111">
        <f>+'Bldg+Dev'!U1954</f>
        <v>0</v>
      </c>
    </row>
    <row r="2249" spans="2:2" ht="16.5" hidden="1">
      <c r="B2249" s="111">
        <f>+'Bldg+Dev'!U1955</f>
        <v>0</v>
      </c>
    </row>
    <row r="2250" spans="2:2" ht="16.5" hidden="1">
      <c r="B2250" s="111">
        <f>+'Bldg+Dev'!U1956</f>
        <v>0</v>
      </c>
    </row>
    <row r="2251" spans="2:2" ht="16.5" hidden="1">
      <c r="B2251" s="111">
        <f>+'Bldg+Dev'!U1957</f>
        <v>0</v>
      </c>
    </row>
    <row r="2252" spans="2:2" ht="16.5" hidden="1">
      <c r="B2252" s="111">
        <f>+'Bldg+Dev'!U1958</f>
        <v>0</v>
      </c>
    </row>
    <row r="2253" spans="2:2" ht="16.5" hidden="1">
      <c r="B2253" s="111">
        <f>+'Bldg+Dev'!U1959</f>
        <v>0</v>
      </c>
    </row>
    <row r="2254" spans="2:2" ht="16.5" hidden="1">
      <c r="B2254" s="111">
        <f>+'Bldg+Dev'!U1960</f>
        <v>0</v>
      </c>
    </row>
    <row r="2255" spans="2:2" ht="16.5" hidden="1">
      <c r="B2255" s="111">
        <f>+'Bldg+Dev'!U1961</f>
        <v>0</v>
      </c>
    </row>
    <row r="2256" spans="2:2" ht="16.5" hidden="1">
      <c r="B2256" s="111">
        <f>+'Bldg+Dev'!U1962</f>
        <v>0</v>
      </c>
    </row>
    <row r="2257" spans="2:2" ht="16.5" hidden="1">
      <c r="B2257" s="111">
        <f>+'Bldg+Dev'!U1963</f>
        <v>0</v>
      </c>
    </row>
    <row r="2258" spans="2:2" ht="16.5" hidden="1">
      <c r="B2258" s="111">
        <f>+'Bldg+Dev'!U1964</f>
        <v>0</v>
      </c>
    </row>
    <row r="2259" spans="2:2" ht="16.5" hidden="1">
      <c r="B2259" s="111">
        <f>+'Bldg+Dev'!U1965</f>
        <v>0</v>
      </c>
    </row>
    <row r="2260" spans="2:2" ht="16.5" hidden="1">
      <c r="B2260" s="111">
        <f>+'Bldg+Dev'!U1966</f>
        <v>0</v>
      </c>
    </row>
    <row r="2261" spans="2:2" ht="16.5" hidden="1">
      <c r="B2261" s="111">
        <f>+'Bldg+Dev'!U1967</f>
        <v>0</v>
      </c>
    </row>
    <row r="2262" spans="2:2" ht="16.5" hidden="1">
      <c r="B2262" s="111">
        <f>+'Bldg+Dev'!U1968</f>
        <v>0</v>
      </c>
    </row>
    <row r="2263" spans="2:2" ht="16.5" hidden="1">
      <c r="B2263" s="111">
        <f>+'Bldg+Dev'!U1969</f>
        <v>0</v>
      </c>
    </row>
    <row r="2264" spans="2:2" ht="16.5" hidden="1">
      <c r="B2264" s="111">
        <f>+'Bldg+Dev'!U1970</f>
        <v>0</v>
      </c>
    </row>
    <row r="2265" spans="2:2" ht="16.5" hidden="1">
      <c r="B2265" s="111">
        <f>+'Bldg+Dev'!U1971</f>
        <v>0</v>
      </c>
    </row>
    <row r="2266" spans="2:2" ht="16.5" hidden="1">
      <c r="B2266" s="111">
        <f>+'Bldg+Dev'!U1972</f>
        <v>0</v>
      </c>
    </row>
    <row r="2267" spans="2:2" ht="16.5" hidden="1">
      <c r="B2267" s="111">
        <f>+'Bldg+Dev'!U1973</f>
        <v>0</v>
      </c>
    </row>
    <row r="2268" spans="2:2" ht="16.5" hidden="1">
      <c r="B2268" s="111">
        <f>+'Bldg+Dev'!U1974</f>
        <v>0</v>
      </c>
    </row>
    <row r="2269" spans="2:2" ht="16.5" hidden="1">
      <c r="B2269" s="111">
        <f>+'Bldg+Dev'!U1975</f>
        <v>0</v>
      </c>
    </row>
    <row r="2270" spans="2:2" ht="16.5" hidden="1">
      <c r="B2270" s="111">
        <f>+'Bldg+Dev'!U1976</f>
        <v>0</v>
      </c>
    </row>
    <row r="2271" spans="2:2" ht="16.5" hidden="1">
      <c r="B2271" s="111">
        <f>+'Bldg+Dev'!U1977</f>
        <v>0</v>
      </c>
    </row>
    <row r="2272" spans="2:2" ht="16.5" hidden="1">
      <c r="B2272" s="111">
        <f>+'Bldg+Dev'!U1978</f>
        <v>0</v>
      </c>
    </row>
    <row r="2273" spans="2:2" ht="16.5" hidden="1">
      <c r="B2273" s="111">
        <f>+'Bldg+Dev'!U1979</f>
        <v>0</v>
      </c>
    </row>
    <row r="2274" spans="2:2" ht="16.5" hidden="1">
      <c r="B2274" s="111">
        <f>+'Bldg+Dev'!U1980</f>
        <v>0</v>
      </c>
    </row>
    <row r="2275" spans="2:2" ht="16.5" hidden="1">
      <c r="B2275" s="111">
        <f>+'Bldg+Dev'!U1981</f>
        <v>0</v>
      </c>
    </row>
    <row r="2276" spans="2:2" ht="16.5" hidden="1">
      <c r="B2276" s="111">
        <f>+'Bldg+Dev'!U1982</f>
        <v>0</v>
      </c>
    </row>
    <row r="2277" spans="2:2" ht="16.5" hidden="1">
      <c r="B2277" s="111">
        <f>+'Bldg+Dev'!U1983</f>
        <v>0</v>
      </c>
    </row>
    <row r="2278" spans="2:2" ht="16.5" hidden="1">
      <c r="B2278" s="111">
        <f>+'Bldg+Dev'!U1984</f>
        <v>0</v>
      </c>
    </row>
    <row r="2279" spans="2:2" ht="16.5" hidden="1">
      <c r="B2279" s="111">
        <f>+'Bldg+Dev'!U1985</f>
        <v>0</v>
      </c>
    </row>
    <row r="2280" spans="2:2" ht="16.5" hidden="1">
      <c r="B2280" s="111">
        <f>+'Bldg+Dev'!U1986</f>
        <v>0</v>
      </c>
    </row>
    <row r="2281" spans="2:2" ht="16.5" hidden="1">
      <c r="B2281" s="111">
        <f>+'Bldg+Dev'!U1987</f>
        <v>0</v>
      </c>
    </row>
    <row r="2282" spans="2:2" ht="16.5" hidden="1">
      <c r="B2282" s="111">
        <f>+'Bldg+Dev'!U1988</f>
        <v>0</v>
      </c>
    </row>
    <row r="2283" spans="2:2" ht="16.5" hidden="1">
      <c r="B2283" s="111">
        <f>+'Bldg+Dev'!U1989</f>
        <v>0</v>
      </c>
    </row>
    <row r="2284" spans="2:2" ht="16.5" hidden="1">
      <c r="B2284" s="111">
        <f>+'Bldg+Dev'!U1990</f>
        <v>0</v>
      </c>
    </row>
    <row r="2285" spans="2:2" ht="16.5" hidden="1">
      <c r="B2285" s="111">
        <f>+'Bldg+Dev'!U1991</f>
        <v>0</v>
      </c>
    </row>
    <row r="2286" spans="2:2" ht="16.5" hidden="1">
      <c r="B2286" s="111">
        <f>+'Bldg+Dev'!U1992</f>
        <v>0</v>
      </c>
    </row>
    <row r="2287" spans="2:2" ht="16.5" hidden="1">
      <c r="B2287" s="111">
        <f>+'Bldg+Dev'!U1993</f>
        <v>0</v>
      </c>
    </row>
    <row r="2288" spans="2:2" ht="16.5" hidden="1">
      <c r="B2288" s="111">
        <f>+'Bldg+Dev'!U1994</f>
        <v>0</v>
      </c>
    </row>
    <row r="2289" spans="2:2" ht="16.5" hidden="1">
      <c r="B2289" s="111">
        <f>+'Bldg+Dev'!U1995</f>
        <v>0</v>
      </c>
    </row>
    <row r="2290" spans="2:2" ht="16.5" hidden="1">
      <c r="B2290" s="111">
        <f>+'Bldg+Dev'!U1996</f>
        <v>0</v>
      </c>
    </row>
    <row r="2291" spans="2:2" ht="16.5" hidden="1">
      <c r="B2291" s="111">
        <f>+'Bldg+Dev'!U1997</f>
        <v>0</v>
      </c>
    </row>
    <row r="2292" spans="2:2" ht="16.5" hidden="1">
      <c r="B2292" s="111">
        <f>+'Bldg+Dev'!U1998</f>
        <v>0</v>
      </c>
    </row>
    <row r="2293" spans="2:2" ht="16.5" hidden="1">
      <c r="B2293" s="111">
        <f>+'Bldg+Dev'!U1999</f>
        <v>0</v>
      </c>
    </row>
    <row r="2294" spans="2:2" ht="16.5" hidden="1">
      <c r="B2294" s="111">
        <f>+'Bldg+Dev'!U2000</f>
        <v>0</v>
      </c>
    </row>
    <row r="2295" spans="2:2" ht="16.5" hidden="1">
      <c r="B2295" s="111">
        <f>+'Bldg+Dev'!U2001</f>
        <v>0</v>
      </c>
    </row>
    <row r="2296" spans="2:2" ht="16.5" hidden="1">
      <c r="B2296" s="111">
        <f>+'Bldg+Dev'!U2002</f>
        <v>0</v>
      </c>
    </row>
    <row r="2297" spans="2:2" ht="16.5" hidden="1">
      <c r="B2297" s="111">
        <f>+'Bldg+Dev'!U2003</f>
        <v>0</v>
      </c>
    </row>
    <row r="2298" spans="2:2" ht="16.5" hidden="1">
      <c r="B2298" s="111">
        <f>+'Bldg+Dev'!U2004</f>
        <v>0</v>
      </c>
    </row>
    <row r="2299" spans="2:2" ht="16.5" hidden="1">
      <c r="B2299" s="111">
        <f>+'Bldg+Dev'!U2005</f>
        <v>0</v>
      </c>
    </row>
    <row r="2300" spans="2:2" ht="16.5" hidden="1">
      <c r="B2300" s="111">
        <f>+'Bldg+Dev'!U2006</f>
        <v>0</v>
      </c>
    </row>
    <row r="2301" spans="2:2" ht="16.5" hidden="1">
      <c r="B2301" s="111">
        <f>+'Bldg+Dev'!U2007</f>
        <v>0</v>
      </c>
    </row>
    <row r="2302" spans="2:2" ht="16.5" hidden="1">
      <c r="B2302" s="111">
        <f>+'Bldg+Dev'!U2008</f>
        <v>0</v>
      </c>
    </row>
    <row r="2303" spans="2:2" ht="16.5" hidden="1">
      <c r="B2303" s="111">
        <f>+'Bldg+Dev'!U2009</f>
        <v>0</v>
      </c>
    </row>
    <row r="2304" spans="2:2" ht="16.5" hidden="1">
      <c r="B2304" s="111">
        <f>+'Bldg+Dev'!U2010</f>
        <v>0</v>
      </c>
    </row>
    <row r="2305" spans="2:2" ht="16.5" hidden="1">
      <c r="B2305" s="111">
        <f>+'Bldg+Dev'!U2011</f>
        <v>0</v>
      </c>
    </row>
    <row r="2306" spans="2:2" ht="16.5" hidden="1">
      <c r="B2306" s="111">
        <f>+'Bldg+Dev'!U2012</f>
        <v>0</v>
      </c>
    </row>
    <row r="2307" spans="2:2" ht="16.5" hidden="1">
      <c r="B2307" s="111">
        <f>+'Bldg+Dev'!U2013</f>
        <v>0</v>
      </c>
    </row>
    <row r="2308" spans="2:2" ht="16.5" hidden="1">
      <c r="B2308" s="111">
        <f>+'Bldg+Dev'!U2014</f>
        <v>0</v>
      </c>
    </row>
    <row r="2309" spans="2:2" ht="16.5" hidden="1">
      <c r="B2309" s="111">
        <f>+'Bldg+Dev'!U2015</f>
        <v>0</v>
      </c>
    </row>
    <row r="2310" spans="2:2" ht="16.5" hidden="1">
      <c r="B2310" s="111">
        <f>+'Bldg+Dev'!U2016</f>
        <v>0</v>
      </c>
    </row>
    <row r="2311" spans="2:2" ht="16.5" hidden="1">
      <c r="B2311" s="111">
        <f>+'Bldg+Dev'!U2017</f>
        <v>0</v>
      </c>
    </row>
    <row r="2312" spans="2:2" ht="16.5" hidden="1">
      <c r="B2312" s="111">
        <f>+'Bldg+Dev'!U2018</f>
        <v>0</v>
      </c>
    </row>
    <row r="2313" spans="2:2" ht="16.5" hidden="1">
      <c r="B2313" s="111">
        <f>+'Bldg+Dev'!U2019</f>
        <v>0</v>
      </c>
    </row>
    <row r="2314" spans="2:2" ht="16.5" hidden="1">
      <c r="B2314" s="111">
        <f>+'Bldg+Dev'!U2020</f>
        <v>0</v>
      </c>
    </row>
    <row r="2315" spans="2:2" ht="16.5" hidden="1">
      <c r="B2315" s="111">
        <f>+'Bldg+Dev'!U2021</f>
        <v>0</v>
      </c>
    </row>
    <row r="2316" spans="2:2" ht="16.5" hidden="1">
      <c r="B2316" s="111">
        <f>+'Bldg+Dev'!U2022</f>
        <v>0</v>
      </c>
    </row>
    <row r="2317" spans="2:2" ht="16.5" hidden="1">
      <c r="B2317" s="111">
        <f>+'Bldg+Dev'!U2023</f>
        <v>0</v>
      </c>
    </row>
    <row r="2318" spans="2:2" ht="16.5" hidden="1">
      <c r="B2318" s="111">
        <f>+'Bldg+Dev'!U2024</f>
        <v>0</v>
      </c>
    </row>
    <row r="2319" spans="2:2" ht="16.5" hidden="1">
      <c r="B2319" s="111">
        <f>+'Bldg+Dev'!U2025</f>
        <v>0</v>
      </c>
    </row>
    <row r="2320" spans="2:2" ht="16.5" hidden="1">
      <c r="B2320" s="111">
        <f>+'Bldg+Dev'!U2026</f>
        <v>0</v>
      </c>
    </row>
    <row r="2321" spans="2:2" ht="16.5" hidden="1">
      <c r="B2321" s="111">
        <f>+'Bldg+Dev'!U2027</f>
        <v>0</v>
      </c>
    </row>
    <row r="2322" spans="2:2" ht="16.5" hidden="1">
      <c r="B2322" s="111">
        <f>+'Bldg+Dev'!U2028</f>
        <v>0</v>
      </c>
    </row>
    <row r="2323" spans="2:2" ht="16.5" hidden="1">
      <c r="B2323" s="111">
        <f>+'Bldg+Dev'!U2029</f>
        <v>0</v>
      </c>
    </row>
    <row r="2324" spans="2:2" ht="16.5" hidden="1">
      <c r="B2324" s="111">
        <f>+'Bldg+Dev'!U2030</f>
        <v>0</v>
      </c>
    </row>
    <row r="2325" spans="2:2" ht="16.5" hidden="1">
      <c r="B2325" s="111">
        <f>+'Bldg+Dev'!U2031</f>
        <v>0</v>
      </c>
    </row>
    <row r="2326" spans="2:2" ht="16.5" hidden="1">
      <c r="B2326" s="111">
        <f>+'Bldg+Dev'!U2032</f>
        <v>0</v>
      </c>
    </row>
    <row r="2327" spans="2:2" ht="16.5" hidden="1">
      <c r="B2327" s="111">
        <f>+'Bldg+Dev'!U2033</f>
        <v>0</v>
      </c>
    </row>
    <row r="2328" spans="2:2" ht="16.5" hidden="1">
      <c r="B2328" s="111">
        <f>+'Bldg+Dev'!U2034</f>
        <v>0</v>
      </c>
    </row>
    <row r="2329" spans="2:2" ht="16.5" hidden="1">
      <c r="B2329" s="111">
        <f>+'Bldg+Dev'!U2035</f>
        <v>0</v>
      </c>
    </row>
    <row r="2330" spans="2:2" ht="16.5" hidden="1">
      <c r="B2330" s="111">
        <f>+'Bldg+Dev'!U2036</f>
        <v>0</v>
      </c>
    </row>
    <row r="2331" spans="2:2" ht="16.5" hidden="1">
      <c r="B2331" s="111">
        <f>+'Bldg+Dev'!U2037</f>
        <v>0</v>
      </c>
    </row>
    <row r="2332" spans="2:2" ht="16.5" hidden="1">
      <c r="B2332" s="111">
        <f>+'Bldg+Dev'!U2038</f>
        <v>0</v>
      </c>
    </row>
    <row r="2333" spans="2:2" ht="16.5" hidden="1">
      <c r="B2333" s="111">
        <f>+'Bldg+Dev'!U2039</f>
        <v>0</v>
      </c>
    </row>
    <row r="2334" spans="2:2" ht="16.5" hidden="1">
      <c r="B2334" s="111">
        <f>+'Bldg+Dev'!U2040</f>
        <v>0</v>
      </c>
    </row>
    <row r="2335" spans="2:2" ht="16.5" hidden="1">
      <c r="B2335" s="111">
        <f>+'Bldg+Dev'!U2041</f>
        <v>0</v>
      </c>
    </row>
    <row r="2336" spans="2:2" ht="16.5" hidden="1">
      <c r="B2336" s="111">
        <f>+'Bldg+Dev'!U2042</f>
        <v>0</v>
      </c>
    </row>
    <row r="2337" spans="2:2" ht="16.5" hidden="1">
      <c r="B2337" s="111">
        <f>+'Bldg+Dev'!U2043</f>
        <v>0</v>
      </c>
    </row>
    <row r="2338" spans="2:2" ht="16.5" hidden="1">
      <c r="B2338" s="111">
        <f>+'Bldg+Dev'!U2044</f>
        <v>0</v>
      </c>
    </row>
    <row r="2339" spans="2:2" ht="16.5" hidden="1">
      <c r="B2339" s="111">
        <f>+'Bldg+Dev'!U2045</f>
        <v>0</v>
      </c>
    </row>
    <row r="2340" spans="2:2" ht="16.5" hidden="1">
      <c r="B2340" s="111">
        <f>+'Bldg+Dev'!U2046</f>
        <v>0</v>
      </c>
    </row>
    <row r="2341" spans="2:2" ht="16.5" hidden="1">
      <c r="B2341" s="111">
        <f>+'Bldg+Dev'!U2047</f>
        <v>0</v>
      </c>
    </row>
    <row r="2342" spans="2:2" ht="16.5" hidden="1">
      <c r="B2342" s="111">
        <f>+'Bldg+Dev'!U2048</f>
        <v>0</v>
      </c>
    </row>
    <row r="2343" spans="2:2" ht="16.5" hidden="1">
      <c r="B2343" s="111">
        <f>+'Bldg+Dev'!U2049</f>
        <v>0</v>
      </c>
    </row>
    <row r="2344" spans="2:2" ht="16.5" hidden="1">
      <c r="B2344" s="111">
        <f>+'Bldg+Dev'!U2050</f>
        <v>0</v>
      </c>
    </row>
    <row r="2345" spans="2:2" ht="16.5" hidden="1">
      <c r="B2345" s="111">
        <f>+'Bldg+Dev'!U2051</f>
        <v>0</v>
      </c>
    </row>
    <row r="2346" spans="2:2" ht="16.5" hidden="1">
      <c r="B2346" s="111">
        <f>+'Bldg+Dev'!U2052</f>
        <v>0</v>
      </c>
    </row>
    <row r="2347" spans="2:2" ht="16.5" hidden="1">
      <c r="B2347" s="111">
        <f>+'Bldg+Dev'!U2053</f>
        <v>0</v>
      </c>
    </row>
    <row r="2348" spans="2:2" ht="16.5" hidden="1">
      <c r="B2348" s="111">
        <f>+'Bldg+Dev'!U2054</f>
        <v>0</v>
      </c>
    </row>
    <row r="2349" spans="2:2" ht="16.5" hidden="1">
      <c r="B2349" s="111">
        <f>+'Bldg+Dev'!U2055</f>
        <v>0</v>
      </c>
    </row>
    <row r="2350" spans="2:2" ht="16.5" hidden="1">
      <c r="B2350" s="111">
        <f>+'Bldg+Dev'!U2056</f>
        <v>0</v>
      </c>
    </row>
    <row r="2351" spans="2:2" ht="16.5" hidden="1">
      <c r="B2351" s="111">
        <f>+'Bldg+Dev'!U2057</f>
        <v>0</v>
      </c>
    </row>
    <row r="2352" spans="2:2" ht="16.5" hidden="1">
      <c r="B2352" s="111">
        <f>+'Bldg+Dev'!U2058</f>
        <v>0</v>
      </c>
    </row>
    <row r="2353" spans="2:2" ht="16.5" hidden="1">
      <c r="B2353" s="111">
        <f>+'Bldg+Dev'!U2059</f>
        <v>0</v>
      </c>
    </row>
    <row r="2354" spans="2:2" ht="16.5" hidden="1">
      <c r="B2354" s="111">
        <f>+'Bldg+Dev'!U2060</f>
        <v>0</v>
      </c>
    </row>
    <row r="2355" spans="2:2" ht="16.5" hidden="1">
      <c r="B2355" s="111">
        <f>+'Bldg+Dev'!U2061</f>
        <v>0</v>
      </c>
    </row>
    <row r="2356" spans="2:2" ht="16.5" hidden="1">
      <c r="B2356" s="111">
        <f>+'Bldg+Dev'!U2062</f>
        <v>0</v>
      </c>
    </row>
    <row r="2357" spans="2:2" ht="16.5" hidden="1">
      <c r="B2357" s="111">
        <f>+'Bldg+Dev'!U2063</f>
        <v>0</v>
      </c>
    </row>
    <row r="2358" spans="2:2" ht="16.5" hidden="1">
      <c r="B2358" s="111">
        <f>+'Bldg+Dev'!U2064</f>
        <v>0</v>
      </c>
    </row>
    <row r="2359" spans="2:2" ht="16.5" hidden="1">
      <c r="B2359" s="111">
        <f>+'Bldg+Dev'!U2065</f>
        <v>0</v>
      </c>
    </row>
    <row r="2360" spans="2:2" ht="16.5" hidden="1">
      <c r="B2360" s="111">
        <f>+'Bldg+Dev'!U2066</f>
        <v>0</v>
      </c>
    </row>
    <row r="2361" spans="2:2" ht="16.5" hidden="1">
      <c r="B2361" s="111">
        <f>+'Bldg+Dev'!U2067</f>
        <v>0</v>
      </c>
    </row>
    <row r="2362" spans="2:2" ht="16.5" hidden="1">
      <c r="B2362" s="111">
        <f>+'Bldg+Dev'!U2068</f>
        <v>0</v>
      </c>
    </row>
    <row r="2363" spans="2:2" ht="16.5" hidden="1">
      <c r="B2363" s="111">
        <f>+'Bldg+Dev'!U2069</f>
        <v>0</v>
      </c>
    </row>
    <row r="2364" spans="2:2" ht="16.5" hidden="1">
      <c r="B2364" s="111">
        <f>+'Bldg+Dev'!U2070</f>
        <v>0</v>
      </c>
    </row>
    <row r="2365" spans="2:2" ht="16.5" hidden="1">
      <c r="B2365" s="111">
        <f>+'Bldg+Dev'!U2071</f>
        <v>0</v>
      </c>
    </row>
    <row r="2366" spans="2:2" ht="16.5" hidden="1">
      <c r="B2366" s="111">
        <f>+'Bldg+Dev'!U2072</f>
        <v>0</v>
      </c>
    </row>
    <row r="2367" spans="2:2" ht="16.5" hidden="1">
      <c r="B2367" s="111">
        <f>+'Bldg+Dev'!U2073</f>
        <v>0</v>
      </c>
    </row>
    <row r="2368" spans="2:2" ht="16.5" hidden="1">
      <c r="B2368" s="111">
        <f>+'Bldg+Dev'!U2074</f>
        <v>0</v>
      </c>
    </row>
    <row r="2369" spans="2:2" ht="16.5" hidden="1">
      <c r="B2369" s="111">
        <f>+'Bldg+Dev'!U2075</f>
        <v>0</v>
      </c>
    </row>
    <row r="2370" spans="2:2" ht="16.5" hidden="1">
      <c r="B2370" s="111">
        <f>+'Bldg+Dev'!U2076</f>
        <v>0</v>
      </c>
    </row>
    <row r="2371" spans="2:2" ht="16.5" hidden="1">
      <c r="B2371" s="111">
        <f>+'Bldg+Dev'!U2077</f>
        <v>0</v>
      </c>
    </row>
    <row r="2372" spans="2:2" ht="16.5" hidden="1">
      <c r="B2372" s="111">
        <f>+'Bldg+Dev'!U2078</f>
        <v>0</v>
      </c>
    </row>
    <row r="2373" spans="2:2" ht="16.5" hidden="1">
      <c r="B2373" s="111">
        <f>+'Bldg+Dev'!U2079</f>
        <v>0</v>
      </c>
    </row>
    <row r="2374" spans="2:2" ht="16.5" hidden="1">
      <c r="B2374" s="111">
        <f>+'Bldg+Dev'!U2080</f>
        <v>0</v>
      </c>
    </row>
    <row r="2375" spans="2:2" ht="16.5" hidden="1">
      <c r="B2375" s="111">
        <f>+'Bldg+Dev'!U2081</f>
        <v>0</v>
      </c>
    </row>
    <row r="2376" spans="2:2" ht="16.5" hidden="1">
      <c r="B2376" s="111">
        <f>+'Bldg+Dev'!U2082</f>
        <v>0</v>
      </c>
    </row>
    <row r="2377" spans="2:2" ht="16.5" hidden="1">
      <c r="B2377" s="111">
        <f>+'Bldg+Dev'!U2083</f>
        <v>0</v>
      </c>
    </row>
    <row r="2378" spans="2:2" ht="16.5" hidden="1">
      <c r="B2378" s="111">
        <f>+'Bldg+Dev'!U2084</f>
        <v>0</v>
      </c>
    </row>
    <row r="2379" spans="2:2" ht="16.5" hidden="1">
      <c r="B2379" s="111">
        <f>+'Bldg+Dev'!U2085</f>
        <v>0</v>
      </c>
    </row>
    <row r="2380" spans="2:2" ht="16.5" hidden="1">
      <c r="B2380" s="111">
        <f>+'Bldg+Dev'!U2086</f>
        <v>0</v>
      </c>
    </row>
    <row r="2381" spans="2:2" ht="16.5" hidden="1">
      <c r="B2381" s="111">
        <f>+'Bldg+Dev'!U2087</f>
        <v>0</v>
      </c>
    </row>
    <row r="2382" spans="2:2" ht="16.5" hidden="1">
      <c r="B2382" s="111">
        <f>+'Bldg+Dev'!U2088</f>
        <v>0</v>
      </c>
    </row>
    <row r="2383" spans="2:2" ht="16.5" hidden="1">
      <c r="B2383" s="111">
        <f>+'Bldg+Dev'!U2089</f>
        <v>0</v>
      </c>
    </row>
    <row r="2384" spans="2:2" ht="16.5" hidden="1">
      <c r="B2384" s="111">
        <f>+'Bldg+Dev'!U2090</f>
        <v>0</v>
      </c>
    </row>
    <row r="2385" spans="2:2" ht="16.5" hidden="1">
      <c r="B2385" s="111">
        <f>+'Bldg+Dev'!U2091</f>
        <v>0</v>
      </c>
    </row>
    <row r="2386" spans="2:2" ht="16.5" hidden="1">
      <c r="B2386" s="111">
        <f>+'Bldg+Dev'!U2092</f>
        <v>0</v>
      </c>
    </row>
    <row r="2387" spans="2:2" ht="16.5" hidden="1">
      <c r="B2387" s="111">
        <f>+'Bldg+Dev'!U2093</f>
        <v>0</v>
      </c>
    </row>
    <row r="2388" spans="2:2" ht="16.5" hidden="1">
      <c r="B2388" s="111">
        <f>+'Bldg+Dev'!U2094</f>
        <v>0</v>
      </c>
    </row>
    <row r="2389" spans="2:2" ht="16.5" hidden="1">
      <c r="B2389" s="111">
        <f>+'Bldg+Dev'!U2095</f>
        <v>0</v>
      </c>
    </row>
    <row r="2390" spans="2:2" ht="16.5" hidden="1">
      <c r="B2390" s="111">
        <f>+'Bldg+Dev'!U2096</f>
        <v>0</v>
      </c>
    </row>
    <row r="2391" spans="2:2" ht="16.5" hidden="1">
      <c r="B2391" s="111">
        <f>+'Bldg+Dev'!U2097</f>
        <v>0</v>
      </c>
    </row>
    <row r="2392" spans="2:2" ht="16.5" hidden="1">
      <c r="B2392" s="111">
        <f>+'Bldg+Dev'!U2098</f>
        <v>0</v>
      </c>
    </row>
    <row r="2393" spans="2:2" ht="16.5" hidden="1">
      <c r="B2393" s="111">
        <f>+'Bldg+Dev'!U2099</f>
        <v>0</v>
      </c>
    </row>
    <row r="2394" spans="2:2" ht="16.5" hidden="1">
      <c r="B2394" s="111">
        <f>+'Bldg+Dev'!U2100</f>
        <v>0</v>
      </c>
    </row>
    <row r="2395" spans="2:2" ht="16.5" hidden="1">
      <c r="B2395" s="111">
        <f>+'Bldg+Dev'!U2101</f>
        <v>0</v>
      </c>
    </row>
    <row r="2396" spans="2:2" ht="16.5" hidden="1">
      <c r="B2396" s="111">
        <f>+'Bldg+Dev'!U2102</f>
        <v>0</v>
      </c>
    </row>
    <row r="2397" spans="2:2" ht="16.5" hidden="1">
      <c r="B2397" s="111">
        <f>+'Bldg+Dev'!U2103</f>
        <v>0</v>
      </c>
    </row>
    <row r="2398" spans="2:2" ht="16.5" hidden="1">
      <c r="B2398" s="111">
        <f>+'Bldg+Dev'!U2104</f>
        <v>0</v>
      </c>
    </row>
    <row r="2399" spans="2:2" ht="16.5" hidden="1">
      <c r="B2399" s="111">
        <f>+'Bldg+Dev'!U2105</f>
        <v>0</v>
      </c>
    </row>
    <row r="2400" spans="2:2" ht="16.5" hidden="1">
      <c r="B2400" s="111">
        <f>+'Bldg+Dev'!U2106</f>
        <v>0</v>
      </c>
    </row>
    <row r="2401" spans="2:2" ht="16.5" hidden="1">
      <c r="B2401" s="111">
        <f>+'Bldg+Dev'!U2107</f>
        <v>0</v>
      </c>
    </row>
    <row r="2402" spans="2:2" ht="16.5" hidden="1">
      <c r="B2402" s="111">
        <f>+'Bldg+Dev'!U2108</f>
        <v>0</v>
      </c>
    </row>
    <row r="2403" spans="2:2" ht="16.5" hidden="1">
      <c r="B2403" s="111">
        <f>+'Bldg+Dev'!U2109</f>
        <v>0</v>
      </c>
    </row>
    <row r="2404" spans="2:2" ht="16.5" hidden="1">
      <c r="B2404" s="111">
        <f>+'Bldg+Dev'!U2110</f>
        <v>0</v>
      </c>
    </row>
    <row r="2405" spans="2:2" ht="16.5" hidden="1">
      <c r="B2405" s="111">
        <f>+'Bldg+Dev'!U2111</f>
        <v>0</v>
      </c>
    </row>
    <row r="2406" spans="2:2" ht="16.5" hidden="1">
      <c r="B2406" s="111">
        <f>+'Bldg+Dev'!U2112</f>
        <v>0</v>
      </c>
    </row>
    <row r="2407" spans="2:2" ht="16.5" hidden="1">
      <c r="B2407" s="111">
        <f>+'Bldg+Dev'!U2113</f>
        <v>0</v>
      </c>
    </row>
    <row r="2408" spans="2:2" ht="16.5" hidden="1">
      <c r="B2408" s="111">
        <f>+'Bldg+Dev'!U2114</f>
        <v>0</v>
      </c>
    </row>
    <row r="2409" spans="2:2" ht="16.5" hidden="1">
      <c r="B2409" s="111">
        <f>+'Bldg+Dev'!U2115</f>
        <v>0</v>
      </c>
    </row>
    <row r="2410" spans="2:2" ht="16.5" hidden="1">
      <c r="B2410" s="111">
        <f>+'Bldg+Dev'!U2116</f>
        <v>0</v>
      </c>
    </row>
    <row r="2411" spans="2:2" ht="16.5" hidden="1">
      <c r="B2411" s="111">
        <f>+'Bldg+Dev'!U2117</f>
        <v>0</v>
      </c>
    </row>
    <row r="2412" spans="2:2" ht="16.5" hidden="1">
      <c r="B2412" s="111">
        <f>+'Bldg+Dev'!U2118</f>
        <v>0</v>
      </c>
    </row>
    <row r="2413" spans="2:2" ht="16.5" hidden="1">
      <c r="B2413" s="111">
        <f>+'Bldg+Dev'!U2119</f>
        <v>0</v>
      </c>
    </row>
    <row r="2414" spans="2:2" ht="16.5" hidden="1">
      <c r="B2414" s="111">
        <f>+'Bldg+Dev'!U2120</f>
        <v>0</v>
      </c>
    </row>
    <row r="2415" spans="2:2" ht="16.5" hidden="1">
      <c r="B2415" s="111">
        <f>+'Bldg+Dev'!U2121</f>
        <v>0</v>
      </c>
    </row>
    <row r="2416" spans="2:2" ht="16.5" hidden="1">
      <c r="B2416" s="111">
        <f>+'Bldg+Dev'!U2122</f>
        <v>0</v>
      </c>
    </row>
    <row r="2417" spans="2:2" ht="16.5" hidden="1">
      <c r="B2417" s="111">
        <f>+'Bldg+Dev'!U2123</f>
        <v>0</v>
      </c>
    </row>
    <row r="2418" spans="2:2" ht="16.5" hidden="1">
      <c r="B2418" s="111">
        <f>+'Bldg+Dev'!U2124</f>
        <v>0</v>
      </c>
    </row>
    <row r="2419" spans="2:2" ht="16.5" hidden="1">
      <c r="B2419" s="111">
        <f>+'Bldg+Dev'!U2125</f>
        <v>0</v>
      </c>
    </row>
    <row r="2420" spans="2:2" ht="16.5" hidden="1">
      <c r="B2420" s="111">
        <f>+'Bldg+Dev'!U2126</f>
        <v>0</v>
      </c>
    </row>
    <row r="2421" spans="2:2" ht="16.5" hidden="1">
      <c r="B2421" s="111">
        <f>+'Bldg+Dev'!U2127</f>
        <v>0</v>
      </c>
    </row>
    <row r="2422" spans="2:2" ht="16.5" hidden="1">
      <c r="B2422" s="111">
        <f>+'Bldg+Dev'!U2128</f>
        <v>0</v>
      </c>
    </row>
    <row r="2423" spans="2:2" ht="16.5" hidden="1">
      <c r="B2423" s="111">
        <f>+'Bldg+Dev'!U2129</f>
        <v>0</v>
      </c>
    </row>
    <row r="2424" spans="2:2" ht="16.5" hidden="1">
      <c r="B2424" s="111">
        <f>+'Bldg+Dev'!U2130</f>
        <v>0</v>
      </c>
    </row>
    <row r="2425" spans="2:2" ht="16.5" hidden="1">
      <c r="B2425" s="111">
        <f>+'Bldg+Dev'!U2131</f>
        <v>0</v>
      </c>
    </row>
    <row r="2426" spans="2:2" ht="16.5" hidden="1">
      <c r="B2426" s="111">
        <f>+'Bldg+Dev'!U2132</f>
        <v>0</v>
      </c>
    </row>
    <row r="2427" spans="2:2" ht="16.5" hidden="1">
      <c r="B2427" s="111">
        <f>+'Bldg+Dev'!U2133</f>
        <v>0</v>
      </c>
    </row>
    <row r="2428" spans="2:2" ht="16.5" hidden="1">
      <c r="B2428" s="111">
        <f>+'Bldg+Dev'!U2134</f>
        <v>0</v>
      </c>
    </row>
    <row r="2429" spans="2:2" ht="16.5" hidden="1">
      <c r="B2429" s="111">
        <f>+'Bldg+Dev'!U2135</f>
        <v>0</v>
      </c>
    </row>
    <row r="2430" spans="2:2" ht="16.5" hidden="1">
      <c r="B2430" s="111">
        <f>+'Bldg+Dev'!U2136</f>
        <v>0</v>
      </c>
    </row>
    <row r="2431" spans="2:2" ht="16.5" hidden="1">
      <c r="B2431" s="111">
        <f>+'Bldg+Dev'!U2137</f>
        <v>0</v>
      </c>
    </row>
    <row r="2432" spans="2:2" ht="16.5" hidden="1">
      <c r="B2432" s="111">
        <f>+'Bldg+Dev'!U2138</f>
        <v>0</v>
      </c>
    </row>
    <row r="2433" spans="2:2" ht="16.5" hidden="1">
      <c r="B2433" s="111">
        <f>+'Bldg+Dev'!U2139</f>
        <v>0</v>
      </c>
    </row>
    <row r="2434" spans="2:2" ht="16.5" hidden="1">
      <c r="B2434" s="111">
        <f>+'Bldg+Dev'!U2140</f>
        <v>0</v>
      </c>
    </row>
    <row r="2435" spans="2:2" ht="16.5" hidden="1">
      <c r="B2435" s="111">
        <f>+'Bldg+Dev'!U2141</f>
        <v>0</v>
      </c>
    </row>
    <row r="2436" spans="2:2" ht="16.5" hidden="1">
      <c r="B2436" s="111">
        <f>+'Bldg+Dev'!U2142</f>
        <v>0</v>
      </c>
    </row>
    <row r="2437" spans="2:2" ht="16.5" hidden="1">
      <c r="B2437" s="111">
        <f>+'Bldg+Dev'!U2143</f>
        <v>0</v>
      </c>
    </row>
    <row r="2438" spans="2:2" ht="16.5" hidden="1">
      <c r="B2438" s="111">
        <f>+'Bldg+Dev'!U2144</f>
        <v>0</v>
      </c>
    </row>
    <row r="2439" spans="2:2" ht="16.5" hidden="1">
      <c r="B2439" s="111">
        <f>+'Bldg+Dev'!U2145</f>
        <v>0</v>
      </c>
    </row>
    <row r="2440" spans="2:2" ht="16.5" hidden="1">
      <c r="B2440" s="111">
        <f>+'Bldg+Dev'!U2146</f>
        <v>0</v>
      </c>
    </row>
    <row r="2441" spans="2:2" ht="16.5" hidden="1">
      <c r="B2441" s="111">
        <f>+'Bldg+Dev'!U2147</f>
        <v>0</v>
      </c>
    </row>
    <row r="2442" spans="2:2" ht="16.5" hidden="1">
      <c r="B2442" s="111">
        <f>+'Bldg+Dev'!U2148</f>
        <v>0</v>
      </c>
    </row>
    <row r="2443" spans="2:2" ht="16.5" hidden="1">
      <c r="B2443" s="111">
        <f>+'Bldg+Dev'!U2149</f>
        <v>0</v>
      </c>
    </row>
    <row r="2444" spans="2:2" ht="16.5" hidden="1">
      <c r="B2444" s="111">
        <f>+'Bldg+Dev'!U2150</f>
        <v>0</v>
      </c>
    </row>
    <row r="2445" spans="2:2" ht="16.5" hidden="1">
      <c r="B2445" s="111">
        <f>+'Bldg+Dev'!U2151</f>
        <v>0</v>
      </c>
    </row>
    <row r="2446" spans="2:2" ht="16.5" hidden="1">
      <c r="B2446" s="111">
        <f>+'Bldg+Dev'!U2152</f>
        <v>0</v>
      </c>
    </row>
    <row r="2447" spans="2:2" ht="16.5" hidden="1">
      <c r="B2447" s="111">
        <f>+'Bldg+Dev'!U2153</f>
        <v>0</v>
      </c>
    </row>
    <row r="2448" spans="2:2" ht="16.5" hidden="1">
      <c r="B2448" s="111">
        <f>+'Bldg+Dev'!U2154</f>
        <v>0</v>
      </c>
    </row>
    <row r="2449" spans="2:2" ht="16.5" hidden="1">
      <c r="B2449" s="111">
        <f>+'Bldg+Dev'!U2155</f>
        <v>0</v>
      </c>
    </row>
    <row r="2450" spans="2:2" ht="16.5" hidden="1">
      <c r="B2450" s="111">
        <f>+'Bldg+Dev'!U2156</f>
        <v>0</v>
      </c>
    </row>
    <row r="2451" spans="2:2" ht="16.5" hidden="1">
      <c r="B2451" s="111">
        <f>+'Bldg+Dev'!U2157</f>
        <v>0</v>
      </c>
    </row>
    <row r="2452" spans="2:2" ht="16.5" hidden="1">
      <c r="B2452" s="111">
        <f>+'Bldg+Dev'!U2158</f>
        <v>0</v>
      </c>
    </row>
    <row r="2453" spans="2:2" ht="16.5" hidden="1">
      <c r="B2453" s="111">
        <f>+'Bldg+Dev'!U2159</f>
        <v>0</v>
      </c>
    </row>
    <row r="2454" spans="2:2" ht="16.5" hidden="1">
      <c r="B2454" s="111">
        <f>+'Bldg+Dev'!U2160</f>
        <v>0</v>
      </c>
    </row>
    <row r="2455" spans="2:2" ht="16.5" hidden="1">
      <c r="B2455" s="111">
        <f>+'Bldg+Dev'!U2161</f>
        <v>0</v>
      </c>
    </row>
    <row r="2456" spans="2:2" ht="16.5" hidden="1">
      <c r="B2456" s="111">
        <f>+'Bldg+Dev'!U2162</f>
        <v>0</v>
      </c>
    </row>
    <row r="2457" spans="2:2" ht="16.5" hidden="1">
      <c r="B2457" s="111">
        <f>+'Bldg+Dev'!U2163</f>
        <v>0</v>
      </c>
    </row>
    <row r="2458" spans="2:2" ht="16.5" hidden="1">
      <c r="B2458" s="111">
        <f>+'Bldg+Dev'!U2164</f>
        <v>0</v>
      </c>
    </row>
    <row r="2459" spans="2:2" ht="16.5" hidden="1">
      <c r="B2459" s="111">
        <f>+'Bldg+Dev'!U2165</f>
        <v>0</v>
      </c>
    </row>
    <row r="2460" spans="2:2" ht="16.5" hidden="1">
      <c r="B2460" s="111">
        <f>+'Bldg+Dev'!U2166</f>
        <v>0</v>
      </c>
    </row>
    <row r="2461" spans="2:2" ht="16.5" hidden="1">
      <c r="B2461" s="111">
        <f>+'Bldg+Dev'!U2167</f>
        <v>0</v>
      </c>
    </row>
    <row r="2462" spans="2:2" ht="16.5" hidden="1">
      <c r="B2462" s="111">
        <f>+'Bldg+Dev'!U2168</f>
        <v>0</v>
      </c>
    </row>
    <row r="2463" spans="2:2" ht="16.5" hidden="1">
      <c r="B2463" s="111">
        <f>+'Bldg+Dev'!U2169</f>
        <v>0</v>
      </c>
    </row>
    <row r="2464" spans="2:2" ht="16.5" hidden="1">
      <c r="B2464" s="111">
        <f>+'Bldg+Dev'!U2170</f>
        <v>0</v>
      </c>
    </row>
    <row r="2465" spans="2:2" ht="16.5" hidden="1">
      <c r="B2465" s="111">
        <f>+'Bldg+Dev'!U2171</f>
        <v>0</v>
      </c>
    </row>
    <row r="2466" spans="2:2" ht="16.5" hidden="1">
      <c r="B2466" s="111">
        <f>+'Bldg+Dev'!U2172</f>
        <v>0</v>
      </c>
    </row>
    <row r="2467" spans="2:2" ht="16.5" hidden="1">
      <c r="B2467" s="111">
        <f>+'Bldg+Dev'!U2173</f>
        <v>0</v>
      </c>
    </row>
    <row r="2468" spans="2:2" ht="16.5" hidden="1">
      <c r="B2468" s="111">
        <f>+'Bldg+Dev'!U2174</f>
        <v>0</v>
      </c>
    </row>
    <row r="2469" spans="2:2" ht="16.5" hidden="1">
      <c r="B2469" s="111">
        <f>+'Bldg+Dev'!U2175</f>
        <v>0</v>
      </c>
    </row>
    <row r="2470" spans="2:2" ht="16.5" hidden="1">
      <c r="B2470" s="111">
        <f>+'Bldg+Dev'!U2176</f>
        <v>0</v>
      </c>
    </row>
    <row r="2471" spans="2:2" ht="16.5" hidden="1">
      <c r="B2471" s="111">
        <f>+'Bldg+Dev'!U2177</f>
        <v>0</v>
      </c>
    </row>
    <row r="2472" spans="2:2" ht="16.5" hidden="1">
      <c r="B2472" s="111">
        <f>+'Bldg+Dev'!U2178</f>
        <v>0</v>
      </c>
    </row>
    <row r="2473" spans="2:2" ht="16.5" hidden="1">
      <c r="B2473" s="111">
        <f>+'Bldg+Dev'!U2179</f>
        <v>0</v>
      </c>
    </row>
    <row r="2474" spans="2:2" ht="16.5" hidden="1">
      <c r="B2474" s="111">
        <f>+'Bldg+Dev'!U2180</f>
        <v>0</v>
      </c>
    </row>
    <row r="2475" spans="2:2" ht="16.5" hidden="1">
      <c r="B2475" s="111">
        <f>+'Bldg+Dev'!U2181</f>
        <v>0</v>
      </c>
    </row>
    <row r="2476" spans="2:2" ht="16.5" hidden="1">
      <c r="B2476" s="111">
        <f>+'Bldg+Dev'!U2182</f>
        <v>0</v>
      </c>
    </row>
    <row r="2477" spans="2:2" ht="16.5" hidden="1">
      <c r="B2477" s="111">
        <f>+'Bldg+Dev'!U2183</f>
        <v>0</v>
      </c>
    </row>
    <row r="2478" spans="2:2" ht="16.5" hidden="1">
      <c r="B2478" s="111">
        <f>+'Bldg+Dev'!U2184</f>
        <v>0</v>
      </c>
    </row>
    <row r="2479" spans="2:2" ht="16.5" hidden="1">
      <c r="B2479" s="111">
        <f>+'Bldg+Dev'!U2185</f>
        <v>0</v>
      </c>
    </row>
    <row r="2480" spans="2:2" ht="16.5" hidden="1">
      <c r="B2480" s="111">
        <f>+'Bldg+Dev'!U2186</f>
        <v>0</v>
      </c>
    </row>
    <row r="2481" spans="2:2" ht="16.5" hidden="1">
      <c r="B2481" s="111">
        <f>+'Bldg+Dev'!U2187</f>
        <v>0</v>
      </c>
    </row>
    <row r="2482" spans="2:2" ht="16.5" hidden="1">
      <c r="B2482" s="111">
        <f>+'Bldg+Dev'!U2188</f>
        <v>0</v>
      </c>
    </row>
    <row r="2483" spans="2:2" ht="16.5" hidden="1">
      <c r="B2483" s="111">
        <f>+'Bldg+Dev'!U2189</f>
        <v>0</v>
      </c>
    </row>
    <row r="2484" spans="2:2" ht="16.5" hidden="1">
      <c r="B2484" s="111">
        <f>+'Bldg+Dev'!U2190</f>
        <v>0</v>
      </c>
    </row>
    <row r="2485" spans="2:2" ht="16.5" hidden="1">
      <c r="B2485" s="111">
        <f>+'Bldg+Dev'!U2191</f>
        <v>0</v>
      </c>
    </row>
    <row r="2486" spans="2:2" ht="16.5" hidden="1">
      <c r="B2486" s="111">
        <f>+'Bldg+Dev'!U2192</f>
        <v>0</v>
      </c>
    </row>
    <row r="2487" spans="2:2" ht="16.5" hidden="1">
      <c r="B2487" s="111">
        <f>+'Bldg+Dev'!U2193</f>
        <v>0</v>
      </c>
    </row>
    <row r="2488" spans="2:2" ht="16.5" hidden="1">
      <c r="B2488" s="111">
        <f>+'Bldg+Dev'!U2194</f>
        <v>0</v>
      </c>
    </row>
    <row r="2489" spans="2:2" ht="16.5" hidden="1">
      <c r="B2489" s="111">
        <f>+'Bldg+Dev'!U2195</f>
        <v>0</v>
      </c>
    </row>
    <row r="2490" spans="2:2" ht="16.5" hidden="1">
      <c r="B2490" s="111">
        <f>+'Bldg+Dev'!U2196</f>
        <v>0</v>
      </c>
    </row>
    <row r="2491" spans="2:2" ht="16.5" hidden="1">
      <c r="B2491" s="111">
        <f>+'Bldg+Dev'!U2197</f>
        <v>0</v>
      </c>
    </row>
    <row r="2492" spans="2:2" ht="16.5" hidden="1">
      <c r="B2492" s="111">
        <f>+'Bldg+Dev'!U2198</f>
        <v>0</v>
      </c>
    </row>
    <row r="2493" spans="2:2" ht="16.5" hidden="1">
      <c r="B2493" s="111">
        <f>+'Bldg+Dev'!U2199</f>
        <v>0</v>
      </c>
    </row>
    <row r="2494" spans="2:2" ht="16.5" hidden="1">
      <c r="B2494" s="111">
        <f>+'Bldg+Dev'!U2200</f>
        <v>0</v>
      </c>
    </row>
    <row r="2495" spans="2:2" ht="16.5" hidden="1">
      <c r="B2495" s="111">
        <f>+'Bldg+Dev'!U2201</f>
        <v>0</v>
      </c>
    </row>
    <row r="2496" spans="2:2" ht="16.5" hidden="1">
      <c r="B2496" s="111">
        <f>+'Bldg+Dev'!U2202</f>
        <v>0</v>
      </c>
    </row>
    <row r="2497" spans="2:2" ht="16.5" hidden="1">
      <c r="B2497" s="111">
        <f>+'Bldg+Dev'!U2203</f>
        <v>0</v>
      </c>
    </row>
    <row r="2498" spans="2:2" ht="16.5" hidden="1">
      <c r="B2498" s="111">
        <f>+'Bldg+Dev'!U2204</f>
        <v>0</v>
      </c>
    </row>
    <row r="2499" spans="2:2" ht="16.5" hidden="1">
      <c r="B2499" s="111">
        <f>+'Bldg+Dev'!U2205</f>
        <v>0</v>
      </c>
    </row>
    <row r="2500" spans="2:2" ht="16.5" hidden="1">
      <c r="B2500" s="111">
        <f>+'Bldg+Dev'!U2206</f>
        <v>0</v>
      </c>
    </row>
    <row r="2501" spans="2:2" ht="16.5" hidden="1">
      <c r="B2501" s="111">
        <f>+'Bldg+Dev'!U2207</f>
        <v>0</v>
      </c>
    </row>
    <row r="2502" spans="2:2" ht="16.5" hidden="1">
      <c r="B2502" s="111">
        <f>+'Bldg+Dev'!U2208</f>
        <v>0</v>
      </c>
    </row>
    <row r="2503" spans="2:2" ht="16.5" hidden="1">
      <c r="B2503" s="111">
        <f>+'Bldg+Dev'!U2209</f>
        <v>0</v>
      </c>
    </row>
    <row r="2504" spans="2:2" ht="16.5" hidden="1">
      <c r="B2504" s="111">
        <f>+'Bldg+Dev'!U2210</f>
        <v>0</v>
      </c>
    </row>
    <row r="2505" spans="2:2" ht="16.5" hidden="1">
      <c r="B2505" s="111">
        <f>+'Bldg+Dev'!U2211</f>
        <v>0</v>
      </c>
    </row>
    <row r="2506" spans="2:2" ht="16.5" hidden="1">
      <c r="B2506" s="111">
        <f>+'Bldg+Dev'!U2212</f>
        <v>0</v>
      </c>
    </row>
    <row r="2507" spans="2:2" ht="16.5" hidden="1">
      <c r="B2507" s="111">
        <f>+'Bldg+Dev'!U2213</f>
        <v>0</v>
      </c>
    </row>
    <row r="2508" spans="2:2" ht="16.5" hidden="1">
      <c r="B2508" s="111">
        <f>+'Bldg+Dev'!U2214</f>
        <v>0</v>
      </c>
    </row>
    <row r="2509" spans="2:2" ht="16.5" hidden="1">
      <c r="B2509" s="111">
        <f>+'Bldg+Dev'!U2215</f>
        <v>0</v>
      </c>
    </row>
    <row r="2510" spans="2:2" ht="16.5" hidden="1">
      <c r="B2510" s="111">
        <f>+'Bldg+Dev'!U2216</f>
        <v>0</v>
      </c>
    </row>
    <row r="2511" spans="2:2" ht="16.5" hidden="1">
      <c r="B2511" s="111">
        <f>+'Bldg+Dev'!U2217</f>
        <v>0</v>
      </c>
    </row>
    <row r="2512" spans="2:2" ht="16.5" hidden="1">
      <c r="B2512" s="111">
        <f>+'Bldg+Dev'!U2218</f>
        <v>0</v>
      </c>
    </row>
    <row r="2513" spans="2:2" ht="16.5" hidden="1">
      <c r="B2513" s="111">
        <f>+'Bldg+Dev'!U2219</f>
        <v>0</v>
      </c>
    </row>
    <row r="2514" spans="2:2" ht="16.5" hidden="1">
      <c r="B2514" s="111">
        <f>+'Bldg+Dev'!U2220</f>
        <v>0</v>
      </c>
    </row>
    <row r="2515" spans="2:2" ht="16.5" hidden="1">
      <c r="B2515" s="111">
        <f>+'Bldg+Dev'!U2221</f>
        <v>0</v>
      </c>
    </row>
    <row r="2516" spans="2:2" ht="16.5" hidden="1">
      <c r="B2516" s="111">
        <f>+'Bldg+Dev'!U2222</f>
        <v>0</v>
      </c>
    </row>
    <row r="2517" spans="2:2" ht="16.5" hidden="1">
      <c r="B2517" s="111">
        <f>+'Bldg+Dev'!U2223</f>
        <v>0</v>
      </c>
    </row>
    <row r="2518" spans="2:2" ht="16.5" hidden="1">
      <c r="B2518" s="111">
        <f>+'Bldg+Dev'!U2224</f>
        <v>0</v>
      </c>
    </row>
    <row r="2519" spans="2:2" ht="16.5" hidden="1">
      <c r="B2519" s="111">
        <f>+'Bldg+Dev'!U2225</f>
        <v>0</v>
      </c>
    </row>
    <row r="2520" spans="2:2" ht="16.5" hidden="1">
      <c r="B2520" s="111">
        <f>+'Bldg+Dev'!U2226</f>
        <v>0</v>
      </c>
    </row>
    <row r="2521" spans="2:2" ht="16.5" hidden="1">
      <c r="B2521" s="111">
        <f>+'Bldg+Dev'!U2227</f>
        <v>0</v>
      </c>
    </row>
    <row r="2522" spans="2:2" ht="16.5" hidden="1">
      <c r="B2522" s="111">
        <f>+'Bldg+Dev'!U2228</f>
        <v>0</v>
      </c>
    </row>
    <row r="2523" spans="2:2" ht="16.5" hidden="1">
      <c r="B2523" s="111">
        <f>+'Bldg+Dev'!U2229</f>
        <v>0</v>
      </c>
    </row>
    <row r="2524" spans="2:2" ht="16.5" hidden="1">
      <c r="B2524" s="111">
        <f>+'Bldg+Dev'!U2230</f>
        <v>0</v>
      </c>
    </row>
    <row r="2525" spans="2:2" ht="16.5" hidden="1">
      <c r="B2525" s="111">
        <f>+'Bldg+Dev'!U2231</f>
        <v>0</v>
      </c>
    </row>
    <row r="2526" spans="2:2" ht="16.5" hidden="1">
      <c r="B2526" s="111">
        <f>+'Bldg+Dev'!U2232</f>
        <v>0</v>
      </c>
    </row>
    <row r="2527" spans="2:2" ht="16.5" hidden="1">
      <c r="B2527" s="111">
        <f>+'Bldg+Dev'!U2233</f>
        <v>0</v>
      </c>
    </row>
    <row r="2528" spans="2:2" ht="16.5" hidden="1">
      <c r="B2528" s="111">
        <f>+'Bldg+Dev'!U2234</f>
        <v>0</v>
      </c>
    </row>
    <row r="2529" spans="2:2" ht="16.5" hidden="1">
      <c r="B2529" s="111">
        <f>+'Bldg+Dev'!U2235</f>
        <v>0</v>
      </c>
    </row>
    <row r="2530" spans="2:2" ht="16.5" hidden="1">
      <c r="B2530" s="111">
        <f>+'Bldg+Dev'!U2236</f>
        <v>0</v>
      </c>
    </row>
    <row r="2531" spans="2:2" ht="16.5" hidden="1">
      <c r="B2531" s="111">
        <f>+'Bldg+Dev'!U2237</f>
        <v>0</v>
      </c>
    </row>
    <row r="2532" spans="2:2" ht="16.5" hidden="1">
      <c r="B2532" s="111">
        <f>+'Bldg+Dev'!U2238</f>
        <v>0</v>
      </c>
    </row>
    <row r="2533" spans="2:2" ht="16.5" hidden="1">
      <c r="B2533" s="111">
        <f>+'Bldg+Dev'!U2239</f>
        <v>0</v>
      </c>
    </row>
    <row r="2534" spans="2:2" ht="16.5" hidden="1">
      <c r="B2534" s="111">
        <f>+'Bldg+Dev'!U2240</f>
        <v>0</v>
      </c>
    </row>
    <row r="2535" spans="2:2" ht="16.5" hidden="1">
      <c r="B2535" s="111">
        <f>+'Bldg+Dev'!U2241</f>
        <v>0</v>
      </c>
    </row>
    <row r="2536" spans="2:2" ht="16.5" hidden="1">
      <c r="B2536" s="111">
        <f>+'Bldg+Dev'!U2242</f>
        <v>0</v>
      </c>
    </row>
    <row r="2537" spans="2:2" ht="16.5" hidden="1">
      <c r="B2537" s="111">
        <f>+'Bldg+Dev'!U2243</f>
        <v>0</v>
      </c>
    </row>
    <row r="2538" spans="2:2" ht="16.5" hidden="1">
      <c r="B2538" s="111">
        <f>+'Bldg+Dev'!U2244</f>
        <v>0</v>
      </c>
    </row>
    <row r="2539" spans="2:2" ht="16.5" hidden="1">
      <c r="B2539" s="111">
        <f>+'Bldg+Dev'!U2245</f>
        <v>0</v>
      </c>
    </row>
    <row r="2540" spans="2:2" ht="16.5" hidden="1">
      <c r="B2540" s="111">
        <f>+'Bldg+Dev'!U2246</f>
        <v>0</v>
      </c>
    </row>
    <row r="2541" spans="2:2" ht="16.5" hidden="1">
      <c r="B2541" s="111">
        <f>+'Bldg+Dev'!U2247</f>
        <v>0</v>
      </c>
    </row>
    <row r="2542" spans="2:2" ht="16.5" hidden="1">
      <c r="B2542" s="111">
        <f>+'Bldg+Dev'!U2248</f>
        <v>0</v>
      </c>
    </row>
    <row r="2543" spans="2:2" ht="16.5" hidden="1">
      <c r="B2543" s="111">
        <f>+'Bldg+Dev'!U2249</f>
        <v>0</v>
      </c>
    </row>
    <row r="2544" spans="2:2" ht="16.5" hidden="1">
      <c r="B2544" s="111">
        <f>+'Bldg+Dev'!U2250</f>
        <v>0</v>
      </c>
    </row>
    <row r="2545" spans="2:2" ht="16.5" hidden="1">
      <c r="B2545" s="111">
        <f>+'Bldg+Dev'!U2251</f>
        <v>0</v>
      </c>
    </row>
    <row r="2546" spans="2:2" ht="16.5" hidden="1">
      <c r="B2546" s="111">
        <f>+'Bldg+Dev'!U2252</f>
        <v>0</v>
      </c>
    </row>
    <row r="2547" spans="2:2" ht="16.5" hidden="1">
      <c r="B2547" s="111">
        <f>+'Bldg+Dev'!U2253</f>
        <v>0</v>
      </c>
    </row>
    <row r="2548" spans="2:2" ht="16.5" hidden="1">
      <c r="B2548" s="111">
        <f>+'Bldg+Dev'!U2254</f>
        <v>0</v>
      </c>
    </row>
    <row r="2549" spans="2:2" ht="16.5" hidden="1">
      <c r="B2549" s="111">
        <f>+'Bldg+Dev'!U2255</f>
        <v>0</v>
      </c>
    </row>
    <row r="2550" spans="2:2" ht="16.5" hidden="1">
      <c r="B2550" s="111">
        <f>+'Bldg+Dev'!U2256</f>
        <v>0</v>
      </c>
    </row>
    <row r="2551" spans="2:2" ht="16.5" hidden="1">
      <c r="B2551" s="111">
        <f>+'Bldg+Dev'!U2257</f>
        <v>0</v>
      </c>
    </row>
    <row r="2552" spans="2:2" ht="16.5" hidden="1">
      <c r="B2552" s="111">
        <f>+'Bldg+Dev'!U2258</f>
        <v>0</v>
      </c>
    </row>
    <row r="2553" spans="2:2" ht="16.5" hidden="1">
      <c r="B2553" s="111">
        <f>+'Bldg+Dev'!U2259</f>
        <v>0</v>
      </c>
    </row>
    <row r="2554" spans="2:2" ht="16.5" hidden="1">
      <c r="B2554" s="111">
        <f>+'Bldg+Dev'!U2260</f>
        <v>0</v>
      </c>
    </row>
    <row r="2555" spans="2:2" ht="16.5" hidden="1">
      <c r="B2555" s="111">
        <f>+'Bldg+Dev'!U2261</f>
        <v>0</v>
      </c>
    </row>
    <row r="2556" spans="2:2" ht="16.5" hidden="1">
      <c r="B2556" s="111">
        <f>+'Bldg+Dev'!U2262</f>
        <v>0</v>
      </c>
    </row>
    <row r="2557" spans="2:2" ht="16.5" hidden="1">
      <c r="B2557" s="111">
        <f>+'Bldg+Dev'!U2263</f>
        <v>0</v>
      </c>
    </row>
    <row r="2558" spans="2:2" ht="16.5" hidden="1">
      <c r="B2558" s="111">
        <f>+'Bldg+Dev'!U2264</f>
        <v>0</v>
      </c>
    </row>
    <row r="2559" spans="2:2" ht="16.5" hidden="1">
      <c r="B2559" s="111">
        <f>+'Bldg+Dev'!U2265</f>
        <v>0</v>
      </c>
    </row>
    <row r="2560" spans="2:2" ht="16.5" hidden="1">
      <c r="B2560" s="111">
        <f>+'Bldg+Dev'!U2266</f>
        <v>0</v>
      </c>
    </row>
    <row r="2561" spans="2:2" ht="16.5" hidden="1">
      <c r="B2561" s="111">
        <f>+'Bldg+Dev'!U2267</f>
        <v>0</v>
      </c>
    </row>
    <row r="2562" spans="2:2" ht="16.5" hidden="1">
      <c r="B2562" s="111">
        <f>+'Bldg+Dev'!U2268</f>
        <v>0</v>
      </c>
    </row>
    <row r="2563" spans="2:2" ht="16.5" hidden="1">
      <c r="B2563" s="111">
        <f>+'Bldg+Dev'!U2269</f>
        <v>0</v>
      </c>
    </row>
    <row r="2564" spans="2:2" ht="16.5" hidden="1">
      <c r="B2564" s="111">
        <f>+'Bldg+Dev'!U2270</f>
        <v>0</v>
      </c>
    </row>
    <row r="2565" spans="2:2" ht="16.5" hidden="1">
      <c r="B2565" s="111">
        <f>+'Bldg+Dev'!U2271</f>
        <v>0</v>
      </c>
    </row>
    <row r="2566" spans="2:2" ht="16.5" hidden="1">
      <c r="B2566" s="111">
        <f>+'Bldg+Dev'!U2272</f>
        <v>0</v>
      </c>
    </row>
    <row r="2567" spans="2:2" ht="16.5" hidden="1">
      <c r="B2567" s="111">
        <f>+'Bldg+Dev'!U2273</f>
        <v>0</v>
      </c>
    </row>
    <row r="2568" spans="2:2" ht="16.5" hidden="1">
      <c r="B2568" s="111">
        <f>+'Bldg+Dev'!U2274</f>
        <v>0</v>
      </c>
    </row>
    <row r="2569" spans="2:2" ht="16.5" hidden="1">
      <c r="B2569" s="111">
        <f>+'Bldg+Dev'!U2275</f>
        <v>0</v>
      </c>
    </row>
    <row r="2570" spans="2:2" ht="16.5" hidden="1">
      <c r="B2570" s="111">
        <f>+'Bldg+Dev'!U2276</f>
        <v>0</v>
      </c>
    </row>
    <row r="2571" spans="2:2" ht="16.5" hidden="1">
      <c r="B2571" s="111">
        <f>+'Bldg+Dev'!U2277</f>
        <v>0</v>
      </c>
    </row>
    <row r="2572" spans="2:2" ht="16.5" hidden="1">
      <c r="B2572" s="111">
        <f>+'Bldg+Dev'!U2278</f>
        <v>0</v>
      </c>
    </row>
    <row r="2573" spans="2:2" ht="16.5" hidden="1">
      <c r="B2573" s="111">
        <f>+'Bldg+Dev'!U2279</f>
        <v>0</v>
      </c>
    </row>
    <row r="2574" spans="2:2" ht="16.5" hidden="1">
      <c r="B2574" s="111">
        <f>+'Bldg+Dev'!U2280</f>
        <v>0</v>
      </c>
    </row>
    <row r="2575" spans="2:2" ht="16.5" hidden="1">
      <c r="B2575" s="111">
        <f>+'Bldg+Dev'!U2281</f>
        <v>0</v>
      </c>
    </row>
    <row r="2576" spans="2:2" ht="16.5" hidden="1">
      <c r="B2576" s="111">
        <f>+'Bldg+Dev'!U2282</f>
        <v>0</v>
      </c>
    </row>
    <row r="2577" spans="2:2" ht="16.5" hidden="1">
      <c r="B2577" s="111">
        <f>+'Bldg+Dev'!U2283</f>
        <v>0</v>
      </c>
    </row>
    <row r="2578" spans="2:2" ht="16.5" hidden="1">
      <c r="B2578" s="111">
        <f>+'Bldg+Dev'!U2284</f>
        <v>0</v>
      </c>
    </row>
    <row r="2579" spans="2:2" ht="16.5" hidden="1">
      <c r="B2579" s="111">
        <f>+'Bldg+Dev'!U2285</f>
        <v>0</v>
      </c>
    </row>
    <row r="2580" spans="2:2" ht="16.5" hidden="1">
      <c r="B2580" s="111">
        <f>+'Bldg+Dev'!U2286</f>
        <v>0</v>
      </c>
    </row>
    <row r="2581" spans="2:2" ht="16.5" hidden="1">
      <c r="B2581" s="111">
        <f>+'Bldg+Dev'!U2287</f>
        <v>0</v>
      </c>
    </row>
    <row r="2582" spans="2:2" ht="16.5" hidden="1">
      <c r="B2582" s="111">
        <f>+'Bldg+Dev'!U2288</f>
        <v>0</v>
      </c>
    </row>
    <row r="2583" spans="2:2" ht="16.5" hidden="1">
      <c r="B2583" s="111">
        <f>+'Bldg+Dev'!U2289</f>
        <v>0</v>
      </c>
    </row>
    <row r="2584" spans="2:2" ht="16.5" hidden="1">
      <c r="B2584" s="111">
        <f>+'Bldg+Dev'!U2290</f>
        <v>0</v>
      </c>
    </row>
    <row r="2585" spans="2:2" ht="16.5" hidden="1">
      <c r="B2585" s="111">
        <f>+'Bldg+Dev'!U2291</f>
        <v>0</v>
      </c>
    </row>
    <row r="2586" spans="2:2" ht="16.5" hidden="1">
      <c r="B2586" s="111">
        <f>+'Bldg+Dev'!U2292</f>
        <v>0</v>
      </c>
    </row>
    <row r="2587" spans="2:2" ht="16.5" hidden="1">
      <c r="B2587" s="111">
        <f>+'Bldg+Dev'!U2293</f>
        <v>0</v>
      </c>
    </row>
    <row r="2588" spans="2:2" ht="16.5" hidden="1">
      <c r="B2588" s="111">
        <f>+'Bldg+Dev'!U2294</f>
        <v>0</v>
      </c>
    </row>
    <row r="2589" spans="2:2" ht="16.5" hidden="1">
      <c r="B2589" s="111">
        <f>+'Bldg+Dev'!U2295</f>
        <v>0</v>
      </c>
    </row>
    <row r="2590" spans="2:2" ht="16.5" hidden="1">
      <c r="B2590" s="111">
        <f>+'Bldg+Dev'!U2296</f>
        <v>0</v>
      </c>
    </row>
    <row r="2591" spans="2:2" ht="16.5" hidden="1">
      <c r="B2591" s="111">
        <f>+'Bldg+Dev'!U2297</f>
        <v>0</v>
      </c>
    </row>
    <row r="2592" spans="2:2" ht="16.5" hidden="1">
      <c r="B2592" s="111">
        <f>+'Bldg+Dev'!U2298</f>
        <v>0</v>
      </c>
    </row>
    <row r="2593" spans="2:2" ht="16.5" hidden="1">
      <c r="B2593" s="111">
        <f>+'Bldg+Dev'!U2299</f>
        <v>0</v>
      </c>
    </row>
    <row r="2594" spans="2:2" ht="16.5" hidden="1">
      <c r="B2594" s="111">
        <f>+'Bldg+Dev'!U2300</f>
        <v>0</v>
      </c>
    </row>
    <row r="2595" spans="2:2" ht="16.5" hidden="1">
      <c r="B2595" s="111">
        <f>+'Bldg+Dev'!U2301</f>
        <v>0</v>
      </c>
    </row>
    <row r="2596" spans="2:2" ht="16.5" hidden="1">
      <c r="B2596" s="111">
        <f>+'Bldg+Dev'!U2302</f>
        <v>0</v>
      </c>
    </row>
    <row r="2597" spans="2:2" ht="16.5" hidden="1">
      <c r="B2597" s="111">
        <f>+'Bldg+Dev'!U2303</f>
        <v>0</v>
      </c>
    </row>
    <row r="2598" spans="2:2" ht="16.5" hidden="1">
      <c r="B2598" s="111">
        <f>+'Bldg+Dev'!U2304</f>
        <v>0</v>
      </c>
    </row>
    <row r="2599" spans="2:2" ht="16.5" hidden="1">
      <c r="B2599" s="111">
        <f>+'Bldg+Dev'!U2305</f>
        <v>0</v>
      </c>
    </row>
    <row r="2600" spans="2:2" ht="16.5" hidden="1">
      <c r="B2600" s="111">
        <f>+'Bldg+Dev'!U2306</f>
        <v>0</v>
      </c>
    </row>
    <row r="2601" spans="2:2" ht="16.5" hidden="1">
      <c r="B2601" s="111">
        <f>+'Bldg+Dev'!U2307</f>
        <v>0</v>
      </c>
    </row>
    <row r="2602" spans="2:2" ht="16.5" hidden="1">
      <c r="B2602" s="111">
        <f>+'Bldg+Dev'!U2308</f>
        <v>0</v>
      </c>
    </row>
    <row r="2603" spans="2:2" ht="16.5" hidden="1">
      <c r="B2603" s="111">
        <f>+'Bldg+Dev'!U2309</f>
        <v>0</v>
      </c>
    </row>
    <row r="2604" spans="2:2" ht="16.5" hidden="1">
      <c r="B2604" s="111">
        <f>+'Bldg+Dev'!U2310</f>
        <v>0</v>
      </c>
    </row>
    <row r="2605" spans="2:2" ht="16.5" hidden="1">
      <c r="B2605" s="111">
        <f>+'Bldg+Dev'!U2311</f>
        <v>0</v>
      </c>
    </row>
    <row r="2606" spans="2:2" ht="16.5" hidden="1">
      <c r="B2606" s="111">
        <f>+'Bldg+Dev'!U2312</f>
        <v>0</v>
      </c>
    </row>
    <row r="2607" spans="2:2" ht="16.5" hidden="1">
      <c r="B2607" s="111">
        <f>+'Bldg+Dev'!U2313</f>
        <v>0</v>
      </c>
    </row>
    <row r="2608" spans="2:2" ht="16.5" hidden="1">
      <c r="B2608" s="111">
        <f>+'Bldg+Dev'!U2314</f>
        <v>0</v>
      </c>
    </row>
    <row r="2609" spans="2:2" ht="16.5" hidden="1">
      <c r="B2609" s="111">
        <f>+'Bldg+Dev'!U2315</f>
        <v>0</v>
      </c>
    </row>
    <row r="2610" spans="2:2" ht="16.5" hidden="1">
      <c r="B2610" s="111">
        <f>+'Bldg+Dev'!U2316</f>
        <v>0</v>
      </c>
    </row>
    <row r="2611" spans="2:2" ht="16.5" hidden="1">
      <c r="B2611" s="111">
        <f>+'Bldg+Dev'!U2317</f>
        <v>0</v>
      </c>
    </row>
    <row r="2612" spans="2:2" ht="16.5" hidden="1">
      <c r="B2612" s="111">
        <f>+'Bldg+Dev'!U2318</f>
        <v>0</v>
      </c>
    </row>
    <row r="2613" spans="2:2" ht="16.5" hidden="1">
      <c r="B2613" s="111">
        <f>+'Bldg+Dev'!U2319</f>
        <v>0</v>
      </c>
    </row>
    <row r="2614" spans="2:2" ht="16.5" hidden="1">
      <c r="B2614" s="111">
        <f>+'Bldg+Dev'!U2320</f>
        <v>0</v>
      </c>
    </row>
    <row r="2615" spans="2:2" ht="16.5" hidden="1">
      <c r="B2615" s="111">
        <f>+'Bldg+Dev'!U2321</f>
        <v>0</v>
      </c>
    </row>
    <row r="2616" spans="2:2" ht="16.5" hidden="1">
      <c r="B2616" s="111">
        <f>+'Bldg+Dev'!U2322</f>
        <v>0</v>
      </c>
    </row>
    <row r="2617" spans="2:2" ht="16.5" hidden="1">
      <c r="B2617" s="111">
        <f>+'Bldg+Dev'!U2323</f>
        <v>0</v>
      </c>
    </row>
    <row r="2618" spans="2:2" ht="16.5" hidden="1">
      <c r="B2618" s="111">
        <f>+'Bldg+Dev'!U2324</f>
        <v>0</v>
      </c>
    </row>
    <row r="2619" spans="2:2" ht="16.5" hidden="1">
      <c r="B2619" s="111">
        <f>+'Bldg+Dev'!U2325</f>
        <v>0</v>
      </c>
    </row>
    <row r="2620" spans="2:2" ht="16.5" hidden="1">
      <c r="B2620" s="111">
        <f>+'Bldg+Dev'!U2326</f>
        <v>0</v>
      </c>
    </row>
    <row r="2621" spans="2:2" ht="16.5" hidden="1">
      <c r="B2621" s="111">
        <f>+'Bldg+Dev'!U2327</f>
        <v>0</v>
      </c>
    </row>
    <row r="2622" spans="2:2" ht="16.5" hidden="1">
      <c r="B2622" s="111">
        <f>+'Bldg+Dev'!U2328</f>
        <v>0</v>
      </c>
    </row>
    <row r="2623" spans="2:2" ht="16.5" hidden="1">
      <c r="B2623" s="111">
        <f>+'Bldg+Dev'!U2329</f>
        <v>0</v>
      </c>
    </row>
    <row r="2624" spans="2:2" ht="16.5" hidden="1">
      <c r="B2624" s="111">
        <f>+'Bldg+Dev'!U2330</f>
        <v>0</v>
      </c>
    </row>
    <row r="2625" spans="2:2" ht="16.5" hidden="1">
      <c r="B2625" s="111">
        <f>+'Bldg+Dev'!U2331</f>
        <v>0</v>
      </c>
    </row>
    <row r="2626" spans="2:2" ht="16.5" hidden="1">
      <c r="B2626" s="111">
        <f>+'Bldg+Dev'!U2332</f>
        <v>0</v>
      </c>
    </row>
    <row r="2627" spans="2:2" ht="16.5" hidden="1">
      <c r="B2627" s="111">
        <f>+'Bldg+Dev'!U2333</f>
        <v>0</v>
      </c>
    </row>
    <row r="2628" spans="2:2" ht="16.5" hidden="1">
      <c r="B2628" s="111">
        <f>+'Bldg+Dev'!U2334</f>
        <v>0</v>
      </c>
    </row>
    <row r="2629" spans="2:2" ht="16.5" hidden="1">
      <c r="B2629" s="111">
        <f>+'Bldg+Dev'!U2335</f>
        <v>0</v>
      </c>
    </row>
    <row r="2630" spans="2:2" ht="16.5" hidden="1">
      <c r="B2630" s="111">
        <f>+'Bldg+Dev'!U2336</f>
        <v>0</v>
      </c>
    </row>
    <row r="2631" spans="2:2" ht="16.5" hidden="1">
      <c r="B2631" s="111">
        <f>+'Bldg+Dev'!U2337</f>
        <v>0</v>
      </c>
    </row>
    <row r="2632" spans="2:2" ht="16.5" hidden="1">
      <c r="B2632" s="111">
        <f>+'Bldg+Dev'!U2338</f>
        <v>0</v>
      </c>
    </row>
    <row r="2633" spans="2:2" ht="16.5" hidden="1">
      <c r="B2633" s="111">
        <f>+'Bldg+Dev'!U2339</f>
        <v>0</v>
      </c>
    </row>
    <row r="2634" spans="2:2" ht="16.5" hidden="1">
      <c r="B2634" s="111">
        <f>+'Bldg+Dev'!U2340</f>
        <v>0</v>
      </c>
    </row>
    <row r="2635" spans="2:2" ht="16.5" hidden="1">
      <c r="B2635" s="111">
        <f>+'Bldg+Dev'!U2341</f>
        <v>0</v>
      </c>
    </row>
    <row r="2636" spans="2:2" ht="16.5" hidden="1">
      <c r="B2636" s="111">
        <f>+'Bldg+Dev'!U2342</f>
        <v>0</v>
      </c>
    </row>
    <row r="2637" spans="2:2" ht="16.5" hidden="1">
      <c r="B2637" s="111">
        <f>+'Bldg+Dev'!U2343</f>
        <v>0</v>
      </c>
    </row>
    <row r="2638" spans="2:2" ht="16.5" hidden="1">
      <c r="B2638" s="111">
        <f>+'Bldg+Dev'!U2344</f>
        <v>0</v>
      </c>
    </row>
    <row r="2639" spans="2:2" ht="16.5" hidden="1">
      <c r="B2639" s="111">
        <f>+'Bldg+Dev'!U2345</f>
        <v>0</v>
      </c>
    </row>
    <row r="2640" spans="2:2" ht="16.5" hidden="1">
      <c r="B2640" s="111">
        <f>+'Bldg+Dev'!U2346</f>
        <v>0</v>
      </c>
    </row>
    <row r="2641" spans="2:2" ht="16.5" hidden="1">
      <c r="B2641" s="111">
        <f>+'Bldg+Dev'!U2347</f>
        <v>0</v>
      </c>
    </row>
    <row r="2642" spans="2:2" ht="16.5" hidden="1">
      <c r="B2642" s="111">
        <f>+'Bldg+Dev'!U2348</f>
        <v>0</v>
      </c>
    </row>
    <row r="2643" spans="2:2" ht="16.5" hidden="1">
      <c r="B2643" s="111">
        <f>+'Bldg+Dev'!U2349</f>
        <v>0</v>
      </c>
    </row>
    <row r="2644" spans="2:2" ht="16.5" hidden="1">
      <c r="B2644" s="111">
        <f>+'Bldg+Dev'!U2350</f>
        <v>0</v>
      </c>
    </row>
    <row r="2645" spans="2:2" ht="16.5" hidden="1">
      <c r="B2645" s="111">
        <f>+'Bldg+Dev'!U2351</f>
        <v>0</v>
      </c>
    </row>
    <row r="2646" spans="2:2" ht="16.5" hidden="1">
      <c r="B2646" s="111">
        <f>+'Bldg+Dev'!U2352</f>
        <v>0</v>
      </c>
    </row>
    <row r="2647" spans="2:2" ht="16.5" hidden="1">
      <c r="B2647" s="111">
        <f>+'Bldg+Dev'!U2353</f>
        <v>0</v>
      </c>
    </row>
    <row r="2648" spans="2:2" ht="16.5" hidden="1">
      <c r="B2648" s="111">
        <f>+'Bldg+Dev'!U2354</f>
        <v>0</v>
      </c>
    </row>
    <row r="2649" spans="2:2" ht="16.5" hidden="1">
      <c r="B2649" s="111">
        <f>+'Bldg+Dev'!U2355</f>
        <v>0</v>
      </c>
    </row>
    <row r="2650" spans="2:2" ht="16.5" hidden="1">
      <c r="B2650" s="111">
        <f>+'Bldg+Dev'!U2356</f>
        <v>0</v>
      </c>
    </row>
    <row r="2651" spans="2:2" ht="16.5" hidden="1">
      <c r="B2651" s="111">
        <f>+'Bldg+Dev'!U2357</f>
        <v>0</v>
      </c>
    </row>
    <row r="2652" spans="2:2" ht="16.5" hidden="1">
      <c r="B2652" s="111">
        <f>+'Bldg+Dev'!U2358</f>
        <v>0</v>
      </c>
    </row>
    <row r="2653" spans="2:2" ht="16.5" hidden="1">
      <c r="B2653" s="111">
        <f>+'Bldg+Dev'!U2359</f>
        <v>0</v>
      </c>
    </row>
    <row r="2654" spans="2:2" ht="16.5" hidden="1">
      <c r="B2654" s="111">
        <f>+'Bldg+Dev'!U2360</f>
        <v>0</v>
      </c>
    </row>
    <row r="2655" spans="2:2" ht="16.5" hidden="1">
      <c r="B2655" s="111">
        <f>+'Bldg+Dev'!U2361</f>
        <v>0</v>
      </c>
    </row>
    <row r="2656" spans="2:2" ht="16.5" hidden="1">
      <c r="B2656" s="111">
        <f>+'Bldg+Dev'!U2362</f>
        <v>0</v>
      </c>
    </row>
    <row r="2657" spans="2:2" ht="16.5" hidden="1">
      <c r="B2657" s="111">
        <f>+'Bldg+Dev'!U2363</f>
        <v>0</v>
      </c>
    </row>
    <row r="2658" spans="2:2" ht="16.5" hidden="1">
      <c r="B2658" s="111">
        <f>+'Bldg+Dev'!U2364</f>
        <v>0</v>
      </c>
    </row>
    <row r="2659" spans="2:2" ht="16.5" hidden="1">
      <c r="B2659" s="111">
        <f>+'Bldg+Dev'!U2365</f>
        <v>0</v>
      </c>
    </row>
    <row r="2660" spans="2:2" ht="16.5" hidden="1">
      <c r="B2660" s="111">
        <f>+'Bldg+Dev'!U2366</f>
        <v>0</v>
      </c>
    </row>
    <row r="2661" spans="2:2" ht="16.5" hidden="1">
      <c r="B2661" s="111">
        <f>+'Bldg+Dev'!U2367</f>
        <v>0</v>
      </c>
    </row>
    <row r="2662" spans="2:2" ht="16.5" hidden="1">
      <c r="B2662" s="111">
        <f>+'Bldg+Dev'!U2368</f>
        <v>0</v>
      </c>
    </row>
    <row r="2663" spans="2:2" ht="16.5" hidden="1">
      <c r="B2663" s="111">
        <f>+'Bldg+Dev'!U2369</f>
        <v>0</v>
      </c>
    </row>
    <row r="2664" spans="2:2" ht="16.5" hidden="1">
      <c r="B2664" s="111">
        <f>+'Bldg+Dev'!U2370</f>
        <v>0</v>
      </c>
    </row>
    <row r="2665" spans="2:2" ht="16.5" hidden="1">
      <c r="B2665" s="111">
        <f>+'Bldg+Dev'!U2371</f>
        <v>0</v>
      </c>
    </row>
    <row r="2666" spans="2:2" ht="16.5" hidden="1">
      <c r="B2666" s="111">
        <f>+'Bldg+Dev'!U2372</f>
        <v>0</v>
      </c>
    </row>
    <row r="2667" spans="2:2" ht="16.5" hidden="1">
      <c r="B2667" s="111">
        <f>+'Bldg+Dev'!U2373</f>
        <v>0</v>
      </c>
    </row>
    <row r="2668" spans="2:2" ht="16.5" hidden="1">
      <c r="B2668" s="111">
        <f>+'Bldg+Dev'!U2374</f>
        <v>0</v>
      </c>
    </row>
    <row r="2669" spans="2:2" ht="16.5" hidden="1">
      <c r="B2669" s="111">
        <f>+'Bldg+Dev'!U2375</f>
        <v>0</v>
      </c>
    </row>
    <row r="2670" spans="2:2" ht="16.5" hidden="1">
      <c r="B2670" s="111">
        <f>+'Bldg+Dev'!U2376</f>
        <v>0</v>
      </c>
    </row>
    <row r="2671" spans="2:2" ht="16.5" hidden="1">
      <c r="B2671" s="111">
        <f>+'Bldg+Dev'!U2377</f>
        <v>0</v>
      </c>
    </row>
    <row r="2672" spans="2:2" ht="16.5" hidden="1">
      <c r="B2672" s="111">
        <f>+'Bldg+Dev'!U2378</f>
        <v>0</v>
      </c>
    </row>
    <row r="2673" spans="2:2" ht="16.5" hidden="1">
      <c r="B2673" s="111">
        <f>+'Bldg+Dev'!U2379</f>
        <v>0</v>
      </c>
    </row>
    <row r="2674" spans="2:2" ht="16.5" hidden="1">
      <c r="B2674" s="111">
        <f>+'Bldg+Dev'!U2380</f>
        <v>0</v>
      </c>
    </row>
    <row r="2675" spans="2:2" ht="16.5" hidden="1">
      <c r="B2675" s="111">
        <f>+'Bldg+Dev'!U2381</f>
        <v>0</v>
      </c>
    </row>
    <row r="2676" spans="2:2" ht="16.5" hidden="1">
      <c r="B2676" s="111">
        <f>+'Bldg+Dev'!U2382</f>
        <v>0</v>
      </c>
    </row>
    <row r="2677" spans="2:2" ht="16.5" hidden="1">
      <c r="B2677" s="111">
        <f>+'Bldg+Dev'!U2383</f>
        <v>0</v>
      </c>
    </row>
    <row r="2678" spans="2:2" ht="16.5" hidden="1">
      <c r="B2678" s="111">
        <f>+'Bldg+Dev'!U2384</f>
        <v>0</v>
      </c>
    </row>
    <row r="2679" spans="2:2" ht="16.5" hidden="1">
      <c r="B2679" s="111">
        <f>+'Bldg+Dev'!U2385</f>
        <v>0</v>
      </c>
    </row>
    <row r="2680" spans="2:2" ht="16.5" hidden="1">
      <c r="B2680" s="111">
        <f>+'Bldg+Dev'!U2386</f>
        <v>0</v>
      </c>
    </row>
    <row r="2681" spans="2:2" ht="16.5" hidden="1">
      <c r="B2681" s="111">
        <f>+'Bldg+Dev'!U2387</f>
        <v>0</v>
      </c>
    </row>
    <row r="2682" spans="2:2" ht="16.5" hidden="1">
      <c r="B2682" s="111">
        <f>+'Bldg+Dev'!U2388</f>
        <v>0</v>
      </c>
    </row>
    <row r="2683" spans="2:2" ht="16.5" hidden="1">
      <c r="B2683" s="111">
        <f>+'Bldg+Dev'!U2389</f>
        <v>0</v>
      </c>
    </row>
    <row r="2684" spans="2:2" ht="16.5" hidden="1">
      <c r="B2684" s="111">
        <f>+'Bldg+Dev'!U2390</f>
        <v>0</v>
      </c>
    </row>
    <row r="2685" spans="2:2" ht="16.5" hidden="1">
      <c r="B2685" s="111">
        <f>+'Bldg+Dev'!U2391</f>
        <v>0</v>
      </c>
    </row>
    <row r="2686" spans="2:2" ht="16.5" hidden="1">
      <c r="B2686" s="111">
        <f>+'Bldg+Dev'!U2392</f>
        <v>0</v>
      </c>
    </row>
    <row r="2687" spans="2:2" ht="16.5" hidden="1">
      <c r="B2687" s="111">
        <f>+'Bldg+Dev'!U2393</f>
        <v>0</v>
      </c>
    </row>
    <row r="2688" spans="2:2" ht="16.5" hidden="1">
      <c r="B2688" s="111">
        <f>+'Bldg+Dev'!U2394</f>
        <v>0</v>
      </c>
    </row>
    <row r="2689" spans="2:2" ht="16.5" hidden="1">
      <c r="B2689" s="111">
        <f>+'Bldg+Dev'!U2395</f>
        <v>0</v>
      </c>
    </row>
    <row r="2690" spans="2:2" ht="16.5" hidden="1">
      <c r="B2690" s="111">
        <f>+'Bldg+Dev'!U2396</f>
        <v>0</v>
      </c>
    </row>
    <row r="2691" spans="2:2" ht="16.5" hidden="1">
      <c r="B2691" s="111">
        <f>+'Bldg+Dev'!U2397</f>
        <v>0</v>
      </c>
    </row>
    <row r="2692" spans="2:2" ht="16.5" hidden="1">
      <c r="B2692" s="111">
        <f>+'Bldg+Dev'!U2398</f>
        <v>0</v>
      </c>
    </row>
    <row r="2693" spans="2:2" ht="16.5" hidden="1">
      <c r="B2693" s="111">
        <f>+'Bldg+Dev'!U2399</f>
        <v>0</v>
      </c>
    </row>
    <row r="2694" spans="2:2" ht="16.5" hidden="1">
      <c r="B2694" s="111">
        <f>+'Bldg+Dev'!U2400</f>
        <v>0</v>
      </c>
    </row>
    <row r="2695" spans="2:2" ht="16.5" hidden="1">
      <c r="B2695" s="111">
        <f>+'Bldg+Dev'!U2401</f>
        <v>0</v>
      </c>
    </row>
    <row r="2696" spans="2:2" ht="16.5" hidden="1">
      <c r="B2696" s="111">
        <f>+'Bldg+Dev'!U2402</f>
        <v>0</v>
      </c>
    </row>
    <row r="2697" spans="2:2" ht="16.5" hidden="1">
      <c r="B2697" s="111">
        <f>+'Bldg+Dev'!U2403</f>
        <v>0</v>
      </c>
    </row>
    <row r="2698" spans="2:2" ht="16.5" hidden="1">
      <c r="B2698" s="111">
        <f>+'Bldg+Dev'!U2404</f>
        <v>0</v>
      </c>
    </row>
    <row r="2699" spans="2:2" ht="16.5" hidden="1">
      <c r="B2699" s="111">
        <f>+'Bldg+Dev'!U2405</f>
        <v>0</v>
      </c>
    </row>
    <row r="2700" spans="2:2" ht="16.5" hidden="1">
      <c r="B2700" s="111">
        <f>+'Bldg+Dev'!U2406</f>
        <v>0</v>
      </c>
    </row>
    <row r="2701" spans="2:2" ht="16.5" hidden="1">
      <c r="B2701" s="111">
        <f>+'Bldg+Dev'!U2407</f>
        <v>0</v>
      </c>
    </row>
    <row r="2702" spans="2:2" ht="16.5" hidden="1">
      <c r="B2702" s="111">
        <f>+'Bldg+Dev'!U2408</f>
        <v>0</v>
      </c>
    </row>
    <row r="2703" spans="2:2" ht="16.5" hidden="1">
      <c r="B2703" s="111">
        <f>+'Bldg+Dev'!U2409</f>
        <v>0</v>
      </c>
    </row>
    <row r="2704" spans="2:2" ht="16.5" hidden="1">
      <c r="B2704" s="111">
        <f>+'Bldg+Dev'!U2410</f>
        <v>0</v>
      </c>
    </row>
    <row r="2705" spans="2:2" ht="16.5" hidden="1">
      <c r="B2705" s="111">
        <f>+'Bldg+Dev'!U2411</f>
        <v>0</v>
      </c>
    </row>
    <row r="2706" spans="2:2" ht="16.5" hidden="1">
      <c r="B2706" s="111">
        <f>+'Bldg+Dev'!U2412</f>
        <v>0</v>
      </c>
    </row>
    <row r="2707" spans="2:2" ht="16.5" hidden="1">
      <c r="B2707" s="111">
        <f>+'Bldg+Dev'!U2413</f>
        <v>0</v>
      </c>
    </row>
    <row r="2708" spans="2:2" ht="16.5" hidden="1">
      <c r="B2708" s="111">
        <f>+'Bldg+Dev'!U2414</f>
        <v>0</v>
      </c>
    </row>
    <row r="2709" spans="2:2" ht="16.5" hidden="1">
      <c r="B2709" s="111">
        <f>+'Bldg+Dev'!U2415</f>
        <v>0</v>
      </c>
    </row>
    <row r="2710" spans="2:2" ht="16.5" hidden="1">
      <c r="B2710" s="111">
        <f>+'Bldg+Dev'!U2416</f>
        <v>0</v>
      </c>
    </row>
    <row r="2711" spans="2:2" ht="16.5" hidden="1">
      <c r="B2711" s="111">
        <f>+'Bldg+Dev'!U2417</f>
        <v>0</v>
      </c>
    </row>
    <row r="2712" spans="2:2" ht="16.5" hidden="1">
      <c r="B2712" s="111">
        <f>+'Bldg+Dev'!U2418</f>
        <v>0</v>
      </c>
    </row>
    <row r="2713" spans="2:2" ht="16.5" hidden="1">
      <c r="B2713" s="111">
        <f>+'Bldg+Dev'!U2419</f>
        <v>0</v>
      </c>
    </row>
    <row r="2714" spans="2:2" ht="16.5" hidden="1">
      <c r="B2714" s="111">
        <f>+'Bldg+Dev'!U2420</f>
        <v>0</v>
      </c>
    </row>
    <row r="2715" spans="2:2" ht="16.5" hidden="1">
      <c r="B2715" s="111">
        <f>+'Bldg+Dev'!U2421</f>
        <v>0</v>
      </c>
    </row>
    <row r="2716" spans="2:2" ht="16.5" hidden="1">
      <c r="B2716" s="111">
        <f>+'Bldg+Dev'!U2422</f>
        <v>0</v>
      </c>
    </row>
    <row r="2717" spans="2:2" ht="16.5" hidden="1">
      <c r="B2717" s="111">
        <f>+'Bldg+Dev'!U2423</f>
        <v>0</v>
      </c>
    </row>
    <row r="2718" spans="2:2" ht="16.5" hidden="1">
      <c r="B2718" s="111">
        <f>+'Bldg+Dev'!U2424</f>
        <v>0</v>
      </c>
    </row>
    <row r="2719" spans="2:2" ht="16.5" hidden="1">
      <c r="B2719" s="111">
        <f>+'Bldg+Dev'!U2425</f>
        <v>0</v>
      </c>
    </row>
    <row r="2720" spans="2:2" ht="16.5" hidden="1">
      <c r="B2720" s="111">
        <f>+'Bldg+Dev'!U2426</f>
        <v>0</v>
      </c>
    </row>
    <row r="2721" spans="2:2" ht="16.5" hidden="1">
      <c r="B2721" s="111">
        <f>+'Bldg+Dev'!U2427</f>
        <v>0</v>
      </c>
    </row>
    <row r="2722" spans="2:2" ht="16.5" hidden="1">
      <c r="B2722" s="111">
        <f>+'Bldg+Dev'!U2428</f>
        <v>0</v>
      </c>
    </row>
    <row r="2723" spans="2:2" ht="16.5" hidden="1">
      <c r="B2723" s="111">
        <f>+'Bldg+Dev'!U2429</f>
        <v>0</v>
      </c>
    </row>
    <row r="2724" spans="2:2" ht="16.5" hidden="1">
      <c r="B2724" s="111">
        <f>+'Bldg+Dev'!U2430</f>
        <v>0</v>
      </c>
    </row>
    <row r="2725" spans="2:2" ht="16.5" hidden="1">
      <c r="B2725" s="111">
        <f>+'Bldg+Dev'!U2431</f>
        <v>0</v>
      </c>
    </row>
    <row r="2726" spans="2:2" ht="16.5" hidden="1">
      <c r="B2726" s="111">
        <f>+'Bldg+Dev'!U2432</f>
        <v>0</v>
      </c>
    </row>
    <row r="2727" spans="2:2" ht="16.5" hidden="1">
      <c r="B2727" s="111">
        <f>+'Bldg+Dev'!U2433</f>
        <v>0</v>
      </c>
    </row>
    <row r="2728" spans="2:2" ht="16.5" hidden="1">
      <c r="B2728" s="111">
        <f>+'Bldg+Dev'!U2434</f>
        <v>0</v>
      </c>
    </row>
    <row r="2729" spans="2:2" ht="16.5" hidden="1">
      <c r="B2729" s="111">
        <f>+'Bldg+Dev'!U2435</f>
        <v>0</v>
      </c>
    </row>
    <row r="2730" spans="2:2" ht="16.5" hidden="1">
      <c r="B2730" s="111">
        <f>+'Bldg+Dev'!U2436</f>
        <v>0</v>
      </c>
    </row>
    <row r="2731" spans="2:2" ht="16.5" hidden="1">
      <c r="B2731" s="111">
        <f>+'Bldg+Dev'!U2437</f>
        <v>0</v>
      </c>
    </row>
    <row r="2732" spans="2:2" ht="16.5" hidden="1">
      <c r="B2732" s="111">
        <f>+'Bldg+Dev'!U2438</f>
        <v>0</v>
      </c>
    </row>
    <row r="2733" spans="2:2" ht="16.5" hidden="1">
      <c r="B2733" s="111">
        <f>+'Bldg+Dev'!U2439</f>
        <v>0</v>
      </c>
    </row>
    <row r="2734" spans="2:2" ht="16.5" hidden="1">
      <c r="B2734" s="111">
        <f>+'Bldg+Dev'!U2440</f>
        <v>0</v>
      </c>
    </row>
    <row r="2735" spans="2:2" ht="16.5" hidden="1">
      <c r="B2735" s="111">
        <f>+'Bldg+Dev'!U2441</f>
        <v>0</v>
      </c>
    </row>
    <row r="2736" spans="2:2" ht="16.5" hidden="1">
      <c r="B2736" s="111">
        <f>+'Bldg+Dev'!U2442</f>
        <v>0</v>
      </c>
    </row>
    <row r="2737" spans="2:2" ht="16.5" hidden="1">
      <c r="B2737" s="111">
        <f>+'Bldg+Dev'!U2443</f>
        <v>0</v>
      </c>
    </row>
    <row r="2738" spans="2:2" ht="16.5" hidden="1">
      <c r="B2738" s="111">
        <f>+'Bldg+Dev'!U2444</f>
        <v>0</v>
      </c>
    </row>
    <row r="2739" spans="2:2" ht="16.5" hidden="1">
      <c r="B2739" s="111">
        <f>+'Bldg+Dev'!U2445</f>
        <v>0</v>
      </c>
    </row>
    <row r="2740" spans="2:2" ht="16.5" hidden="1">
      <c r="B2740" s="111">
        <f>+'Bldg+Dev'!U2446</f>
        <v>0</v>
      </c>
    </row>
    <row r="2741" spans="2:2" ht="16.5" hidden="1">
      <c r="B2741" s="111">
        <f>+'Bldg+Dev'!U2447</f>
        <v>0</v>
      </c>
    </row>
    <row r="2742" spans="2:2" ht="16.5" hidden="1">
      <c r="B2742" s="111">
        <f>+'Bldg+Dev'!U2448</f>
        <v>0</v>
      </c>
    </row>
    <row r="2743" spans="2:2" ht="16.5" hidden="1">
      <c r="B2743" s="111">
        <f>+'Bldg+Dev'!U2449</f>
        <v>0</v>
      </c>
    </row>
    <row r="2744" spans="2:2" ht="16.5" hidden="1">
      <c r="B2744" s="111">
        <f>+'Bldg+Dev'!U2450</f>
        <v>0</v>
      </c>
    </row>
    <row r="2745" spans="2:2" ht="16.5" hidden="1">
      <c r="B2745" s="111">
        <f>+'Bldg+Dev'!U2451</f>
        <v>0</v>
      </c>
    </row>
    <row r="2746" spans="2:2" ht="16.5" hidden="1">
      <c r="B2746" s="111">
        <f>+'Bldg+Dev'!U2452</f>
        <v>0</v>
      </c>
    </row>
    <row r="2747" spans="2:2" ht="16.5" hidden="1">
      <c r="B2747" s="111">
        <f>+'Bldg+Dev'!U2453</f>
        <v>0</v>
      </c>
    </row>
    <row r="2748" spans="2:2" ht="16.5" hidden="1">
      <c r="B2748" s="111">
        <f>+'Bldg+Dev'!U2454</f>
        <v>0</v>
      </c>
    </row>
    <row r="2749" spans="2:2" ht="16.5" hidden="1">
      <c r="B2749" s="111">
        <f>+'Bldg+Dev'!U2455</f>
        <v>0</v>
      </c>
    </row>
    <row r="2750" spans="2:2" ht="16.5" hidden="1">
      <c r="B2750" s="111">
        <f>+'Bldg+Dev'!U2456</f>
        <v>0</v>
      </c>
    </row>
    <row r="2751" spans="2:2" ht="16.5" hidden="1">
      <c r="B2751" s="111">
        <f>+'Bldg+Dev'!U2457</f>
        <v>0</v>
      </c>
    </row>
    <row r="2752" spans="2:2" ht="16.5" hidden="1">
      <c r="B2752" s="111">
        <f>+'Bldg+Dev'!U2458</f>
        <v>0</v>
      </c>
    </row>
    <row r="2753" spans="2:2" ht="16.5" hidden="1">
      <c r="B2753" s="111">
        <f>+'Bldg+Dev'!U2459</f>
        <v>0</v>
      </c>
    </row>
    <row r="2754" spans="2:2" ht="16.5" hidden="1">
      <c r="B2754" s="111">
        <f>+'Bldg+Dev'!U2460</f>
        <v>0</v>
      </c>
    </row>
    <row r="2755" spans="2:2" ht="16.5" hidden="1">
      <c r="B2755" s="111">
        <f>+'Bldg+Dev'!U2461</f>
        <v>0</v>
      </c>
    </row>
    <row r="2756" spans="2:2" ht="16.5" hidden="1">
      <c r="B2756" s="111">
        <f>+'Bldg+Dev'!U2462</f>
        <v>0</v>
      </c>
    </row>
    <row r="2757" spans="2:2" ht="16.5" hidden="1">
      <c r="B2757" s="111">
        <f>+'Bldg+Dev'!U2463</f>
        <v>0</v>
      </c>
    </row>
    <row r="2758" spans="2:2" ht="16.5" hidden="1">
      <c r="B2758" s="111">
        <f>+'Bldg+Dev'!U2464</f>
        <v>0</v>
      </c>
    </row>
    <row r="2759" spans="2:2" ht="16.5" hidden="1">
      <c r="B2759" s="111">
        <f>+'Bldg+Dev'!U2465</f>
        <v>0</v>
      </c>
    </row>
    <row r="2760" spans="2:2" ht="16.5" hidden="1">
      <c r="B2760" s="111">
        <f>+'Bldg+Dev'!U2466</f>
        <v>0</v>
      </c>
    </row>
    <row r="2761" spans="2:2" ht="16.5" hidden="1">
      <c r="B2761" s="111">
        <f>+'Bldg+Dev'!U2467</f>
        <v>0</v>
      </c>
    </row>
    <row r="2762" spans="2:2" ht="16.5" hidden="1">
      <c r="B2762" s="111">
        <f>+'Bldg+Dev'!U2468</f>
        <v>0</v>
      </c>
    </row>
    <row r="2763" spans="2:2" ht="16.5" hidden="1">
      <c r="B2763" s="111">
        <f>+'Bldg+Dev'!U2469</f>
        <v>0</v>
      </c>
    </row>
    <row r="2764" spans="2:2" ht="16.5" hidden="1">
      <c r="B2764" s="111">
        <f>+'Bldg+Dev'!U2470</f>
        <v>0</v>
      </c>
    </row>
    <row r="2765" spans="2:2" ht="16.5" hidden="1">
      <c r="B2765" s="111">
        <f>+'Bldg+Dev'!U2471</f>
        <v>0</v>
      </c>
    </row>
    <row r="2766" spans="2:2" ht="16.5" hidden="1">
      <c r="B2766" s="111">
        <f>+'Bldg+Dev'!U2472</f>
        <v>0</v>
      </c>
    </row>
    <row r="2767" spans="2:2" ht="16.5" hidden="1">
      <c r="B2767" s="111">
        <f>+'Bldg+Dev'!U2473</f>
        <v>0</v>
      </c>
    </row>
    <row r="2768" spans="2:2" ht="16.5" hidden="1">
      <c r="B2768" s="111">
        <f>+'Bldg+Dev'!U2474</f>
        <v>0</v>
      </c>
    </row>
    <row r="2769" spans="2:2" ht="16.5" hidden="1">
      <c r="B2769" s="111">
        <f>+'Bldg+Dev'!U2475</f>
        <v>0</v>
      </c>
    </row>
    <row r="2770" spans="2:2" ht="16.5" hidden="1">
      <c r="B2770" s="111">
        <f>+'Bldg+Dev'!U2476</f>
        <v>0</v>
      </c>
    </row>
    <row r="2771" spans="2:2" ht="16.5" hidden="1">
      <c r="B2771" s="111">
        <f>+'Bldg+Dev'!U2477</f>
        <v>0</v>
      </c>
    </row>
    <row r="2772" spans="2:2" ht="16.5" hidden="1">
      <c r="B2772" s="111">
        <f>+'Bldg+Dev'!U2478</f>
        <v>0</v>
      </c>
    </row>
    <row r="2773" spans="2:2" ht="16.5" hidden="1">
      <c r="B2773" s="111">
        <f>+'Bldg+Dev'!U2479</f>
        <v>0</v>
      </c>
    </row>
    <row r="2774" spans="2:2" ht="16.5" hidden="1">
      <c r="B2774" s="111">
        <f>+'Bldg+Dev'!U2480</f>
        <v>0</v>
      </c>
    </row>
    <row r="2775" spans="2:2" ht="16.5" hidden="1">
      <c r="B2775" s="111">
        <f>+'Bldg+Dev'!U2481</f>
        <v>0</v>
      </c>
    </row>
    <row r="2776" spans="2:2" ht="16.5" hidden="1">
      <c r="B2776" s="111">
        <f>+'Bldg+Dev'!U2482</f>
        <v>0</v>
      </c>
    </row>
    <row r="2777" spans="2:2" ht="16.5" hidden="1">
      <c r="B2777" s="111">
        <f>+'Bldg+Dev'!U2483</f>
        <v>0</v>
      </c>
    </row>
    <row r="2778" spans="2:2" ht="16.5" hidden="1">
      <c r="B2778" s="111">
        <f>+'Bldg+Dev'!U2484</f>
        <v>0</v>
      </c>
    </row>
    <row r="2779" spans="2:2" ht="16.5" hidden="1">
      <c r="B2779" s="111">
        <f>+'Bldg+Dev'!U2485</f>
        <v>0</v>
      </c>
    </row>
    <row r="2780" spans="2:2" ht="16.5" hidden="1">
      <c r="B2780" s="111">
        <f>+'Bldg+Dev'!U2486</f>
        <v>0</v>
      </c>
    </row>
    <row r="2781" spans="2:2" ht="16.5" hidden="1">
      <c r="B2781" s="111">
        <f>+'Bldg+Dev'!U2487</f>
        <v>0</v>
      </c>
    </row>
    <row r="2782" spans="2:2" ht="16.5" hidden="1">
      <c r="B2782" s="111">
        <f>+'Bldg+Dev'!U2488</f>
        <v>0</v>
      </c>
    </row>
    <row r="2783" spans="2:2" ht="16.5" hidden="1">
      <c r="B2783" s="111">
        <f>+'Bldg+Dev'!U2489</f>
        <v>0</v>
      </c>
    </row>
    <row r="2784" spans="2:2" ht="16.5" hidden="1">
      <c r="B2784" s="111">
        <f>+'Bldg+Dev'!U2490</f>
        <v>0</v>
      </c>
    </row>
    <row r="2785" spans="2:2" ht="16.5" hidden="1">
      <c r="B2785" s="111">
        <f>+'Bldg+Dev'!U2491</f>
        <v>0</v>
      </c>
    </row>
    <row r="2786" spans="2:2" ht="16.5" hidden="1">
      <c r="B2786" s="111">
        <f>+'Bldg+Dev'!U2492</f>
        <v>0</v>
      </c>
    </row>
    <row r="2787" spans="2:2" ht="16.5" hidden="1">
      <c r="B2787" s="111">
        <f>+'Bldg+Dev'!U2493</f>
        <v>0</v>
      </c>
    </row>
    <row r="2788" spans="2:2" ht="16.5" hidden="1">
      <c r="B2788" s="111">
        <f>+'Bldg+Dev'!U2494</f>
        <v>0</v>
      </c>
    </row>
    <row r="2789" spans="2:2" ht="16.5" hidden="1">
      <c r="B2789" s="111">
        <f>+'Bldg+Dev'!U2495</f>
        <v>0</v>
      </c>
    </row>
    <row r="2790" spans="2:2" ht="16.5" hidden="1">
      <c r="B2790" s="111">
        <f>+'Bldg+Dev'!U2496</f>
        <v>0</v>
      </c>
    </row>
    <row r="2791" spans="2:2" ht="16.5" hidden="1">
      <c r="B2791" s="111">
        <f>+'Bldg+Dev'!U2497</f>
        <v>0</v>
      </c>
    </row>
    <row r="2792" spans="2:2" ht="16.5" hidden="1">
      <c r="B2792" s="111">
        <f>+'Bldg+Dev'!U2498</f>
        <v>0</v>
      </c>
    </row>
    <row r="2793" spans="2:2" ht="16.5" hidden="1">
      <c r="B2793" s="111">
        <f>+'Bldg+Dev'!U2499</f>
        <v>0</v>
      </c>
    </row>
    <row r="2794" spans="2:2" ht="16.5" hidden="1">
      <c r="B2794" s="111">
        <f>+'Bldg+Dev'!U2500</f>
        <v>0</v>
      </c>
    </row>
    <row r="2795" spans="2:2" ht="16.5" hidden="1">
      <c r="B2795" s="111">
        <f>+'Bldg+Dev'!U2501</f>
        <v>0</v>
      </c>
    </row>
    <row r="2796" spans="2:2" ht="16.5" hidden="1">
      <c r="B2796" s="111">
        <f>+'Bldg+Dev'!U2502</f>
        <v>0</v>
      </c>
    </row>
    <row r="2797" spans="2:2" ht="16.5" hidden="1">
      <c r="B2797" s="111">
        <f>+'Bldg+Dev'!U2503</f>
        <v>0</v>
      </c>
    </row>
    <row r="2798" spans="2:2" ht="16.5" hidden="1">
      <c r="B2798" s="111">
        <f>+'Bldg+Dev'!U2504</f>
        <v>0</v>
      </c>
    </row>
    <row r="2799" spans="2:2" ht="16.5" hidden="1">
      <c r="B2799" s="111">
        <f>+'Bldg+Dev'!U2505</f>
        <v>0</v>
      </c>
    </row>
    <row r="2800" spans="2:2" ht="16.5" hidden="1">
      <c r="B2800" s="111">
        <f>+'Bldg+Dev'!U2506</f>
        <v>0</v>
      </c>
    </row>
    <row r="2801" spans="2:2" ht="16.5" hidden="1">
      <c r="B2801" s="111">
        <f>+'Bldg+Dev'!U2507</f>
        <v>0</v>
      </c>
    </row>
    <row r="2802" spans="2:2" ht="16.5" hidden="1">
      <c r="B2802" s="111">
        <f>+'Bldg+Dev'!U2508</f>
        <v>0</v>
      </c>
    </row>
    <row r="2803" spans="2:2" ht="16.5" hidden="1">
      <c r="B2803" s="111">
        <f>+'Bldg+Dev'!U2509</f>
        <v>0</v>
      </c>
    </row>
    <row r="2804" spans="2:2" ht="16.5" hidden="1">
      <c r="B2804" s="111">
        <f>+'Bldg+Dev'!U2510</f>
        <v>0</v>
      </c>
    </row>
    <row r="2805" spans="2:2" ht="16.5" hidden="1">
      <c r="B2805" s="111">
        <f>+'Bldg+Dev'!U2511</f>
        <v>0</v>
      </c>
    </row>
    <row r="2806" spans="2:2" ht="16.5" hidden="1">
      <c r="B2806" s="111">
        <f>+'Bldg+Dev'!U2512</f>
        <v>0</v>
      </c>
    </row>
    <row r="2807" spans="2:2" ht="16.5" hidden="1">
      <c r="B2807" s="111">
        <f>+'Bldg+Dev'!U2513</f>
        <v>0</v>
      </c>
    </row>
    <row r="2808" spans="2:2" ht="16.5" hidden="1">
      <c r="B2808" s="111">
        <f>+'Bldg+Dev'!U2514</f>
        <v>0</v>
      </c>
    </row>
    <row r="2809" spans="2:2" ht="16.5" hidden="1">
      <c r="B2809" s="111">
        <f>+'Bldg+Dev'!U2515</f>
        <v>0</v>
      </c>
    </row>
    <row r="2810" spans="2:2" ht="16.5" hidden="1">
      <c r="B2810" s="111">
        <f>+'Bldg+Dev'!U2516</f>
        <v>0</v>
      </c>
    </row>
    <row r="2811" spans="2:2" ht="16.5" hidden="1">
      <c r="B2811" s="111">
        <f>+'Bldg+Dev'!U2517</f>
        <v>0</v>
      </c>
    </row>
    <row r="2812" spans="2:2" ht="16.5" hidden="1">
      <c r="B2812" s="111">
        <f>+'Bldg+Dev'!U2518</f>
        <v>0</v>
      </c>
    </row>
    <row r="2813" spans="2:2" ht="16.5" hidden="1">
      <c r="B2813" s="111">
        <f>+'Bldg+Dev'!U2519</f>
        <v>0</v>
      </c>
    </row>
    <row r="2814" spans="2:2" ht="16.5" hidden="1">
      <c r="B2814" s="111">
        <f>+'Bldg+Dev'!U2520</f>
        <v>0</v>
      </c>
    </row>
    <row r="2815" spans="2:2" ht="16.5" hidden="1">
      <c r="B2815" s="111">
        <f>+'Bldg+Dev'!U2521</f>
        <v>0</v>
      </c>
    </row>
    <row r="2816" spans="2:2" ht="16.5" hidden="1">
      <c r="B2816" s="111">
        <f>+'Bldg+Dev'!U2522</f>
        <v>0</v>
      </c>
    </row>
    <row r="2817" spans="2:2" ht="16.5" hidden="1">
      <c r="B2817" s="111">
        <f>+'Bldg+Dev'!U2523</f>
        <v>0</v>
      </c>
    </row>
    <row r="2818" spans="2:2" ht="16.5" hidden="1">
      <c r="B2818" s="111">
        <f>+'Bldg+Dev'!U2524</f>
        <v>0</v>
      </c>
    </row>
    <row r="2819" spans="2:2" ht="16.5" hidden="1">
      <c r="B2819" s="111">
        <f>+'Bldg+Dev'!U2525</f>
        <v>0</v>
      </c>
    </row>
    <row r="2820" spans="2:2" ht="16.5" hidden="1">
      <c r="B2820" s="111">
        <f>+'Bldg+Dev'!U2526</f>
        <v>0</v>
      </c>
    </row>
    <row r="2821" spans="2:2" ht="16.5" hidden="1">
      <c r="B2821" s="111">
        <f>+'Bldg+Dev'!U2527</f>
        <v>0</v>
      </c>
    </row>
    <row r="2822" spans="2:2" ht="16.5" hidden="1">
      <c r="B2822" s="111">
        <f>+'Bldg+Dev'!U2528</f>
        <v>0</v>
      </c>
    </row>
    <row r="2823" spans="2:2" ht="16.5" hidden="1">
      <c r="B2823" s="111">
        <f>+'Bldg+Dev'!U2529</f>
        <v>0</v>
      </c>
    </row>
    <row r="2824" spans="2:2" ht="16.5" hidden="1">
      <c r="B2824" s="111">
        <f>+'Bldg+Dev'!U2530</f>
        <v>0</v>
      </c>
    </row>
    <row r="2825" spans="2:2" ht="16.5" hidden="1">
      <c r="B2825" s="111">
        <f>+'Bldg+Dev'!U2531</f>
        <v>0</v>
      </c>
    </row>
    <row r="2826" spans="2:2" ht="16.5" hidden="1">
      <c r="B2826" s="111">
        <f>+'Bldg+Dev'!U2532</f>
        <v>0</v>
      </c>
    </row>
    <row r="2827" spans="2:2" ht="16.5" hidden="1">
      <c r="B2827" s="111">
        <f>+'Bldg+Dev'!U2533</f>
        <v>0</v>
      </c>
    </row>
    <row r="2828" spans="2:2" ht="16.5" hidden="1">
      <c r="B2828" s="111">
        <f>+'Bldg+Dev'!U2534</f>
        <v>0</v>
      </c>
    </row>
    <row r="2829" spans="2:2" ht="16.5" hidden="1">
      <c r="B2829" s="111">
        <f>+'Bldg+Dev'!U2535</f>
        <v>0</v>
      </c>
    </row>
    <row r="2830" spans="2:2" ht="16.5" hidden="1">
      <c r="B2830" s="111">
        <f>+'Bldg+Dev'!U2536</f>
        <v>0</v>
      </c>
    </row>
    <row r="2831" spans="2:2" ht="16.5" hidden="1">
      <c r="B2831" s="111">
        <f>+'Bldg+Dev'!U2537</f>
        <v>0</v>
      </c>
    </row>
    <row r="2832" spans="2:2" ht="16.5" hidden="1">
      <c r="B2832" s="111">
        <f>+'Bldg+Dev'!U2538</f>
        <v>0</v>
      </c>
    </row>
    <row r="2833" spans="2:2" ht="16.5" hidden="1">
      <c r="B2833" s="111">
        <f>+'Bldg+Dev'!U2539</f>
        <v>0</v>
      </c>
    </row>
    <row r="2834" spans="2:2" ht="16.5" hidden="1">
      <c r="B2834" s="111">
        <f>+'Bldg+Dev'!U2540</f>
        <v>0</v>
      </c>
    </row>
    <row r="2835" spans="2:2" ht="16.5" hidden="1">
      <c r="B2835" s="111">
        <f>+'Bldg+Dev'!U2541</f>
        <v>0</v>
      </c>
    </row>
    <row r="2836" spans="2:2" ht="16.5" hidden="1">
      <c r="B2836" s="111">
        <f>+'Bldg+Dev'!U2542</f>
        <v>0</v>
      </c>
    </row>
    <row r="2837" spans="2:2" ht="16.5" hidden="1">
      <c r="B2837" s="111">
        <f>+'Bldg+Dev'!U2543</f>
        <v>0</v>
      </c>
    </row>
    <row r="2838" spans="2:2" ht="16.5" hidden="1">
      <c r="B2838" s="111">
        <f>+'Bldg+Dev'!U2544</f>
        <v>0</v>
      </c>
    </row>
    <row r="2839" spans="2:2" ht="16.5" hidden="1">
      <c r="B2839" s="111">
        <f>+'Bldg+Dev'!U2545</f>
        <v>0</v>
      </c>
    </row>
    <row r="2840" spans="2:2" ht="16.5" hidden="1">
      <c r="B2840" s="111">
        <f>+'Bldg+Dev'!U2546</f>
        <v>0</v>
      </c>
    </row>
    <row r="2841" spans="2:2" ht="16.5" hidden="1">
      <c r="B2841" s="111">
        <f>+'Bldg+Dev'!U2547</f>
        <v>0</v>
      </c>
    </row>
    <row r="2842" spans="2:2" ht="16.5" hidden="1">
      <c r="B2842" s="111">
        <f>+'Bldg+Dev'!U2548</f>
        <v>0</v>
      </c>
    </row>
    <row r="2843" spans="2:2" ht="16.5" hidden="1">
      <c r="B2843" s="111">
        <f>+'Bldg+Dev'!U2549</f>
        <v>0</v>
      </c>
    </row>
    <row r="2844" spans="2:2" ht="16.5" hidden="1">
      <c r="B2844" s="111">
        <f>+'Bldg+Dev'!U2550</f>
        <v>0</v>
      </c>
    </row>
    <row r="2845" spans="2:2" ht="16.5" hidden="1">
      <c r="B2845" s="111">
        <f>+'Bldg+Dev'!U2551</f>
        <v>0</v>
      </c>
    </row>
    <row r="2846" spans="2:2" ht="16.5" hidden="1">
      <c r="B2846" s="111">
        <f>+'Bldg+Dev'!U2552</f>
        <v>0</v>
      </c>
    </row>
    <row r="2847" spans="2:2" ht="16.5" hidden="1">
      <c r="B2847" s="111">
        <f>+'Bldg+Dev'!U2553</f>
        <v>0</v>
      </c>
    </row>
    <row r="2848" spans="2:2" ht="16.5" hidden="1">
      <c r="B2848" s="111">
        <f>+'Bldg+Dev'!U2554</f>
        <v>0</v>
      </c>
    </row>
    <row r="2849" spans="2:2" ht="16.5" hidden="1">
      <c r="B2849" s="111">
        <f>+'Bldg+Dev'!U2555</f>
        <v>0</v>
      </c>
    </row>
    <row r="2850" spans="2:2" ht="16.5" hidden="1">
      <c r="B2850" s="111">
        <f>+'Bldg+Dev'!U2556</f>
        <v>0</v>
      </c>
    </row>
    <row r="2851" spans="2:2" ht="16.5" hidden="1">
      <c r="B2851" s="111">
        <f>+'Bldg+Dev'!U2557</f>
        <v>0</v>
      </c>
    </row>
    <row r="2852" spans="2:2" ht="16.5" hidden="1">
      <c r="B2852" s="111">
        <f>+'Bldg+Dev'!U2558</f>
        <v>0</v>
      </c>
    </row>
    <row r="2853" spans="2:2" ht="16.5" hidden="1">
      <c r="B2853" s="111">
        <f>+'Bldg+Dev'!U2559</f>
        <v>0</v>
      </c>
    </row>
    <row r="2854" spans="2:2" ht="16.5" hidden="1">
      <c r="B2854" s="111">
        <f>+'Bldg+Dev'!U2560</f>
        <v>0</v>
      </c>
    </row>
    <row r="2855" spans="2:2" ht="16.5" hidden="1">
      <c r="B2855" s="111">
        <f>+'Bldg+Dev'!U2561</f>
        <v>0</v>
      </c>
    </row>
    <row r="2856" spans="2:2" ht="16.5" hidden="1">
      <c r="B2856" s="111">
        <f>+'Bldg+Dev'!U2562</f>
        <v>0</v>
      </c>
    </row>
    <row r="2857" spans="2:2" ht="16.5" hidden="1">
      <c r="B2857" s="111">
        <f>+'Bldg+Dev'!U2563</f>
        <v>0</v>
      </c>
    </row>
    <row r="2858" spans="2:2" ht="16.5" hidden="1">
      <c r="B2858" s="111">
        <f>+'Bldg+Dev'!U2564</f>
        <v>0</v>
      </c>
    </row>
    <row r="2859" spans="2:2" ht="16.5" hidden="1">
      <c r="B2859" s="111">
        <f>+'Bldg+Dev'!U2565</f>
        <v>0</v>
      </c>
    </row>
    <row r="2860" spans="2:2" ht="16.5" hidden="1">
      <c r="B2860" s="111">
        <f>+'Bldg+Dev'!U2566</f>
        <v>0</v>
      </c>
    </row>
    <row r="2861" spans="2:2" ht="16.5" hidden="1">
      <c r="B2861" s="111">
        <f>+'Bldg+Dev'!U2567</f>
        <v>0</v>
      </c>
    </row>
    <row r="2862" spans="2:2" ht="16.5" hidden="1">
      <c r="B2862" s="111">
        <f>+'Bldg+Dev'!U2568</f>
        <v>0</v>
      </c>
    </row>
    <row r="2863" spans="2:2" ht="16.5" hidden="1">
      <c r="B2863" s="111">
        <f>+'Bldg+Dev'!U2569</f>
        <v>0</v>
      </c>
    </row>
    <row r="2864" spans="2:2" ht="16.5" hidden="1">
      <c r="B2864" s="111">
        <f>+'Bldg+Dev'!U2570</f>
        <v>0</v>
      </c>
    </row>
    <row r="2865" spans="2:2" ht="16.5" hidden="1">
      <c r="B2865" s="111">
        <f>+'Bldg+Dev'!U2571</f>
        <v>0</v>
      </c>
    </row>
    <row r="2866" spans="2:2" ht="16.5" hidden="1">
      <c r="B2866" s="111">
        <f>+'Bldg+Dev'!U2572</f>
        <v>0</v>
      </c>
    </row>
    <row r="2867" spans="2:2" ht="16.5" hidden="1">
      <c r="B2867" s="111">
        <f>+'Bldg+Dev'!U2573</f>
        <v>0</v>
      </c>
    </row>
    <row r="2868" spans="2:2" ht="16.5" hidden="1">
      <c r="B2868" s="111">
        <f>+'Bldg+Dev'!U2574</f>
        <v>0</v>
      </c>
    </row>
    <row r="2869" spans="2:2" ht="16.5" hidden="1">
      <c r="B2869" s="111">
        <f>+'Bldg+Dev'!U2575</f>
        <v>0</v>
      </c>
    </row>
    <row r="2870" spans="2:2" ht="16.5" hidden="1">
      <c r="B2870" s="111">
        <f>+'Bldg+Dev'!U2576</f>
        <v>0</v>
      </c>
    </row>
    <row r="2871" spans="2:2" ht="16.5" hidden="1">
      <c r="B2871" s="111">
        <f>+'Bldg+Dev'!U2577</f>
        <v>0</v>
      </c>
    </row>
    <row r="2872" spans="2:2" ht="16.5" hidden="1">
      <c r="B2872" s="111">
        <f>+'Bldg+Dev'!U2578</f>
        <v>0</v>
      </c>
    </row>
    <row r="2873" spans="2:2" ht="16.5" hidden="1">
      <c r="B2873" s="111">
        <f>+'Bldg+Dev'!U2579</f>
        <v>0</v>
      </c>
    </row>
    <row r="2874" spans="2:2" ht="16.5" hidden="1">
      <c r="B2874" s="111">
        <f>+'Bldg+Dev'!U2580</f>
        <v>0</v>
      </c>
    </row>
    <row r="2875" spans="2:2" ht="16.5" hidden="1">
      <c r="B2875" s="111">
        <f>+'Bldg+Dev'!U2581</f>
        <v>0</v>
      </c>
    </row>
    <row r="2876" spans="2:2" ht="16.5" hidden="1">
      <c r="B2876" s="111">
        <f>+'Bldg+Dev'!U2582</f>
        <v>0</v>
      </c>
    </row>
    <row r="2877" spans="2:2" ht="16.5" hidden="1">
      <c r="B2877" s="111">
        <f>+'Bldg+Dev'!U2583</f>
        <v>0</v>
      </c>
    </row>
    <row r="2878" spans="2:2" ht="16.5" hidden="1">
      <c r="B2878" s="111">
        <f>+'Bldg+Dev'!U2584</f>
        <v>0</v>
      </c>
    </row>
    <row r="2879" spans="2:2" ht="16.5" hidden="1">
      <c r="B2879" s="111">
        <f>+'Bldg+Dev'!U2585</f>
        <v>0</v>
      </c>
    </row>
    <row r="2880" spans="2:2" ht="16.5" hidden="1">
      <c r="B2880" s="111">
        <f>+'Bldg+Dev'!U2586</f>
        <v>0</v>
      </c>
    </row>
    <row r="2881" spans="2:2" ht="16.5" hidden="1">
      <c r="B2881" s="111">
        <f>+'Bldg+Dev'!U2587</f>
        <v>0</v>
      </c>
    </row>
    <row r="2882" spans="2:2" ht="16.5" hidden="1">
      <c r="B2882" s="111">
        <f>+'Bldg+Dev'!U2588</f>
        <v>0</v>
      </c>
    </row>
    <row r="2883" spans="2:2" ht="16.5" hidden="1">
      <c r="B2883" s="111">
        <f>+'Bldg+Dev'!U2589</f>
        <v>0</v>
      </c>
    </row>
    <row r="2884" spans="2:2" ht="16.5" hidden="1">
      <c r="B2884" s="111">
        <f>+'Bldg+Dev'!U2590</f>
        <v>0</v>
      </c>
    </row>
    <row r="2885" spans="2:2" ht="16.5" hidden="1">
      <c r="B2885" s="111">
        <f>+'Bldg+Dev'!U2591</f>
        <v>0</v>
      </c>
    </row>
    <row r="2886" spans="2:2" ht="16.5" hidden="1">
      <c r="B2886" s="111">
        <f>+'Bldg+Dev'!U2592</f>
        <v>0</v>
      </c>
    </row>
    <row r="2887" spans="2:2" ht="16.5" hidden="1">
      <c r="B2887" s="111">
        <f>+'Bldg+Dev'!U2593</f>
        <v>0</v>
      </c>
    </row>
    <row r="2888" spans="2:2" ht="16.5" hidden="1">
      <c r="B2888" s="111">
        <f>+'Bldg+Dev'!U2594</f>
        <v>0</v>
      </c>
    </row>
    <row r="2889" spans="2:2" ht="16.5" hidden="1">
      <c r="B2889" s="111">
        <f>+'Bldg+Dev'!U2595</f>
        <v>0</v>
      </c>
    </row>
    <row r="2890" spans="2:2" ht="16.5" hidden="1">
      <c r="B2890" s="111">
        <f>+'Bldg+Dev'!U2596</f>
        <v>0</v>
      </c>
    </row>
    <row r="2891" spans="2:2" ht="16.5" hidden="1">
      <c r="B2891" s="111">
        <f>+'Bldg+Dev'!U2597</f>
        <v>0</v>
      </c>
    </row>
    <row r="2892" spans="2:2" ht="16.5" hidden="1">
      <c r="B2892" s="111">
        <f>+'Bldg+Dev'!U2598</f>
        <v>0</v>
      </c>
    </row>
    <row r="2893" spans="2:2" ht="16.5" hidden="1">
      <c r="B2893" s="111">
        <f>+'Bldg+Dev'!U2599</f>
        <v>0</v>
      </c>
    </row>
    <row r="2894" spans="2:2" ht="16.5" hidden="1">
      <c r="B2894" s="111">
        <f>+'Bldg+Dev'!U2600</f>
        <v>0</v>
      </c>
    </row>
    <row r="2895" spans="2:2" ht="16.5" hidden="1">
      <c r="B2895" s="111">
        <f>+'Bldg+Dev'!U2601</f>
        <v>0</v>
      </c>
    </row>
    <row r="2896" spans="2:2" ht="16.5" hidden="1">
      <c r="B2896" s="111">
        <f>+'Bldg+Dev'!U2602</f>
        <v>0</v>
      </c>
    </row>
    <row r="2897" spans="2:2" ht="16.5" hidden="1">
      <c r="B2897" s="111">
        <f>+'Bldg+Dev'!U2603</f>
        <v>0</v>
      </c>
    </row>
    <row r="2898" spans="2:2" ht="16.5" hidden="1">
      <c r="B2898" s="111">
        <f>+'Bldg+Dev'!U2604</f>
        <v>0</v>
      </c>
    </row>
    <row r="2899" spans="2:2" ht="16.5" hidden="1">
      <c r="B2899" s="111">
        <f>+'Bldg+Dev'!U2605</f>
        <v>0</v>
      </c>
    </row>
    <row r="2900" spans="2:2" ht="16.5" hidden="1">
      <c r="B2900" s="111">
        <f>+'Bldg+Dev'!U2606</f>
        <v>0</v>
      </c>
    </row>
    <row r="2901" spans="2:2" ht="16.5" hidden="1">
      <c r="B2901" s="111">
        <f>+'Bldg+Dev'!U2607</f>
        <v>0</v>
      </c>
    </row>
    <row r="2902" spans="2:2" ht="16.5" hidden="1">
      <c r="B2902" s="111">
        <f>+'Bldg+Dev'!U2608</f>
        <v>0</v>
      </c>
    </row>
    <row r="2903" spans="2:2" ht="16.5" hidden="1">
      <c r="B2903" s="111">
        <f>+'Bldg+Dev'!U2609</f>
        <v>0</v>
      </c>
    </row>
    <row r="2904" spans="2:2" ht="16.5" hidden="1">
      <c r="B2904" s="111">
        <f>+'Bldg+Dev'!U2610</f>
        <v>0</v>
      </c>
    </row>
    <row r="2905" spans="2:2" ht="16.5" hidden="1">
      <c r="B2905" s="111">
        <f>+'Bldg+Dev'!U2611</f>
        <v>0</v>
      </c>
    </row>
    <row r="2906" spans="2:2" ht="16.5" hidden="1">
      <c r="B2906" s="111">
        <f>+'Bldg+Dev'!U2612</f>
        <v>0</v>
      </c>
    </row>
    <row r="2907" spans="2:2" ht="16.5" hidden="1">
      <c r="B2907" s="111">
        <f>+'Bldg+Dev'!U2613</f>
        <v>0</v>
      </c>
    </row>
    <row r="2908" spans="2:2" ht="16.5" hidden="1">
      <c r="B2908" s="111">
        <f>+'Bldg+Dev'!U2614</f>
        <v>0</v>
      </c>
    </row>
    <row r="2909" spans="2:2" ht="16.5" hidden="1">
      <c r="B2909" s="111">
        <f>+'Bldg+Dev'!U2615</f>
        <v>0</v>
      </c>
    </row>
    <row r="2910" spans="2:2" ht="16.5" hidden="1">
      <c r="B2910" s="111">
        <f>+'Bldg+Dev'!U2616</f>
        <v>0</v>
      </c>
    </row>
    <row r="2911" spans="2:2" ht="16.5" hidden="1">
      <c r="B2911" s="111">
        <f>+'Bldg+Dev'!U2617</f>
        <v>0</v>
      </c>
    </row>
    <row r="2912" spans="2:2" ht="16.5" hidden="1">
      <c r="B2912" s="111">
        <f>+'Bldg+Dev'!U2618</f>
        <v>0</v>
      </c>
    </row>
    <row r="2913" spans="2:2" ht="16.5" hidden="1">
      <c r="B2913" s="111">
        <f>+'Bldg+Dev'!U2619</f>
        <v>0</v>
      </c>
    </row>
    <row r="2914" spans="2:2" ht="16.5" hidden="1">
      <c r="B2914" s="111">
        <f>+'Bldg+Dev'!U2620</f>
        <v>0</v>
      </c>
    </row>
    <row r="2915" spans="2:2" ht="16.5" hidden="1">
      <c r="B2915" s="111">
        <f>+'Bldg+Dev'!U2621</f>
        <v>0</v>
      </c>
    </row>
    <row r="2916" spans="2:2" ht="16.5" hidden="1">
      <c r="B2916" s="111">
        <f>+'Bldg+Dev'!U2622</f>
        <v>0</v>
      </c>
    </row>
    <row r="2917" spans="2:2" ht="16.5" hidden="1">
      <c r="B2917" s="111">
        <f>+'Bldg+Dev'!U2623</f>
        <v>0</v>
      </c>
    </row>
    <row r="2918" spans="2:2" ht="16.5" hidden="1">
      <c r="B2918" s="111">
        <f>+'Bldg+Dev'!U2624</f>
        <v>0</v>
      </c>
    </row>
    <row r="2919" spans="2:2" ht="16.5" hidden="1">
      <c r="B2919" s="111">
        <f>+'Bldg+Dev'!U2625</f>
        <v>0</v>
      </c>
    </row>
    <row r="2920" spans="2:2" ht="16.5" hidden="1">
      <c r="B2920" s="111">
        <f>+'Bldg+Dev'!U2626</f>
        <v>0</v>
      </c>
    </row>
    <row r="2921" spans="2:2" ht="16.5" hidden="1">
      <c r="B2921" s="111">
        <f>+'Bldg+Dev'!U2627</f>
        <v>0</v>
      </c>
    </row>
    <row r="2922" spans="2:2" ht="16.5" hidden="1">
      <c r="B2922" s="111">
        <f>+'Bldg+Dev'!U2628</f>
        <v>0</v>
      </c>
    </row>
    <row r="2923" spans="2:2" ht="16.5" hidden="1">
      <c r="B2923" s="111">
        <f>+'Bldg+Dev'!U2629</f>
        <v>0</v>
      </c>
    </row>
    <row r="2924" spans="2:2" ht="16.5" hidden="1">
      <c r="B2924" s="111">
        <f>+'Bldg+Dev'!U2630</f>
        <v>0</v>
      </c>
    </row>
    <row r="2925" spans="2:2" ht="16.5" hidden="1">
      <c r="B2925" s="111">
        <f>+'Bldg+Dev'!U2631</f>
        <v>0</v>
      </c>
    </row>
    <row r="2926" spans="2:2" ht="16.5" hidden="1">
      <c r="B2926" s="111">
        <f>+'Bldg+Dev'!U2632</f>
        <v>0</v>
      </c>
    </row>
    <row r="2927" spans="2:2" ht="16.5" hidden="1">
      <c r="B2927" s="111">
        <f>+'Bldg+Dev'!U2633</f>
        <v>0</v>
      </c>
    </row>
    <row r="2928" spans="2:2" ht="16.5" hidden="1">
      <c r="B2928" s="111">
        <f>+'Bldg+Dev'!U2634</f>
        <v>0</v>
      </c>
    </row>
    <row r="2929" spans="2:2" ht="16.5" hidden="1">
      <c r="B2929" s="111">
        <f>+'Bldg+Dev'!U2635</f>
        <v>0</v>
      </c>
    </row>
    <row r="2930" spans="2:2" ht="16.5" hidden="1">
      <c r="B2930" s="111">
        <f>+'Bldg+Dev'!U2636</f>
        <v>0</v>
      </c>
    </row>
    <row r="2931" spans="2:2" ht="16.5" hidden="1">
      <c r="B2931" s="111">
        <f>+'Bldg+Dev'!U2637</f>
        <v>0</v>
      </c>
    </row>
    <row r="2932" spans="2:2" ht="16.5" hidden="1">
      <c r="B2932" s="111">
        <f>+'Bldg+Dev'!U2638</f>
        <v>0</v>
      </c>
    </row>
    <row r="2933" spans="2:2" ht="16.5" hidden="1">
      <c r="B2933" s="111">
        <f>+'Bldg+Dev'!U2639</f>
        <v>0</v>
      </c>
    </row>
    <row r="2934" spans="2:2" ht="16.5" hidden="1">
      <c r="B2934" s="111">
        <f>+'Bldg+Dev'!U2640</f>
        <v>0</v>
      </c>
    </row>
    <row r="2935" spans="2:2" ht="16.5" hidden="1">
      <c r="B2935" s="111">
        <f>+'Bldg+Dev'!U2641</f>
        <v>0</v>
      </c>
    </row>
    <row r="2936" spans="2:2" ht="16.5" hidden="1">
      <c r="B2936" s="111">
        <f>+'Bldg+Dev'!U2642</f>
        <v>0</v>
      </c>
    </row>
    <row r="2937" spans="2:2" ht="16.5" hidden="1">
      <c r="B2937" s="111">
        <f>+'Bldg+Dev'!U2643</f>
        <v>0</v>
      </c>
    </row>
    <row r="2938" spans="2:2" ht="16.5" hidden="1">
      <c r="B2938" s="111">
        <f>+'Bldg+Dev'!U2644</f>
        <v>0</v>
      </c>
    </row>
    <row r="2939" spans="2:2" ht="16.5" hidden="1">
      <c r="B2939" s="111">
        <f>+'Bldg+Dev'!U2645</f>
        <v>0</v>
      </c>
    </row>
    <row r="2940" spans="2:2" ht="16.5" hidden="1">
      <c r="B2940" s="111">
        <f>+'Bldg+Dev'!U2646</f>
        <v>0</v>
      </c>
    </row>
    <row r="2941" spans="2:2" ht="16.5" hidden="1">
      <c r="B2941" s="111">
        <f>+'Bldg+Dev'!U2647</f>
        <v>0</v>
      </c>
    </row>
    <row r="2942" spans="2:2" ht="16.5" hidden="1">
      <c r="B2942" s="111">
        <f>+'Bldg+Dev'!U2648</f>
        <v>0</v>
      </c>
    </row>
    <row r="2943" spans="2:2" ht="16.5" hidden="1">
      <c r="B2943" s="111">
        <f>+'Bldg+Dev'!U2649</f>
        <v>0</v>
      </c>
    </row>
    <row r="2944" spans="2:2" ht="16.5" hidden="1">
      <c r="B2944" s="111">
        <f>+'Bldg+Dev'!U2650</f>
        <v>0</v>
      </c>
    </row>
    <row r="2945" spans="2:2" ht="16.5" hidden="1">
      <c r="B2945" s="111">
        <f>+'Bldg+Dev'!U2651</f>
        <v>0</v>
      </c>
    </row>
    <row r="2946" spans="2:2" ht="16.5" hidden="1">
      <c r="B2946" s="111">
        <f>+'Bldg+Dev'!U2652</f>
        <v>0</v>
      </c>
    </row>
    <row r="2947" spans="2:2" ht="16.5" hidden="1">
      <c r="B2947" s="111">
        <f>+'Bldg+Dev'!U2653</f>
        <v>0</v>
      </c>
    </row>
    <row r="2948" spans="2:2" ht="16.5" hidden="1">
      <c r="B2948" s="111">
        <f>+'Bldg+Dev'!U2654</f>
        <v>0</v>
      </c>
    </row>
    <row r="2949" spans="2:2" ht="16.5" hidden="1">
      <c r="B2949" s="111">
        <f>+'Bldg+Dev'!U2655</f>
        <v>0</v>
      </c>
    </row>
    <row r="2950" spans="2:2" ht="16.5" hidden="1">
      <c r="B2950" s="111">
        <f>+'Bldg+Dev'!U2656</f>
        <v>0</v>
      </c>
    </row>
    <row r="2951" spans="2:2" ht="16.5" hidden="1">
      <c r="B2951" s="111">
        <f>+'Bldg+Dev'!U2657</f>
        <v>0</v>
      </c>
    </row>
    <row r="2952" spans="2:2" ht="16.5" hidden="1">
      <c r="B2952" s="111">
        <f>+'Bldg+Dev'!U2658</f>
        <v>0</v>
      </c>
    </row>
    <row r="2953" spans="2:2" ht="16.5" hidden="1">
      <c r="B2953" s="111">
        <f>+'Bldg+Dev'!U2659</f>
        <v>0</v>
      </c>
    </row>
    <row r="2954" spans="2:2" ht="16.5" hidden="1">
      <c r="B2954" s="111">
        <f>+'Bldg+Dev'!U2660</f>
        <v>0</v>
      </c>
    </row>
    <row r="2955" spans="2:2" ht="16.5" hidden="1">
      <c r="B2955" s="111">
        <f>+'Bldg+Dev'!U2661</f>
        <v>0</v>
      </c>
    </row>
    <row r="2956" spans="2:2" ht="16.5" hidden="1">
      <c r="B2956" s="111">
        <f>+'Bldg+Dev'!U2662</f>
        <v>0</v>
      </c>
    </row>
    <row r="2957" spans="2:2" ht="16.5" hidden="1">
      <c r="B2957" s="111">
        <f>+'Bldg+Dev'!U2663</f>
        <v>0</v>
      </c>
    </row>
    <row r="2958" spans="2:2" ht="16.5" hidden="1">
      <c r="B2958" s="111">
        <f>+'Bldg+Dev'!U2664</f>
        <v>0</v>
      </c>
    </row>
    <row r="2959" spans="2:2" ht="16.5" hidden="1">
      <c r="B2959" s="111">
        <f>+'Bldg+Dev'!U2665</f>
        <v>0</v>
      </c>
    </row>
    <row r="2960" spans="2:2" ht="16.5" hidden="1">
      <c r="B2960" s="111">
        <f>+'Bldg+Dev'!U2666</f>
        <v>0</v>
      </c>
    </row>
    <row r="2961" spans="2:2" ht="16.5" hidden="1">
      <c r="B2961" s="111">
        <f>+'Bldg+Dev'!U2667</f>
        <v>0</v>
      </c>
    </row>
    <row r="2962" spans="2:2" ht="16.5" hidden="1">
      <c r="B2962" s="111">
        <f>+'Bldg+Dev'!U2668</f>
        <v>0</v>
      </c>
    </row>
    <row r="2963" spans="2:2" ht="16.5" hidden="1">
      <c r="B2963" s="111">
        <f>+'Bldg+Dev'!U2669</f>
        <v>0</v>
      </c>
    </row>
    <row r="2964" spans="2:2" ht="16.5" hidden="1">
      <c r="B2964" s="111">
        <f>+'Bldg+Dev'!U2670</f>
        <v>0</v>
      </c>
    </row>
    <row r="2965" spans="2:2" ht="16.5" hidden="1">
      <c r="B2965" s="111">
        <f>+'Bldg+Dev'!U2671</f>
        <v>0</v>
      </c>
    </row>
    <row r="2966" spans="2:2" ht="16.5" hidden="1">
      <c r="B2966" s="111">
        <f>+'Bldg+Dev'!U2672</f>
        <v>0</v>
      </c>
    </row>
    <row r="2967" spans="2:2" ht="16.5" hidden="1">
      <c r="B2967" s="111">
        <f>+'Bldg+Dev'!U2673</f>
        <v>0</v>
      </c>
    </row>
    <row r="2968" spans="2:2" ht="16.5" hidden="1">
      <c r="B2968" s="111">
        <f>+'Bldg+Dev'!U2674</f>
        <v>0</v>
      </c>
    </row>
    <row r="2969" spans="2:2" ht="16.5" hidden="1">
      <c r="B2969" s="111">
        <f>+'Bldg+Dev'!U2675</f>
        <v>0</v>
      </c>
    </row>
    <row r="2970" spans="2:2" ht="16.5" hidden="1">
      <c r="B2970" s="111">
        <f>+'Bldg+Dev'!U2676</f>
        <v>0</v>
      </c>
    </row>
    <row r="2971" spans="2:2" ht="16.5" hidden="1">
      <c r="B2971" s="111">
        <f>+'Bldg+Dev'!U2677</f>
        <v>0</v>
      </c>
    </row>
    <row r="2972" spans="2:2" ht="16.5" hidden="1">
      <c r="B2972" s="111">
        <f>+'Bldg+Dev'!U2678</f>
        <v>0</v>
      </c>
    </row>
    <row r="2973" spans="2:2" ht="16.5" hidden="1">
      <c r="B2973" s="111">
        <f>+'Bldg+Dev'!U2679</f>
        <v>0</v>
      </c>
    </row>
    <row r="2974" spans="2:2" ht="16.5" hidden="1">
      <c r="B2974" s="111">
        <f>+'Bldg+Dev'!U2680</f>
        <v>0</v>
      </c>
    </row>
    <row r="2975" spans="2:2" ht="16.5" hidden="1">
      <c r="B2975" s="111">
        <f>+'Bldg+Dev'!U2681</f>
        <v>0</v>
      </c>
    </row>
    <row r="2976" spans="2:2" ht="16.5" hidden="1">
      <c r="B2976" s="111">
        <f>+'Bldg+Dev'!U2682</f>
        <v>0</v>
      </c>
    </row>
    <row r="2977" spans="2:2" ht="16.5" hidden="1">
      <c r="B2977" s="111">
        <f>+'Bldg+Dev'!U2683</f>
        <v>0</v>
      </c>
    </row>
    <row r="2978" spans="2:2" ht="16.5" hidden="1">
      <c r="B2978" s="111">
        <f>+'Bldg+Dev'!U2684</f>
        <v>0</v>
      </c>
    </row>
    <row r="2979" spans="2:2" ht="16.5" hidden="1">
      <c r="B2979" s="111">
        <f>+'Bldg+Dev'!U2685</f>
        <v>0</v>
      </c>
    </row>
    <row r="2980" spans="2:2" ht="16.5" hidden="1">
      <c r="B2980" s="111">
        <f>+'Bldg+Dev'!U2686</f>
        <v>0</v>
      </c>
    </row>
    <row r="2981" spans="2:2" ht="16.5" hidden="1">
      <c r="B2981" s="111">
        <f>+'Bldg+Dev'!U2687</f>
        <v>0</v>
      </c>
    </row>
    <row r="2982" spans="2:2" ht="16.5" hidden="1">
      <c r="B2982" s="111">
        <f>+'Bldg+Dev'!U2688</f>
        <v>0</v>
      </c>
    </row>
    <row r="2983" spans="2:2" ht="16.5" hidden="1">
      <c r="B2983" s="111">
        <f>+'Bldg+Dev'!U2689</f>
        <v>0</v>
      </c>
    </row>
    <row r="2984" spans="2:2" ht="16.5" hidden="1">
      <c r="B2984" s="111">
        <f>+'Bldg+Dev'!U2690</f>
        <v>0</v>
      </c>
    </row>
    <row r="2985" spans="2:2" ht="16.5" hidden="1">
      <c r="B2985" s="111">
        <f>+'Bldg+Dev'!U2691</f>
        <v>0</v>
      </c>
    </row>
    <row r="2986" spans="2:2" ht="16.5" hidden="1">
      <c r="B2986" s="111">
        <f>+'Bldg+Dev'!U2692</f>
        <v>0</v>
      </c>
    </row>
    <row r="2987" spans="2:2" ht="16.5" hidden="1">
      <c r="B2987" s="111">
        <f>+'Bldg+Dev'!U2693</f>
        <v>0</v>
      </c>
    </row>
    <row r="2988" spans="2:2" ht="16.5" hidden="1">
      <c r="B2988" s="111">
        <f>+'Bldg+Dev'!U2694</f>
        <v>0</v>
      </c>
    </row>
    <row r="2989" spans="2:2" ht="16.5" hidden="1">
      <c r="B2989" s="111">
        <f>+'Bldg+Dev'!U2695</f>
        <v>0</v>
      </c>
    </row>
    <row r="2990" spans="2:2" ht="16.5" hidden="1">
      <c r="B2990" s="111">
        <f>+'Bldg+Dev'!U2696</f>
        <v>0</v>
      </c>
    </row>
    <row r="2991" spans="2:2" ht="16.5" hidden="1">
      <c r="B2991" s="111">
        <f>+'Bldg+Dev'!U2697</f>
        <v>0</v>
      </c>
    </row>
    <row r="2992" spans="2:2" ht="16.5" hidden="1">
      <c r="B2992" s="111">
        <f>+'Bldg+Dev'!U2698</f>
        <v>0</v>
      </c>
    </row>
    <row r="2993" spans="2:2" ht="16.5" hidden="1">
      <c r="B2993" s="111">
        <f>+'Bldg+Dev'!U2699</f>
        <v>0</v>
      </c>
    </row>
    <row r="2994" spans="2:2" ht="16.5" hidden="1">
      <c r="B2994" s="111">
        <f>+'Bldg+Dev'!U2700</f>
        <v>0</v>
      </c>
    </row>
    <row r="2995" spans="2:2" ht="16.5" hidden="1">
      <c r="B2995" s="111">
        <f>+'Bldg+Dev'!U2701</f>
        <v>0</v>
      </c>
    </row>
    <row r="2996" spans="2:2" ht="16.5" hidden="1">
      <c r="B2996" s="111">
        <f>+'Bldg+Dev'!U2702</f>
        <v>0</v>
      </c>
    </row>
    <row r="2997" spans="2:2" ht="16.5" hidden="1">
      <c r="B2997" s="111">
        <f>+'Bldg+Dev'!U2703</f>
        <v>0</v>
      </c>
    </row>
    <row r="2998" spans="2:2" ht="16.5" hidden="1">
      <c r="B2998" s="111">
        <f>+'Bldg+Dev'!U2704</f>
        <v>0</v>
      </c>
    </row>
    <row r="2999" spans="2:2" ht="16.5" hidden="1">
      <c r="B2999" s="111">
        <f>+'Bldg+Dev'!U2705</f>
        <v>0</v>
      </c>
    </row>
    <row r="3000" spans="2:2" ht="16.5" hidden="1">
      <c r="B3000" s="111">
        <f>+'Bldg+Dev'!U2706</f>
        <v>0</v>
      </c>
    </row>
    <row r="3001" spans="2:2" ht="16.5" hidden="1">
      <c r="B3001" s="111">
        <f>+'Bldg+Dev'!U2707</f>
        <v>0</v>
      </c>
    </row>
    <row r="3002" spans="2:2" ht="16.5" hidden="1">
      <c r="B3002" s="111">
        <f>+'Bldg+Dev'!U2708</f>
        <v>0</v>
      </c>
    </row>
    <row r="3003" spans="2:2" ht="16.5" hidden="1">
      <c r="B3003" s="111">
        <f>+'Bldg+Dev'!U2709</f>
        <v>0</v>
      </c>
    </row>
    <row r="3004" spans="2:2" ht="16.5" hidden="1">
      <c r="B3004" s="111">
        <f>+'Bldg+Dev'!U2710</f>
        <v>0</v>
      </c>
    </row>
    <row r="3005" spans="2:2" ht="16.5" hidden="1">
      <c r="B3005" s="111">
        <f>+'Bldg+Dev'!U2711</f>
        <v>0</v>
      </c>
    </row>
    <row r="3006" spans="2:2" ht="16.5" hidden="1">
      <c r="B3006" s="111">
        <f>+'Bldg+Dev'!U2712</f>
        <v>0</v>
      </c>
    </row>
    <row r="3007" spans="2:2" ht="16.5" hidden="1">
      <c r="B3007" s="111">
        <f>+'Bldg+Dev'!U2713</f>
        <v>0</v>
      </c>
    </row>
    <row r="3008" spans="2:2" ht="16.5" hidden="1">
      <c r="B3008" s="111">
        <f>+'Bldg+Dev'!U2714</f>
        <v>0</v>
      </c>
    </row>
    <row r="3009" spans="2:2" ht="16.5" hidden="1">
      <c r="B3009" s="111">
        <f>+'Bldg+Dev'!U2715</f>
        <v>0</v>
      </c>
    </row>
    <row r="3010" spans="2:2" ht="16.5" hidden="1">
      <c r="B3010" s="111">
        <f>+'Bldg+Dev'!U2716</f>
        <v>0</v>
      </c>
    </row>
    <row r="3011" spans="2:2" ht="16.5" hidden="1">
      <c r="B3011" s="111">
        <f>+'Bldg+Dev'!U2717</f>
        <v>0</v>
      </c>
    </row>
    <row r="3012" spans="2:2" ht="16.5" hidden="1">
      <c r="B3012" s="111">
        <f>+'Bldg+Dev'!U2718</f>
        <v>0</v>
      </c>
    </row>
    <row r="3013" spans="2:2" ht="16.5" hidden="1">
      <c r="B3013" s="111">
        <f>+'Bldg+Dev'!U2719</f>
        <v>0</v>
      </c>
    </row>
    <row r="3014" spans="2:2" ht="16.5" hidden="1">
      <c r="B3014" s="111">
        <f>+'Bldg+Dev'!U2720</f>
        <v>0</v>
      </c>
    </row>
    <row r="3015" spans="2:2" ht="16.5" hidden="1">
      <c r="B3015" s="111">
        <f>+'Bldg+Dev'!U2721</f>
        <v>0</v>
      </c>
    </row>
    <row r="3016" spans="2:2" ht="16.5" hidden="1">
      <c r="B3016" s="111">
        <f>+'Bldg+Dev'!U2722</f>
        <v>0</v>
      </c>
    </row>
    <row r="3017" spans="2:2" ht="16.5" hidden="1">
      <c r="B3017" s="111">
        <f>+'Bldg+Dev'!U2723</f>
        <v>0</v>
      </c>
    </row>
    <row r="3018" spans="2:2" ht="16.5" hidden="1">
      <c r="B3018" s="111">
        <f>+'Bldg+Dev'!U2724</f>
        <v>0</v>
      </c>
    </row>
    <row r="3019" spans="2:2" ht="16.5" hidden="1">
      <c r="B3019" s="111">
        <f>+'Bldg+Dev'!U2725</f>
        <v>0</v>
      </c>
    </row>
    <row r="3020" spans="2:2" ht="16.5" hidden="1">
      <c r="B3020" s="111">
        <f>+'Bldg+Dev'!U2726</f>
        <v>0</v>
      </c>
    </row>
    <row r="3021" spans="2:2" ht="16.5" hidden="1">
      <c r="B3021" s="111">
        <f>+'Bldg+Dev'!U2727</f>
        <v>0</v>
      </c>
    </row>
    <row r="3022" spans="2:2" ht="16.5" hidden="1">
      <c r="B3022" s="111">
        <f>+'Bldg+Dev'!U2728</f>
        <v>0</v>
      </c>
    </row>
    <row r="3023" spans="2:2" ht="16.5" hidden="1">
      <c r="B3023" s="111">
        <f>+'Bldg+Dev'!U2729</f>
        <v>0</v>
      </c>
    </row>
    <row r="3024" spans="2:2" ht="16.5" hidden="1">
      <c r="B3024" s="111">
        <f>+'Bldg+Dev'!U2730</f>
        <v>0</v>
      </c>
    </row>
    <row r="3025" spans="2:2" ht="16.5" hidden="1">
      <c r="B3025" s="111">
        <f>+'Bldg+Dev'!U2731</f>
        <v>0</v>
      </c>
    </row>
    <row r="3026" spans="2:2" ht="16.5" hidden="1">
      <c r="B3026" s="111">
        <f>+'Bldg+Dev'!U2732</f>
        <v>0</v>
      </c>
    </row>
    <row r="3027" spans="2:2" ht="16.5" hidden="1">
      <c r="B3027" s="111">
        <f>+'Bldg+Dev'!U2733</f>
        <v>0</v>
      </c>
    </row>
    <row r="3028" spans="2:2" ht="16.5" hidden="1">
      <c r="B3028" s="111">
        <f>+'Bldg+Dev'!U2734</f>
        <v>0</v>
      </c>
    </row>
    <row r="3029" spans="2:2" ht="16.5" hidden="1">
      <c r="B3029" s="111">
        <f>+'Bldg+Dev'!U2735</f>
        <v>0</v>
      </c>
    </row>
    <row r="3030" spans="2:2" ht="16.5" hidden="1">
      <c r="B3030" s="111">
        <f>+'Bldg+Dev'!U2736</f>
        <v>0</v>
      </c>
    </row>
    <row r="3031" spans="2:2" ht="16.5" hidden="1">
      <c r="B3031" s="111">
        <f>+'Bldg+Dev'!U2737</f>
        <v>0</v>
      </c>
    </row>
    <row r="3032" spans="2:2" ht="16.5" hidden="1">
      <c r="B3032" s="111">
        <f>+'Bldg+Dev'!U2738</f>
        <v>0</v>
      </c>
    </row>
    <row r="3033" spans="2:2" ht="16.5" hidden="1">
      <c r="B3033" s="111">
        <f>+'Bldg+Dev'!U2739</f>
        <v>0</v>
      </c>
    </row>
    <row r="3034" spans="2:2" ht="16.5" hidden="1">
      <c r="B3034" s="111">
        <f>+'Bldg+Dev'!U2740</f>
        <v>0</v>
      </c>
    </row>
    <row r="3035" spans="2:2" ht="16.5" hidden="1">
      <c r="B3035" s="111">
        <f>+'Bldg+Dev'!U2741</f>
        <v>0</v>
      </c>
    </row>
    <row r="3036" spans="2:2" ht="16.5" hidden="1">
      <c r="B3036" s="111">
        <f>+'Bldg+Dev'!U2742</f>
        <v>0</v>
      </c>
    </row>
    <row r="3037" spans="2:2" ht="16.5" hidden="1">
      <c r="B3037" s="111">
        <f>+'Bldg+Dev'!U2743</f>
        <v>0</v>
      </c>
    </row>
    <row r="3038" spans="2:2" ht="16.5" hidden="1">
      <c r="B3038" s="111">
        <f>+'Bldg+Dev'!U2744</f>
        <v>0</v>
      </c>
    </row>
    <row r="3039" spans="2:2" ht="16.5" hidden="1">
      <c r="B3039" s="111">
        <f>+'Bldg+Dev'!U2745</f>
        <v>0</v>
      </c>
    </row>
    <row r="3040" spans="2:2" ht="16.5" hidden="1">
      <c r="B3040" s="111">
        <f>+'Bldg+Dev'!U2746</f>
        <v>0</v>
      </c>
    </row>
    <row r="3041" spans="2:2" ht="16.5" hidden="1">
      <c r="B3041" s="111">
        <f>+'Bldg+Dev'!U2747</f>
        <v>0</v>
      </c>
    </row>
    <row r="3042" spans="2:2" ht="16.5" hidden="1">
      <c r="B3042" s="111">
        <f>+'Bldg+Dev'!U2748</f>
        <v>0</v>
      </c>
    </row>
    <row r="3043" spans="2:2" ht="16.5" hidden="1">
      <c r="B3043" s="111">
        <f>+'Bldg+Dev'!U2749</f>
        <v>0</v>
      </c>
    </row>
    <row r="3044" spans="2:2" ht="16.5" hidden="1">
      <c r="B3044" s="111">
        <f>+'Bldg+Dev'!U2750</f>
        <v>0</v>
      </c>
    </row>
    <row r="3045" spans="2:2" ht="16.5" hidden="1">
      <c r="B3045" s="111">
        <f>+'Bldg+Dev'!U2751</f>
        <v>0</v>
      </c>
    </row>
    <row r="3046" spans="2:2" ht="16.5" hidden="1">
      <c r="B3046" s="111">
        <f>+'Bldg+Dev'!U2752</f>
        <v>0</v>
      </c>
    </row>
    <row r="3047" spans="2:2" ht="16.5" hidden="1">
      <c r="B3047" s="111">
        <f>+'Bldg+Dev'!U2753</f>
        <v>0</v>
      </c>
    </row>
    <row r="3048" spans="2:2" ht="16.5" hidden="1">
      <c r="B3048" s="111">
        <f>+'Bldg+Dev'!U2754</f>
        <v>0</v>
      </c>
    </row>
    <row r="3049" spans="2:2" ht="16.5" hidden="1">
      <c r="B3049" s="111">
        <f>+'Bldg+Dev'!U2755</f>
        <v>0</v>
      </c>
    </row>
    <row r="3050" spans="2:2" ht="16.5" hidden="1">
      <c r="B3050" s="111">
        <f>+'Bldg+Dev'!U2756</f>
        <v>0</v>
      </c>
    </row>
    <row r="3051" spans="2:2" ht="16.5" hidden="1">
      <c r="B3051" s="111">
        <f>+'Bldg+Dev'!U2757</f>
        <v>0</v>
      </c>
    </row>
    <row r="3052" spans="2:2" ht="16.5" hidden="1">
      <c r="B3052" s="111">
        <f>+'Bldg+Dev'!U2758</f>
        <v>0</v>
      </c>
    </row>
    <row r="3053" spans="2:2" ht="16.5" hidden="1">
      <c r="B3053" s="111">
        <f>+'Bldg+Dev'!U2759</f>
        <v>0</v>
      </c>
    </row>
    <row r="3054" spans="2:2" ht="16.5" hidden="1">
      <c r="B3054" s="111">
        <f>+'Bldg+Dev'!U2760</f>
        <v>0</v>
      </c>
    </row>
    <row r="3055" spans="2:2" ht="16.5" hidden="1">
      <c r="B3055" s="111">
        <f>+'Bldg+Dev'!U2761</f>
        <v>0</v>
      </c>
    </row>
    <row r="3056" spans="2:2" ht="16.5" hidden="1">
      <c r="B3056" s="111">
        <f>+'Bldg+Dev'!U2762</f>
        <v>0</v>
      </c>
    </row>
    <row r="3057" spans="2:2" ht="16.5" hidden="1">
      <c r="B3057" s="111">
        <f>+'Bldg+Dev'!U2763</f>
        <v>0</v>
      </c>
    </row>
    <row r="3058" spans="2:2" ht="16.5" hidden="1">
      <c r="B3058" s="111">
        <f>+'Bldg+Dev'!U2764</f>
        <v>0</v>
      </c>
    </row>
    <row r="3059" spans="2:2" ht="16.5" hidden="1">
      <c r="B3059" s="111">
        <f>+'Bldg+Dev'!U2765</f>
        <v>0</v>
      </c>
    </row>
    <row r="3060" spans="2:2" ht="16.5" hidden="1">
      <c r="B3060" s="111">
        <f>+'Bldg+Dev'!U2766</f>
        <v>0</v>
      </c>
    </row>
    <row r="3061" spans="2:2" ht="16.5" hidden="1">
      <c r="B3061" s="111">
        <f>+'Bldg+Dev'!U2767</f>
        <v>0</v>
      </c>
    </row>
    <row r="3062" spans="2:2" ht="16.5" hidden="1">
      <c r="B3062" s="111">
        <f>+'Bldg+Dev'!U2768</f>
        <v>0</v>
      </c>
    </row>
    <row r="3063" spans="2:2" ht="16.5" hidden="1">
      <c r="B3063" s="111">
        <f>+'Bldg+Dev'!U2769</f>
        <v>0</v>
      </c>
    </row>
    <row r="3064" spans="2:2" ht="16.5" hidden="1">
      <c r="B3064" s="111">
        <f>+'Bldg+Dev'!U2770</f>
        <v>0</v>
      </c>
    </row>
    <row r="3065" spans="2:2" ht="16.5" hidden="1">
      <c r="B3065" s="111">
        <f>+'Bldg+Dev'!U2771</f>
        <v>0</v>
      </c>
    </row>
    <row r="3066" spans="2:2" ht="16.5" hidden="1">
      <c r="B3066" s="111">
        <f>+'Bldg+Dev'!U2772</f>
        <v>0</v>
      </c>
    </row>
    <row r="3067" spans="2:2" ht="16.5" hidden="1">
      <c r="B3067" s="111">
        <f>+'Bldg+Dev'!U2773</f>
        <v>0</v>
      </c>
    </row>
    <row r="3068" spans="2:2" ht="16.5" hidden="1">
      <c r="B3068" s="111">
        <f>+'Bldg+Dev'!U2774</f>
        <v>0</v>
      </c>
    </row>
    <row r="3069" spans="2:2" ht="16.5" hidden="1">
      <c r="B3069" s="111">
        <f>+'Bldg+Dev'!U2775</f>
        <v>0</v>
      </c>
    </row>
    <row r="3070" spans="2:2" ht="16.5" hidden="1">
      <c r="B3070" s="111">
        <f>+'Bldg+Dev'!U2776</f>
        <v>0</v>
      </c>
    </row>
    <row r="3071" spans="2:2" ht="16.5" hidden="1">
      <c r="B3071" s="111">
        <f>+'Bldg+Dev'!U2777</f>
        <v>0</v>
      </c>
    </row>
    <row r="3072" spans="2:2" ht="16.5" hidden="1">
      <c r="B3072" s="111">
        <f>+'Bldg+Dev'!U2778</f>
        <v>0</v>
      </c>
    </row>
    <row r="3073" spans="2:2" ht="16.5" hidden="1">
      <c r="B3073" s="111">
        <f>+'Bldg+Dev'!U2779</f>
        <v>0</v>
      </c>
    </row>
    <row r="3074" spans="2:2" ht="16.5" hidden="1">
      <c r="B3074" s="111">
        <f>+'Bldg+Dev'!U2780</f>
        <v>0</v>
      </c>
    </row>
    <row r="3075" spans="2:2" ht="16.5" hidden="1">
      <c r="B3075" s="111">
        <f>+'Bldg+Dev'!U2781</f>
        <v>0</v>
      </c>
    </row>
    <row r="3076" spans="2:2" ht="16.5" hidden="1">
      <c r="B3076" s="111">
        <f>+'Bldg+Dev'!U2782</f>
        <v>0</v>
      </c>
    </row>
    <row r="3077" spans="2:2" ht="16.5" hidden="1">
      <c r="B3077" s="111">
        <f>+'Bldg+Dev'!U2783</f>
        <v>0</v>
      </c>
    </row>
    <row r="3078" spans="2:2" ht="16.5" hidden="1">
      <c r="B3078" s="111">
        <f>+'Bldg+Dev'!U2784</f>
        <v>0</v>
      </c>
    </row>
    <row r="3079" spans="2:2" ht="16.5" hidden="1">
      <c r="B3079" s="111">
        <f>+'Bldg+Dev'!U2785</f>
        <v>0</v>
      </c>
    </row>
    <row r="3080" spans="2:2" ht="16.5" hidden="1">
      <c r="B3080" s="111">
        <f>+'Bldg+Dev'!U2786</f>
        <v>0</v>
      </c>
    </row>
    <row r="3081" spans="2:2" ht="16.5" hidden="1">
      <c r="B3081" s="111">
        <f>+'Bldg+Dev'!U2787</f>
        <v>0</v>
      </c>
    </row>
    <row r="3082" spans="2:2" ht="16.5" hidden="1">
      <c r="B3082" s="111">
        <f>+'Bldg+Dev'!U2788</f>
        <v>0</v>
      </c>
    </row>
    <row r="3083" spans="2:2" ht="16.5" hidden="1">
      <c r="B3083" s="111">
        <f>+'Bldg+Dev'!U2789</f>
        <v>0</v>
      </c>
    </row>
    <row r="3084" spans="2:2" ht="16.5" hidden="1">
      <c r="B3084" s="111">
        <f>+'Bldg+Dev'!U2790</f>
        <v>0</v>
      </c>
    </row>
    <row r="3085" spans="2:2" ht="16.5" hidden="1">
      <c r="B3085" s="111">
        <f>+'Bldg+Dev'!U2791</f>
        <v>0</v>
      </c>
    </row>
    <row r="3086" spans="2:2" ht="16.5" hidden="1">
      <c r="B3086" s="111">
        <f>+'Bldg+Dev'!U2792</f>
        <v>0</v>
      </c>
    </row>
    <row r="3087" spans="2:2" ht="16.5" hidden="1">
      <c r="B3087" s="111">
        <f>+'Bldg+Dev'!U2793</f>
        <v>0</v>
      </c>
    </row>
    <row r="3088" spans="2:2" ht="16.5" hidden="1">
      <c r="B3088" s="111">
        <f>+'Bldg+Dev'!U2794</f>
        <v>0</v>
      </c>
    </row>
    <row r="3089" spans="2:2" ht="16.5" hidden="1">
      <c r="B3089" s="111">
        <f>+'Bldg+Dev'!U2795</f>
        <v>0</v>
      </c>
    </row>
    <row r="3090" spans="2:2" ht="16.5" hidden="1">
      <c r="B3090" s="111">
        <f>+'Bldg+Dev'!U2796</f>
        <v>0</v>
      </c>
    </row>
    <row r="3091" spans="2:2" ht="16.5" hidden="1">
      <c r="B3091" s="111">
        <f>+'Bldg+Dev'!U2797</f>
        <v>0</v>
      </c>
    </row>
    <row r="3092" spans="2:2" ht="16.5" hidden="1">
      <c r="B3092" s="111">
        <f>+'Bldg+Dev'!U2798</f>
        <v>0</v>
      </c>
    </row>
    <row r="3093" spans="2:2" ht="16.5" hidden="1">
      <c r="B3093" s="111">
        <f>+'Bldg+Dev'!U2799</f>
        <v>0</v>
      </c>
    </row>
    <row r="3094" spans="2:2" ht="16.5" hidden="1">
      <c r="B3094" s="111">
        <f>+'Bldg+Dev'!U2800</f>
        <v>0</v>
      </c>
    </row>
    <row r="3095" spans="2:2" ht="16.5" hidden="1">
      <c r="B3095" s="111">
        <f>+'Bldg+Dev'!U2801</f>
        <v>0</v>
      </c>
    </row>
    <row r="3096" spans="2:2" ht="16.5" hidden="1">
      <c r="B3096" s="111">
        <f>+'Bldg+Dev'!U2802</f>
        <v>0</v>
      </c>
    </row>
    <row r="3097" spans="2:2" ht="16.5" hidden="1">
      <c r="B3097" s="111">
        <f>+'Bldg+Dev'!U2803</f>
        <v>0</v>
      </c>
    </row>
    <row r="3098" spans="2:2" ht="16.5" hidden="1">
      <c r="B3098" s="111">
        <f>+'Bldg+Dev'!U2804</f>
        <v>0</v>
      </c>
    </row>
    <row r="3099" spans="2:2" ht="16.5" hidden="1">
      <c r="B3099" s="111">
        <f>+'Bldg+Dev'!U2805</f>
        <v>0</v>
      </c>
    </row>
    <row r="3100" spans="2:2" ht="16.5" hidden="1">
      <c r="B3100" s="111">
        <f>+'Bldg+Dev'!U2806</f>
        <v>0</v>
      </c>
    </row>
    <row r="3101" spans="2:2" ht="16.5" hidden="1">
      <c r="B3101" s="111">
        <f>+'Bldg+Dev'!U2807</f>
        <v>0</v>
      </c>
    </row>
    <row r="3102" spans="2:2" ht="16.5" hidden="1">
      <c r="B3102" s="111">
        <f>+'Bldg+Dev'!U2808</f>
        <v>0</v>
      </c>
    </row>
    <row r="3103" spans="2:2" ht="16.5" hidden="1">
      <c r="B3103" s="111">
        <f>+'Bldg+Dev'!U2809</f>
        <v>0</v>
      </c>
    </row>
    <row r="3104" spans="2:2" ht="16.5" hidden="1">
      <c r="B3104" s="111">
        <f>+'Bldg+Dev'!U2810</f>
        <v>0</v>
      </c>
    </row>
    <row r="3105" spans="2:2" ht="16.5" hidden="1">
      <c r="B3105" s="111">
        <f>+'Bldg+Dev'!U2811</f>
        <v>0</v>
      </c>
    </row>
    <row r="3106" spans="2:2" ht="16.5" hidden="1">
      <c r="B3106" s="111">
        <f>+'Bldg+Dev'!U2812</f>
        <v>0</v>
      </c>
    </row>
    <row r="3107" spans="2:2" ht="16.5" hidden="1">
      <c r="B3107" s="111">
        <f>+'Bldg+Dev'!U2813</f>
        <v>0</v>
      </c>
    </row>
    <row r="3108" spans="2:2" ht="16.5" hidden="1">
      <c r="B3108" s="111">
        <f>+'Bldg+Dev'!U2814</f>
        <v>0</v>
      </c>
    </row>
    <row r="3109" spans="2:2" ht="16.5" hidden="1">
      <c r="B3109" s="111">
        <f>+'Bldg+Dev'!U2815</f>
        <v>0</v>
      </c>
    </row>
    <row r="3110" spans="2:2" ht="16.5" hidden="1">
      <c r="B3110" s="111">
        <f>+'Bldg+Dev'!U2816</f>
        <v>0</v>
      </c>
    </row>
    <row r="3111" spans="2:2" ht="16.5" hidden="1">
      <c r="B3111" s="111">
        <f>+'Bldg+Dev'!U2817</f>
        <v>0</v>
      </c>
    </row>
    <row r="3112" spans="2:2" ht="16.5" hidden="1">
      <c r="B3112" s="111">
        <f>+'Bldg+Dev'!U2818</f>
        <v>0</v>
      </c>
    </row>
    <row r="3113" spans="2:2" ht="16.5" hidden="1">
      <c r="B3113" s="111">
        <f>+'Bldg+Dev'!U2819</f>
        <v>0</v>
      </c>
    </row>
    <row r="3114" spans="2:2" ht="16.5" hidden="1">
      <c r="B3114" s="111">
        <f>+'Bldg+Dev'!U2820</f>
        <v>0</v>
      </c>
    </row>
    <row r="3115" spans="2:2" ht="16.5" hidden="1">
      <c r="B3115" s="111">
        <f>+'Bldg+Dev'!U2821</f>
        <v>0</v>
      </c>
    </row>
    <row r="3116" spans="2:2" ht="16.5" hidden="1">
      <c r="B3116" s="111">
        <f>+'Bldg+Dev'!U2822</f>
        <v>0</v>
      </c>
    </row>
    <row r="3117" spans="2:2" ht="16.5" hidden="1">
      <c r="B3117" s="111">
        <f>+'Bldg+Dev'!U2823</f>
        <v>0</v>
      </c>
    </row>
    <row r="3118" spans="2:2" ht="16.5" hidden="1">
      <c r="B3118" s="111">
        <f>+'Bldg+Dev'!U2824</f>
        <v>0</v>
      </c>
    </row>
    <row r="3119" spans="2:2" ht="16.5" hidden="1">
      <c r="B3119" s="111">
        <f>+'Bldg+Dev'!U2825</f>
        <v>0</v>
      </c>
    </row>
    <row r="3120" spans="2:2" ht="16.5" hidden="1">
      <c r="B3120" s="111">
        <f>+'Bldg+Dev'!U2826</f>
        <v>0</v>
      </c>
    </row>
    <row r="3121" spans="2:2" ht="16.5" hidden="1">
      <c r="B3121" s="111">
        <f>+'Bldg+Dev'!U2827</f>
        <v>0</v>
      </c>
    </row>
    <row r="3122" spans="2:2" ht="16.5" hidden="1">
      <c r="B3122" s="111">
        <f>+'Bldg+Dev'!U2828</f>
        <v>0</v>
      </c>
    </row>
    <row r="3123" spans="2:2" ht="16.5" hidden="1">
      <c r="B3123" s="111">
        <f>+'Bldg+Dev'!U2829</f>
        <v>0</v>
      </c>
    </row>
    <row r="3124" spans="2:2" ht="16.5" hidden="1">
      <c r="B3124" s="111">
        <f>+'Bldg+Dev'!U2830</f>
        <v>0</v>
      </c>
    </row>
    <row r="3125" spans="2:2" ht="16.5" hidden="1">
      <c r="B3125" s="111">
        <f>+'Bldg+Dev'!U2831</f>
        <v>0</v>
      </c>
    </row>
    <row r="3126" spans="2:2" ht="16.5" hidden="1">
      <c r="B3126" s="111">
        <f>+'Bldg+Dev'!U2832</f>
        <v>0</v>
      </c>
    </row>
    <row r="3127" spans="2:2" ht="16.5" hidden="1">
      <c r="B3127" s="111">
        <f>+'Bldg+Dev'!U2833</f>
        <v>0</v>
      </c>
    </row>
    <row r="3128" spans="2:2" ht="16.5" hidden="1">
      <c r="B3128" s="111">
        <f>+'Bldg+Dev'!U2834</f>
        <v>0</v>
      </c>
    </row>
    <row r="3129" spans="2:2" ht="16.5" hidden="1">
      <c r="B3129" s="111">
        <f>+'Bldg+Dev'!U2835</f>
        <v>0</v>
      </c>
    </row>
    <row r="3130" spans="2:2" ht="16.5" hidden="1">
      <c r="B3130" s="111">
        <f>+'Bldg+Dev'!U2836</f>
        <v>0</v>
      </c>
    </row>
    <row r="3131" spans="2:2" ht="16.5" hidden="1">
      <c r="B3131" s="111">
        <f>+'Bldg+Dev'!U2837</f>
        <v>0</v>
      </c>
    </row>
    <row r="3132" spans="2:2" ht="16.5" hidden="1">
      <c r="B3132" s="111">
        <f>+'Bldg+Dev'!U2838</f>
        <v>0</v>
      </c>
    </row>
    <row r="3133" spans="2:2" ht="16.5" hidden="1">
      <c r="B3133" s="111">
        <f>+'Bldg+Dev'!U2839</f>
        <v>0</v>
      </c>
    </row>
    <row r="3134" spans="2:2" ht="16.5" hidden="1">
      <c r="B3134" s="111">
        <f>+'Bldg+Dev'!U2840</f>
        <v>0</v>
      </c>
    </row>
    <row r="3135" spans="2:2" ht="16.5" hidden="1">
      <c r="B3135" s="111">
        <f>+'Bldg+Dev'!U2841</f>
        <v>0</v>
      </c>
    </row>
    <row r="3136" spans="2:2" ht="16.5" hidden="1">
      <c r="B3136" s="111">
        <f>+'Bldg+Dev'!U2842</f>
        <v>0</v>
      </c>
    </row>
    <row r="3137" spans="2:2" ht="16.5" hidden="1">
      <c r="B3137" s="111">
        <f>+'Bldg+Dev'!U2843</f>
        <v>0</v>
      </c>
    </row>
    <row r="3138" spans="2:2" ht="16.5" hidden="1">
      <c r="B3138" s="111">
        <f>+'Bldg+Dev'!U2844</f>
        <v>0</v>
      </c>
    </row>
    <row r="3139" spans="2:2" ht="16.5" hidden="1">
      <c r="B3139" s="111">
        <f>+'Bldg+Dev'!U2845</f>
        <v>0</v>
      </c>
    </row>
    <row r="3140" spans="2:2" ht="16.5" hidden="1">
      <c r="B3140" s="111">
        <f>+'Bldg+Dev'!U2846</f>
        <v>0</v>
      </c>
    </row>
    <row r="3141" spans="2:2" ht="16.5" hidden="1">
      <c r="B3141" s="111">
        <f>+'Bldg+Dev'!U2847</f>
        <v>0</v>
      </c>
    </row>
    <row r="3142" spans="2:2" ht="16.5" hidden="1">
      <c r="B3142" s="111">
        <f>+'Bldg+Dev'!U2848</f>
        <v>0</v>
      </c>
    </row>
    <row r="3143" spans="2:2" ht="16.5" hidden="1">
      <c r="B3143" s="111">
        <f>+'Bldg+Dev'!U2849</f>
        <v>0</v>
      </c>
    </row>
    <row r="3144" spans="2:2" ht="16.5" hidden="1">
      <c r="B3144" s="111">
        <f>+'Bldg+Dev'!U2850</f>
        <v>0</v>
      </c>
    </row>
    <row r="3145" spans="2:2" ht="16.5" hidden="1">
      <c r="B3145" s="111">
        <f>+'Bldg+Dev'!U2851</f>
        <v>0</v>
      </c>
    </row>
    <row r="3146" spans="2:2" ht="16.5" hidden="1">
      <c r="B3146" s="111">
        <f>+'Bldg+Dev'!U2852</f>
        <v>0</v>
      </c>
    </row>
    <row r="3147" spans="2:2" ht="16.5" hidden="1">
      <c r="B3147" s="111">
        <f>+'Bldg+Dev'!U2853</f>
        <v>0</v>
      </c>
    </row>
    <row r="3148" spans="2:2" ht="16.5" hidden="1">
      <c r="B3148" s="111">
        <f>+'Bldg+Dev'!U2854</f>
        <v>0</v>
      </c>
    </row>
    <row r="3149" spans="2:2" ht="16.5" hidden="1">
      <c r="B3149" s="111">
        <f>+'Bldg+Dev'!U2855</f>
        <v>0</v>
      </c>
    </row>
    <row r="3150" spans="2:2" ht="16.5" hidden="1">
      <c r="B3150" s="111">
        <f>+'Bldg+Dev'!U2856</f>
        <v>0</v>
      </c>
    </row>
    <row r="3151" spans="2:2" ht="16.5" hidden="1">
      <c r="B3151" s="111">
        <f>+'Bldg+Dev'!U2857</f>
        <v>0</v>
      </c>
    </row>
    <row r="3152" spans="2:2" ht="16.5" hidden="1">
      <c r="B3152" s="111">
        <f>+'Bldg+Dev'!U2858</f>
        <v>0</v>
      </c>
    </row>
    <row r="3153" spans="2:2" ht="16.5" hidden="1">
      <c r="B3153" s="111">
        <f>+'Bldg+Dev'!U2859</f>
        <v>0</v>
      </c>
    </row>
    <row r="3154" spans="2:2" ht="16.5" hidden="1">
      <c r="B3154" s="111">
        <f>+'Bldg+Dev'!U2860</f>
        <v>0</v>
      </c>
    </row>
    <row r="3155" spans="2:2" ht="16.5" hidden="1">
      <c r="B3155" s="111">
        <f>+'Bldg+Dev'!U2861</f>
        <v>0</v>
      </c>
    </row>
    <row r="3156" spans="2:2" ht="16.5" hidden="1">
      <c r="B3156" s="111">
        <f>+'Bldg+Dev'!U2862</f>
        <v>0</v>
      </c>
    </row>
    <row r="3157" spans="2:2" ht="16.5" hidden="1">
      <c r="B3157" s="111">
        <f>+'Bldg+Dev'!U2863</f>
        <v>0</v>
      </c>
    </row>
    <row r="3158" spans="2:2" ht="16.5" hidden="1">
      <c r="B3158" s="111">
        <f>+'Bldg+Dev'!U2864</f>
        <v>0</v>
      </c>
    </row>
    <row r="3159" spans="2:2" ht="16.5" hidden="1">
      <c r="B3159" s="111">
        <f>+'Bldg+Dev'!U2865</f>
        <v>0</v>
      </c>
    </row>
    <row r="3160" spans="2:2" ht="16.5" hidden="1">
      <c r="B3160" s="111">
        <f>+'Bldg+Dev'!U2866</f>
        <v>0</v>
      </c>
    </row>
    <row r="3161" spans="2:2" ht="16.5" hidden="1">
      <c r="B3161" s="111">
        <f>+'Bldg+Dev'!U2867</f>
        <v>0</v>
      </c>
    </row>
    <row r="3162" spans="2:2" ht="16.5" hidden="1">
      <c r="B3162" s="111">
        <f>+'Bldg+Dev'!U2868</f>
        <v>0</v>
      </c>
    </row>
    <row r="3163" spans="2:2" ht="16.5" hidden="1">
      <c r="B3163" s="111">
        <f>+'Bldg+Dev'!U2869</f>
        <v>0</v>
      </c>
    </row>
    <row r="3164" spans="2:2" ht="16.5" hidden="1">
      <c r="B3164" s="111">
        <f>+'Bldg+Dev'!U2870</f>
        <v>0</v>
      </c>
    </row>
    <row r="3165" spans="2:2" ht="16.5" hidden="1">
      <c r="B3165" s="111">
        <f>+'Bldg+Dev'!U2871</f>
        <v>0</v>
      </c>
    </row>
    <row r="3166" spans="2:2" ht="16.5" hidden="1">
      <c r="B3166" s="111">
        <f>+'Bldg+Dev'!U2872</f>
        <v>0</v>
      </c>
    </row>
    <row r="3167" spans="2:2" ht="16.5" hidden="1">
      <c r="B3167" s="111">
        <f>+'Bldg+Dev'!U2873</f>
        <v>0</v>
      </c>
    </row>
    <row r="3168" spans="2:2" ht="16.5" hidden="1">
      <c r="B3168" s="111">
        <f>+'Bldg+Dev'!U2874</f>
        <v>0</v>
      </c>
    </row>
    <row r="3169" spans="2:2" ht="16.5" hidden="1">
      <c r="B3169" s="111">
        <f>+'Bldg+Dev'!U2875</f>
        <v>0</v>
      </c>
    </row>
    <row r="3170" spans="2:2" ht="16.5" hidden="1">
      <c r="B3170" s="111">
        <f>+'Bldg+Dev'!U2876</f>
        <v>0</v>
      </c>
    </row>
    <row r="3171" spans="2:2" ht="16.5" hidden="1">
      <c r="B3171" s="111">
        <f>+'Bldg+Dev'!U2877</f>
        <v>0</v>
      </c>
    </row>
    <row r="3172" spans="2:2" ht="16.5" hidden="1">
      <c r="B3172" s="111">
        <f>+'Bldg+Dev'!U2878</f>
        <v>0</v>
      </c>
    </row>
    <row r="3173" spans="2:2" ht="16.5" hidden="1">
      <c r="B3173" s="111">
        <f>+'Bldg+Dev'!U2879</f>
        <v>0</v>
      </c>
    </row>
    <row r="3174" spans="2:2" ht="16.5" hidden="1">
      <c r="B3174" s="111">
        <f>+'Bldg+Dev'!U2880</f>
        <v>0</v>
      </c>
    </row>
    <row r="3175" spans="2:2" ht="16.5" hidden="1">
      <c r="B3175" s="111">
        <f>+'Bldg+Dev'!U2881</f>
        <v>0</v>
      </c>
    </row>
    <row r="3176" spans="2:2" ht="16.5" hidden="1">
      <c r="B3176" s="111">
        <f>+'Bldg+Dev'!U2882</f>
        <v>0</v>
      </c>
    </row>
    <row r="3177" spans="2:2" ht="16.5" hidden="1">
      <c r="B3177" s="111">
        <f>+'Bldg+Dev'!U2883</f>
        <v>0</v>
      </c>
    </row>
    <row r="3178" spans="2:2" ht="16.5" hidden="1">
      <c r="B3178" s="111">
        <f>+'Bldg+Dev'!U2884</f>
        <v>0</v>
      </c>
    </row>
    <row r="3179" spans="2:2" ht="16.5" hidden="1">
      <c r="B3179" s="111">
        <f>+'Bldg+Dev'!U2885</f>
        <v>0</v>
      </c>
    </row>
    <row r="3180" spans="2:2" ht="16.5" hidden="1">
      <c r="B3180" s="111">
        <f>+'Bldg+Dev'!U2886</f>
        <v>0</v>
      </c>
    </row>
    <row r="3181" spans="2:2" ht="16.5" hidden="1">
      <c r="B3181" s="111">
        <f>+'Bldg+Dev'!U2887</f>
        <v>0</v>
      </c>
    </row>
    <row r="3182" spans="2:2" ht="16.5" hidden="1">
      <c r="B3182" s="111">
        <f>+'Bldg+Dev'!U2888</f>
        <v>0</v>
      </c>
    </row>
    <row r="3183" spans="2:2" ht="16.5" hidden="1">
      <c r="B3183" s="111">
        <f>+'Bldg+Dev'!U2889</f>
        <v>0</v>
      </c>
    </row>
    <row r="3184" spans="2:2" ht="16.5" hidden="1">
      <c r="B3184" s="111">
        <f>+'Bldg+Dev'!U2890</f>
        <v>0</v>
      </c>
    </row>
    <row r="3185" spans="2:2" ht="16.5" hidden="1">
      <c r="B3185" s="111">
        <f>+'Bldg+Dev'!U2891</f>
        <v>0</v>
      </c>
    </row>
    <row r="3186" spans="2:2" ht="16.5" hidden="1">
      <c r="B3186" s="111">
        <f>+'Bldg+Dev'!U2892</f>
        <v>0</v>
      </c>
    </row>
    <row r="3187" spans="2:2" ht="16.5" hidden="1">
      <c r="B3187" s="111">
        <f>+'Bldg+Dev'!U2893</f>
        <v>0</v>
      </c>
    </row>
    <row r="3188" spans="2:2" ht="16.5" hidden="1">
      <c r="B3188" s="111">
        <f>+'Bldg+Dev'!U2894</f>
        <v>0</v>
      </c>
    </row>
    <row r="3189" spans="2:2" ht="16.5" hidden="1">
      <c r="B3189" s="111">
        <f>+'Bldg+Dev'!U2895</f>
        <v>0</v>
      </c>
    </row>
    <row r="3190" spans="2:2" ht="16.5" hidden="1">
      <c r="B3190" s="111">
        <f>+'Bldg+Dev'!U2896</f>
        <v>0</v>
      </c>
    </row>
    <row r="3191" spans="2:2" ht="16.5" hidden="1">
      <c r="B3191" s="111">
        <f>+'Bldg+Dev'!U2897</f>
        <v>0</v>
      </c>
    </row>
    <row r="3192" spans="2:2" ht="16.5" hidden="1">
      <c r="B3192" s="111">
        <f>+'Bldg+Dev'!U2898</f>
        <v>0</v>
      </c>
    </row>
    <row r="3193" spans="2:2" ht="16.5" hidden="1">
      <c r="B3193" s="111">
        <f>+'Bldg+Dev'!U2899</f>
        <v>0</v>
      </c>
    </row>
    <row r="3194" spans="2:2" ht="16.5" hidden="1">
      <c r="B3194" s="111">
        <f>+'Bldg+Dev'!U2900</f>
        <v>0</v>
      </c>
    </row>
    <row r="3195" spans="2:2" ht="16.5" hidden="1">
      <c r="B3195" s="111">
        <f>+'Bldg+Dev'!U2901</f>
        <v>0</v>
      </c>
    </row>
    <row r="3196" spans="2:2" ht="16.5" hidden="1">
      <c r="B3196" s="111">
        <f>+'Bldg+Dev'!U2902</f>
        <v>0</v>
      </c>
    </row>
    <row r="3197" spans="2:2" ht="16.5" hidden="1">
      <c r="B3197" s="111">
        <f>+'Bldg+Dev'!U2903</f>
        <v>0</v>
      </c>
    </row>
    <row r="3198" spans="2:2" ht="16.5" hidden="1">
      <c r="B3198" s="111">
        <f>+'Bldg+Dev'!U2904</f>
        <v>0</v>
      </c>
    </row>
    <row r="3199" spans="2:2" ht="16.5" hidden="1">
      <c r="B3199" s="111">
        <f>+'Bldg+Dev'!U2905</f>
        <v>0</v>
      </c>
    </row>
    <row r="3200" spans="2:2" ht="16.5" hidden="1">
      <c r="B3200" s="111">
        <f>+'Bldg+Dev'!U2906</f>
        <v>0</v>
      </c>
    </row>
    <row r="3201" spans="2:2" ht="16.5" hidden="1">
      <c r="B3201" s="111">
        <f>+'Bldg+Dev'!U2907</f>
        <v>0</v>
      </c>
    </row>
    <row r="3202" spans="2:2" ht="16.5" hidden="1">
      <c r="B3202" s="111">
        <f>+'Bldg+Dev'!U2908</f>
        <v>0</v>
      </c>
    </row>
    <row r="3203" spans="2:2" ht="16.5" hidden="1">
      <c r="B3203" s="111">
        <f>+'Bldg+Dev'!U2909</f>
        <v>0</v>
      </c>
    </row>
    <row r="3204" spans="2:2" ht="16.5" hidden="1">
      <c r="B3204" s="111">
        <f>+'Bldg+Dev'!U2910</f>
        <v>0</v>
      </c>
    </row>
    <row r="3205" spans="2:2" ht="16.5" hidden="1">
      <c r="B3205" s="111">
        <f>+'Bldg+Dev'!U2911</f>
        <v>0</v>
      </c>
    </row>
    <row r="3206" spans="2:2" ht="16.5" hidden="1">
      <c r="B3206" s="111">
        <f>+'Bldg+Dev'!U2912</f>
        <v>0</v>
      </c>
    </row>
    <row r="3207" spans="2:2" ht="16.5" hidden="1">
      <c r="B3207" s="111">
        <f>+'Bldg+Dev'!U2913</f>
        <v>0</v>
      </c>
    </row>
    <row r="3208" spans="2:2" ht="16.5" hidden="1">
      <c r="B3208" s="111">
        <f>+'Bldg+Dev'!U2914</f>
        <v>0</v>
      </c>
    </row>
    <row r="3209" spans="2:2" ht="16.5" hidden="1">
      <c r="B3209" s="111">
        <f>+'Bldg+Dev'!U2915</f>
        <v>0</v>
      </c>
    </row>
    <row r="3210" spans="2:2" ht="16.5" hidden="1">
      <c r="B3210" s="111">
        <f>+'Bldg+Dev'!U2916</f>
        <v>0</v>
      </c>
    </row>
    <row r="3211" spans="2:2" ht="16.5" hidden="1">
      <c r="B3211" s="111">
        <f>+'Bldg+Dev'!U2917</f>
        <v>0</v>
      </c>
    </row>
    <row r="3212" spans="2:2" ht="16.5" hidden="1">
      <c r="B3212" s="111">
        <f>+'Bldg+Dev'!U2918</f>
        <v>0</v>
      </c>
    </row>
    <row r="3213" spans="2:2" ht="16.5" hidden="1">
      <c r="B3213" s="111">
        <f>+'Bldg+Dev'!U2919</f>
        <v>0</v>
      </c>
    </row>
    <row r="3214" spans="2:2" ht="16.5" hidden="1">
      <c r="B3214" s="111">
        <f>+'Bldg+Dev'!U2920</f>
        <v>0</v>
      </c>
    </row>
    <row r="3215" spans="2:2" ht="16.5" hidden="1">
      <c r="B3215" s="111">
        <f>+'Bldg+Dev'!U2921</f>
        <v>0</v>
      </c>
    </row>
    <row r="3216" spans="2:2" ht="16.5" hidden="1">
      <c r="B3216" s="111">
        <f>+'Bldg+Dev'!U2922</f>
        <v>0</v>
      </c>
    </row>
    <row r="3217" spans="2:2" ht="16.5" hidden="1">
      <c r="B3217" s="111">
        <f>+'Bldg+Dev'!U2923</f>
        <v>0</v>
      </c>
    </row>
    <row r="3218" spans="2:2" ht="16.5" hidden="1">
      <c r="B3218" s="111">
        <f>+'Bldg+Dev'!U2924</f>
        <v>0</v>
      </c>
    </row>
    <row r="3219" spans="2:2" ht="16.5" hidden="1">
      <c r="B3219" s="111">
        <f>+'Bldg+Dev'!U2925</f>
        <v>0</v>
      </c>
    </row>
    <row r="3220" spans="2:2" ht="16.5" hidden="1">
      <c r="B3220" s="111">
        <f>+'Bldg+Dev'!U2926</f>
        <v>0</v>
      </c>
    </row>
    <row r="3221" spans="2:2" ht="16.5" hidden="1">
      <c r="B3221" s="111">
        <f>+'Bldg+Dev'!U2927</f>
        <v>0</v>
      </c>
    </row>
    <row r="3222" spans="2:2" ht="16.5" hidden="1">
      <c r="B3222" s="111">
        <f>+'Bldg+Dev'!U2928</f>
        <v>0</v>
      </c>
    </row>
    <row r="3223" spans="2:2" ht="16.5" hidden="1">
      <c r="B3223" s="111">
        <f>+'Bldg+Dev'!U2929</f>
        <v>0</v>
      </c>
    </row>
    <row r="3224" spans="2:2" ht="16.5" hidden="1">
      <c r="B3224" s="111">
        <f>+'Bldg+Dev'!U2930</f>
        <v>0</v>
      </c>
    </row>
    <row r="3225" spans="2:2" ht="16.5" hidden="1">
      <c r="B3225" s="111">
        <f>+'Bldg+Dev'!U2931</f>
        <v>0</v>
      </c>
    </row>
    <row r="3226" spans="2:2" ht="16.5" hidden="1">
      <c r="B3226" s="111">
        <f>+'Bldg+Dev'!U2932</f>
        <v>0</v>
      </c>
    </row>
    <row r="3227" spans="2:2" ht="16.5" hidden="1">
      <c r="B3227" s="111">
        <f>+'Bldg+Dev'!U2933</f>
        <v>0</v>
      </c>
    </row>
    <row r="3228" spans="2:2" ht="16.5" hidden="1">
      <c r="B3228" s="111">
        <f>+'Bldg+Dev'!U2934</f>
        <v>0</v>
      </c>
    </row>
    <row r="3229" spans="2:2" ht="16.5" hidden="1">
      <c r="B3229" s="111">
        <f>+'Bldg+Dev'!U2935</f>
        <v>0</v>
      </c>
    </row>
    <row r="3230" spans="2:2" ht="16.5" hidden="1">
      <c r="B3230" s="111">
        <f>+'Bldg+Dev'!U2936</f>
        <v>0</v>
      </c>
    </row>
    <row r="3231" spans="2:2" ht="16.5" hidden="1">
      <c r="B3231" s="111">
        <f>+'Bldg+Dev'!U2937</f>
        <v>0</v>
      </c>
    </row>
    <row r="3232" spans="2:2" ht="16.5" hidden="1">
      <c r="B3232" s="111">
        <f>+'Bldg+Dev'!U2938</f>
        <v>0</v>
      </c>
    </row>
    <row r="3233" spans="2:2" ht="16.5" hidden="1">
      <c r="B3233" s="111">
        <f>+'Bldg+Dev'!U2939</f>
        <v>0</v>
      </c>
    </row>
    <row r="3234" spans="2:2" ht="16.5" hidden="1">
      <c r="B3234" s="111">
        <f>+'Bldg+Dev'!U2940</f>
        <v>0</v>
      </c>
    </row>
    <row r="3235" spans="2:2" ht="16.5" hidden="1">
      <c r="B3235" s="111">
        <f>+'Bldg+Dev'!U2941</f>
        <v>0</v>
      </c>
    </row>
    <row r="3236" spans="2:2" ht="16.5" hidden="1">
      <c r="B3236" s="111">
        <f>+'Bldg+Dev'!U2942</f>
        <v>0</v>
      </c>
    </row>
    <row r="3237" spans="2:2" ht="16.5" hidden="1">
      <c r="B3237" s="111">
        <f>+'Bldg+Dev'!U2943</f>
        <v>0</v>
      </c>
    </row>
    <row r="3238" spans="2:2" ht="16.5" hidden="1">
      <c r="B3238" s="111">
        <f>+'Bldg+Dev'!U2944</f>
        <v>0</v>
      </c>
    </row>
    <row r="3239" spans="2:2" ht="16.5" hidden="1">
      <c r="B3239" s="111">
        <f>+'Bldg+Dev'!U2945</f>
        <v>0</v>
      </c>
    </row>
    <row r="3240" spans="2:2" ht="16.5" hidden="1">
      <c r="B3240" s="111">
        <f>+'Bldg+Dev'!U2946</f>
        <v>0</v>
      </c>
    </row>
    <row r="3241" spans="2:2" ht="16.5" hidden="1">
      <c r="B3241" s="111">
        <f>+'Bldg+Dev'!U2947</f>
        <v>0</v>
      </c>
    </row>
    <row r="3242" spans="2:2" ht="16.5" hidden="1">
      <c r="B3242" s="111">
        <f>+'Bldg+Dev'!U2948</f>
        <v>0</v>
      </c>
    </row>
    <row r="3243" spans="2:2" ht="16.5" hidden="1">
      <c r="B3243" s="111">
        <f>+'Bldg+Dev'!U2949</f>
        <v>0</v>
      </c>
    </row>
    <row r="3244" spans="2:2" ht="16.5" hidden="1">
      <c r="B3244" s="111">
        <f>+'Bldg+Dev'!U2950</f>
        <v>0</v>
      </c>
    </row>
    <row r="3245" spans="2:2" ht="16.5" hidden="1">
      <c r="B3245" s="111">
        <f>+'Bldg+Dev'!U2951</f>
        <v>0</v>
      </c>
    </row>
    <row r="3246" spans="2:2" ht="16.5" hidden="1">
      <c r="B3246" s="111">
        <f>+'Bldg+Dev'!U2952</f>
        <v>0</v>
      </c>
    </row>
    <row r="3247" spans="2:2" ht="16.5" hidden="1">
      <c r="B3247" s="111">
        <f>+'Bldg+Dev'!U2953</f>
        <v>0</v>
      </c>
    </row>
    <row r="3248" spans="2:2" ht="16.5" hidden="1">
      <c r="B3248" s="111">
        <f>+'Bldg+Dev'!U2954</f>
        <v>0</v>
      </c>
    </row>
    <row r="3249" spans="2:2" ht="16.5" hidden="1">
      <c r="B3249" s="111">
        <f>+'Bldg+Dev'!U2955</f>
        <v>0</v>
      </c>
    </row>
    <row r="3250" spans="2:2" ht="16.5" hidden="1">
      <c r="B3250" s="111">
        <f>+'Bldg+Dev'!U2956</f>
        <v>0</v>
      </c>
    </row>
    <row r="3251" spans="2:2" ht="16.5" hidden="1">
      <c r="B3251" s="111">
        <f>+'Bldg+Dev'!U2957</f>
        <v>0</v>
      </c>
    </row>
    <row r="3252" spans="2:2" ht="16.5" hidden="1">
      <c r="B3252" s="111">
        <f>+'Bldg+Dev'!U2958</f>
        <v>0</v>
      </c>
    </row>
    <row r="3253" spans="2:2" ht="16.5" hidden="1">
      <c r="B3253" s="111">
        <f>+'Bldg+Dev'!U2959</f>
        <v>0</v>
      </c>
    </row>
    <row r="3254" spans="2:2" ht="16.5" hidden="1">
      <c r="B3254" s="111">
        <f>+'Bldg+Dev'!U2960</f>
        <v>0</v>
      </c>
    </row>
    <row r="3255" spans="2:2" ht="16.5" hidden="1">
      <c r="B3255" s="111">
        <f>+'Bldg+Dev'!U2961</f>
        <v>0</v>
      </c>
    </row>
    <row r="3256" spans="2:2" ht="16.5" hidden="1">
      <c r="B3256" s="111">
        <f>+'Bldg+Dev'!U2962</f>
        <v>0</v>
      </c>
    </row>
    <row r="3257" spans="2:2" ht="16.5" hidden="1">
      <c r="B3257" s="111">
        <f>+'Bldg+Dev'!U2963</f>
        <v>0</v>
      </c>
    </row>
    <row r="3258" spans="2:2" ht="16.5" hidden="1">
      <c r="B3258" s="111">
        <f>+'Bldg+Dev'!U2964</f>
        <v>0</v>
      </c>
    </row>
    <row r="3259" spans="2:2" ht="16.5" hidden="1">
      <c r="B3259" s="111">
        <f>+'Bldg+Dev'!U2965</f>
        <v>0</v>
      </c>
    </row>
    <row r="3260" spans="2:2" ht="16.5" hidden="1">
      <c r="B3260" s="111">
        <f>+'Bldg+Dev'!U2966</f>
        <v>0</v>
      </c>
    </row>
    <row r="3261" spans="2:2" ht="16.5" hidden="1">
      <c r="B3261" s="111">
        <f>+'Bldg+Dev'!U2967</f>
        <v>0</v>
      </c>
    </row>
    <row r="3262" spans="2:2" ht="16.5" hidden="1">
      <c r="B3262" s="111">
        <f>+'Bldg+Dev'!U2968</f>
        <v>0</v>
      </c>
    </row>
    <row r="3263" spans="2:2" ht="16.5" hidden="1">
      <c r="B3263" s="111">
        <f>+'Bldg+Dev'!U2969</f>
        <v>0</v>
      </c>
    </row>
    <row r="3264" spans="2:2" ht="16.5" hidden="1">
      <c r="B3264" s="111">
        <f>+'Bldg+Dev'!U2970</f>
        <v>0</v>
      </c>
    </row>
    <row r="3265" spans="2:2" ht="16.5" hidden="1">
      <c r="B3265" s="111">
        <f>+'Bldg+Dev'!U2971</f>
        <v>0</v>
      </c>
    </row>
    <row r="3266" spans="2:2" ht="16.5" hidden="1">
      <c r="B3266" s="111">
        <f>+'Bldg+Dev'!U2972</f>
        <v>0</v>
      </c>
    </row>
    <row r="3267" spans="2:2" ht="16.5" hidden="1">
      <c r="B3267" s="111">
        <f>+'Bldg+Dev'!U2973</f>
        <v>0</v>
      </c>
    </row>
    <row r="3268" spans="2:2" ht="16.5" hidden="1">
      <c r="B3268" s="111">
        <f>+'Bldg+Dev'!U2974</f>
        <v>0</v>
      </c>
    </row>
    <row r="3269" spans="2:2" ht="16.5" hidden="1">
      <c r="B3269" s="111">
        <f>+'Bldg+Dev'!U2975</f>
        <v>0</v>
      </c>
    </row>
    <row r="3270" spans="2:2" ht="16.5" hidden="1">
      <c r="B3270" s="111">
        <f>+'Bldg+Dev'!U2976</f>
        <v>0</v>
      </c>
    </row>
    <row r="3271" spans="2:2" ht="16.5" hidden="1">
      <c r="B3271" s="111">
        <f>+'Bldg+Dev'!U2977</f>
        <v>0</v>
      </c>
    </row>
    <row r="3272" spans="2:2" ht="16.5" hidden="1">
      <c r="B3272" s="111">
        <f>+'Bldg+Dev'!U2978</f>
        <v>0</v>
      </c>
    </row>
    <row r="3273" spans="2:2" ht="16.5" hidden="1">
      <c r="B3273" s="111">
        <f>+'Bldg+Dev'!U2979</f>
        <v>0</v>
      </c>
    </row>
    <row r="3274" spans="2:2" ht="16.5" hidden="1">
      <c r="B3274" s="111">
        <f>+'Bldg+Dev'!U2980</f>
        <v>0</v>
      </c>
    </row>
    <row r="3275" spans="2:2" ht="16.5" hidden="1">
      <c r="B3275" s="111">
        <f>+'Bldg+Dev'!U2981</f>
        <v>0</v>
      </c>
    </row>
    <row r="3276" spans="2:2" ht="16.5" hidden="1">
      <c r="B3276" s="111">
        <f>+'Bldg+Dev'!U2982</f>
        <v>0</v>
      </c>
    </row>
    <row r="3277" spans="2:2" ht="16.5" hidden="1">
      <c r="B3277" s="111">
        <f>+'Bldg+Dev'!U2983</f>
        <v>0</v>
      </c>
    </row>
    <row r="3278" spans="2:2" ht="16.5" hidden="1">
      <c r="B3278" s="111">
        <f>+'Bldg+Dev'!U2984</f>
        <v>0</v>
      </c>
    </row>
    <row r="3279" spans="2:2" ht="16.5" hidden="1">
      <c r="B3279" s="111">
        <f>+'Bldg+Dev'!U2985</f>
        <v>0</v>
      </c>
    </row>
    <row r="3280" spans="2:2" ht="16.5" hidden="1">
      <c r="B3280" s="111">
        <f>+'Bldg+Dev'!U2986</f>
        <v>0</v>
      </c>
    </row>
    <row r="3281" spans="2:2" ht="16.5" hidden="1">
      <c r="B3281" s="111">
        <f>+'Bldg+Dev'!U2987</f>
        <v>0</v>
      </c>
    </row>
    <row r="3282" spans="2:2" ht="16.5" hidden="1">
      <c r="B3282" s="111">
        <f>+'Bldg+Dev'!U2988</f>
        <v>0</v>
      </c>
    </row>
    <row r="3283" spans="2:2" ht="16.5" hidden="1">
      <c r="B3283" s="111">
        <f>+'Bldg+Dev'!U2989</f>
        <v>0</v>
      </c>
    </row>
    <row r="3284" spans="2:2" ht="16.5" hidden="1">
      <c r="B3284" s="111">
        <f>+'Bldg+Dev'!U2990</f>
        <v>0</v>
      </c>
    </row>
    <row r="3285" spans="2:2" ht="16.5" hidden="1">
      <c r="B3285" s="111">
        <f>+'Bldg+Dev'!U2991</f>
        <v>0</v>
      </c>
    </row>
    <row r="3286" spans="2:2" ht="16.5" hidden="1">
      <c r="B3286" s="111">
        <f>+'Bldg+Dev'!U2992</f>
        <v>0</v>
      </c>
    </row>
    <row r="3287" spans="2:2" ht="16.5" hidden="1">
      <c r="B3287" s="111">
        <f>+'Bldg+Dev'!U2993</f>
        <v>0</v>
      </c>
    </row>
    <row r="3288" spans="2:2" ht="16.5" hidden="1">
      <c r="B3288" s="111">
        <f>+'Bldg+Dev'!U2994</f>
        <v>0</v>
      </c>
    </row>
    <row r="3289" spans="2:2" ht="16.5" hidden="1">
      <c r="B3289" s="111">
        <f>+'Bldg+Dev'!U2995</f>
        <v>0</v>
      </c>
    </row>
    <row r="3290" spans="2:2" ht="16.5" hidden="1">
      <c r="B3290" s="111">
        <f>+'Bldg+Dev'!U2996</f>
        <v>0</v>
      </c>
    </row>
    <row r="3291" spans="2:2" ht="16.5" hidden="1">
      <c r="B3291" s="111">
        <f>+'Bldg+Dev'!U2997</f>
        <v>0</v>
      </c>
    </row>
    <row r="3292" spans="2:2" ht="16.5" hidden="1">
      <c r="B3292" s="111">
        <f>+'Bldg+Dev'!U2998</f>
        <v>0</v>
      </c>
    </row>
    <row r="3293" spans="2:2" ht="16.5" hidden="1">
      <c r="B3293" s="111">
        <f>+'Bldg+Dev'!U2999</f>
        <v>0</v>
      </c>
    </row>
    <row r="3294" spans="2:2" ht="16.5" hidden="1">
      <c r="B3294" s="111">
        <f>+'Bldg+Dev'!U3000</f>
        <v>0</v>
      </c>
    </row>
    <row r="3295" spans="2:2" ht="16.5" hidden="1">
      <c r="B3295" s="111">
        <f>+'Bldg+Dev'!U3001</f>
        <v>0</v>
      </c>
    </row>
    <row r="3296" spans="2:2" ht="16.5" hidden="1">
      <c r="B3296" s="111">
        <f>+'Bldg+Dev'!U3002</f>
        <v>0</v>
      </c>
    </row>
    <row r="3297" spans="2:2" ht="16.5" hidden="1">
      <c r="B3297" s="111">
        <f>+'Bldg+Dev'!U3003</f>
        <v>0</v>
      </c>
    </row>
    <row r="3298" spans="2:2" ht="16.5" hidden="1">
      <c r="B3298" s="111">
        <f>+'Bldg+Dev'!U3004</f>
        <v>0</v>
      </c>
    </row>
    <row r="3299" spans="2:2" ht="16.5" hidden="1">
      <c r="B3299" s="111">
        <f>+'Bldg+Dev'!U3005</f>
        <v>0</v>
      </c>
    </row>
    <row r="3300" spans="2:2" ht="16.5" hidden="1">
      <c r="B3300" s="111">
        <f>+'Bldg+Dev'!U3006</f>
        <v>0</v>
      </c>
    </row>
    <row r="3301" spans="2:2" ht="16.5" hidden="1">
      <c r="B3301" s="111">
        <f>+'Bldg+Dev'!U3007</f>
        <v>0</v>
      </c>
    </row>
    <row r="3302" spans="2:2" ht="16.5" hidden="1">
      <c r="B3302" s="111">
        <f>+'Bldg+Dev'!U3008</f>
        <v>0</v>
      </c>
    </row>
    <row r="3303" spans="2:2" ht="16.5" hidden="1">
      <c r="B3303" s="111">
        <f>+'Bldg+Dev'!U3009</f>
        <v>0</v>
      </c>
    </row>
    <row r="3304" spans="2:2" ht="16.5" hidden="1">
      <c r="B3304" s="111">
        <f>+'Bldg+Dev'!U3010</f>
        <v>0</v>
      </c>
    </row>
    <row r="3305" spans="2:2" ht="16.5" hidden="1">
      <c r="B3305" s="111">
        <f>+'Bldg+Dev'!U3011</f>
        <v>0</v>
      </c>
    </row>
    <row r="3306" spans="2:2" ht="16.5" hidden="1">
      <c r="B3306" s="111">
        <f>+'Bldg+Dev'!U3012</f>
        <v>0</v>
      </c>
    </row>
    <row r="3307" spans="2:2" ht="16.5" hidden="1">
      <c r="B3307" s="111">
        <f>+'Bldg+Dev'!U3013</f>
        <v>0</v>
      </c>
    </row>
    <row r="3308" spans="2:2" ht="16.5" hidden="1">
      <c r="B3308" s="111">
        <f>+'Bldg+Dev'!U3014</f>
        <v>0</v>
      </c>
    </row>
    <row r="3309" spans="2:2" ht="16.5" hidden="1">
      <c r="B3309" s="111">
        <f>+'Bldg+Dev'!U3015</f>
        <v>0</v>
      </c>
    </row>
    <row r="3310" spans="2:2" ht="16.5" hidden="1">
      <c r="B3310" s="111">
        <f>+'Bldg+Dev'!U3016</f>
        <v>0</v>
      </c>
    </row>
    <row r="3311" spans="2:2" ht="16.5" hidden="1">
      <c r="B3311" s="111">
        <f>+'Bldg+Dev'!U3017</f>
        <v>0</v>
      </c>
    </row>
    <row r="3312" spans="2:2" ht="16.5" hidden="1">
      <c r="B3312" s="111">
        <f>+'Bldg+Dev'!U3018</f>
        <v>0</v>
      </c>
    </row>
    <row r="3313" spans="2:2" ht="16.5" hidden="1">
      <c r="B3313" s="111">
        <f>+'Bldg+Dev'!U3019</f>
        <v>0</v>
      </c>
    </row>
    <row r="3314" spans="2:2" ht="16.5" hidden="1">
      <c r="B3314" s="111">
        <f>+'Bldg+Dev'!U3020</f>
        <v>0</v>
      </c>
    </row>
    <row r="3315" spans="2:2" ht="16.5" hidden="1">
      <c r="B3315" s="111">
        <f>+'Bldg+Dev'!U3021</f>
        <v>0</v>
      </c>
    </row>
    <row r="3316" spans="2:2" ht="16.5" hidden="1">
      <c r="B3316" s="111">
        <f>+'Bldg+Dev'!U3022</f>
        <v>0</v>
      </c>
    </row>
    <row r="3317" spans="2:2" ht="16.5" hidden="1">
      <c r="B3317" s="111">
        <f>+'Bldg+Dev'!U3023</f>
        <v>0</v>
      </c>
    </row>
    <row r="3318" spans="2:2" ht="16.5" hidden="1">
      <c r="B3318" s="111">
        <f>+'Bldg+Dev'!U3024</f>
        <v>0</v>
      </c>
    </row>
    <row r="3319" spans="2:2" ht="16.5" hidden="1">
      <c r="B3319" s="111">
        <f>+'Bldg+Dev'!U3025</f>
        <v>0</v>
      </c>
    </row>
    <row r="3320" spans="2:2" ht="16.5" hidden="1">
      <c r="B3320" s="111">
        <f>+'Bldg+Dev'!U3026</f>
        <v>0</v>
      </c>
    </row>
    <row r="3321" spans="2:2" ht="16.5" hidden="1">
      <c r="B3321" s="111">
        <f>+'Bldg+Dev'!U3027</f>
        <v>0</v>
      </c>
    </row>
    <row r="3322" spans="2:2" ht="16.5" hidden="1">
      <c r="B3322" s="111">
        <f>+'Bldg+Dev'!U3028</f>
        <v>0</v>
      </c>
    </row>
    <row r="3323" spans="2:2" ht="16.5" hidden="1">
      <c r="B3323" s="111">
        <f>+'Bldg+Dev'!U3029</f>
        <v>0</v>
      </c>
    </row>
    <row r="3324" spans="2:2" ht="16.5" hidden="1">
      <c r="B3324" s="111">
        <f>+'Bldg+Dev'!U3030</f>
        <v>0</v>
      </c>
    </row>
    <row r="3325" spans="2:2" ht="16.5" hidden="1">
      <c r="B3325" s="111">
        <f>+'Bldg+Dev'!U3031</f>
        <v>0</v>
      </c>
    </row>
    <row r="3326" spans="2:2" ht="16.5" hidden="1">
      <c r="B3326" s="111">
        <f>+'Bldg+Dev'!U3032</f>
        <v>0</v>
      </c>
    </row>
    <row r="3327" spans="2:2" ht="16.5" hidden="1">
      <c r="B3327" s="111">
        <f>+'Bldg+Dev'!U3033</f>
        <v>0</v>
      </c>
    </row>
    <row r="3328" spans="2:2" ht="16.5" hidden="1">
      <c r="B3328" s="111">
        <f>+'Bldg+Dev'!U3034</f>
        <v>0</v>
      </c>
    </row>
    <row r="3329" spans="2:2" ht="16.5" hidden="1">
      <c r="B3329" s="111">
        <f>+'Bldg+Dev'!U3035</f>
        <v>0</v>
      </c>
    </row>
    <row r="3330" spans="2:2" ht="16.5" hidden="1">
      <c r="B3330" s="111">
        <f>+'Bldg+Dev'!U3036</f>
        <v>0</v>
      </c>
    </row>
    <row r="3331" spans="2:2" ht="16.5" hidden="1">
      <c r="B3331" s="111">
        <f>+'Bldg+Dev'!U3037</f>
        <v>0</v>
      </c>
    </row>
    <row r="3332" spans="2:2" ht="16.5" hidden="1">
      <c r="B3332" s="111">
        <f>+'Bldg+Dev'!U3038</f>
        <v>0</v>
      </c>
    </row>
    <row r="3333" spans="2:2" ht="16.5" hidden="1">
      <c r="B3333" s="111">
        <f>+'Bldg+Dev'!U3039</f>
        <v>0</v>
      </c>
    </row>
    <row r="3334" spans="2:2" ht="16.5" hidden="1">
      <c r="B3334" s="111">
        <f>+'Bldg+Dev'!U3040</f>
        <v>0</v>
      </c>
    </row>
    <row r="3335" spans="2:2" ht="16.5" hidden="1">
      <c r="B3335" s="111">
        <f>+'Bldg+Dev'!U3041</f>
        <v>0</v>
      </c>
    </row>
    <row r="3336" spans="2:2" ht="16.5" hidden="1">
      <c r="B3336" s="111">
        <f>+'Bldg+Dev'!U3042</f>
        <v>0</v>
      </c>
    </row>
    <row r="3337" spans="2:2" ht="16.5" hidden="1">
      <c r="B3337" s="111">
        <f>+'Bldg+Dev'!U3043</f>
        <v>0</v>
      </c>
    </row>
    <row r="3338" spans="2:2" ht="16.5" hidden="1">
      <c r="B3338" s="111">
        <f>+'Bldg+Dev'!U3044</f>
        <v>0</v>
      </c>
    </row>
    <row r="3339" spans="2:2" ht="16.5" hidden="1">
      <c r="B3339" s="111">
        <f>+'Bldg+Dev'!U3045</f>
        <v>0</v>
      </c>
    </row>
    <row r="3340" spans="2:2" ht="16.5" hidden="1">
      <c r="B3340" s="111">
        <f>+'Bldg+Dev'!U3046</f>
        <v>0</v>
      </c>
    </row>
    <row r="3341" spans="2:2" ht="16.5" hidden="1">
      <c r="B3341" s="111">
        <f>+'Bldg+Dev'!U3047</f>
        <v>0</v>
      </c>
    </row>
    <row r="3342" spans="2:2" ht="16.5" hidden="1">
      <c r="B3342" s="111">
        <f>+'Bldg+Dev'!U3048</f>
        <v>0</v>
      </c>
    </row>
    <row r="3343" spans="2:2" ht="16.5" hidden="1">
      <c r="B3343" s="111">
        <f>+'Bldg+Dev'!U3049</f>
        <v>0</v>
      </c>
    </row>
    <row r="3344" spans="2:2" ht="16.5" hidden="1">
      <c r="B3344" s="111">
        <f>+'Bldg+Dev'!U3050</f>
        <v>0</v>
      </c>
    </row>
    <row r="3345" spans="2:2" ht="16.5" hidden="1">
      <c r="B3345" s="111">
        <f>+'Bldg+Dev'!U3051</f>
        <v>0</v>
      </c>
    </row>
    <row r="3346" spans="2:2" ht="16.5" hidden="1">
      <c r="B3346" s="111">
        <f>+'Bldg+Dev'!U3052</f>
        <v>0</v>
      </c>
    </row>
    <row r="3347" spans="2:2" ht="16.5" hidden="1">
      <c r="B3347" s="111">
        <f>+'Bldg+Dev'!U3053</f>
        <v>0</v>
      </c>
    </row>
    <row r="3348" spans="2:2" ht="16.5" hidden="1">
      <c r="B3348" s="111">
        <f>+'Bldg+Dev'!U3054</f>
        <v>0</v>
      </c>
    </row>
    <row r="3349" spans="2:2" ht="16.5" hidden="1">
      <c r="B3349" s="111">
        <f>+'Bldg+Dev'!U3055</f>
        <v>0</v>
      </c>
    </row>
    <row r="3350" spans="2:2" ht="16.5" hidden="1">
      <c r="B3350" s="111">
        <f>+'Bldg+Dev'!U3056</f>
        <v>0</v>
      </c>
    </row>
    <row r="3351" spans="2:2" ht="16.5" hidden="1">
      <c r="B3351" s="111">
        <f>+'Bldg+Dev'!U3057</f>
        <v>0</v>
      </c>
    </row>
    <row r="3352" spans="2:2" ht="16.5" hidden="1">
      <c r="B3352" s="111">
        <f>+'Bldg+Dev'!U3058</f>
        <v>0</v>
      </c>
    </row>
    <row r="3353" spans="2:2" ht="16.5" hidden="1">
      <c r="B3353" s="111">
        <f>+'Bldg+Dev'!U3059</f>
        <v>0</v>
      </c>
    </row>
    <row r="3354" spans="2:2" ht="16.5" hidden="1">
      <c r="B3354" s="111">
        <f>+'Bldg+Dev'!U3060</f>
        <v>0</v>
      </c>
    </row>
    <row r="3355" spans="2:2" ht="16.5" hidden="1">
      <c r="B3355" s="111">
        <f>+'Bldg+Dev'!U3061</f>
        <v>0</v>
      </c>
    </row>
    <row r="3356" spans="2:2" ht="16.5" hidden="1">
      <c r="B3356" s="111">
        <f>+'Bldg+Dev'!U3062</f>
        <v>0</v>
      </c>
    </row>
    <row r="3357" spans="2:2" ht="16.5" hidden="1">
      <c r="B3357" s="111">
        <f>+'Bldg+Dev'!U3063</f>
        <v>0</v>
      </c>
    </row>
    <row r="3358" spans="2:2" ht="16.5" hidden="1">
      <c r="B3358" s="111">
        <f>+'Bldg+Dev'!U3064</f>
        <v>0</v>
      </c>
    </row>
    <row r="3359" spans="2:2" ht="16.5" hidden="1">
      <c r="B3359" s="111">
        <f>+'Bldg+Dev'!U3065</f>
        <v>0</v>
      </c>
    </row>
    <row r="3360" spans="2:2" ht="16.5" hidden="1">
      <c r="B3360" s="111">
        <f>+'Bldg+Dev'!U3066</f>
        <v>0</v>
      </c>
    </row>
    <row r="3361" spans="2:2" ht="16.5" hidden="1">
      <c r="B3361" s="111">
        <f>+'Bldg+Dev'!U3067</f>
        <v>0</v>
      </c>
    </row>
    <row r="3362" spans="2:2" ht="16.5" hidden="1">
      <c r="B3362" s="111">
        <f>+'Bldg+Dev'!U3068</f>
        <v>0</v>
      </c>
    </row>
    <row r="3363" spans="2:2" ht="16.5" hidden="1">
      <c r="B3363" s="111">
        <f>+'Bldg+Dev'!U3069</f>
        <v>0</v>
      </c>
    </row>
    <row r="3364" spans="2:2" ht="16.5" hidden="1">
      <c r="B3364" s="111">
        <f>+'Bldg+Dev'!U3070</f>
        <v>0</v>
      </c>
    </row>
    <row r="3365" spans="2:2" ht="16.5" hidden="1">
      <c r="B3365" s="111">
        <f>+'Bldg+Dev'!U3071</f>
        <v>0</v>
      </c>
    </row>
    <row r="3366" spans="2:2" ht="16.5" hidden="1">
      <c r="B3366" s="111">
        <f>+'Bldg+Dev'!U3072</f>
        <v>0</v>
      </c>
    </row>
    <row r="3367" spans="2:2" ht="16.5" hidden="1">
      <c r="B3367" s="111">
        <f>+'Bldg+Dev'!U3073</f>
        <v>0</v>
      </c>
    </row>
    <row r="3368" spans="2:2" ht="16.5" hidden="1">
      <c r="B3368" s="111">
        <f>+'Bldg+Dev'!U3074</f>
        <v>0</v>
      </c>
    </row>
    <row r="3369" spans="2:2" ht="16.5" hidden="1">
      <c r="B3369" s="111">
        <f>+'Bldg+Dev'!U3075</f>
        <v>0</v>
      </c>
    </row>
    <row r="3370" spans="2:2" ht="16.5" hidden="1">
      <c r="B3370" s="111">
        <f>+'Bldg+Dev'!U3076</f>
        <v>0</v>
      </c>
    </row>
    <row r="3371" spans="2:2" ht="16.5" hidden="1">
      <c r="B3371" s="111">
        <f>+'Bldg+Dev'!U3077</f>
        <v>0</v>
      </c>
    </row>
    <row r="3372" spans="2:2" ht="16.5" hidden="1">
      <c r="B3372" s="111">
        <f>+'Bldg+Dev'!U3078</f>
        <v>0</v>
      </c>
    </row>
    <row r="3373" spans="2:2" ht="16.5" hidden="1">
      <c r="B3373" s="111">
        <f>+'Bldg+Dev'!U3079</f>
        <v>0</v>
      </c>
    </row>
    <row r="3374" spans="2:2" ht="16.5" hidden="1">
      <c r="B3374" s="111">
        <f>+'Bldg+Dev'!U3080</f>
        <v>0</v>
      </c>
    </row>
    <row r="3375" spans="2:2" ht="16.5" hidden="1">
      <c r="B3375" s="111">
        <f>+'Bldg+Dev'!U3081</f>
        <v>0</v>
      </c>
    </row>
    <row r="3376" spans="2:2" ht="16.5" hidden="1">
      <c r="B3376" s="111">
        <f>+'Bldg+Dev'!U3082</f>
        <v>0</v>
      </c>
    </row>
    <row r="3377" spans="2:2" ht="16.5" hidden="1">
      <c r="B3377" s="111">
        <f>+'Bldg+Dev'!U3083</f>
        <v>0</v>
      </c>
    </row>
    <row r="3378" spans="2:2" ht="16.5" hidden="1">
      <c r="B3378" s="111">
        <f>+'Bldg+Dev'!U3084</f>
        <v>0</v>
      </c>
    </row>
    <row r="3379" spans="2:2" ht="16.5" hidden="1">
      <c r="B3379" s="111">
        <f>+'Bldg+Dev'!U3085</f>
        <v>0</v>
      </c>
    </row>
    <row r="3380" spans="2:2" ht="16.5" hidden="1">
      <c r="B3380" s="111">
        <f>+'Bldg+Dev'!U3086</f>
        <v>0</v>
      </c>
    </row>
    <row r="3381" spans="2:2" ht="16.5" hidden="1">
      <c r="B3381" s="111">
        <f>+'Bldg+Dev'!U3087</f>
        <v>0</v>
      </c>
    </row>
    <row r="3382" spans="2:2" ht="16.5" hidden="1">
      <c r="B3382" s="111">
        <f>+'Bldg+Dev'!U3088</f>
        <v>0</v>
      </c>
    </row>
    <row r="3383" spans="2:2" ht="16.5" hidden="1">
      <c r="B3383" s="111">
        <f>+'Bldg+Dev'!U3089</f>
        <v>0</v>
      </c>
    </row>
    <row r="3384" spans="2:2" ht="16.5" hidden="1">
      <c r="B3384" s="111">
        <f>+'Bldg+Dev'!U3090</f>
        <v>0</v>
      </c>
    </row>
    <row r="3385" spans="2:2" ht="16.5" hidden="1">
      <c r="B3385" s="111">
        <f>+'Bldg+Dev'!U3091</f>
        <v>0</v>
      </c>
    </row>
    <row r="3386" spans="2:2" ht="16.5" hidden="1">
      <c r="B3386" s="111">
        <f>+'Bldg+Dev'!U3092</f>
        <v>0</v>
      </c>
    </row>
    <row r="3387" spans="2:2" ht="16.5" hidden="1">
      <c r="B3387" s="111">
        <f>+'Bldg+Dev'!U3093</f>
        <v>0</v>
      </c>
    </row>
    <row r="3388" spans="2:2" ht="16.5" hidden="1">
      <c r="B3388" s="111">
        <f>+'Bldg+Dev'!U3094</f>
        <v>0</v>
      </c>
    </row>
    <row r="3389" spans="2:2" ht="16.5" hidden="1">
      <c r="B3389" s="111">
        <f>+'Bldg+Dev'!U3095</f>
        <v>0</v>
      </c>
    </row>
    <row r="3390" spans="2:2" ht="16.5" hidden="1">
      <c r="B3390" s="111">
        <f>+'Bldg+Dev'!U3096</f>
        <v>0</v>
      </c>
    </row>
    <row r="3391" spans="2:2" ht="16.5" hidden="1">
      <c r="B3391" s="111">
        <f>+'Bldg+Dev'!U3097</f>
        <v>0</v>
      </c>
    </row>
    <row r="3392" spans="2:2" ht="16.5" hidden="1">
      <c r="B3392" s="111">
        <f>+'Bldg+Dev'!U3098</f>
        <v>0</v>
      </c>
    </row>
    <row r="3393" spans="2:2" ht="16.5" hidden="1">
      <c r="B3393" s="111">
        <f>+'Bldg+Dev'!U3099</f>
        <v>0</v>
      </c>
    </row>
    <row r="3394" spans="2:2" ht="16.5" hidden="1">
      <c r="B3394" s="111">
        <f>+'Bldg+Dev'!U3100</f>
        <v>0</v>
      </c>
    </row>
    <row r="3395" spans="2:2" ht="16.5" hidden="1">
      <c r="B3395" s="111">
        <f>+'Bldg+Dev'!U3101</f>
        <v>0</v>
      </c>
    </row>
    <row r="3396" spans="2:2" ht="16.5" hidden="1">
      <c r="B3396" s="111">
        <f>+'Bldg+Dev'!U3102</f>
        <v>0</v>
      </c>
    </row>
    <row r="3397" spans="2:2" ht="16.5" hidden="1">
      <c r="B3397" s="111">
        <f>+'Bldg+Dev'!U3103</f>
        <v>0</v>
      </c>
    </row>
    <row r="3398" spans="2:2" ht="16.5" hidden="1">
      <c r="B3398" s="111">
        <f>+'Bldg+Dev'!U3104</f>
        <v>0</v>
      </c>
    </row>
    <row r="3399" spans="2:2" ht="16.5" hidden="1">
      <c r="B3399" s="111">
        <f>+'Bldg+Dev'!U3105</f>
        <v>0</v>
      </c>
    </row>
    <row r="3400" spans="2:2" ht="16.5" hidden="1">
      <c r="B3400" s="111">
        <f>+'Bldg+Dev'!U3106</f>
        <v>0</v>
      </c>
    </row>
    <row r="3401" spans="2:2" ht="16.5" hidden="1">
      <c r="B3401" s="111">
        <f>+'Bldg+Dev'!U3107</f>
        <v>0</v>
      </c>
    </row>
    <row r="3402" spans="2:2" ht="16.5" hidden="1">
      <c r="B3402" s="111">
        <f>+'Bldg+Dev'!U3108</f>
        <v>0</v>
      </c>
    </row>
    <row r="3403" spans="2:2" ht="16.5" hidden="1">
      <c r="B3403" s="111">
        <f>+'Bldg+Dev'!U3109</f>
        <v>0</v>
      </c>
    </row>
    <row r="3404" spans="2:2" ht="16.5" hidden="1">
      <c r="B3404" s="111">
        <f>+'Bldg+Dev'!U3110</f>
        <v>0</v>
      </c>
    </row>
    <row r="3405" spans="2:2" ht="16.5" hidden="1">
      <c r="B3405" s="111">
        <f>+'Bldg+Dev'!U3111</f>
        <v>0</v>
      </c>
    </row>
    <row r="3406" spans="2:2" ht="16.5" hidden="1">
      <c r="B3406" s="111">
        <f>+'Bldg+Dev'!U3112</f>
        <v>0</v>
      </c>
    </row>
    <row r="3407" spans="2:2" ht="16.5" hidden="1">
      <c r="B3407" s="111">
        <f>+'Bldg+Dev'!U3113</f>
        <v>0</v>
      </c>
    </row>
    <row r="3408" spans="2:2" ht="16.5" hidden="1">
      <c r="B3408" s="111">
        <f>+'Bldg+Dev'!U3114</f>
        <v>0</v>
      </c>
    </row>
    <row r="3409" spans="2:2" ht="16.5" hidden="1">
      <c r="B3409" s="111">
        <f>+'Bldg+Dev'!U3115</f>
        <v>0</v>
      </c>
    </row>
    <row r="3410" spans="2:2" ht="16.5" hidden="1">
      <c r="B3410" s="111">
        <f>+'Bldg+Dev'!U3116</f>
        <v>0</v>
      </c>
    </row>
    <row r="3411" spans="2:2" ht="16.5" hidden="1">
      <c r="B3411" s="111">
        <f>+'Bldg+Dev'!U3117</f>
        <v>0</v>
      </c>
    </row>
    <row r="3412" spans="2:2" ht="16.5" hidden="1">
      <c r="B3412" s="111">
        <f>+'Bldg+Dev'!U3118</f>
        <v>0</v>
      </c>
    </row>
    <row r="3413" spans="2:2" ht="16.5" hidden="1">
      <c r="B3413" s="111">
        <f>+'Bldg+Dev'!U3119</f>
        <v>0</v>
      </c>
    </row>
    <row r="3414" spans="2:2" ht="16.5" hidden="1">
      <c r="B3414" s="111">
        <f>+'Bldg+Dev'!U3120</f>
        <v>0</v>
      </c>
    </row>
    <row r="3415" spans="2:2" ht="16.5" hidden="1">
      <c r="B3415" s="111">
        <f>+'Bldg+Dev'!U3121</f>
        <v>0</v>
      </c>
    </row>
    <row r="3416" spans="2:2" ht="16.5" hidden="1">
      <c r="B3416" s="111">
        <f>+'Bldg+Dev'!U3122</f>
        <v>0</v>
      </c>
    </row>
    <row r="3417" spans="2:2" ht="16.5" hidden="1">
      <c r="B3417" s="111">
        <f>+'Bldg+Dev'!U3123</f>
        <v>0</v>
      </c>
    </row>
    <row r="3418" spans="2:2" ht="16.5" hidden="1">
      <c r="B3418" s="111">
        <f>+'Bldg+Dev'!U3124</f>
        <v>0</v>
      </c>
    </row>
    <row r="3419" spans="2:2" ht="16.5" hidden="1">
      <c r="B3419" s="111">
        <f>+'Bldg+Dev'!U3125</f>
        <v>0</v>
      </c>
    </row>
    <row r="3420" spans="2:2" ht="16.5" hidden="1">
      <c r="B3420" s="111">
        <f>+'Bldg+Dev'!U3126</f>
        <v>0</v>
      </c>
    </row>
    <row r="3421" spans="2:2" ht="16.5" hidden="1">
      <c r="B3421" s="111">
        <f>+'Bldg+Dev'!U3127</f>
        <v>0</v>
      </c>
    </row>
    <row r="3422" spans="2:2" ht="16.5" hidden="1">
      <c r="B3422" s="111">
        <f>+'Bldg+Dev'!U3128</f>
        <v>0</v>
      </c>
    </row>
    <row r="3423" spans="2:2" ht="16.5" hidden="1">
      <c r="B3423" s="111">
        <f>+'Bldg+Dev'!U3129</f>
        <v>0</v>
      </c>
    </row>
    <row r="3424" spans="2:2" ht="16.5" hidden="1">
      <c r="B3424" s="111">
        <f>+'Bldg+Dev'!U3130</f>
        <v>0</v>
      </c>
    </row>
    <row r="3425" spans="2:2" ht="16.5" hidden="1">
      <c r="B3425" s="111">
        <f>+'Bldg+Dev'!U3131</f>
        <v>0</v>
      </c>
    </row>
    <row r="3426" spans="2:2" ht="16.5" hidden="1">
      <c r="B3426" s="111">
        <f>+'Bldg+Dev'!U3132</f>
        <v>0</v>
      </c>
    </row>
    <row r="3427" spans="2:2" ht="16.5" hidden="1">
      <c r="B3427" s="111">
        <f>+'Bldg+Dev'!U3133</f>
        <v>0</v>
      </c>
    </row>
    <row r="3428" spans="2:2" ht="16.5" hidden="1">
      <c r="B3428" s="111">
        <f>+'Bldg+Dev'!U3134</f>
        <v>0</v>
      </c>
    </row>
    <row r="3429" spans="2:2" ht="16.5" hidden="1">
      <c r="B3429" s="111">
        <f>+'Bldg+Dev'!U3135</f>
        <v>0</v>
      </c>
    </row>
    <row r="3430" spans="2:2" ht="16.5" hidden="1">
      <c r="B3430" s="111">
        <f>+'Bldg+Dev'!U3136</f>
        <v>0</v>
      </c>
    </row>
    <row r="3431" spans="2:2" ht="16.5" hidden="1">
      <c r="B3431" s="111">
        <f>+'Bldg+Dev'!U3137</f>
        <v>0</v>
      </c>
    </row>
    <row r="3432" spans="2:2" ht="16.5" hidden="1">
      <c r="B3432" s="111">
        <f>+'Bldg+Dev'!U3138</f>
        <v>0</v>
      </c>
    </row>
    <row r="3433" spans="2:2" ht="16.5" hidden="1">
      <c r="B3433" s="111">
        <f>+'Bldg+Dev'!U3139</f>
        <v>0</v>
      </c>
    </row>
    <row r="3434" spans="2:2" ht="16.5" hidden="1">
      <c r="B3434" s="111">
        <f>+'Bldg+Dev'!U3140</f>
        <v>0</v>
      </c>
    </row>
    <row r="3435" spans="2:2" ht="16.5" hidden="1">
      <c r="B3435" s="111">
        <f>+'Bldg+Dev'!U3141</f>
        <v>0</v>
      </c>
    </row>
    <row r="3436" spans="2:2" ht="16.5" hidden="1">
      <c r="B3436" s="111">
        <f>+'Bldg+Dev'!U3142</f>
        <v>0</v>
      </c>
    </row>
    <row r="3437" spans="2:2" ht="16.5" hidden="1">
      <c r="B3437" s="111">
        <f>+'Bldg+Dev'!U3143</f>
        <v>0</v>
      </c>
    </row>
    <row r="3438" spans="2:2" ht="16.5" hidden="1">
      <c r="B3438" s="111">
        <f>+'Bldg+Dev'!U3144</f>
        <v>0</v>
      </c>
    </row>
    <row r="3439" spans="2:2" ht="16.5" hidden="1">
      <c r="B3439" s="111">
        <f>+'Bldg+Dev'!U3145</f>
        <v>0</v>
      </c>
    </row>
    <row r="3440" spans="2:2" ht="16.5" hidden="1">
      <c r="B3440" s="111">
        <f>+'Bldg+Dev'!U3146</f>
        <v>0</v>
      </c>
    </row>
    <row r="3441" spans="2:2" ht="16.5" hidden="1">
      <c r="B3441" s="111">
        <f>+'Bldg+Dev'!U3147</f>
        <v>0</v>
      </c>
    </row>
    <row r="3442" spans="2:2" ht="16.5" hidden="1">
      <c r="B3442" s="111">
        <f>+'Bldg+Dev'!U3148</f>
        <v>0</v>
      </c>
    </row>
    <row r="3443" spans="2:2" ht="16.5" hidden="1">
      <c r="B3443" s="111">
        <f>+'Bldg+Dev'!U3149</f>
        <v>0</v>
      </c>
    </row>
    <row r="3444" spans="2:2" ht="16.5" hidden="1">
      <c r="B3444" s="111">
        <f>+'Bldg+Dev'!U3150</f>
        <v>0</v>
      </c>
    </row>
    <row r="3445" spans="2:2" ht="16.5" hidden="1">
      <c r="B3445" s="111">
        <f>+'Bldg+Dev'!U3151</f>
        <v>0</v>
      </c>
    </row>
    <row r="3446" spans="2:2" ht="16.5" hidden="1">
      <c r="B3446" s="111">
        <f>+'Bldg+Dev'!U3152</f>
        <v>0</v>
      </c>
    </row>
    <row r="3447" spans="2:2" ht="16.5" hidden="1">
      <c r="B3447" s="111">
        <f>+'Bldg+Dev'!U3153</f>
        <v>0</v>
      </c>
    </row>
    <row r="3448" spans="2:2" ht="16.5" hidden="1">
      <c r="B3448" s="111">
        <f>+'Bldg+Dev'!U3154</f>
        <v>0</v>
      </c>
    </row>
    <row r="3449" spans="2:2" ht="16.5" hidden="1">
      <c r="B3449" s="111">
        <f>+'Bldg+Dev'!U3155</f>
        <v>0</v>
      </c>
    </row>
    <row r="3450" spans="2:2" ht="16.5" hidden="1">
      <c r="B3450" s="111">
        <f>+'Bldg+Dev'!U3156</f>
        <v>0</v>
      </c>
    </row>
    <row r="3451" spans="2:2" ht="16.5" hidden="1">
      <c r="B3451" s="111">
        <f>+'Bldg+Dev'!U3157</f>
        <v>0</v>
      </c>
    </row>
    <row r="3452" spans="2:2" ht="16.5" hidden="1">
      <c r="B3452" s="111">
        <f>+'Bldg+Dev'!U3158</f>
        <v>0</v>
      </c>
    </row>
    <row r="3453" spans="2:2" ht="16.5" hidden="1">
      <c r="B3453" s="111">
        <f>+'Bldg+Dev'!U3159</f>
        <v>0</v>
      </c>
    </row>
    <row r="3454" spans="2:2" ht="16.5" hidden="1">
      <c r="B3454" s="111">
        <f>+'Bldg+Dev'!U3160</f>
        <v>0</v>
      </c>
    </row>
    <row r="3455" spans="2:2" ht="16.5" hidden="1">
      <c r="B3455" s="111">
        <f>+'Bldg+Dev'!U3161</f>
        <v>0</v>
      </c>
    </row>
    <row r="3456" spans="2:2" ht="16.5" hidden="1">
      <c r="B3456" s="111">
        <f>+'Bldg+Dev'!U3162</f>
        <v>0</v>
      </c>
    </row>
    <row r="3457" spans="2:2" ht="16.5" hidden="1">
      <c r="B3457" s="111">
        <f>+'Bldg+Dev'!U3163</f>
        <v>0</v>
      </c>
    </row>
    <row r="3458" spans="2:2" ht="16.5" hidden="1">
      <c r="B3458" s="111">
        <f>+'Bldg+Dev'!U3164</f>
        <v>0</v>
      </c>
    </row>
    <row r="3459" spans="2:2" ht="16.5" hidden="1">
      <c r="B3459" s="111">
        <f>+'Bldg+Dev'!U3165</f>
        <v>0</v>
      </c>
    </row>
    <row r="3460" spans="2:2" ht="16.5" hidden="1">
      <c r="B3460" s="111">
        <f>+'Bldg+Dev'!U3166</f>
        <v>0</v>
      </c>
    </row>
    <row r="3461" spans="2:2" ht="16.5" hidden="1">
      <c r="B3461" s="111">
        <f>+'Bldg+Dev'!U3167</f>
        <v>0</v>
      </c>
    </row>
    <row r="3462" spans="2:2" ht="16.5" hidden="1">
      <c r="B3462" s="111">
        <f>+'Bldg+Dev'!U3168</f>
        <v>0</v>
      </c>
    </row>
    <row r="3463" spans="2:2" ht="16.5" hidden="1">
      <c r="B3463" s="111">
        <f>+'Bldg+Dev'!U3169</f>
        <v>0</v>
      </c>
    </row>
    <row r="3464" spans="2:2" ht="16.5" hidden="1">
      <c r="B3464" s="111">
        <f>+'Bldg+Dev'!U3170</f>
        <v>0</v>
      </c>
    </row>
    <row r="3465" spans="2:2" ht="16.5" hidden="1">
      <c r="B3465" s="111">
        <f>+'Bldg+Dev'!U3171</f>
        <v>0</v>
      </c>
    </row>
    <row r="3466" spans="2:2" ht="16.5" hidden="1">
      <c r="B3466" s="111">
        <f>+'Bldg+Dev'!U3172</f>
        <v>0</v>
      </c>
    </row>
    <row r="3467" spans="2:2" ht="16.5" hidden="1">
      <c r="B3467" s="111">
        <f>+'Bldg+Dev'!U3173</f>
        <v>0</v>
      </c>
    </row>
    <row r="3468" spans="2:2" ht="16.5" hidden="1">
      <c r="B3468" s="111">
        <f>+'Bldg+Dev'!U3174</f>
        <v>0</v>
      </c>
    </row>
    <row r="3469" spans="2:2" ht="16.5" hidden="1">
      <c r="B3469" s="111">
        <f>+'Bldg+Dev'!U3175</f>
        <v>0</v>
      </c>
    </row>
    <row r="3470" spans="2:2" ht="16.5" hidden="1">
      <c r="B3470" s="111">
        <f>+'Bldg+Dev'!U3176</f>
        <v>0</v>
      </c>
    </row>
    <row r="3471" spans="2:2" ht="16.5" hidden="1">
      <c r="B3471" s="111">
        <f>+'Bldg+Dev'!U3177</f>
        <v>0</v>
      </c>
    </row>
    <row r="3472" spans="2:2" ht="16.5" hidden="1">
      <c r="B3472" s="111">
        <f>+'Bldg+Dev'!U3178</f>
        <v>0</v>
      </c>
    </row>
    <row r="3473" spans="2:2" ht="16.5" hidden="1">
      <c r="B3473" s="111">
        <f>+'Bldg+Dev'!U3179</f>
        <v>0</v>
      </c>
    </row>
    <row r="3474" spans="2:2" ht="16.5" hidden="1">
      <c r="B3474" s="111">
        <f>+'Bldg+Dev'!U3180</f>
        <v>0</v>
      </c>
    </row>
    <row r="3475" spans="2:2" ht="16.5" hidden="1">
      <c r="B3475" s="111">
        <f>+'Bldg+Dev'!U3181</f>
        <v>0</v>
      </c>
    </row>
    <row r="3476" spans="2:2" ht="16.5" hidden="1">
      <c r="B3476" s="111">
        <f>+'Bldg+Dev'!U3182</f>
        <v>0</v>
      </c>
    </row>
    <row r="3477" spans="2:2" ht="16.5" hidden="1">
      <c r="B3477" s="111">
        <f>+'Bldg+Dev'!U3183</f>
        <v>0</v>
      </c>
    </row>
    <row r="3478" spans="2:2" ht="16.5" hidden="1">
      <c r="B3478" s="111">
        <f>+'Bldg+Dev'!U3184</f>
        <v>0</v>
      </c>
    </row>
    <row r="3479" spans="2:2" ht="16.5" hidden="1">
      <c r="B3479" s="111">
        <f>+'Bldg+Dev'!U3185</f>
        <v>0</v>
      </c>
    </row>
    <row r="3480" spans="2:2" ht="16.5" hidden="1">
      <c r="B3480" s="111">
        <f>+'Bldg+Dev'!U3186</f>
        <v>0</v>
      </c>
    </row>
    <row r="3481" spans="2:2" ht="16.5" hidden="1">
      <c r="B3481" s="111">
        <f>+'Bldg+Dev'!U3187</f>
        <v>0</v>
      </c>
    </row>
    <row r="3482" spans="2:2" ht="16.5" hidden="1">
      <c r="B3482" s="111">
        <f>+'Bldg+Dev'!U3188</f>
        <v>0</v>
      </c>
    </row>
    <row r="3483" spans="2:2" ht="16.5" hidden="1">
      <c r="B3483" s="111">
        <f>+'Bldg+Dev'!U3189</f>
        <v>0</v>
      </c>
    </row>
    <row r="3484" spans="2:2" ht="16.5" hidden="1">
      <c r="B3484" s="111">
        <f>+'Bldg+Dev'!U3190</f>
        <v>0</v>
      </c>
    </row>
    <row r="3485" spans="2:2" ht="16.5" hidden="1">
      <c r="B3485" s="111">
        <f>+'Bldg+Dev'!U3191</f>
        <v>0</v>
      </c>
    </row>
    <row r="3486" spans="2:2" ht="16.5" hidden="1">
      <c r="B3486" s="111">
        <f>+'Bldg+Dev'!U3192</f>
        <v>0</v>
      </c>
    </row>
    <row r="3487" spans="2:2" ht="16.5" hidden="1">
      <c r="B3487" s="111">
        <f>+'Bldg+Dev'!U3193</f>
        <v>0</v>
      </c>
    </row>
    <row r="3488" spans="2:2" ht="16.5" hidden="1">
      <c r="B3488" s="111">
        <f>+'Bldg+Dev'!U3194</f>
        <v>0</v>
      </c>
    </row>
    <row r="3489" spans="2:2" ht="16.5" hidden="1">
      <c r="B3489" s="111">
        <f>+'Bldg+Dev'!U3195</f>
        <v>0</v>
      </c>
    </row>
    <row r="3490" spans="2:2" ht="16.5" hidden="1">
      <c r="B3490" s="111">
        <f>+'Bldg+Dev'!U3196</f>
        <v>0</v>
      </c>
    </row>
    <row r="3491" spans="2:2" ht="16.5" hidden="1">
      <c r="B3491" s="111">
        <f>+'Bldg+Dev'!U3197</f>
        <v>0</v>
      </c>
    </row>
    <row r="3492" spans="2:2" ht="16.5" hidden="1">
      <c r="B3492" s="111">
        <f>+'Bldg+Dev'!U3198</f>
        <v>0</v>
      </c>
    </row>
    <row r="3493" spans="2:2" ht="16.5" hidden="1">
      <c r="B3493" s="111">
        <f>+'Bldg+Dev'!U3199</f>
        <v>0</v>
      </c>
    </row>
    <row r="3494" spans="2:2" ht="16.5" hidden="1">
      <c r="B3494" s="111">
        <f>+'Bldg+Dev'!U3200</f>
        <v>0</v>
      </c>
    </row>
    <row r="3495" spans="2:2" ht="16.5" hidden="1">
      <c r="B3495" s="111">
        <f>+'Bldg+Dev'!U3201</f>
        <v>0</v>
      </c>
    </row>
    <row r="3496" spans="2:2" ht="16.5" hidden="1">
      <c r="B3496" s="111">
        <f>+'Bldg+Dev'!U3202</f>
        <v>0</v>
      </c>
    </row>
    <row r="3497" spans="2:2" ht="16.5" hidden="1">
      <c r="B3497" s="111">
        <f>+'Bldg+Dev'!U3203</f>
        <v>0</v>
      </c>
    </row>
    <row r="3498" spans="2:2" ht="16.5" hidden="1">
      <c r="B3498" s="111">
        <f>+'Bldg+Dev'!U3204</f>
        <v>0</v>
      </c>
    </row>
    <row r="3499" spans="2:2" ht="16.5" hidden="1">
      <c r="B3499" s="111">
        <f>+'Bldg+Dev'!U3205</f>
        <v>0</v>
      </c>
    </row>
    <row r="3500" spans="2:2" ht="16.5" hidden="1">
      <c r="B3500" s="111">
        <f>+'Bldg+Dev'!U3206</f>
        <v>0</v>
      </c>
    </row>
    <row r="3501" spans="2:2" ht="16.5" hidden="1">
      <c r="B3501" s="111">
        <f>+'Bldg+Dev'!U3207</f>
        <v>0</v>
      </c>
    </row>
    <row r="3502" spans="2:2" ht="16.5" hidden="1">
      <c r="B3502" s="111">
        <f>+'Bldg+Dev'!U3208</f>
        <v>0</v>
      </c>
    </row>
    <row r="3503" spans="2:2" ht="16.5" hidden="1">
      <c r="B3503" s="111">
        <f>+'Bldg+Dev'!U3209</f>
        <v>0</v>
      </c>
    </row>
    <row r="3504" spans="2:2" ht="16.5" hidden="1">
      <c r="B3504" s="111">
        <f>+'Bldg+Dev'!U3210</f>
        <v>0</v>
      </c>
    </row>
    <row r="3505" spans="2:2" ht="16.5" hidden="1">
      <c r="B3505" s="111">
        <f>+'Bldg+Dev'!U3211</f>
        <v>0</v>
      </c>
    </row>
    <row r="3506" spans="2:2" ht="16.5" hidden="1">
      <c r="B3506" s="111">
        <f>+'Bldg+Dev'!U3212</f>
        <v>0</v>
      </c>
    </row>
    <row r="3507" spans="2:2" ht="16.5" hidden="1">
      <c r="B3507" s="111">
        <f>+'Bldg+Dev'!U3213</f>
        <v>0</v>
      </c>
    </row>
    <row r="3508" spans="2:2" ht="16.5" hidden="1">
      <c r="B3508" s="111">
        <f>+'Bldg+Dev'!U3214</f>
        <v>0</v>
      </c>
    </row>
    <row r="3509" spans="2:2" ht="16.5" hidden="1">
      <c r="B3509" s="111">
        <f>+'Bldg+Dev'!U3215</f>
        <v>0</v>
      </c>
    </row>
    <row r="3510" spans="2:2" ht="16.5" hidden="1">
      <c r="B3510" s="111">
        <f>+'Bldg+Dev'!U3216</f>
        <v>0</v>
      </c>
    </row>
    <row r="3511" spans="2:2" ht="16.5" hidden="1">
      <c r="B3511" s="111">
        <f>+'Bldg+Dev'!U3217</f>
        <v>0</v>
      </c>
    </row>
    <row r="3512" spans="2:2" ht="16.5" hidden="1">
      <c r="B3512" s="111">
        <f>+'Bldg+Dev'!U3218</f>
        <v>0</v>
      </c>
    </row>
    <row r="3513" spans="2:2" ht="16.5" hidden="1">
      <c r="B3513" s="111">
        <f>+'Bldg+Dev'!U3219</f>
        <v>0</v>
      </c>
    </row>
    <row r="3514" spans="2:2" ht="16.5" hidden="1">
      <c r="B3514" s="111">
        <f>+'Bldg+Dev'!U3220</f>
        <v>0</v>
      </c>
    </row>
    <row r="3515" spans="2:2" ht="16.5" hidden="1">
      <c r="B3515" s="111">
        <f>+'Bldg+Dev'!U3221</f>
        <v>0</v>
      </c>
    </row>
    <row r="3516" spans="2:2" ht="16.5" hidden="1">
      <c r="B3516" s="111">
        <f>+'Bldg+Dev'!U3222</f>
        <v>0</v>
      </c>
    </row>
    <row r="3517" spans="2:2" ht="16.5" hidden="1">
      <c r="B3517" s="111">
        <f>+'Bldg+Dev'!U3223</f>
        <v>0</v>
      </c>
    </row>
    <row r="3518" spans="2:2" ht="16.5" hidden="1">
      <c r="B3518" s="111">
        <f>+'Bldg+Dev'!U3224</f>
        <v>0</v>
      </c>
    </row>
    <row r="3519" spans="2:2" ht="16.5" hidden="1">
      <c r="B3519" s="111">
        <f>+'Bldg+Dev'!U3225</f>
        <v>0</v>
      </c>
    </row>
    <row r="3520" spans="2:2" ht="16.5" hidden="1">
      <c r="B3520" s="111">
        <f>+'Bldg+Dev'!U3226</f>
        <v>0</v>
      </c>
    </row>
    <row r="3521" spans="2:2" ht="16.5" hidden="1">
      <c r="B3521" s="111">
        <f>+'Bldg+Dev'!U3227</f>
        <v>0</v>
      </c>
    </row>
    <row r="3522" spans="2:2" ht="16.5" hidden="1">
      <c r="B3522" s="111">
        <f>+'Bldg+Dev'!U3228</f>
        <v>0</v>
      </c>
    </row>
    <row r="3523" spans="2:2" ht="16.5" hidden="1">
      <c r="B3523" s="111">
        <f>+'Bldg+Dev'!U3229</f>
        <v>0</v>
      </c>
    </row>
    <row r="3524" spans="2:2" ht="16.5" hidden="1">
      <c r="B3524" s="111">
        <f>+'Bldg+Dev'!U3230</f>
        <v>0</v>
      </c>
    </row>
    <row r="3525" spans="2:2" ht="16.5" hidden="1">
      <c r="B3525" s="111">
        <f>+'Bldg+Dev'!U3231</f>
        <v>0</v>
      </c>
    </row>
    <row r="3526" spans="2:2" ht="16.5" hidden="1">
      <c r="B3526" s="111">
        <f>+'Bldg+Dev'!U3232</f>
        <v>0</v>
      </c>
    </row>
    <row r="3527" spans="2:2" ht="16.5" hidden="1">
      <c r="B3527" s="111">
        <f>+'Bldg+Dev'!U3233</f>
        <v>0</v>
      </c>
    </row>
    <row r="3528" spans="2:2" ht="16.5" hidden="1">
      <c r="B3528" s="111">
        <f>+'Bldg+Dev'!U3234</f>
        <v>0</v>
      </c>
    </row>
    <row r="3529" spans="2:2" ht="16.5" hidden="1">
      <c r="B3529" s="111">
        <f>+'Bldg+Dev'!U3235</f>
        <v>0</v>
      </c>
    </row>
    <row r="3530" spans="2:2" ht="16.5" hidden="1">
      <c r="B3530" s="111">
        <f>+'Bldg+Dev'!U3236</f>
        <v>0</v>
      </c>
    </row>
    <row r="3531" spans="2:2" ht="16.5" hidden="1">
      <c r="B3531" s="111">
        <f>+'Bldg+Dev'!U3237</f>
        <v>0</v>
      </c>
    </row>
    <row r="3532" spans="2:2" ht="16.5" hidden="1">
      <c r="B3532" s="111">
        <f>+'Bldg+Dev'!U3238</f>
        <v>0</v>
      </c>
    </row>
    <row r="3533" spans="2:2" ht="16.5" hidden="1">
      <c r="B3533" s="111">
        <f>+'Bldg+Dev'!U3239</f>
        <v>0</v>
      </c>
    </row>
    <row r="3534" spans="2:2" ht="16.5" hidden="1">
      <c r="B3534" s="111">
        <f>+'Bldg+Dev'!U3240</f>
        <v>0</v>
      </c>
    </row>
    <row r="3535" spans="2:2" ht="16.5" hidden="1">
      <c r="B3535" s="111">
        <f>+'Bldg+Dev'!U3241</f>
        <v>0</v>
      </c>
    </row>
    <row r="3536" spans="2:2" ht="16.5" hidden="1">
      <c r="B3536" s="111">
        <f>+'Bldg+Dev'!U3242</f>
        <v>0</v>
      </c>
    </row>
    <row r="3537" spans="2:2" ht="16.5" hidden="1">
      <c r="B3537" s="111">
        <f>+'Bldg+Dev'!U3243</f>
        <v>0</v>
      </c>
    </row>
    <row r="3538" spans="2:2" ht="16.5" hidden="1">
      <c r="B3538" s="111">
        <f>+'Bldg+Dev'!U3244</f>
        <v>0</v>
      </c>
    </row>
    <row r="3539" spans="2:2" ht="16.5" hidden="1">
      <c r="B3539" s="111">
        <f>+'Bldg+Dev'!U3245</f>
        <v>0</v>
      </c>
    </row>
    <row r="3540" spans="2:2" ht="16.5" hidden="1">
      <c r="B3540" s="111">
        <f>+'Bldg+Dev'!U3246</f>
        <v>0</v>
      </c>
    </row>
    <row r="3541" spans="2:2" ht="16.5" hidden="1">
      <c r="B3541" s="111">
        <f>+'Bldg+Dev'!U3247</f>
        <v>0</v>
      </c>
    </row>
    <row r="3542" spans="2:2" ht="16.5" hidden="1">
      <c r="B3542" s="111">
        <f>+'Bldg+Dev'!U3248</f>
        <v>0</v>
      </c>
    </row>
    <row r="3543" spans="2:2" ht="16.5" hidden="1">
      <c r="B3543" s="111">
        <f>+'Bldg+Dev'!U3249</f>
        <v>0</v>
      </c>
    </row>
    <row r="3544" spans="2:2" ht="16.5" hidden="1">
      <c r="B3544" s="111">
        <f>+'Bldg+Dev'!U3250</f>
        <v>0</v>
      </c>
    </row>
    <row r="3545" spans="2:2" ht="16.5" hidden="1">
      <c r="B3545" s="111">
        <f>+'Bldg+Dev'!U3251</f>
        <v>0</v>
      </c>
    </row>
    <row r="3546" spans="2:2" ht="16.5" hidden="1">
      <c r="B3546" s="111">
        <f>+'Bldg+Dev'!U3252</f>
        <v>0</v>
      </c>
    </row>
    <row r="3547" spans="2:2" ht="16.5" hidden="1">
      <c r="B3547" s="111">
        <f>+'Bldg+Dev'!U3253</f>
        <v>0</v>
      </c>
    </row>
    <row r="3548" spans="2:2" ht="16.5" hidden="1">
      <c r="B3548" s="111">
        <f>+'Bldg+Dev'!U3254</f>
        <v>0</v>
      </c>
    </row>
    <row r="3549" spans="2:2" ht="16.5" hidden="1">
      <c r="B3549" s="111">
        <f>+'Bldg+Dev'!U3255</f>
        <v>0</v>
      </c>
    </row>
    <row r="3550" spans="2:2" ht="16.5" hidden="1">
      <c r="B3550" s="111">
        <f>+'Bldg+Dev'!U3256</f>
        <v>0</v>
      </c>
    </row>
    <row r="3551" spans="2:2" ht="16.5" hidden="1">
      <c r="B3551" s="111">
        <f>+'Bldg+Dev'!U3257</f>
        <v>0</v>
      </c>
    </row>
    <row r="3552" spans="2:2" ht="16.5" hidden="1">
      <c r="B3552" s="111">
        <f>+'Bldg+Dev'!U3258</f>
        <v>0</v>
      </c>
    </row>
    <row r="3553" spans="2:2" ht="16.5" hidden="1">
      <c r="B3553" s="111">
        <f>+'Bldg+Dev'!U3259</f>
        <v>0</v>
      </c>
    </row>
    <row r="3554" spans="2:2" ht="16.5" hidden="1">
      <c r="B3554" s="111">
        <f>+'Bldg+Dev'!U3260</f>
        <v>0</v>
      </c>
    </row>
    <row r="3555" spans="2:2" ht="16.5" hidden="1">
      <c r="B3555" s="111">
        <f>+'Bldg+Dev'!U3261</f>
        <v>0</v>
      </c>
    </row>
    <row r="3556" spans="2:2" ht="16.5" hidden="1">
      <c r="B3556" s="111">
        <f>+'Bldg+Dev'!U3262</f>
        <v>0</v>
      </c>
    </row>
    <row r="3557" spans="2:2" ht="16.5" hidden="1">
      <c r="B3557" s="111">
        <f>+'Bldg+Dev'!U3263</f>
        <v>0</v>
      </c>
    </row>
    <row r="3558" spans="2:2" ht="16.5" hidden="1">
      <c r="B3558" s="111">
        <f>+'Bldg+Dev'!U3264</f>
        <v>0</v>
      </c>
    </row>
    <row r="3559" spans="2:2" ht="16.5" hidden="1">
      <c r="B3559" s="111">
        <f>+'Bldg+Dev'!U3265</f>
        <v>0</v>
      </c>
    </row>
    <row r="3560" spans="2:2" ht="16.5" hidden="1">
      <c r="B3560" s="111">
        <f>+'Bldg+Dev'!U3266</f>
        <v>0</v>
      </c>
    </row>
    <row r="3561" spans="2:2" ht="16.5" hidden="1">
      <c r="B3561" s="111">
        <f>+'Bldg+Dev'!U3267</f>
        <v>0</v>
      </c>
    </row>
    <row r="3562" spans="2:2" ht="16.5" hidden="1">
      <c r="B3562" s="111">
        <f>+'Bldg+Dev'!U3268</f>
        <v>0</v>
      </c>
    </row>
    <row r="3563" spans="2:2" ht="16.5" hidden="1">
      <c r="B3563" s="111">
        <f>+'Bldg+Dev'!U3269</f>
        <v>0</v>
      </c>
    </row>
    <row r="3564" spans="2:2" ht="16.5" hidden="1">
      <c r="B3564" s="111">
        <f>+'Bldg+Dev'!U3270</f>
        <v>0</v>
      </c>
    </row>
    <row r="3565" spans="2:2" ht="16.5" hidden="1">
      <c r="B3565" s="111">
        <f>+'Bldg+Dev'!U3271</f>
        <v>0</v>
      </c>
    </row>
    <row r="3566" spans="2:2" ht="16.5" hidden="1">
      <c r="B3566" s="111">
        <f>+'Bldg+Dev'!U3272</f>
        <v>0</v>
      </c>
    </row>
    <row r="3567" spans="2:2" ht="16.5" hidden="1">
      <c r="B3567" s="111">
        <f>+'Bldg+Dev'!U3273</f>
        <v>0</v>
      </c>
    </row>
    <row r="3568" spans="2:2" ht="16.5" hidden="1">
      <c r="B3568" s="111">
        <f>+'Bldg+Dev'!U3274</f>
        <v>0</v>
      </c>
    </row>
    <row r="3569" spans="2:2" ht="16.5" hidden="1">
      <c r="B3569" s="111">
        <f>+'Bldg+Dev'!U3275</f>
        <v>0</v>
      </c>
    </row>
    <row r="3570" spans="2:2" ht="16.5" hidden="1">
      <c r="B3570" s="111">
        <f>+'Bldg+Dev'!U3276</f>
        <v>0</v>
      </c>
    </row>
    <row r="3571" spans="2:2" ht="16.5" hidden="1">
      <c r="B3571" s="111">
        <f>+'Bldg+Dev'!U3277</f>
        <v>0</v>
      </c>
    </row>
    <row r="3572" spans="2:2" ht="16.5" hidden="1">
      <c r="B3572" s="111">
        <f>+'Bldg+Dev'!U3278</f>
        <v>0</v>
      </c>
    </row>
    <row r="3573" spans="2:2" ht="16.5" hidden="1">
      <c r="B3573" s="111">
        <f>+'Bldg+Dev'!U3279</f>
        <v>0</v>
      </c>
    </row>
    <row r="3574" spans="2:2" ht="16.5" hidden="1">
      <c r="B3574" s="111">
        <f>+'Bldg+Dev'!U3280</f>
        <v>0</v>
      </c>
    </row>
    <row r="3575" spans="2:2" ht="16.5" hidden="1">
      <c r="B3575" s="111">
        <f>+'Bldg+Dev'!U3281</f>
        <v>0</v>
      </c>
    </row>
    <row r="3576" spans="2:2" ht="16.5" hidden="1">
      <c r="B3576" s="111">
        <f>+'Bldg+Dev'!U3282</f>
        <v>0</v>
      </c>
    </row>
    <row r="3577" spans="2:2" ht="16.5" hidden="1">
      <c r="B3577" s="111">
        <f>+'Bldg+Dev'!U3283</f>
        <v>0</v>
      </c>
    </row>
    <row r="3578" spans="2:2" ht="16.5" hidden="1">
      <c r="B3578" s="111">
        <f>+'Bldg+Dev'!U3284</f>
        <v>0</v>
      </c>
    </row>
    <row r="3579" spans="2:2" ht="16.5" hidden="1">
      <c r="B3579" s="111">
        <f>+'Bldg+Dev'!U3285</f>
        <v>0</v>
      </c>
    </row>
    <row r="3580" spans="2:2" ht="16.5" hidden="1">
      <c r="B3580" s="111">
        <f>+'Bldg+Dev'!U3286</f>
        <v>0</v>
      </c>
    </row>
    <row r="3581" spans="2:2" ht="16.5" hidden="1">
      <c r="B3581" s="111">
        <f>+'Bldg+Dev'!U3287</f>
        <v>0</v>
      </c>
    </row>
    <row r="3582" spans="2:2" ht="16.5" hidden="1">
      <c r="B3582" s="111">
        <f>+'Bldg+Dev'!U3288</f>
        <v>0</v>
      </c>
    </row>
    <row r="3583" spans="2:2" ht="16.5" hidden="1">
      <c r="B3583" s="111">
        <f>+'Bldg+Dev'!U3289</f>
        <v>0</v>
      </c>
    </row>
    <row r="3584" spans="2:2" ht="16.5" hidden="1">
      <c r="B3584" s="111">
        <f>+'Bldg+Dev'!U3290</f>
        <v>0</v>
      </c>
    </row>
    <row r="3585" spans="2:2" ht="16.5" hidden="1">
      <c r="B3585" s="111">
        <f>+'Bldg+Dev'!U3291</f>
        <v>0</v>
      </c>
    </row>
    <row r="3586" spans="2:2" ht="16.5" hidden="1">
      <c r="B3586" s="111">
        <f>+'Bldg+Dev'!U3292</f>
        <v>0</v>
      </c>
    </row>
    <row r="3587" spans="2:2" ht="16.5" hidden="1">
      <c r="B3587" s="111">
        <f>+'Bldg+Dev'!U3293</f>
        <v>0</v>
      </c>
    </row>
    <row r="3588" spans="2:2" ht="16.5" hidden="1">
      <c r="B3588" s="111">
        <f>+'Bldg+Dev'!U3294</f>
        <v>0</v>
      </c>
    </row>
    <row r="3589" spans="2:2" ht="16.5" hidden="1">
      <c r="B3589" s="111">
        <f>+'Bldg+Dev'!U3295</f>
        <v>0</v>
      </c>
    </row>
    <row r="3590" spans="2:2" ht="16.5" hidden="1">
      <c r="B3590" s="111">
        <f>+'Bldg+Dev'!U3296</f>
        <v>0</v>
      </c>
    </row>
    <row r="3591" spans="2:2" ht="16.5" hidden="1">
      <c r="B3591" s="111">
        <f>+'Bldg+Dev'!U3297</f>
        <v>0</v>
      </c>
    </row>
    <row r="3592" spans="2:2" ht="16.5" hidden="1">
      <c r="B3592" s="111">
        <f>+'Bldg+Dev'!U3298</f>
        <v>0</v>
      </c>
    </row>
    <row r="3593" spans="2:2" ht="16.5" hidden="1">
      <c r="B3593" s="111">
        <f>+'Bldg+Dev'!U3299</f>
        <v>0</v>
      </c>
    </row>
    <row r="3594" spans="2:2" ht="16.5" hidden="1">
      <c r="B3594" s="111">
        <f>+'Bldg+Dev'!U3300</f>
        <v>0</v>
      </c>
    </row>
    <row r="3595" spans="2:2" ht="16.5" hidden="1">
      <c r="B3595" s="111">
        <f>+'Bldg+Dev'!U3301</f>
        <v>0</v>
      </c>
    </row>
    <row r="3596" spans="2:2" ht="16.5" hidden="1">
      <c r="B3596" s="111">
        <f>+'Bldg+Dev'!U3302</f>
        <v>0</v>
      </c>
    </row>
    <row r="3597" spans="2:2" ht="16.5" hidden="1">
      <c r="B3597" s="111">
        <f>+'Bldg+Dev'!U3303</f>
        <v>0</v>
      </c>
    </row>
    <row r="3598" spans="2:2" ht="16.5" hidden="1">
      <c r="B3598" s="111">
        <f>+'Bldg+Dev'!U3304</f>
        <v>0</v>
      </c>
    </row>
    <row r="3599" spans="2:2" ht="16.5" hidden="1">
      <c r="B3599" s="111">
        <f>+'Bldg+Dev'!U3305</f>
        <v>0</v>
      </c>
    </row>
    <row r="3600" spans="2:2" ht="16.5" hidden="1">
      <c r="B3600" s="111">
        <f>+'Bldg+Dev'!U3306</f>
        <v>0</v>
      </c>
    </row>
    <row r="3601" spans="2:2" ht="16.5" hidden="1">
      <c r="B3601" s="111">
        <f>+'Bldg+Dev'!U3307</f>
        <v>0</v>
      </c>
    </row>
    <row r="3602" spans="2:2" ht="16.5" hidden="1">
      <c r="B3602" s="111">
        <f>+'Bldg+Dev'!U3308</f>
        <v>0</v>
      </c>
    </row>
    <row r="3603" spans="2:2" ht="16.5" hidden="1">
      <c r="B3603" s="111">
        <f>+'Bldg+Dev'!U3309</f>
        <v>0</v>
      </c>
    </row>
    <row r="3604" spans="2:2" ht="16.5" hidden="1">
      <c r="B3604" s="111">
        <f>+'Bldg+Dev'!U3310</f>
        <v>0</v>
      </c>
    </row>
    <row r="3605" spans="2:2" ht="16.5" hidden="1">
      <c r="B3605" s="111">
        <f>+'Bldg+Dev'!U3311</f>
        <v>0</v>
      </c>
    </row>
    <row r="3606" spans="2:2" ht="16.5" hidden="1">
      <c r="B3606" s="111">
        <f>+'Bldg+Dev'!U3312</f>
        <v>0</v>
      </c>
    </row>
    <row r="3607" spans="2:2" ht="16.5" hidden="1">
      <c r="B3607" s="111">
        <f>+'Bldg+Dev'!U3313</f>
        <v>0</v>
      </c>
    </row>
    <row r="3608" spans="2:2" ht="16.5" hidden="1">
      <c r="B3608" s="111">
        <f>+'Bldg+Dev'!U3314</f>
        <v>0</v>
      </c>
    </row>
    <row r="3609" spans="2:2" ht="16.5" hidden="1">
      <c r="B3609" s="111">
        <f>+'Bldg+Dev'!U3315</f>
        <v>0</v>
      </c>
    </row>
    <row r="3610" spans="2:2" ht="16.5" hidden="1">
      <c r="B3610" s="111">
        <f>+'Bldg+Dev'!U3316</f>
        <v>0</v>
      </c>
    </row>
    <row r="3611" spans="2:2" ht="16.5" hidden="1">
      <c r="B3611" s="111">
        <f>+'Bldg+Dev'!U3317</f>
        <v>0</v>
      </c>
    </row>
    <row r="3612" spans="2:2" ht="16.5" hidden="1">
      <c r="B3612" s="111">
        <f>+'Bldg+Dev'!U3318</f>
        <v>0</v>
      </c>
    </row>
    <row r="3613" spans="2:2" ht="16.5" hidden="1">
      <c r="B3613" s="111">
        <f>+'Bldg+Dev'!U3319</f>
        <v>0</v>
      </c>
    </row>
    <row r="3614" spans="2:2" ht="16.5" hidden="1">
      <c r="B3614" s="111">
        <f>+'Bldg+Dev'!U3320</f>
        <v>0</v>
      </c>
    </row>
    <row r="3615" spans="2:2" ht="16.5" hidden="1">
      <c r="B3615" s="111">
        <f>+'Bldg+Dev'!U3321</f>
        <v>0</v>
      </c>
    </row>
    <row r="3616" spans="2:2" ht="16.5" hidden="1">
      <c r="B3616" s="111">
        <f>+'Bldg+Dev'!U3322</f>
        <v>0</v>
      </c>
    </row>
    <row r="3617" spans="2:2" ht="16.5" hidden="1">
      <c r="B3617" s="111">
        <f>+'Bldg+Dev'!U3323</f>
        <v>0</v>
      </c>
    </row>
    <row r="3618" spans="2:2" ht="16.5" hidden="1">
      <c r="B3618" s="111">
        <f>+'Bldg+Dev'!U3324</f>
        <v>0</v>
      </c>
    </row>
    <row r="3619" spans="2:2" ht="16.5" hidden="1">
      <c r="B3619" s="111">
        <f>+'Bldg+Dev'!U3325</f>
        <v>0</v>
      </c>
    </row>
    <row r="3620" spans="2:2" ht="16.5" hidden="1">
      <c r="B3620" s="111">
        <f>+'Bldg+Dev'!U3326</f>
        <v>0</v>
      </c>
    </row>
    <row r="3621" spans="2:2" ht="16.5" hidden="1">
      <c r="B3621" s="111">
        <f>+'Bldg+Dev'!U3327</f>
        <v>0</v>
      </c>
    </row>
    <row r="3622" spans="2:2" ht="16.5" hidden="1">
      <c r="B3622" s="111">
        <f>+'Bldg+Dev'!U3328</f>
        <v>0</v>
      </c>
    </row>
    <row r="3623" spans="2:2" ht="16.5" hidden="1">
      <c r="B3623" s="111">
        <f>+'Bldg+Dev'!U3329</f>
        <v>0</v>
      </c>
    </row>
    <row r="3624" spans="2:2" ht="16.5" hidden="1">
      <c r="B3624" s="111">
        <f>+'Bldg+Dev'!U3330</f>
        <v>0</v>
      </c>
    </row>
    <row r="3625" spans="2:2" ht="16.5" hidden="1">
      <c r="B3625" s="111">
        <f>+'Bldg+Dev'!U3331</f>
        <v>0</v>
      </c>
    </row>
    <row r="3626" spans="2:2" ht="16.5" hidden="1">
      <c r="B3626" s="111">
        <f>+'Bldg+Dev'!U3332</f>
        <v>0</v>
      </c>
    </row>
    <row r="3627" spans="2:2" ht="16.5" hidden="1">
      <c r="B3627" s="111">
        <f>+'Bldg+Dev'!U3333</f>
        <v>0</v>
      </c>
    </row>
    <row r="3628" spans="2:2" ht="16.5" hidden="1">
      <c r="B3628" s="111">
        <f>+'Bldg+Dev'!U3334</f>
        <v>0</v>
      </c>
    </row>
    <row r="3629" spans="2:2" ht="16.5" hidden="1">
      <c r="B3629" s="111">
        <f>+'Bldg+Dev'!U3335</f>
        <v>0</v>
      </c>
    </row>
    <row r="3630" spans="2:2" ht="16.5" hidden="1">
      <c r="B3630" s="111">
        <f>+'Bldg+Dev'!U3336</f>
        <v>0</v>
      </c>
    </row>
    <row r="3631" spans="2:2" ht="16.5" hidden="1">
      <c r="B3631" s="111">
        <f>+'Bldg+Dev'!U3337</f>
        <v>0</v>
      </c>
    </row>
    <row r="3632" spans="2:2" ht="16.5" hidden="1">
      <c r="B3632" s="111">
        <f>+'Bldg+Dev'!U3338</f>
        <v>0</v>
      </c>
    </row>
    <row r="3633" spans="2:2" ht="16.5" hidden="1">
      <c r="B3633" s="111">
        <f>+'Bldg+Dev'!U3339</f>
        <v>0</v>
      </c>
    </row>
    <row r="3634" spans="2:2" ht="16.5" hidden="1">
      <c r="B3634" s="111">
        <f>+'Bldg+Dev'!U3340</f>
        <v>0</v>
      </c>
    </row>
    <row r="3635" spans="2:2" ht="16.5" hidden="1">
      <c r="B3635" s="111">
        <f>+'Bldg+Dev'!U3341</f>
        <v>0</v>
      </c>
    </row>
    <row r="3636" spans="2:2" ht="16.5" hidden="1">
      <c r="B3636" s="111">
        <f>+'Bldg+Dev'!U3342</f>
        <v>0</v>
      </c>
    </row>
    <row r="3637" spans="2:2" ht="16.5" hidden="1">
      <c r="B3637" s="111">
        <f>+'Bldg+Dev'!U3343</f>
        <v>0</v>
      </c>
    </row>
    <row r="3638" spans="2:2" ht="16.5" hidden="1">
      <c r="B3638" s="111">
        <f>+'Bldg+Dev'!U3344</f>
        <v>0</v>
      </c>
    </row>
    <row r="3639" spans="2:2" ht="16.5" hidden="1">
      <c r="B3639" s="111">
        <f>+'Bldg+Dev'!U3345</f>
        <v>0</v>
      </c>
    </row>
    <row r="3640" spans="2:2" ht="16.5" hidden="1">
      <c r="B3640" s="111">
        <f>+'Bldg+Dev'!U3346</f>
        <v>0</v>
      </c>
    </row>
    <row r="3641" spans="2:2" ht="16.5" hidden="1">
      <c r="B3641" s="111">
        <f>+'Bldg+Dev'!U3347</f>
        <v>0</v>
      </c>
    </row>
    <row r="3642" spans="2:2" ht="16.5" hidden="1">
      <c r="B3642" s="111">
        <f>+'Bldg+Dev'!U3348</f>
        <v>0</v>
      </c>
    </row>
    <row r="3643" spans="2:2" ht="16.5" hidden="1">
      <c r="B3643" s="111">
        <f>+'Bldg+Dev'!U3349</f>
        <v>0</v>
      </c>
    </row>
    <row r="3644" spans="2:2" ht="16.5" hidden="1">
      <c r="B3644" s="111">
        <f>+'Bldg+Dev'!U3350</f>
        <v>0</v>
      </c>
    </row>
    <row r="3645" spans="2:2" ht="16.5" hidden="1">
      <c r="B3645" s="111">
        <f>+'Bldg+Dev'!U3351</f>
        <v>0</v>
      </c>
    </row>
    <row r="3646" spans="2:2" ht="16.5" hidden="1">
      <c r="B3646" s="111">
        <f>+'Bldg+Dev'!U3352</f>
        <v>0</v>
      </c>
    </row>
    <row r="3647" spans="2:2" ht="16.5" hidden="1">
      <c r="B3647" s="111">
        <f>+'Bldg+Dev'!U3353</f>
        <v>0</v>
      </c>
    </row>
    <row r="3648" spans="2:2" ht="16.5" hidden="1">
      <c r="B3648" s="111">
        <f>+'Bldg+Dev'!U3354</f>
        <v>0</v>
      </c>
    </row>
    <row r="3649" spans="2:2" ht="16.5" hidden="1">
      <c r="B3649" s="111">
        <f>+'Bldg+Dev'!U3355</f>
        <v>0</v>
      </c>
    </row>
    <row r="3650" spans="2:2" ht="16.5" hidden="1">
      <c r="B3650" s="111">
        <f>+'Bldg+Dev'!U3356</f>
        <v>0</v>
      </c>
    </row>
    <row r="3651" spans="2:2" ht="16.5" hidden="1">
      <c r="B3651" s="111">
        <f>+'Bldg+Dev'!U3357</f>
        <v>0</v>
      </c>
    </row>
    <row r="3652" spans="2:2" ht="16.5" hidden="1">
      <c r="B3652" s="111">
        <f>+'Bldg+Dev'!U3358</f>
        <v>0</v>
      </c>
    </row>
    <row r="3653" spans="2:2" ht="16.5" hidden="1">
      <c r="B3653" s="111">
        <f>+'Bldg+Dev'!U3359</f>
        <v>0</v>
      </c>
    </row>
    <row r="3654" spans="2:2" ht="16.5" hidden="1">
      <c r="B3654" s="111">
        <f>+'Bldg+Dev'!U3360</f>
        <v>0</v>
      </c>
    </row>
    <row r="3655" spans="2:2" ht="16.5" hidden="1">
      <c r="B3655" s="111">
        <f>+'Bldg+Dev'!U3361</f>
        <v>0</v>
      </c>
    </row>
    <row r="3656" spans="2:2" ht="16.5" hidden="1">
      <c r="B3656" s="111">
        <f>+'Bldg+Dev'!U3362</f>
        <v>0</v>
      </c>
    </row>
    <row r="3657" spans="2:2" ht="16.5" hidden="1">
      <c r="B3657" s="111">
        <f>+'Bldg+Dev'!U3363</f>
        <v>0</v>
      </c>
    </row>
    <row r="3658" spans="2:2" ht="16.5" hidden="1">
      <c r="B3658" s="111">
        <f>+'Bldg+Dev'!U3364</f>
        <v>0</v>
      </c>
    </row>
    <row r="3659" spans="2:2" ht="16.5" hidden="1">
      <c r="B3659" s="111">
        <f>+'Bldg+Dev'!U3365</f>
        <v>0</v>
      </c>
    </row>
    <row r="3660" spans="2:2" ht="16.5" hidden="1">
      <c r="B3660" s="111">
        <f>+'Bldg+Dev'!U3366</f>
        <v>0</v>
      </c>
    </row>
    <row r="3661" spans="2:2" ht="16.5" hidden="1">
      <c r="B3661" s="111">
        <f>+'Bldg+Dev'!U3367</f>
        <v>0</v>
      </c>
    </row>
    <row r="3662" spans="2:2" ht="16.5" hidden="1">
      <c r="B3662" s="111">
        <f>+'Bldg+Dev'!U3368</f>
        <v>0</v>
      </c>
    </row>
    <row r="3663" spans="2:2" ht="16.5" hidden="1">
      <c r="B3663" s="111">
        <f>+'Bldg+Dev'!U3369</f>
        <v>0</v>
      </c>
    </row>
    <row r="3664" spans="2:2" ht="16.5" hidden="1">
      <c r="B3664" s="111">
        <f>+'Bldg+Dev'!U3370</f>
        <v>0</v>
      </c>
    </row>
    <row r="3665" spans="2:2" ht="16.5" hidden="1">
      <c r="B3665" s="111">
        <f>+'Bldg+Dev'!U3371</f>
        <v>0</v>
      </c>
    </row>
    <row r="3666" spans="2:2" ht="16.5" hidden="1">
      <c r="B3666" s="111">
        <f>+'Bldg+Dev'!U3372</f>
        <v>0</v>
      </c>
    </row>
    <row r="3667" spans="2:2" ht="16.5" hidden="1">
      <c r="B3667" s="111">
        <f>+'Bldg+Dev'!U3373</f>
        <v>0</v>
      </c>
    </row>
    <row r="3668" spans="2:2" ht="16.5" hidden="1">
      <c r="B3668" s="111">
        <f>+'Bldg+Dev'!U3374</f>
        <v>0</v>
      </c>
    </row>
    <row r="3669" spans="2:2" ht="16.5" hidden="1">
      <c r="B3669" s="111">
        <f>+'Bldg+Dev'!U3375</f>
        <v>0</v>
      </c>
    </row>
    <row r="3670" spans="2:2" ht="16.5" hidden="1">
      <c r="B3670" s="111">
        <f>+'Bldg+Dev'!U3376</f>
        <v>0</v>
      </c>
    </row>
    <row r="3671" spans="2:2" ht="16.5" hidden="1">
      <c r="B3671" s="111">
        <f>+'Bldg+Dev'!U3377</f>
        <v>0</v>
      </c>
    </row>
    <row r="3672" spans="2:2" ht="16.5" hidden="1">
      <c r="B3672" s="111">
        <f>+'Bldg+Dev'!U3378</f>
        <v>0</v>
      </c>
    </row>
    <row r="3673" spans="2:2" ht="16.5" hidden="1">
      <c r="B3673" s="111">
        <f>+'Bldg+Dev'!U3379</f>
        <v>0</v>
      </c>
    </row>
    <row r="3674" spans="2:2" ht="16.5" hidden="1">
      <c r="B3674" s="111">
        <f>+'Bldg+Dev'!U3380</f>
        <v>0</v>
      </c>
    </row>
    <row r="3675" spans="2:2" ht="16.5" hidden="1">
      <c r="B3675" s="111">
        <f>+'Bldg+Dev'!U3381</f>
        <v>0</v>
      </c>
    </row>
    <row r="3676" spans="2:2" ht="16.5" hidden="1">
      <c r="B3676" s="111">
        <f>+'Bldg+Dev'!U3382</f>
        <v>0</v>
      </c>
    </row>
    <row r="3677" spans="2:2" ht="16.5" hidden="1">
      <c r="B3677" s="111">
        <f>+'Bldg+Dev'!U3383</f>
        <v>0</v>
      </c>
    </row>
    <row r="3678" spans="2:2" ht="16.5" hidden="1">
      <c r="B3678" s="111">
        <f>+'Bldg+Dev'!U3384</f>
        <v>0</v>
      </c>
    </row>
    <row r="3679" spans="2:2" ht="16.5" hidden="1">
      <c r="B3679" s="111">
        <f>+'Bldg+Dev'!U3385</f>
        <v>0</v>
      </c>
    </row>
    <row r="3680" spans="2:2" ht="16.5" hidden="1">
      <c r="B3680" s="111">
        <f>+'Bldg+Dev'!U3386</f>
        <v>0</v>
      </c>
    </row>
    <row r="3681" spans="2:2" ht="16.5" hidden="1">
      <c r="B3681" s="111">
        <f>+'Bldg+Dev'!U3387</f>
        <v>0</v>
      </c>
    </row>
    <row r="3682" spans="2:2" ht="16.5" hidden="1">
      <c r="B3682" s="111">
        <f>+'Bldg+Dev'!U3388</f>
        <v>0</v>
      </c>
    </row>
    <row r="3683" spans="2:2" ht="16.5" hidden="1">
      <c r="B3683" s="111">
        <f>+'Bldg+Dev'!U3389</f>
        <v>0</v>
      </c>
    </row>
    <row r="3684" spans="2:2" ht="16.5" hidden="1">
      <c r="B3684" s="111">
        <f>+'Bldg+Dev'!U3390</f>
        <v>0</v>
      </c>
    </row>
    <row r="3685" spans="2:2" ht="16.5" hidden="1">
      <c r="B3685" s="111">
        <f>+'Bldg+Dev'!U3391</f>
        <v>0</v>
      </c>
    </row>
    <row r="3686" spans="2:2" ht="16.5" hidden="1">
      <c r="B3686" s="111">
        <f>+'Bldg+Dev'!U3392</f>
        <v>0</v>
      </c>
    </row>
    <row r="3687" spans="2:2" ht="16.5" hidden="1">
      <c r="B3687" s="111">
        <f>+'Bldg+Dev'!U3393</f>
        <v>0</v>
      </c>
    </row>
    <row r="3688" spans="2:2" ht="16.5" hidden="1">
      <c r="B3688" s="111">
        <f>+'Bldg+Dev'!U3394</f>
        <v>0</v>
      </c>
    </row>
    <row r="3689" spans="2:2" ht="16.5" hidden="1">
      <c r="B3689" s="111">
        <f>+'Bldg+Dev'!U3395</f>
        <v>0</v>
      </c>
    </row>
    <row r="3690" spans="2:2" ht="16.5" hidden="1">
      <c r="B3690" s="111">
        <f>+'Bldg+Dev'!U3396</f>
        <v>0</v>
      </c>
    </row>
    <row r="3691" spans="2:2" ht="16.5" hidden="1">
      <c r="B3691" s="111">
        <f>+'Bldg+Dev'!U3397</f>
        <v>0</v>
      </c>
    </row>
    <row r="3692" spans="2:2" ht="16.5" hidden="1">
      <c r="B3692" s="111">
        <f>+'Bldg+Dev'!U3398</f>
        <v>0</v>
      </c>
    </row>
    <row r="3693" spans="2:2" ht="16.5" hidden="1">
      <c r="B3693" s="111">
        <f>+'Bldg+Dev'!U3399</f>
        <v>0</v>
      </c>
    </row>
    <row r="3694" spans="2:2" ht="16.5" hidden="1">
      <c r="B3694" s="111">
        <f>+'Bldg+Dev'!U3400</f>
        <v>0</v>
      </c>
    </row>
    <row r="3695" spans="2:2" ht="16.5" hidden="1">
      <c r="B3695" s="111">
        <f>+'Bldg+Dev'!U3401</f>
        <v>0</v>
      </c>
    </row>
    <row r="3696" spans="2:2" ht="16.5" hidden="1">
      <c r="B3696" s="111">
        <f>+'Bldg+Dev'!U3402</f>
        <v>0</v>
      </c>
    </row>
    <row r="3697" spans="2:2" ht="16.5" hidden="1">
      <c r="B3697" s="111">
        <f>+'Bldg+Dev'!U3403</f>
        <v>0</v>
      </c>
    </row>
    <row r="3698" spans="2:2" ht="16.5" hidden="1">
      <c r="B3698" s="111">
        <f>+'Bldg+Dev'!U3404</f>
        <v>0</v>
      </c>
    </row>
    <row r="3699" spans="2:2" ht="16.5" hidden="1">
      <c r="B3699" s="111">
        <f>+'Bldg+Dev'!U3405</f>
        <v>0</v>
      </c>
    </row>
    <row r="3700" spans="2:2" ht="16.5" hidden="1">
      <c r="B3700" s="111">
        <f>+'Bldg+Dev'!U3406</f>
        <v>0</v>
      </c>
    </row>
    <row r="3701" spans="2:2" ht="16.5" hidden="1">
      <c r="B3701" s="111">
        <f>+'Bldg+Dev'!U3407</f>
        <v>0</v>
      </c>
    </row>
    <row r="3702" spans="2:2" ht="16.5" hidden="1">
      <c r="B3702" s="111">
        <f>+'Bldg+Dev'!U3408</f>
        <v>0</v>
      </c>
    </row>
    <row r="3703" spans="2:2" ht="16.5" hidden="1">
      <c r="B3703" s="111">
        <f>+'Bldg+Dev'!U3409</f>
        <v>0</v>
      </c>
    </row>
    <row r="3704" spans="2:2" ht="16.5" hidden="1">
      <c r="B3704" s="111">
        <f>+'Bldg+Dev'!U3410</f>
        <v>0</v>
      </c>
    </row>
    <row r="3705" spans="2:2" ht="16.5" hidden="1">
      <c r="B3705" s="111">
        <f>+'Bldg+Dev'!U3411</f>
        <v>0</v>
      </c>
    </row>
    <row r="3706" spans="2:2" ht="16.5" hidden="1">
      <c r="B3706" s="111">
        <f>+'Bldg+Dev'!U3412</f>
        <v>0</v>
      </c>
    </row>
    <row r="3707" spans="2:2" ht="16.5" hidden="1">
      <c r="B3707" s="111">
        <f>+'Bldg+Dev'!U3413</f>
        <v>0</v>
      </c>
    </row>
    <row r="3708" spans="2:2" ht="16.5" hidden="1">
      <c r="B3708" s="111">
        <f>+'Bldg+Dev'!U3414</f>
        <v>0</v>
      </c>
    </row>
    <row r="3709" spans="2:2" ht="16.5" hidden="1">
      <c r="B3709" s="111">
        <f>+'Bldg+Dev'!U3415</f>
        <v>0</v>
      </c>
    </row>
    <row r="3710" spans="2:2" ht="16.5" hidden="1">
      <c r="B3710" s="111">
        <f>+'Bldg+Dev'!U3416</f>
        <v>0</v>
      </c>
    </row>
    <row r="3711" spans="2:2" ht="16.5" hidden="1">
      <c r="B3711" s="111">
        <f>+'Bldg+Dev'!U3417</f>
        <v>0</v>
      </c>
    </row>
    <row r="3712" spans="2:2" ht="16.5" hidden="1">
      <c r="B3712" s="111">
        <f>+'Bldg+Dev'!U3418</f>
        <v>0</v>
      </c>
    </row>
    <row r="3713" spans="2:2" ht="16.5" hidden="1">
      <c r="B3713" s="111">
        <f>+'Bldg+Dev'!U3419</f>
        <v>0</v>
      </c>
    </row>
    <row r="3714" spans="2:2" ht="16.5" hidden="1">
      <c r="B3714" s="111">
        <f>+'Bldg+Dev'!U3420</f>
        <v>0</v>
      </c>
    </row>
    <row r="3715" spans="2:2" ht="16.5" hidden="1">
      <c r="B3715" s="111">
        <f>+'Bldg+Dev'!U3421</f>
        <v>0</v>
      </c>
    </row>
    <row r="3716" spans="2:2" ht="16.5" hidden="1">
      <c r="B3716" s="111">
        <f>+'Bldg+Dev'!U3422</f>
        <v>0</v>
      </c>
    </row>
    <row r="3717" spans="2:2" ht="16.5" hidden="1">
      <c r="B3717" s="111">
        <f>+'Bldg+Dev'!U3423</f>
        <v>0</v>
      </c>
    </row>
    <row r="3718" spans="2:2" ht="16.5" hidden="1">
      <c r="B3718" s="111">
        <f>+'Bldg+Dev'!U3424</f>
        <v>0</v>
      </c>
    </row>
    <row r="3719" spans="2:2" ht="16.5" hidden="1">
      <c r="B3719" s="111">
        <f>+'Bldg+Dev'!U3425</f>
        <v>0</v>
      </c>
    </row>
    <row r="3720" spans="2:2" ht="16.5" hidden="1">
      <c r="B3720" s="111">
        <f>+'Bldg+Dev'!U3426</f>
        <v>0</v>
      </c>
    </row>
    <row r="3721" spans="2:2" ht="16.5" hidden="1">
      <c r="B3721" s="111">
        <f>+'Bldg+Dev'!U3427</f>
        <v>0</v>
      </c>
    </row>
    <row r="3722" spans="2:2" ht="16.5" hidden="1">
      <c r="B3722" s="111">
        <f>+'Bldg+Dev'!U3428</f>
        <v>0</v>
      </c>
    </row>
    <row r="3723" spans="2:2" ht="16.5" hidden="1">
      <c r="B3723" s="111">
        <f>+'Bldg+Dev'!U3429</f>
        <v>0</v>
      </c>
    </row>
    <row r="3724" spans="2:2" ht="16.5" hidden="1">
      <c r="B3724" s="111">
        <f>+'Bldg+Dev'!U3430</f>
        <v>0</v>
      </c>
    </row>
    <row r="3725" spans="2:2" ht="16.5" hidden="1">
      <c r="B3725" s="111">
        <f>+'Bldg+Dev'!U3431</f>
        <v>0</v>
      </c>
    </row>
    <row r="3726" spans="2:2" ht="16.5" hidden="1">
      <c r="B3726" s="111">
        <f>+'Bldg+Dev'!U3432</f>
        <v>0</v>
      </c>
    </row>
    <row r="3727" spans="2:2" ht="16.5" hidden="1">
      <c r="B3727" s="111">
        <f>+'Bldg+Dev'!U3433</f>
        <v>0</v>
      </c>
    </row>
    <row r="3728" spans="2:2" ht="16.5" hidden="1">
      <c r="B3728" s="111">
        <f>+'Bldg+Dev'!U3434</f>
        <v>0</v>
      </c>
    </row>
    <row r="3729" spans="2:2" ht="16.5" hidden="1">
      <c r="B3729" s="111">
        <f>+'Bldg+Dev'!U3435</f>
        <v>0</v>
      </c>
    </row>
    <row r="3730" spans="2:2" ht="16.5" hidden="1">
      <c r="B3730" s="111">
        <f>+'Bldg+Dev'!U3436</f>
        <v>0</v>
      </c>
    </row>
    <row r="3731" spans="2:2" ht="16.5" hidden="1">
      <c r="B3731" s="111">
        <f>+'Bldg+Dev'!U3437</f>
        <v>0</v>
      </c>
    </row>
    <row r="3732" spans="2:2" ht="16.5" hidden="1">
      <c r="B3732" s="111">
        <f>+'Bldg+Dev'!U3438</f>
        <v>0</v>
      </c>
    </row>
    <row r="3733" spans="2:2" ht="16.5" hidden="1">
      <c r="B3733" s="111">
        <f>+'Bldg+Dev'!U3439</f>
        <v>0</v>
      </c>
    </row>
    <row r="3734" spans="2:2" ht="16.5" hidden="1">
      <c r="B3734" s="111">
        <f>+'Bldg+Dev'!U3440</f>
        <v>0</v>
      </c>
    </row>
    <row r="3735" spans="2:2" ht="16.5" hidden="1">
      <c r="B3735" s="111">
        <f>+'Bldg+Dev'!U3441</f>
        <v>0</v>
      </c>
    </row>
    <row r="3736" spans="2:2" ht="16.5" hidden="1">
      <c r="B3736" s="111">
        <f>+'Bldg+Dev'!U3442</f>
        <v>0</v>
      </c>
    </row>
    <row r="3737" spans="2:2" ht="16.5" hidden="1">
      <c r="B3737" s="111">
        <f>+'Bldg+Dev'!U3443</f>
        <v>0</v>
      </c>
    </row>
    <row r="3738" spans="2:2" ht="16.5" hidden="1">
      <c r="B3738" s="111">
        <f>+'Bldg+Dev'!U3444</f>
        <v>0</v>
      </c>
    </row>
    <row r="3739" spans="2:2" ht="16.5" hidden="1">
      <c r="B3739" s="111">
        <f>+'Bldg+Dev'!U3445</f>
        <v>0</v>
      </c>
    </row>
    <row r="3740" spans="2:2" ht="16.5" hidden="1">
      <c r="B3740" s="111">
        <f>+'Bldg+Dev'!U3446</f>
        <v>0</v>
      </c>
    </row>
    <row r="3741" spans="2:2" ht="16.5" hidden="1">
      <c r="B3741" s="111">
        <f>+'Bldg+Dev'!U3447</f>
        <v>0</v>
      </c>
    </row>
    <row r="3742" spans="2:2" ht="16.5" hidden="1">
      <c r="B3742" s="111">
        <f>+'Bldg+Dev'!U3448</f>
        <v>0</v>
      </c>
    </row>
    <row r="3743" spans="2:2" ht="16.5" hidden="1">
      <c r="B3743" s="111">
        <f>+'Bldg+Dev'!U3449</f>
        <v>0</v>
      </c>
    </row>
    <row r="3744" spans="2:2" ht="16.5" hidden="1">
      <c r="B3744" s="111">
        <f>+'Bldg+Dev'!U3450</f>
        <v>0</v>
      </c>
    </row>
    <row r="3745" spans="2:2" ht="16.5" hidden="1">
      <c r="B3745" s="111">
        <f>+'Bldg+Dev'!U3451</f>
        <v>0</v>
      </c>
    </row>
    <row r="3746" spans="2:2" ht="16.5" hidden="1">
      <c r="B3746" s="111">
        <f>+'Bldg+Dev'!U3452</f>
        <v>0</v>
      </c>
    </row>
    <row r="3747" spans="2:2" ht="16.5" hidden="1">
      <c r="B3747" s="111">
        <f>+'Bldg+Dev'!U3453</f>
        <v>0</v>
      </c>
    </row>
    <row r="3748" spans="2:2" ht="16.5" hidden="1">
      <c r="B3748" s="111">
        <f>+'Bldg+Dev'!U3454</f>
        <v>0</v>
      </c>
    </row>
    <row r="3749" spans="2:2" ht="16.5" hidden="1">
      <c r="B3749" s="111">
        <f>+'Bldg+Dev'!U3455</f>
        <v>0</v>
      </c>
    </row>
    <row r="3750" spans="2:2" ht="16.5" hidden="1">
      <c r="B3750" s="111">
        <f>+'Bldg+Dev'!U3456</f>
        <v>0</v>
      </c>
    </row>
    <row r="3751" spans="2:2" ht="16.5" hidden="1">
      <c r="B3751" s="111">
        <f>+'Bldg+Dev'!U3457</f>
        <v>0</v>
      </c>
    </row>
    <row r="3752" spans="2:2" ht="16.5" hidden="1">
      <c r="B3752" s="111">
        <f>+'Bldg+Dev'!U3458</f>
        <v>0</v>
      </c>
    </row>
    <row r="3753" spans="2:2" ht="16.5" hidden="1">
      <c r="B3753" s="111">
        <f>+'Bldg+Dev'!U3459</f>
        <v>0</v>
      </c>
    </row>
    <row r="3754" spans="2:2" ht="16.5" hidden="1">
      <c r="B3754" s="111">
        <f>+'Bldg+Dev'!U3460</f>
        <v>0</v>
      </c>
    </row>
    <row r="3755" spans="2:2" ht="16.5" hidden="1">
      <c r="B3755" s="111">
        <f>+'Bldg+Dev'!U3461</f>
        <v>0</v>
      </c>
    </row>
    <row r="3756" spans="2:2" ht="16.5" hidden="1">
      <c r="B3756" s="111">
        <f>+'Bldg+Dev'!U3462</f>
        <v>0</v>
      </c>
    </row>
    <row r="3757" spans="2:2" ht="16.5" hidden="1">
      <c r="B3757" s="111">
        <f>+'Bldg+Dev'!U3463</f>
        <v>0</v>
      </c>
    </row>
    <row r="3758" spans="2:2" ht="16.5" hidden="1">
      <c r="B3758" s="111">
        <f>+'Bldg+Dev'!U3464</f>
        <v>0</v>
      </c>
    </row>
    <row r="3759" spans="2:2" ht="16.5" hidden="1">
      <c r="B3759" s="111">
        <f>+'Bldg+Dev'!U3465</f>
        <v>0</v>
      </c>
    </row>
    <row r="3760" spans="2:2" ht="16.5" hidden="1">
      <c r="B3760" s="111">
        <f>+'Bldg+Dev'!U3466</f>
        <v>0</v>
      </c>
    </row>
    <row r="3761" spans="2:2" ht="16.5" hidden="1">
      <c r="B3761" s="111">
        <f>+'Bldg+Dev'!U3467</f>
        <v>0</v>
      </c>
    </row>
    <row r="3762" spans="2:2" ht="16.5" hidden="1">
      <c r="B3762" s="111">
        <f>+'Bldg+Dev'!U3468</f>
        <v>0</v>
      </c>
    </row>
    <row r="3763" spans="2:2" ht="16.5" hidden="1">
      <c r="B3763" s="111">
        <f>+'Bldg+Dev'!U3469</f>
        <v>0</v>
      </c>
    </row>
    <row r="3764" spans="2:2" ht="16.5" hidden="1">
      <c r="B3764" s="111">
        <f>+'Bldg+Dev'!U3470</f>
        <v>0</v>
      </c>
    </row>
    <row r="3765" spans="2:2" ht="16.5" hidden="1">
      <c r="B3765" s="111">
        <f>+'Bldg+Dev'!U3471</f>
        <v>0</v>
      </c>
    </row>
    <row r="3766" spans="2:2" ht="16.5" hidden="1">
      <c r="B3766" s="111">
        <f>+'Bldg+Dev'!U3472</f>
        <v>0</v>
      </c>
    </row>
    <row r="3767" spans="2:2" ht="16.5" hidden="1">
      <c r="B3767" s="111">
        <f>+'Bldg+Dev'!U3473</f>
        <v>0</v>
      </c>
    </row>
    <row r="3768" spans="2:2" ht="16.5" hidden="1">
      <c r="B3768" s="111">
        <f>+'Bldg+Dev'!U3474</f>
        <v>0</v>
      </c>
    </row>
    <row r="3769" spans="2:2" ht="16.5" hidden="1">
      <c r="B3769" s="111">
        <f>+'Bldg+Dev'!U3475</f>
        <v>0</v>
      </c>
    </row>
    <row r="3770" spans="2:2" ht="16.5" hidden="1">
      <c r="B3770" s="111">
        <f>+'Bldg+Dev'!U3476</f>
        <v>0</v>
      </c>
    </row>
    <row r="3771" spans="2:2" ht="16.5" hidden="1">
      <c r="B3771" s="111">
        <f>+'Bldg+Dev'!U3477</f>
        <v>0</v>
      </c>
    </row>
    <row r="3772" spans="2:2" ht="16.5" hidden="1">
      <c r="B3772" s="111">
        <f>+'Bldg+Dev'!U3478</f>
        <v>0</v>
      </c>
    </row>
    <row r="3773" spans="2:2" ht="16.5" hidden="1">
      <c r="B3773" s="111">
        <f>+'Bldg+Dev'!U3479</f>
        <v>0</v>
      </c>
    </row>
    <row r="3774" spans="2:2" ht="16.5" hidden="1">
      <c r="B3774" s="111">
        <f>+'Bldg+Dev'!U3480</f>
        <v>0</v>
      </c>
    </row>
    <row r="3775" spans="2:2" ht="16.5" hidden="1">
      <c r="B3775" s="111">
        <f>+'Bldg+Dev'!U3481</f>
        <v>0</v>
      </c>
    </row>
    <row r="3776" spans="2:2" ht="16.5" hidden="1">
      <c r="B3776" s="111">
        <f>+'Bldg+Dev'!U3482</f>
        <v>0</v>
      </c>
    </row>
    <row r="3777" spans="2:2" ht="16.5" hidden="1">
      <c r="B3777" s="111">
        <f>+'Bldg+Dev'!U3483</f>
        <v>0</v>
      </c>
    </row>
    <row r="3778" spans="2:2" ht="16.5" hidden="1">
      <c r="B3778" s="111">
        <f>+'Bldg+Dev'!U3484</f>
        <v>0</v>
      </c>
    </row>
    <row r="3779" spans="2:2" ht="16.5" hidden="1">
      <c r="B3779" s="111">
        <f>+'Bldg+Dev'!U3485</f>
        <v>0</v>
      </c>
    </row>
    <row r="3780" spans="2:2" ht="16.5" hidden="1">
      <c r="B3780" s="111">
        <f>+'Bldg+Dev'!U3486</f>
        <v>0</v>
      </c>
    </row>
    <row r="3781" spans="2:2" ht="16.5" hidden="1">
      <c r="B3781" s="111">
        <f>+'Bldg+Dev'!U3487</f>
        <v>0</v>
      </c>
    </row>
    <row r="3782" spans="2:2" ht="16.5" hidden="1">
      <c r="B3782" s="111">
        <f>+'Bldg+Dev'!U3488</f>
        <v>0</v>
      </c>
    </row>
    <row r="3783" spans="2:2" ht="16.5" hidden="1">
      <c r="B3783" s="111">
        <f>+'Bldg+Dev'!U3489</f>
        <v>0</v>
      </c>
    </row>
    <row r="3784" spans="2:2" ht="16.5" hidden="1">
      <c r="B3784" s="111">
        <f>+'Bldg+Dev'!U3490</f>
        <v>0</v>
      </c>
    </row>
    <row r="3785" spans="2:2" ht="16.5" hidden="1">
      <c r="B3785" s="111">
        <f>+'Bldg+Dev'!U3491</f>
        <v>0</v>
      </c>
    </row>
    <row r="3786" spans="2:2" ht="16.5" hidden="1">
      <c r="B3786" s="111">
        <f>+'Bldg+Dev'!U3492</f>
        <v>0</v>
      </c>
    </row>
    <row r="3787" spans="2:2" ht="16.5" hidden="1">
      <c r="B3787" s="111">
        <f>+'Bldg+Dev'!U3493</f>
        <v>0</v>
      </c>
    </row>
    <row r="3788" spans="2:2" ht="16.5" hidden="1">
      <c r="B3788" s="111">
        <f>+'Bldg+Dev'!U3494</f>
        <v>0</v>
      </c>
    </row>
    <row r="3789" spans="2:2" ht="16.5" hidden="1">
      <c r="B3789" s="111">
        <f>+'Bldg+Dev'!U3495</f>
        <v>0</v>
      </c>
    </row>
    <row r="3790" spans="2:2" ht="16.5" hidden="1">
      <c r="B3790" s="111">
        <f>+'Bldg+Dev'!U3496</f>
        <v>0</v>
      </c>
    </row>
    <row r="3791" spans="2:2" ht="16.5" hidden="1">
      <c r="B3791" s="111">
        <f>+'Bldg+Dev'!U3497</f>
        <v>0</v>
      </c>
    </row>
    <row r="3792" spans="2:2" ht="16.5" hidden="1">
      <c r="B3792" s="111">
        <f>+'Bldg+Dev'!U3498</f>
        <v>0</v>
      </c>
    </row>
    <row r="3793" spans="2:2" ht="16.5" hidden="1">
      <c r="B3793" s="111">
        <f>+'Bldg+Dev'!U3499</f>
        <v>0</v>
      </c>
    </row>
    <row r="3794" spans="2:2" ht="16.5" hidden="1">
      <c r="B3794" s="111">
        <f>+'Bldg+Dev'!U3500</f>
        <v>0</v>
      </c>
    </row>
    <row r="3795" spans="2:2" ht="16.5" hidden="1">
      <c r="B3795" s="111">
        <f>+'Bldg+Dev'!U3501</f>
        <v>0</v>
      </c>
    </row>
    <row r="3796" spans="2:2" ht="16.5" hidden="1">
      <c r="B3796" s="111">
        <f>+'Bldg+Dev'!U3502</f>
        <v>0</v>
      </c>
    </row>
    <row r="3797" spans="2:2" ht="16.5" hidden="1">
      <c r="B3797" s="111">
        <f>+'Bldg+Dev'!U3503</f>
        <v>0</v>
      </c>
    </row>
    <row r="3798" spans="2:2" ht="16.5" hidden="1">
      <c r="B3798" s="111">
        <f>+'Bldg+Dev'!U3504</f>
        <v>0</v>
      </c>
    </row>
    <row r="3799" spans="2:2" ht="16.5" hidden="1">
      <c r="B3799" s="111">
        <f>+'Bldg+Dev'!U3505</f>
        <v>0</v>
      </c>
    </row>
    <row r="3800" spans="2:2" ht="16.5" hidden="1">
      <c r="B3800" s="111">
        <f>+'Bldg+Dev'!U3506</f>
        <v>0</v>
      </c>
    </row>
    <row r="3801" spans="2:2" ht="16.5" hidden="1">
      <c r="B3801" s="111">
        <f>+'Bldg+Dev'!U3507</f>
        <v>0</v>
      </c>
    </row>
    <row r="3802" spans="2:2" ht="16.5" hidden="1">
      <c r="B3802" s="111">
        <f>+'Bldg+Dev'!U3508</f>
        <v>0</v>
      </c>
    </row>
    <row r="3803" spans="2:2" ht="16.5" hidden="1">
      <c r="B3803" s="111">
        <f>+'Bldg+Dev'!U3509</f>
        <v>0</v>
      </c>
    </row>
    <row r="3804" spans="2:2" ht="16.5" hidden="1">
      <c r="B3804" s="111">
        <f>+'Bldg+Dev'!U3510</f>
        <v>0</v>
      </c>
    </row>
    <row r="3805" spans="2:2" ht="16.5" hidden="1">
      <c r="B3805" s="111">
        <f>+'Bldg+Dev'!U3511</f>
        <v>0</v>
      </c>
    </row>
    <row r="3806" spans="2:2" ht="16.5" hidden="1">
      <c r="B3806" s="111">
        <f>+'Bldg+Dev'!U3512</f>
        <v>0</v>
      </c>
    </row>
    <row r="3807" spans="2:2" ht="16.5" hidden="1">
      <c r="B3807" s="111">
        <f>+'Bldg+Dev'!U3513</f>
        <v>0</v>
      </c>
    </row>
    <row r="3808" spans="2:2" ht="16.5" hidden="1">
      <c r="B3808" s="111">
        <f>+'Bldg+Dev'!U3514</f>
        <v>0</v>
      </c>
    </row>
    <row r="3809" spans="2:2" ht="16.5" hidden="1">
      <c r="B3809" s="111">
        <f>+'Bldg+Dev'!U3515</f>
        <v>0</v>
      </c>
    </row>
    <row r="3810" spans="2:2" ht="16.5" hidden="1">
      <c r="B3810" s="111">
        <f>+'Bldg+Dev'!U3516</f>
        <v>0</v>
      </c>
    </row>
    <row r="3811" spans="2:2" ht="16.5" hidden="1">
      <c r="B3811" s="111">
        <f>+'Bldg+Dev'!U3517</f>
        <v>0</v>
      </c>
    </row>
    <row r="3812" spans="2:2" ht="16.5" hidden="1">
      <c r="B3812" s="111">
        <f>+'Bldg+Dev'!U3518</f>
        <v>0</v>
      </c>
    </row>
    <row r="3813" spans="2:2" ht="16.5" hidden="1">
      <c r="B3813" s="111">
        <f>+'Bldg+Dev'!U3519</f>
        <v>0</v>
      </c>
    </row>
    <row r="3814" spans="2:2" ht="16.5" hidden="1">
      <c r="B3814" s="111">
        <f>+'Bldg+Dev'!U3520</f>
        <v>0</v>
      </c>
    </row>
    <row r="3815" spans="2:2" ht="16.5" hidden="1">
      <c r="B3815" s="111">
        <f>+'Bldg+Dev'!U3521</f>
        <v>0</v>
      </c>
    </row>
    <row r="3816" spans="2:2" ht="16.5" hidden="1">
      <c r="B3816" s="111">
        <f>+'Bldg+Dev'!U3522</f>
        <v>0</v>
      </c>
    </row>
    <row r="3817" spans="2:2" ht="16.5" hidden="1">
      <c r="B3817" s="111">
        <f>+'Bldg+Dev'!U3523</f>
        <v>0</v>
      </c>
    </row>
    <row r="3818" spans="2:2" ht="16.5" hidden="1">
      <c r="B3818" s="111">
        <f>+'Bldg+Dev'!U3524</f>
        <v>0</v>
      </c>
    </row>
    <row r="3819" spans="2:2" ht="16.5" hidden="1">
      <c r="B3819" s="111">
        <f>+'Bldg+Dev'!U3525</f>
        <v>0</v>
      </c>
    </row>
    <row r="3820" spans="2:2" ht="16.5" hidden="1">
      <c r="B3820" s="111">
        <f>+'Bldg+Dev'!U3526</f>
        <v>0</v>
      </c>
    </row>
    <row r="3821" spans="2:2" ht="16.5" hidden="1">
      <c r="B3821" s="111">
        <f>+'Bldg+Dev'!U3527</f>
        <v>0</v>
      </c>
    </row>
    <row r="3822" spans="2:2" ht="16.5" hidden="1">
      <c r="B3822" s="111">
        <f>+'Bldg+Dev'!U3528</f>
        <v>0</v>
      </c>
    </row>
    <row r="3823" spans="2:2" ht="16.5" hidden="1">
      <c r="B3823" s="111">
        <f>+'Bldg+Dev'!U3529</f>
        <v>0</v>
      </c>
    </row>
    <row r="3824" spans="2:2" ht="16.5" hidden="1">
      <c r="B3824" s="111">
        <f>+'Bldg+Dev'!U3530</f>
        <v>0</v>
      </c>
    </row>
    <row r="3825" spans="2:2" ht="16.5" hidden="1">
      <c r="B3825" s="111">
        <f>+'Bldg+Dev'!U3531</f>
        <v>0</v>
      </c>
    </row>
    <row r="3826" spans="2:2" ht="16.5" hidden="1">
      <c r="B3826" s="111">
        <f>+'Bldg+Dev'!U3532</f>
        <v>0</v>
      </c>
    </row>
    <row r="3827" spans="2:2" ht="16.5" hidden="1">
      <c r="B3827" s="111">
        <f>+'Bldg+Dev'!U3533</f>
        <v>0</v>
      </c>
    </row>
    <row r="3828" spans="2:2" ht="16.5" hidden="1">
      <c r="B3828" s="111">
        <f>+'Bldg+Dev'!U3534</f>
        <v>0</v>
      </c>
    </row>
    <row r="3829" spans="2:2" ht="16.5" hidden="1">
      <c r="B3829" s="111">
        <f>+'Bldg+Dev'!U3535</f>
        <v>0</v>
      </c>
    </row>
    <row r="3830" spans="2:2" ht="16.5" hidden="1">
      <c r="B3830" s="111">
        <f>+'Bldg+Dev'!U3536</f>
        <v>0</v>
      </c>
    </row>
    <row r="3831" spans="2:2" ht="16.5" hidden="1">
      <c r="B3831" s="111">
        <f>+'Bldg+Dev'!U3537</f>
        <v>0</v>
      </c>
    </row>
    <row r="3832" spans="2:2" ht="16.5" hidden="1">
      <c r="B3832" s="111">
        <f>+'Bldg+Dev'!U3538</f>
        <v>0</v>
      </c>
    </row>
    <row r="3833" spans="2:2" ht="16.5" hidden="1">
      <c r="B3833" s="111">
        <f>+'Bldg+Dev'!U3539</f>
        <v>0</v>
      </c>
    </row>
    <row r="3834" spans="2:2" ht="16.5" hidden="1">
      <c r="B3834" s="111">
        <f>+'Bldg+Dev'!U3540</f>
        <v>0</v>
      </c>
    </row>
    <row r="3835" spans="2:2" ht="16.5" hidden="1">
      <c r="B3835" s="111">
        <f>+'Bldg+Dev'!U3541</f>
        <v>0</v>
      </c>
    </row>
    <row r="3836" spans="2:2" ht="16.5" hidden="1">
      <c r="B3836" s="111">
        <f>+'Bldg+Dev'!U3542</f>
        <v>0</v>
      </c>
    </row>
    <row r="3837" spans="2:2" ht="16.5" hidden="1">
      <c r="B3837" s="111">
        <f>+'Bldg+Dev'!U3543</f>
        <v>0</v>
      </c>
    </row>
    <row r="3838" spans="2:2" ht="16.5" hidden="1">
      <c r="B3838" s="111">
        <f>+'Bldg+Dev'!U3544</f>
        <v>0</v>
      </c>
    </row>
    <row r="3839" spans="2:2" ht="16.5" hidden="1">
      <c r="B3839" s="111">
        <f>+'Bldg+Dev'!U3545</f>
        <v>0</v>
      </c>
    </row>
    <row r="3840" spans="2:2" ht="16.5" hidden="1">
      <c r="B3840" s="111">
        <f>+'Bldg+Dev'!U3546</f>
        <v>0</v>
      </c>
    </row>
    <row r="3841" spans="2:2" ht="16.5" hidden="1">
      <c r="B3841" s="111">
        <f>+'Bldg+Dev'!U3547</f>
        <v>0</v>
      </c>
    </row>
    <row r="3842" spans="2:2" ht="16.5" hidden="1">
      <c r="B3842" s="111">
        <f>+'Bldg+Dev'!U3548</f>
        <v>0</v>
      </c>
    </row>
    <row r="3843" spans="2:2" ht="16.5" hidden="1">
      <c r="B3843" s="111">
        <f>+'Bldg+Dev'!U3549</f>
        <v>0</v>
      </c>
    </row>
    <row r="3844" spans="2:2" ht="16.5" hidden="1">
      <c r="B3844" s="111">
        <f>+'Bldg+Dev'!U3550</f>
        <v>0</v>
      </c>
    </row>
    <row r="3845" spans="2:2" ht="16.5" hidden="1">
      <c r="B3845" s="111">
        <f>+'Bldg+Dev'!U3551</f>
        <v>0</v>
      </c>
    </row>
    <row r="3846" spans="2:2" ht="16.5" hidden="1">
      <c r="B3846" s="111">
        <f>+'Bldg+Dev'!U3552</f>
        <v>0</v>
      </c>
    </row>
    <row r="3847" spans="2:2" ht="16.5" hidden="1">
      <c r="B3847" s="111">
        <f>+'Bldg+Dev'!U3553</f>
        <v>0</v>
      </c>
    </row>
    <row r="3848" spans="2:2" ht="16.5" hidden="1">
      <c r="B3848" s="111">
        <f>+'Bldg+Dev'!U3554</f>
        <v>0</v>
      </c>
    </row>
    <row r="3849" spans="2:2" ht="16.5" hidden="1">
      <c r="B3849" s="111">
        <f>+'Bldg+Dev'!U3555</f>
        <v>0</v>
      </c>
    </row>
    <row r="3850" spans="2:2" ht="16.5" hidden="1">
      <c r="B3850" s="111">
        <f>+'Bldg+Dev'!U3556</f>
        <v>0</v>
      </c>
    </row>
    <row r="3851" spans="2:2" ht="16.5" hidden="1">
      <c r="B3851" s="111">
        <f>+'Bldg+Dev'!U3557</f>
        <v>0</v>
      </c>
    </row>
    <row r="3852" spans="2:2" ht="16.5" hidden="1">
      <c r="B3852" s="111">
        <f>+'Bldg+Dev'!U3558</f>
        <v>0</v>
      </c>
    </row>
    <row r="3853" spans="2:2" ht="16.5" hidden="1">
      <c r="B3853" s="111">
        <f>+'Bldg+Dev'!U3559</f>
        <v>0</v>
      </c>
    </row>
    <row r="3854" spans="2:2" ht="16.5" hidden="1">
      <c r="B3854" s="111">
        <f>+'Bldg+Dev'!U3560</f>
        <v>0</v>
      </c>
    </row>
    <row r="3855" spans="2:2" ht="16.5" hidden="1">
      <c r="B3855" s="111">
        <f>+'Bldg+Dev'!U3561</f>
        <v>0</v>
      </c>
    </row>
    <row r="3856" spans="2:2" ht="16.5" hidden="1">
      <c r="B3856" s="111">
        <f>+'Bldg+Dev'!U3562</f>
        <v>0</v>
      </c>
    </row>
    <row r="3857" spans="2:2" ht="16.5" hidden="1">
      <c r="B3857" s="111">
        <f>+'Bldg+Dev'!U3563</f>
        <v>0</v>
      </c>
    </row>
    <row r="3858" spans="2:2" ht="16.5" hidden="1">
      <c r="B3858" s="111">
        <f>+'Bldg+Dev'!U3564</f>
        <v>0</v>
      </c>
    </row>
    <row r="3859" spans="2:2" ht="16.5" hidden="1">
      <c r="B3859" s="111">
        <f>+'Bldg+Dev'!U3565</f>
        <v>0</v>
      </c>
    </row>
    <row r="3860" spans="2:2" ht="16.5" hidden="1">
      <c r="B3860" s="111">
        <f>+'Bldg+Dev'!U3566</f>
        <v>0</v>
      </c>
    </row>
    <row r="3861" spans="2:2" ht="16.5" hidden="1">
      <c r="B3861" s="111">
        <f>+'Bldg+Dev'!U3567</f>
        <v>0</v>
      </c>
    </row>
    <row r="3862" spans="2:2" ht="16.5" hidden="1">
      <c r="B3862" s="111">
        <f>+'Bldg+Dev'!U3568</f>
        <v>0</v>
      </c>
    </row>
    <row r="3863" spans="2:2" ht="16.5" hidden="1">
      <c r="B3863" s="111">
        <f>+'Bldg+Dev'!U3569</f>
        <v>0</v>
      </c>
    </row>
    <row r="3864" spans="2:2" ht="16.5" hidden="1">
      <c r="B3864" s="111">
        <f>+'Bldg+Dev'!U3570</f>
        <v>0</v>
      </c>
    </row>
    <row r="3865" spans="2:2" ht="16.5" hidden="1">
      <c r="B3865" s="111">
        <f>+'Bldg+Dev'!U3571</f>
        <v>0</v>
      </c>
    </row>
    <row r="3866" spans="2:2" ht="16.5" hidden="1">
      <c r="B3866" s="111">
        <f>+'Bldg+Dev'!U3572</f>
        <v>0</v>
      </c>
    </row>
    <row r="3867" spans="2:2" ht="16.5" hidden="1">
      <c r="B3867" s="111">
        <f>+'Bldg+Dev'!U3573</f>
        <v>0</v>
      </c>
    </row>
    <row r="3868" spans="2:2" ht="16.5" hidden="1">
      <c r="B3868" s="111">
        <f>+'Bldg+Dev'!U3574</f>
        <v>0</v>
      </c>
    </row>
    <row r="3869" spans="2:2" ht="16.5" hidden="1">
      <c r="B3869" s="111">
        <f>+'Bldg+Dev'!U3575</f>
        <v>0</v>
      </c>
    </row>
    <row r="3870" spans="2:2" ht="16.5" hidden="1">
      <c r="B3870" s="111">
        <f>+'Bldg+Dev'!U3576</f>
        <v>0</v>
      </c>
    </row>
    <row r="3871" spans="2:2" ht="16.5" hidden="1">
      <c r="B3871" s="111">
        <f>+'Bldg+Dev'!U3577</f>
        <v>0</v>
      </c>
    </row>
    <row r="3872" spans="2:2" ht="16.5" hidden="1">
      <c r="B3872" s="111">
        <f>+'Bldg+Dev'!U3578</f>
        <v>0</v>
      </c>
    </row>
    <row r="3873" spans="2:2" ht="16.5" hidden="1">
      <c r="B3873" s="111">
        <f>+'Bldg+Dev'!U3579</f>
        <v>0</v>
      </c>
    </row>
    <row r="3874" spans="2:2" ht="16.5" hidden="1">
      <c r="B3874" s="111">
        <f>+'Bldg+Dev'!U3580</f>
        <v>0</v>
      </c>
    </row>
    <row r="3875" spans="2:2" ht="16.5" hidden="1">
      <c r="B3875" s="111">
        <f>+'Bldg+Dev'!U3581</f>
        <v>0</v>
      </c>
    </row>
    <row r="3876" spans="2:2" ht="16.5" hidden="1">
      <c r="B3876" s="111">
        <f>+'Bldg+Dev'!U3582</f>
        <v>0</v>
      </c>
    </row>
    <row r="3877" spans="2:2" ht="16.5" hidden="1">
      <c r="B3877" s="111">
        <f>+'Bldg+Dev'!U3583</f>
        <v>0</v>
      </c>
    </row>
    <row r="3878" spans="2:2" ht="16.5" hidden="1">
      <c r="B3878" s="111">
        <f>+'Bldg+Dev'!U3584</f>
        <v>0</v>
      </c>
    </row>
    <row r="3879" spans="2:2" ht="16.5" hidden="1">
      <c r="B3879" s="111">
        <f>+'Bldg+Dev'!U3585</f>
        <v>0</v>
      </c>
    </row>
    <row r="3880" spans="2:2" ht="16.5" hidden="1">
      <c r="B3880" s="111">
        <f>+'Bldg+Dev'!U3586</f>
        <v>0</v>
      </c>
    </row>
    <row r="3881" spans="2:2" ht="16.5" hidden="1">
      <c r="B3881" s="111">
        <f>+'Bldg+Dev'!U3587</f>
        <v>0</v>
      </c>
    </row>
    <row r="3882" spans="2:2" ht="16.5" hidden="1">
      <c r="B3882" s="111">
        <f>+'Bldg+Dev'!U3588</f>
        <v>0</v>
      </c>
    </row>
    <row r="3883" spans="2:2" ht="16.5" hidden="1">
      <c r="B3883" s="111">
        <f>+'Bldg+Dev'!U3589</f>
        <v>0</v>
      </c>
    </row>
    <row r="3884" spans="2:2" ht="16.5" hidden="1">
      <c r="B3884" s="111">
        <f>+'Bldg+Dev'!U3590</f>
        <v>0</v>
      </c>
    </row>
    <row r="3885" spans="2:2" ht="16.5" hidden="1">
      <c r="B3885" s="111">
        <f>+'Bldg+Dev'!U3591</f>
        <v>0</v>
      </c>
    </row>
    <row r="3886" spans="2:2" ht="16.5" hidden="1">
      <c r="B3886" s="111">
        <f>+'Bldg+Dev'!U3592</f>
        <v>0</v>
      </c>
    </row>
    <row r="3887" spans="2:2" ht="16.5" hidden="1">
      <c r="B3887" s="111">
        <f>+'Bldg+Dev'!U3593</f>
        <v>0</v>
      </c>
    </row>
    <row r="3888" spans="2:2" ht="16.5" hidden="1">
      <c r="B3888" s="111">
        <f>+'Bldg+Dev'!U3594</f>
        <v>0</v>
      </c>
    </row>
    <row r="3889" spans="2:2" ht="16.5" hidden="1">
      <c r="B3889" s="111">
        <f>+'Bldg+Dev'!U3595</f>
        <v>0</v>
      </c>
    </row>
    <row r="3890" spans="2:2" ht="16.5" hidden="1">
      <c r="B3890" s="111">
        <f>+'Bldg+Dev'!U3596</f>
        <v>0</v>
      </c>
    </row>
    <row r="3891" spans="2:2" ht="16.5" hidden="1">
      <c r="B3891" s="111">
        <f>+'Bldg+Dev'!U3597</f>
        <v>0</v>
      </c>
    </row>
    <row r="3892" spans="2:2" ht="16.5" hidden="1">
      <c r="B3892" s="111">
        <f>+'Bldg+Dev'!U3598</f>
        <v>0</v>
      </c>
    </row>
    <row r="3893" spans="2:2" ht="16.5" hidden="1">
      <c r="B3893" s="111">
        <f>+'Bldg+Dev'!U3599</f>
        <v>0</v>
      </c>
    </row>
    <row r="3894" spans="2:2" ht="16.5" hidden="1">
      <c r="B3894" s="111">
        <f>+'Bldg+Dev'!U3600</f>
        <v>0</v>
      </c>
    </row>
    <row r="3895" spans="2:2" ht="16.5" hidden="1">
      <c r="B3895" s="111">
        <f>+'Bldg+Dev'!U3601</f>
        <v>0</v>
      </c>
    </row>
    <row r="3896" spans="2:2" ht="16.5" hidden="1">
      <c r="B3896" s="111">
        <f>+'Bldg+Dev'!U3602</f>
        <v>0</v>
      </c>
    </row>
    <row r="3897" spans="2:2" ht="16.5" hidden="1">
      <c r="B3897" s="111">
        <f>+'Bldg+Dev'!U3603</f>
        <v>0</v>
      </c>
    </row>
    <row r="3898" spans="2:2" ht="16.5" hidden="1">
      <c r="B3898" s="111">
        <f>+'Bldg+Dev'!U3604</f>
        <v>0</v>
      </c>
    </row>
    <row r="3899" spans="2:2" ht="16.5" hidden="1">
      <c r="B3899" s="111">
        <f>+'Bldg+Dev'!U3605</f>
        <v>0</v>
      </c>
    </row>
    <row r="3900" spans="2:2" ht="16.5" hidden="1">
      <c r="B3900" s="111">
        <f>+'Bldg+Dev'!U3606</f>
        <v>0</v>
      </c>
    </row>
    <row r="3901" spans="2:2" ht="16.5" hidden="1">
      <c r="B3901" s="111">
        <f>+'Bldg+Dev'!U3607</f>
        <v>0</v>
      </c>
    </row>
    <row r="3902" spans="2:2" ht="16.5" hidden="1">
      <c r="B3902" s="111">
        <f>+'Bldg+Dev'!U3608</f>
        <v>0</v>
      </c>
    </row>
    <row r="3903" spans="2:2" ht="16.5" hidden="1">
      <c r="B3903" s="111">
        <f>+'Bldg+Dev'!U3609</f>
        <v>0</v>
      </c>
    </row>
    <row r="3904" spans="2:2" ht="16.5" hidden="1">
      <c r="B3904" s="111">
        <f>+'Bldg+Dev'!U3610</f>
        <v>0</v>
      </c>
    </row>
    <row r="3905" spans="2:2" ht="16.5" hidden="1">
      <c r="B3905" s="111">
        <f>+'Bldg+Dev'!U3611</f>
        <v>0</v>
      </c>
    </row>
    <row r="3906" spans="2:2" ht="16.5" hidden="1">
      <c r="B3906" s="111">
        <f>+'Bldg+Dev'!U3612</f>
        <v>0</v>
      </c>
    </row>
    <row r="3907" spans="2:2" ht="16.5" hidden="1">
      <c r="B3907" s="111">
        <f>+'Bldg+Dev'!U3613</f>
        <v>0</v>
      </c>
    </row>
    <row r="3908" spans="2:2" ht="16.5" hidden="1">
      <c r="B3908" s="111">
        <f>+'Bldg+Dev'!U3614</f>
        <v>0</v>
      </c>
    </row>
    <row r="3909" spans="2:2" ht="16.5" hidden="1">
      <c r="B3909" s="111">
        <f>+'Bldg+Dev'!U3615</f>
        <v>0</v>
      </c>
    </row>
    <row r="3910" spans="2:2" ht="16.5" hidden="1">
      <c r="B3910" s="111">
        <f>+'Bldg+Dev'!U3616</f>
        <v>0</v>
      </c>
    </row>
    <row r="3911" spans="2:2" ht="16.5" hidden="1">
      <c r="B3911" s="111">
        <f>+'Bldg+Dev'!U3617</f>
        <v>0</v>
      </c>
    </row>
    <row r="3912" spans="2:2" ht="16.5" hidden="1">
      <c r="B3912" s="111">
        <f>+'Bldg+Dev'!U3618</f>
        <v>0</v>
      </c>
    </row>
    <row r="3913" spans="2:2" ht="16.5" hidden="1">
      <c r="B3913" s="111">
        <f>+'Bldg+Dev'!U3619</f>
        <v>0</v>
      </c>
    </row>
    <row r="3914" spans="2:2" ht="16.5" hidden="1">
      <c r="B3914" s="111">
        <f>+'Bldg+Dev'!U3620</f>
        <v>0</v>
      </c>
    </row>
    <row r="3915" spans="2:2" ht="16.5" hidden="1">
      <c r="B3915" s="111">
        <f>+'Bldg+Dev'!U3621</f>
        <v>0</v>
      </c>
    </row>
    <row r="3916" spans="2:2" ht="16.5" hidden="1">
      <c r="B3916" s="111">
        <f>+'Bldg+Dev'!U3622</f>
        <v>0</v>
      </c>
    </row>
    <row r="3917" spans="2:2" ht="16.5" hidden="1">
      <c r="B3917" s="111">
        <f>+'Bldg+Dev'!U3623</f>
        <v>0</v>
      </c>
    </row>
    <row r="3918" spans="2:2" ht="16.5" hidden="1">
      <c r="B3918" s="111">
        <f>+'Bldg+Dev'!U3624</f>
        <v>0</v>
      </c>
    </row>
    <row r="3919" spans="2:2" ht="16.5" hidden="1">
      <c r="B3919" s="111">
        <f>+'Bldg+Dev'!U3625</f>
        <v>0</v>
      </c>
    </row>
    <row r="3920" spans="2:2" ht="16.5" hidden="1">
      <c r="B3920" s="111">
        <f>+'Bldg+Dev'!U3626</f>
        <v>0</v>
      </c>
    </row>
    <row r="3921" spans="2:2" ht="16.5" hidden="1">
      <c r="B3921" s="111">
        <f>+'Bldg+Dev'!U3627</f>
        <v>0</v>
      </c>
    </row>
    <row r="3922" spans="2:2" ht="16.5" hidden="1">
      <c r="B3922" s="111">
        <f>+'Bldg+Dev'!U3628</f>
        <v>0</v>
      </c>
    </row>
    <row r="3923" spans="2:2" ht="16.5" hidden="1">
      <c r="B3923" s="111">
        <f>+'Bldg+Dev'!U3629</f>
        <v>0</v>
      </c>
    </row>
    <row r="3924" spans="2:2" ht="16.5" hidden="1">
      <c r="B3924" s="111">
        <f>+'Bldg+Dev'!U3630</f>
        <v>0</v>
      </c>
    </row>
    <row r="3925" spans="2:2" ht="16.5" hidden="1">
      <c r="B3925" s="111">
        <f>+'Bldg+Dev'!U3631</f>
        <v>0</v>
      </c>
    </row>
    <row r="3926" spans="2:2" ht="16.5" hidden="1">
      <c r="B3926" s="111">
        <f>+'Bldg+Dev'!U3632</f>
        <v>0</v>
      </c>
    </row>
    <row r="3927" spans="2:2" ht="16.5" hidden="1">
      <c r="B3927" s="111">
        <f>+'Bldg+Dev'!U3633</f>
        <v>0</v>
      </c>
    </row>
    <row r="3928" spans="2:2" ht="16.5" hidden="1">
      <c r="B3928" s="111">
        <f>+'Bldg+Dev'!U3634</f>
        <v>0</v>
      </c>
    </row>
    <row r="3929" spans="2:2" ht="16.5" hidden="1">
      <c r="B3929" s="111">
        <f>+'Bldg+Dev'!U3635</f>
        <v>0</v>
      </c>
    </row>
    <row r="3930" spans="2:2" ht="16.5" hidden="1">
      <c r="B3930" s="111">
        <f>+'Bldg+Dev'!U3636</f>
        <v>0</v>
      </c>
    </row>
    <row r="3931" spans="2:2" ht="16.5" hidden="1">
      <c r="B3931" s="111">
        <f>+'Bldg+Dev'!U3637</f>
        <v>0</v>
      </c>
    </row>
    <row r="3932" spans="2:2" ht="16.5" hidden="1">
      <c r="B3932" s="111">
        <f>+'Bldg+Dev'!U3638</f>
        <v>0</v>
      </c>
    </row>
    <row r="3933" spans="2:2" ht="16.5" hidden="1">
      <c r="B3933" s="111">
        <f>+'Bldg+Dev'!U3639</f>
        <v>0</v>
      </c>
    </row>
    <row r="3934" spans="2:2" ht="16.5" hidden="1">
      <c r="B3934" s="111">
        <f>+'Bldg+Dev'!U3640</f>
        <v>0</v>
      </c>
    </row>
    <row r="3935" spans="2:2" ht="16.5" hidden="1">
      <c r="B3935" s="111">
        <f>+'Bldg+Dev'!U3641</f>
        <v>0</v>
      </c>
    </row>
    <row r="3936" spans="2:2" ht="16.5" hidden="1">
      <c r="B3936" s="111">
        <f>+'Bldg+Dev'!U3642</f>
        <v>0</v>
      </c>
    </row>
    <row r="3937" spans="2:2" ht="16.5" hidden="1">
      <c r="B3937" s="111">
        <f>+'Bldg+Dev'!U3643</f>
        <v>0</v>
      </c>
    </row>
    <row r="3938" spans="2:2" ht="16.5" hidden="1">
      <c r="B3938" s="111">
        <f>+'Bldg+Dev'!U3644</f>
        <v>0</v>
      </c>
    </row>
    <row r="3939" spans="2:2" ht="16.5" hidden="1">
      <c r="B3939" s="111">
        <f>+'Bldg+Dev'!U3645</f>
        <v>0</v>
      </c>
    </row>
    <row r="3940" spans="2:2" ht="16.5" hidden="1">
      <c r="B3940" s="111">
        <f>+'Bldg+Dev'!U3646</f>
        <v>0</v>
      </c>
    </row>
    <row r="3941" spans="2:2" ht="16.5" hidden="1">
      <c r="B3941" s="111">
        <f>+'Bldg+Dev'!U3647</f>
        <v>0</v>
      </c>
    </row>
    <row r="3942" spans="2:2" ht="16.5" hidden="1">
      <c r="B3942" s="111">
        <f>+'Bldg+Dev'!U3648</f>
        <v>0</v>
      </c>
    </row>
    <row r="3943" spans="2:2" ht="16.5" hidden="1">
      <c r="B3943" s="111">
        <f>+'Bldg+Dev'!U3649</f>
        <v>0</v>
      </c>
    </row>
    <row r="3944" spans="2:2" ht="16.5" hidden="1">
      <c r="B3944" s="111">
        <f>+'Bldg+Dev'!U3650</f>
        <v>0</v>
      </c>
    </row>
    <row r="3945" spans="2:2" ht="16.5" hidden="1">
      <c r="B3945" s="111">
        <f>+'Bldg+Dev'!U3651</f>
        <v>0</v>
      </c>
    </row>
    <row r="3946" spans="2:2" ht="16.5" hidden="1">
      <c r="B3946" s="111">
        <f>+'Bldg+Dev'!U3652</f>
        <v>0</v>
      </c>
    </row>
    <row r="3947" spans="2:2" ht="16.5" hidden="1">
      <c r="B3947" s="111">
        <f>+'Bldg+Dev'!U3653</f>
        <v>0</v>
      </c>
    </row>
    <row r="3948" spans="2:2" ht="16.5" hidden="1">
      <c r="B3948" s="111">
        <f>+'Bldg+Dev'!U3654</f>
        <v>0</v>
      </c>
    </row>
    <row r="3949" spans="2:2" ht="16.5" hidden="1">
      <c r="B3949" s="111">
        <f>+'Bldg+Dev'!U3655</f>
        <v>0</v>
      </c>
    </row>
    <row r="3950" spans="2:2" ht="16.5" hidden="1">
      <c r="B3950" s="111">
        <f>+'Bldg+Dev'!U3656</f>
        <v>0</v>
      </c>
    </row>
    <row r="3951" spans="2:2" ht="16.5" hidden="1">
      <c r="B3951" s="111">
        <f>+'Bldg+Dev'!U3657</f>
        <v>0</v>
      </c>
    </row>
    <row r="3952" spans="2:2" ht="16.5" hidden="1">
      <c r="B3952" s="111">
        <f>+'Bldg+Dev'!U3658</f>
        <v>0</v>
      </c>
    </row>
    <row r="3953" spans="2:2" ht="16.5" hidden="1">
      <c r="B3953" s="111">
        <f>+'Bldg+Dev'!U3659</f>
        <v>0</v>
      </c>
    </row>
    <row r="3954" spans="2:2" ht="16.5" hidden="1">
      <c r="B3954" s="111">
        <f>+'Bldg+Dev'!U3660</f>
        <v>0</v>
      </c>
    </row>
    <row r="3955" spans="2:2" ht="16.5" hidden="1">
      <c r="B3955" s="111">
        <f>+'Bldg+Dev'!U3661</f>
        <v>0</v>
      </c>
    </row>
    <row r="3956" spans="2:2" ht="16.5" hidden="1">
      <c r="B3956" s="111">
        <f>+'Bldg+Dev'!U3662</f>
        <v>0</v>
      </c>
    </row>
    <row r="3957" spans="2:2" ht="16.5" hidden="1">
      <c r="B3957" s="111">
        <f>+'Bldg+Dev'!U3663</f>
        <v>0</v>
      </c>
    </row>
    <row r="3958" spans="2:2" ht="16.5" hidden="1">
      <c r="B3958" s="111">
        <f>+'Bldg+Dev'!U3664</f>
        <v>0</v>
      </c>
    </row>
    <row r="3959" spans="2:2" ht="16.5" hidden="1">
      <c r="B3959" s="111">
        <f>+'Bldg+Dev'!U3665</f>
        <v>0</v>
      </c>
    </row>
    <row r="3960" spans="2:2" ht="16.5" hidden="1">
      <c r="B3960" s="111">
        <f>+'Bldg+Dev'!U3666</f>
        <v>0</v>
      </c>
    </row>
    <row r="3961" spans="2:2" ht="16.5" hidden="1">
      <c r="B3961" s="111">
        <f>+'Bldg+Dev'!U3667</f>
        <v>0</v>
      </c>
    </row>
    <row r="3962" spans="2:2" ht="16.5" hidden="1">
      <c r="B3962" s="111">
        <f>+'Bldg+Dev'!U3668</f>
        <v>0</v>
      </c>
    </row>
    <row r="3963" spans="2:2" ht="16.5" hidden="1">
      <c r="B3963" s="111">
        <f>+'Bldg+Dev'!U3669</f>
        <v>0</v>
      </c>
    </row>
    <row r="3964" spans="2:2" ht="16.5" hidden="1">
      <c r="B3964" s="111">
        <f>+'Bldg+Dev'!U3670</f>
        <v>0</v>
      </c>
    </row>
    <row r="3965" spans="2:2" ht="16.5" hidden="1">
      <c r="B3965" s="111">
        <f>+'Bldg+Dev'!U3671</f>
        <v>0</v>
      </c>
    </row>
    <row r="3966" spans="2:2" ht="16.5" hidden="1">
      <c r="B3966" s="111">
        <f>+'Bldg+Dev'!U3672</f>
        <v>0</v>
      </c>
    </row>
    <row r="3967" spans="2:2" ht="16.5" hidden="1">
      <c r="B3967" s="111">
        <f>+'Bldg+Dev'!U3673</f>
        <v>0</v>
      </c>
    </row>
    <row r="3968" spans="2:2" ht="16.5" hidden="1">
      <c r="B3968" s="111">
        <f>+'Bldg+Dev'!U3674</f>
        <v>0</v>
      </c>
    </row>
    <row r="3969" spans="2:2" ht="16.5" hidden="1">
      <c r="B3969" s="111">
        <f>+'Bldg+Dev'!U3675</f>
        <v>0</v>
      </c>
    </row>
    <row r="3970" spans="2:2" ht="16.5" hidden="1">
      <c r="B3970" s="111">
        <f>+'Bldg+Dev'!U3676</f>
        <v>0</v>
      </c>
    </row>
    <row r="3971" spans="2:2" ht="16.5" hidden="1">
      <c r="B3971" s="111">
        <f>+'Bldg+Dev'!U3677</f>
        <v>0</v>
      </c>
    </row>
    <row r="3972" spans="2:2" ht="16.5" hidden="1">
      <c r="B3972" s="111">
        <f>+'Bldg+Dev'!U3678</f>
        <v>0</v>
      </c>
    </row>
    <row r="3973" spans="2:2" ht="16.5" hidden="1">
      <c r="B3973" s="111">
        <f>+'Bldg+Dev'!U3679</f>
        <v>0</v>
      </c>
    </row>
    <row r="3974" spans="2:2" ht="16.5" hidden="1">
      <c r="B3974" s="111">
        <f>+'Bldg+Dev'!U3680</f>
        <v>0</v>
      </c>
    </row>
    <row r="3975" spans="2:2" ht="16.5" hidden="1">
      <c r="B3975" s="111">
        <f>+'Bldg+Dev'!U3681</f>
        <v>0</v>
      </c>
    </row>
    <row r="3976" spans="2:2" ht="16.5" hidden="1">
      <c r="B3976" s="111">
        <f>+'Bldg+Dev'!U3682</f>
        <v>0</v>
      </c>
    </row>
    <row r="3977" spans="2:2" ht="16.5" hidden="1">
      <c r="B3977" s="111">
        <f>+'Bldg+Dev'!U3683</f>
        <v>0</v>
      </c>
    </row>
    <row r="3978" spans="2:2" ht="16.5" hidden="1">
      <c r="B3978" s="111">
        <f>+'Bldg+Dev'!U3684</f>
        <v>0</v>
      </c>
    </row>
    <row r="3979" spans="2:2" ht="16.5" hidden="1">
      <c r="B3979" s="111">
        <f>+'Bldg+Dev'!U3685</f>
        <v>0</v>
      </c>
    </row>
    <row r="3980" spans="2:2" ht="16.5" hidden="1">
      <c r="B3980" s="111">
        <f>+'Bldg+Dev'!U3686</f>
        <v>0</v>
      </c>
    </row>
    <row r="3981" spans="2:2" ht="16.5" hidden="1">
      <c r="B3981" s="111">
        <f>+'Bldg+Dev'!U3687</f>
        <v>0</v>
      </c>
    </row>
    <row r="3982" spans="2:2" ht="16.5" hidden="1">
      <c r="B3982" s="111">
        <f>+'Bldg+Dev'!U3688</f>
        <v>0</v>
      </c>
    </row>
    <row r="3983" spans="2:2" ht="16.5" hidden="1">
      <c r="B3983" s="111">
        <f>+'Bldg+Dev'!U3689</f>
        <v>0</v>
      </c>
    </row>
    <row r="3984" spans="2:2" ht="16.5" hidden="1">
      <c r="B3984" s="111">
        <f>+'Bldg+Dev'!U3690</f>
        <v>0</v>
      </c>
    </row>
    <row r="3985" spans="2:2" ht="16.5" hidden="1">
      <c r="B3985" s="111">
        <f>+'Bldg+Dev'!U3691</f>
        <v>0</v>
      </c>
    </row>
    <row r="3986" spans="2:2" ht="16.5" hidden="1">
      <c r="B3986" s="111">
        <f>+'Bldg+Dev'!U3692</f>
        <v>0</v>
      </c>
    </row>
    <row r="3987" spans="2:2" ht="16.5" hidden="1">
      <c r="B3987" s="111">
        <f>+'Bldg+Dev'!U3693</f>
        <v>0</v>
      </c>
    </row>
    <row r="3988" spans="2:2" ht="16.5" hidden="1">
      <c r="B3988" s="111">
        <f>+'Bldg+Dev'!U3694</f>
        <v>0</v>
      </c>
    </row>
    <row r="3989" spans="2:2" ht="16.5" hidden="1">
      <c r="B3989" s="111">
        <f>+'Bldg+Dev'!U3695</f>
        <v>0</v>
      </c>
    </row>
    <row r="3990" spans="2:2" ht="16.5" hidden="1">
      <c r="B3990" s="111">
        <f>+'Bldg+Dev'!U3696</f>
        <v>0</v>
      </c>
    </row>
    <row r="3991" spans="2:2" ht="16.5" hidden="1">
      <c r="B3991" s="111">
        <f>+'Bldg+Dev'!U3697</f>
        <v>0</v>
      </c>
    </row>
    <row r="3992" spans="2:2" ht="16.5" hidden="1">
      <c r="B3992" s="111">
        <f>+'Bldg+Dev'!U3698</f>
        <v>0</v>
      </c>
    </row>
    <row r="3993" spans="2:2" ht="16.5" hidden="1">
      <c r="B3993" s="111">
        <f>+'Bldg+Dev'!U3699</f>
        <v>0</v>
      </c>
    </row>
    <row r="3994" spans="2:2" ht="16.5" hidden="1">
      <c r="B3994" s="111">
        <f>+'Bldg+Dev'!U3700</f>
        <v>0</v>
      </c>
    </row>
    <row r="3995" spans="2:2" ht="16.5" hidden="1">
      <c r="B3995" s="111">
        <f>+'Bldg+Dev'!U3701</f>
        <v>0</v>
      </c>
    </row>
    <row r="3996" spans="2:2" ht="16.5" hidden="1">
      <c r="B3996" s="111">
        <f>+'Bldg+Dev'!U3702</f>
        <v>0</v>
      </c>
    </row>
    <row r="3997" spans="2:2" ht="16.5" hidden="1">
      <c r="B3997" s="111">
        <f>+'Bldg+Dev'!U3703</f>
        <v>0</v>
      </c>
    </row>
    <row r="3998" spans="2:2" ht="16.5" hidden="1">
      <c r="B3998" s="111">
        <f>+'Bldg+Dev'!U3704</f>
        <v>0</v>
      </c>
    </row>
    <row r="3999" spans="2:2" ht="16.5" hidden="1">
      <c r="B3999" s="111">
        <f>+'Bldg+Dev'!U3705</f>
        <v>0</v>
      </c>
    </row>
    <row r="4000" spans="2:2" ht="16.5" hidden="1">
      <c r="B4000" s="111">
        <f>+'Bldg+Dev'!U3706</f>
        <v>0</v>
      </c>
    </row>
    <row r="4001" spans="2:2" ht="16.5" hidden="1">
      <c r="B4001" s="111">
        <f>+'Bldg+Dev'!U3707</f>
        <v>0</v>
      </c>
    </row>
    <row r="4002" spans="2:2" ht="16.5" hidden="1">
      <c r="B4002" s="111">
        <f>+'Bldg+Dev'!U3708</f>
        <v>0</v>
      </c>
    </row>
    <row r="4003" spans="2:2" ht="16.5" hidden="1">
      <c r="B4003" s="111">
        <f>+'Bldg+Dev'!U3709</f>
        <v>0</v>
      </c>
    </row>
    <row r="4004" spans="2:2" ht="16.5" hidden="1">
      <c r="B4004" s="111">
        <f>+'Bldg+Dev'!U3710</f>
        <v>0</v>
      </c>
    </row>
    <row r="4005" spans="2:2" ht="16.5" hidden="1">
      <c r="B4005" s="111">
        <f>+'Bldg+Dev'!U3711</f>
        <v>0</v>
      </c>
    </row>
    <row r="4006" spans="2:2" ht="16.5" hidden="1">
      <c r="B4006" s="111">
        <f>+'Bldg+Dev'!U3712</f>
        <v>0</v>
      </c>
    </row>
    <row r="4007" spans="2:2" ht="16.5" hidden="1">
      <c r="B4007" s="111">
        <f>+'Bldg+Dev'!U3713</f>
        <v>0</v>
      </c>
    </row>
    <row r="4008" spans="2:2" ht="16.5" hidden="1">
      <c r="B4008" s="111">
        <f>+'Bldg+Dev'!U3714</f>
        <v>0</v>
      </c>
    </row>
    <row r="4009" spans="2:2" ht="16.5" hidden="1">
      <c r="B4009" s="111">
        <f>+'Bldg+Dev'!U3715</f>
        <v>0</v>
      </c>
    </row>
    <row r="4010" spans="2:2" ht="16.5" hidden="1">
      <c r="B4010" s="111">
        <f>+'Bldg+Dev'!U3716</f>
        <v>0</v>
      </c>
    </row>
    <row r="4011" spans="2:2" ht="16.5" hidden="1">
      <c r="B4011" s="111">
        <f>+'Bldg+Dev'!U3717</f>
        <v>0</v>
      </c>
    </row>
    <row r="4012" spans="2:2" ht="16.5" hidden="1">
      <c r="B4012" s="111">
        <f>+'Bldg+Dev'!U3718</f>
        <v>0</v>
      </c>
    </row>
    <row r="4013" spans="2:2" ht="16.5" hidden="1">
      <c r="B4013" s="111">
        <f>+'Bldg+Dev'!U3719</f>
        <v>0</v>
      </c>
    </row>
    <row r="4014" spans="2:2" ht="16.5" hidden="1">
      <c r="B4014" s="111">
        <f>+'Bldg+Dev'!U3720</f>
        <v>0</v>
      </c>
    </row>
    <row r="4015" spans="2:2" ht="16.5" hidden="1">
      <c r="B4015" s="111">
        <f>+'Bldg+Dev'!U3721</f>
        <v>0</v>
      </c>
    </row>
    <row r="4016" spans="2:2" ht="16.5" hidden="1">
      <c r="B4016" s="111">
        <f>+'Bldg+Dev'!U3722</f>
        <v>0</v>
      </c>
    </row>
    <row r="4017" spans="2:2" ht="16.5" hidden="1">
      <c r="B4017" s="111">
        <f>+'Bldg+Dev'!U3723</f>
        <v>0</v>
      </c>
    </row>
    <row r="4018" spans="2:2" ht="16.5" hidden="1">
      <c r="B4018" s="111">
        <f>+'Bldg+Dev'!U3724</f>
        <v>0</v>
      </c>
    </row>
    <row r="4019" spans="2:2" ht="16.5" hidden="1">
      <c r="B4019" s="111">
        <f>+'Bldg+Dev'!U3725</f>
        <v>0</v>
      </c>
    </row>
    <row r="4020" spans="2:2" ht="16.5" hidden="1">
      <c r="B4020" s="111">
        <f>+'Bldg+Dev'!U3726</f>
        <v>0</v>
      </c>
    </row>
    <row r="4021" spans="2:2" ht="16.5" hidden="1">
      <c r="B4021" s="111">
        <f>+'Bldg+Dev'!U3727</f>
        <v>0</v>
      </c>
    </row>
    <row r="4022" spans="2:2" ht="16.5" hidden="1">
      <c r="B4022" s="111">
        <f>+'Bldg+Dev'!U3728</f>
        <v>0</v>
      </c>
    </row>
    <row r="4023" spans="2:2" ht="16.5" hidden="1">
      <c r="B4023" s="111">
        <f>+'Bldg+Dev'!U3729</f>
        <v>0</v>
      </c>
    </row>
    <row r="4024" spans="2:2" ht="16.5" hidden="1">
      <c r="B4024" s="111">
        <f>+'Bldg+Dev'!U3730</f>
        <v>0</v>
      </c>
    </row>
    <row r="4025" spans="2:2" ht="16.5" hidden="1">
      <c r="B4025" s="111">
        <f>+'Bldg+Dev'!U3731</f>
        <v>0</v>
      </c>
    </row>
    <row r="4026" spans="2:2" ht="16.5" hidden="1">
      <c r="B4026" s="111">
        <f>+'Bldg+Dev'!U3732</f>
        <v>0</v>
      </c>
    </row>
    <row r="4027" spans="2:2" ht="16.5" hidden="1">
      <c r="B4027" s="111">
        <f>+'Bldg+Dev'!U3733</f>
        <v>0</v>
      </c>
    </row>
    <row r="4028" spans="2:2" ht="16.5" hidden="1">
      <c r="B4028" s="111">
        <f>+'Bldg+Dev'!U3734</f>
        <v>0</v>
      </c>
    </row>
    <row r="4029" spans="2:2" ht="16.5" hidden="1">
      <c r="B4029" s="111">
        <f>+'Bldg+Dev'!U3735</f>
        <v>0</v>
      </c>
    </row>
    <row r="4030" spans="2:2" ht="16.5" hidden="1">
      <c r="B4030" s="111">
        <f>+'Bldg+Dev'!U3736</f>
        <v>0</v>
      </c>
    </row>
    <row r="4031" spans="2:2" ht="16.5" hidden="1">
      <c r="B4031" s="111">
        <f>+'Bldg+Dev'!U3737</f>
        <v>0</v>
      </c>
    </row>
    <row r="4032" spans="2:2" ht="16.5" hidden="1">
      <c r="B4032" s="111">
        <f>+'Bldg+Dev'!U3738</f>
        <v>0</v>
      </c>
    </row>
    <row r="4033" spans="2:2" ht="16.5" hidden="1">
      <c r="B4033" s="111">
        <f>+'Bldg+Dev'!U3739</f>
        <v>0</v>
      </c>
    </row>
    <row r="4034" spans="2:2" ht="16.5" hidden="1">
      <c r="B4034" s="111">
        <f>+'Bldg+Dev'!U3740</f>
        <v>0</v>
      </c>
    </row>
    <row r="4035" spans="2:2" ht="16.5" hidden="1">
      <c r="B4035" s="111">
        <f>+'Bldg+Dev'!U3741</f>
        <v>0</v>
      </c>
    </row>
    <row r="4036" spans="2:2" ht="16.5" hidden="1">
      <c r="B4036" s="111">
        <f>+'Bldg+Dev'!U3742</f>
        <v>0</v>
      </c>
    </row>
    <row r="4037" spans="2:2" ht="16.5" hidden="1">
      <c r="B4037" s="111">
        <f>+'Bldg+Dev'!U3743</f>
        <v>0</v>
      </c>
    </row>
    <row r="4038" spans="2:2" ht="16.5" hidden="1">
      <c r="B4038" s="111">
        <f>+'Bldg+Dev'!U3744</f>
        <v>0</v>
      </c>
    </row>
    <row r="4039" spans="2:2" ht="16.5" hidden="1">
      <c r="B4039" s="111">
        <f>+'Bldg+Dev'!U3745</f>
        <v>0</v>
      </c>
    </row>
    <row r="4040" spans="2:2" ht="16.5" hidden="1">
      <c r="B4040" s="111">
        <f>+'Bldg+Dev'!U3746</f>
        <v>0</v>
      </c>
    </row>
    <row r="4041" spans="2:2" ht="16.5" hidden="1">
      <c r="B4041" s="111">
        <f>+'Bldg+Dev'!U3747</f>
        <v>0</v>
      </c>
    </row>
    <row r="4042" spans="2:2" ht="16.5" hidden="1">
      <c r="B4042" s="111">
        <f>+'Bldg+Dev'!U3748</f>
        <v>0</v>
      </c>
    </row>
    <row r="4043" spans="2:2" ht="16.5" hidden="1">
      <c r="B4043" s="111">
        <f>+'Bldg+Dev'!U3749</f>
        <v>0</v>
      </c>
    </row>
    <row r="4044" spans="2:2" ht="16.5" hidden="1">
      <c r="B4044" s="111">
        <f>+'Bldg+Dev'!U3750</f>
        <v>0</v>
      </c>
    </row>
    <row r="4045" spans="2:2" ht="16.5" hidden="1">
      <c r="B4045" s="111">
        <f>+'Bldg+Dev'!U3751</f>
        <v>0</v>
      </c>
    </row>
    <row r="4046" spans="2:2" ht="16.5" hidden="1">
      <c r="B4046" s="111">
        <f>+'Bldg+Dev'!U3752</f>
        <v>0</v>
      </c>
    </row>
    <row r="4047" spans="2:2" ht="16.5" hidden="1">
      <c r="B4047" s="111">
        <f>+'Bldg+Dev'!U3753</f>
        <v>0</v>
      </c>
    </row>
    <row r="4048" spans="2:2" ht="16.5" hidden="1">
      <c r="B4048" s="111">
        <f>+'Bldg+Dev'!U3754</f>
        <v>0</v>
      </c>
    </row>
    <row r="4049" spans="2:2" ht="16.5" hidden="1">
      <c r="B4049" s="111">
        <f>+'Bldg+Dev'!U3755</f>
        <v>0</v>
      </c>
    </row>
    <row r="4050" spans="2:2" ht="16.5" hidden="1">
      <c r="B4050" s="111">
        <f>+'Bldg+Dev'!U3756</f>
        <v>0</v>
      </c>
    </row>
    <row r="4051" spans="2:2" ht="16.5" hidden="1">
      <c r="B4051" s="111">
        <f>+'Bldg+Dev'!U3757</f>
        <v>0</v>
      </c>
    </row>
    <row r="4052" spans="2:2" ht="16.5" hidden="1">
      <c r="B4052" s="111">
        <f>+'Bldg+Dev'!U3758</f>
        <v>0</v>
      </c>
    </row>
    <row r="4053" spans="2:2" ht="16.5" hidden="1">
      <c r="B4053" s="111">
        <f>+'Bldg+Dev'!U3759</f>
        <v>0</v>
      </c>
    </row>
    <row r="4054" spans="2:2" ht="16.5" hidden="1">
      <c r="B4054" s="111">
        <f>+'Bldg+Dev'!U3760</f>
        <v>0</v>
      </c>
    </row>
    <row r="4055" spans="2:2" ht="16.5" hidden="1">
      <c r="B4055" s="111">
        <f>+'Bldg+Dev'!U3761</f>
        <v>0</v>
      </c>
    </row>
    <row r="4056" spans="2:2" ht="16.5" hidden="1">
      <c r="B4056" s="111">
        <f>+'Bldg+Dev'!U3762</f>
        <v>0</v>
      </c>
    </row>
    <row r="4057" spans="2:2" ht="16.5" hidden="1">
      <c r="B4057" s="111">
        <f>+'Bldg+Dev'!U3763</f>
        <v>0</v>
      </c>
    </row>
    <row r="4058" spans="2:2" ht="16.5" hidden="1">
      <c r="B4058" s="111">
        <f>+'Bldg+Dev'!U3764</f>
        <v>0</v>
      </c>
    </row>
    <row r="4059" spans="2:2" ht="16.5" hidden="1">
      <c r="B4059" s="111">
        <f>+'Bldg+Dev'!U3765</f>
        <v>0</v>
      </c>
    </row>
    <row r="4060" spans="2:2" ht="16.5" hidden="1">
      <c r="B4060" s="111">
        <f>+'Bldg+Dev'!U3766</f>
        <v>0</v>
      </c>
    </row>
    <row r="4061" spans="2:2" ht="16.5" hidden="1">
      <c r="B4061" s="111">
        <f>+'Bldg+Dev'!U3767</f>
        <v>0</v>
      </c>
    </row>
    <row r="4062" spans="2:2" ht="16.5" hidden="1">
      <c r="B4062" s="111">
        <f>+'Bldg+Dev'!U3768</f>
        <v>0</v>
      </c>
    </row>
    <row r="4063" spans="2:2" ht="16.5" hidden="1">
      <c r="B4063" s="111">
        <f>+'Bldg+Dev'!U3769</f>
        <v>0</v>
      </c>
    </row>
    <row r="4064" spans="2:2" ht="16.5" hidden="1">
      <c r="B4064" s="111">
        <f>+'Bldg+Dev'!U3770</f>
        <v>0</v>
      </c>
    </row>
    <row r="4065" spans="2:2" ht="16.5" hidden="1">
      <c r="B4065" s="111">
        <f>+'Bldg+Dev'!U3771</f>
        <v>0</v>
      </c>
    </row>
    <row r="4066" spans="2:2" ht="16.5" hidden="1">
      <c r="B4066" s="111">
        <f>+'Bldg+Dev'!U3772</f>
        <v>0</v>
      </c>
    </row>
    <row r="4067" spans="2:2" ht="16.5" hidden="1">
      <c r="B4067" s="111">
        <f>+'Bldg+Dev'!U3773</f>
        <v>0</v>
      </c>
    </row>
    <row r="4068" spans="2:2" ht="16.5" hidden="1">
      <c r="B4068" s="111">
        <f>+'Bldg+Dev'!U3774</f>
        <v>0</v>
      </c>
    </row>
    <row r="4069" spans="2:2" ht="16.5" hidden="1">
      <c r="B4069" s="111">
        <f>+'Bldg+Dev'!U3775</f>
        <v>0</v>
      </c>
    </row>
    <row r="4070" spans="2:2" ht="16.5" hidden="1">
      <c r="B4070" s="111">
        <f>+'Bldg+Dev'!U3776</f>
        <v>0</v>
      </c>
    </row>
    <row r="4071" spans="2:2" ht="16.5" hidden="1">
      <c r="B4071" s="111">
        <f>+'Bldg+Dev'!U3777</f>
        <v>0</v>
      </c>
    </row>
    <row r="4072" spans="2:2" ht="16.5" hidden="1">
      <c r="B4072" s="111">
        <f>+'Bldg+Dev'!U3778</f>
        <v>0</v>
      </c>
    </row>
    <row r="4073" spans="2:2" ht="16.5" hidden="1">
      <c r="B4073" s="111">
        <f>+'Bldg+Dev'!U3779</f>
        <v>0</v>
      </c>
    </row>
    <row r="4074" spans="2:2" ht="16.5" hidden="1">
      <c r="B4074" s="111">
        <f>+'Bldg+Dev'!U3780</f>
        <v>0</v>
      </c>
    </row>
    <row r="4075" spans="2:2" ht="16.5" hidden="1">
      <c r="B4075" s="111">
        <f>+'Bldg+Dev'!U3781</f>
        <v>0</v>
      </c>
    </row>
    <row r="4076" spans="2:2" ht="16.5" hidden="1">
      <c r="B4076" s="111">
        <f>+'Bldg+Dev'!U3782</f>
        <v>0</v>
      </c>
    </row>
    <row r="4077" spans="2:2" ht="16.5" hidden="1">
      <c r="B4077" s="111">
        <f>+'Bldg+Dev'!U3783</f>
        <v>0</v>
      </c>
    </row>
    <row r="4078" spans="2:2" ht="16.5" hidden="1">
      <c r="B4078" s="111">
        <f>+'Bldg+Dev'!U3784</f>
        <v>0</v>
      </c>
    </row>
    <row r="4079" spans="2:2" ht="16.5" hidden="1">
      <c r="B4079" s="111">
        <f>+'Bldg+Dev'!U3785</f>
        <v>0</v>
      </c>
    </row>
    <row r="4080" spans="2:2" ht="16.5" hidden="1">
      <c r="B4080" s="111">
        <f>+'Bldg+Dev'!U3786</f>
        <v>0</v>
      </c>
    </row>
    <row r="4081" spans="2:2" ht="16.5" hidden="1">
      <c r="B4081" s="111">
        <f>+'Bldg+Dev'!U3787</f>
        <v>0</v>
      </c>
    </row>
    <row r="4082" spans="2:2" ht="16.5" hidden="1">
      <c r="B4082" s="111">
        <f>+'Bldg+Dev'!U3788</f>
        <v>0</v>
      </c>
    </row>
    <row r="4083" spans="2:2" ht="16.5" hidden="1">
      <c r="B4083" s="111">
        <f>+'Bldg+Dev'!U3789</f>
        <v>0</v>
      </c>
    </row>
    <row r="4084" spans="2:2" ht="16.5" hidden="1">
      <c r="B4084" s="111">
        <f>+'Bldg+Dev'!U3790</f>
        <v>0</v>
      </c>
    </row>
    <row r="4085" spans="2:2" ht="16.5" hidden="1">
      <c r="B4085" s="111">
        <f>+'Bldg+Dev'!U3791</f>
        <v>0</v>
      </c>
    </row>
    <row r="4086" spans="2:2" ht="16.5" hidden="1">
      <c r="B4086" s="111">
        <f>+'Bldg+Dev'!U3792</f>
        <v>0</v>
      </c>
    </row>
    <row r="4087" spans="2:2" ht="16.5" hidden="1">
      <c r="B4087" s="111">
        <f>+'Bldg+Dev'!U3793</f>
        <v>0</v>
      </c>
    </row>
    <row r="4088" spans="2:2" ht="16.5" hidden="1">
      <c r="B4088" s="111">
        <f>+'Bldg+Dev'!U3794</f>
        <v>0</v>
      </c>
    </row>
    <row r="4089" spans="2:2" ht="16.5" hidden="1">
      <c r="B4089" s="111">
        <f>+'Bldg+Dev'!U3795</f>
        <v>0</v>
      </c>
    </row>
    <row r="4090" spans="2:2" ht="16.5" hidden="1">
      <c r="B4090" s="111">
        <f>+'Bldg+Dev'!U3796</f>
        <v>0</v>
      </c>
    </row>
    <row r="4091" spans="2:2" ht="16.5" hidden="1">
      <c r="B4091" s="111">
        <f>+'Bldg+Dev'!U3797</f>
        <v>0</v>
      </c>
    </row>
    <row r="4092" spans="2:2" ht="16.5" hidden="1">
      <c r="B4092" s="111">
        <f>+'Bldg+Dev'!U3798</f>
        <v>0</v>
      </c>
    </row>
    <row r="4093" spans="2:2" ht="16.5" hidden="1">
      <c r="B4093" s="111">
        <f>+'Bldg+Dev'!U3799</f>
        <v>0</v>
      </c>
    </row>
    <row r="4094" spans="2:2" ht="16.5" hidden="1">
      <c r="B4094" s="111">
        <f>+'Bldg+Dev'!U3800</f>
        <v>0</v>
      </c>
    </row>
    <row r="4095" spans="2:2" ht="16.5" hidden="1">
      <c r="B4095" s="111">
        <f>+'Bldg+Dev'!U3801</f>
        <v>0</v>
      </c>
    </row>
    <row r="4096" spans="2:2" ht="16.5" hidden="1">
      <c r="B4096" s="111">
        <f>+'Bldg+Dev'!U3802</f>
        <v>0</v>
      </c>
    </row>
    <row r="4097" spans="2:2" ht="16.5" hidden="1">
      <c r="B4097" s="111">
        <f>+'Bldg+Dev'!U3803</f>
        <v>0</v>
      </c>
    </row>
    <row r="4098" spans="2:2" ht="16.5" hidden="1">
      <c r="B4098" s="111">
        <f>+'Bldg+Dev'!U3804</f>
        <v>0</v>
      </c>
    </row>
    <row r="4099" spans="2:2" ht="16.5" hidden="1">
      <c r="B4099" s="111">
        <f>+'Bldg+Dev'!U3805</f>
        <v>0</v>
      </c>
    </row>
    <row r="4100" spans="2:2" ht="16.5" hidden="1">
      <c r="B4100" s="111">
        <f>+'Bldg+Dev'!U3806</f>
        <v>0</v>
      </c>
    </row>
    <row r="4101" spans="2:2" ht="16.5" hidden="1">
      <c r="B4101" s="111">
        <f>+'Bldg+Dev'!U3807</f>
        <v>0</v>
      </c>
    </row>
    <row r="4102" spans="2:2" ht="16.5" hidden="1">
      <c r="B4102" s="111">
        <f>+'Bldg+Dev'!U3808</f>
        <v>0</v>
      </c>
    </row>
    <row r="4103" spans="2:2" ht="16.5" hidden="1">
      <c r="B4103" s="111">
        <f>+'Bldg+Dev'!U3809</f>
        <v>0</v>
      </c>
    </row>
    <row r="4104" spans="2:2" ht="16.5" hidden="1">
      <c r="B4104" s="111">
        <f>+'Bldg+Dev'!U3810</f>
        <v>0</v>
      </c>
    </row>
    <row r="4105" spans="2:2" ht="16.5" hidden="1">
      <c r="B4105" s="111">
        <f>+'Bldg+Dev'!U3811</f>
        <v>0</v>
      </c>
    </row>
    <row r="4106" spans="2:2" ht="16.5" hidden="1">
      <c r="B4106" s="111">
        <f>+'Bldg+Dev'!U3812</f>
        <v>0</v>
      </c>
    </row>
    <row r="4107" spans="2:2" ht="16.5" hidden="1">
      <c r="B4107" s="111">
        <f>+'Bldg+Dev'!U3813</f>
        <v>0</v>
      </c>
    </row>
    <row r="4108" spans="2:2" ht="16.5" hidden="1">
      <c r="B4108" s="111">
        <f>+'Bldg+Dev'!U3814</f>
        <v>0</v>
      </c>
    </row>
    <row r="4109" spans="2:2" ht="16.5" hidden="1">
      <c r="B4109" s="111">
        <f>+'Bldg+Dev'!U3815</f>
        <v>0</v>
      </c>
    </row>
    <row r="4110" spans="2:2" ht="16.5" hidden="1">
      <c r="B4110" s="111">
        <f>+'Bldg+Dev'!U3816</f>
        <v>0</v>
      </c>
    </row>
    <row r="4111" spans="2:2" ht="16.5" hidden="1">
      <c r="B4111" s="111">
        <f>+'Bldg+Dev'!U3817</f>
        <v>0</v>
      </c>
    </row>
    <row r="4112" spans="2:2" ht="16.5" hidden="1">
      <c r="B4112" s="111">
        <f>+'Bldg+Dev'!U3818</f>
        <v>0</v>
      </c>
    </row>
    <row r="4113" spans="2:2" ht="16.5" hidden="1">
      <c r="B4113" s="111">
        <f>+'Bldg+Dev'!U3819</f>
        <v>0</v>
      </c>
    </row>
    <row r="4114" spans="2:2" ht="16.5" hidden="1">
      <c r="B4114" s="111">
        <f>+'Bldg+Dev'!U3820</f>
        <v>0</v>
      </c>
    </row>
    <row r="4115" spans="2:2" ht="16.5" hidden="1">
      <c r="B4115" s="111">
        <f>+'Bldg+Dev'!U3821</f>
        <v>0</v>
      </c>
    </row>
    <row r="4116" spans="2:2" ht="16.5" hidden="1">
      <c r="B4116" s="111">
        <f>+'Bldg+Dev'!U3822</f>
        <v>0</v>
      </c>
    </row>
    <row r="4117" spans="2:2" ht="16.5" hidden="1">
      <c r="B4117" s="111">
        <f>+'Bldg+Dev'!U3823</f>
        <v>0</v>
      </c>
    </row>
    <row r="4118" spans="2:2" ht="16.5" hidden="1">
      <c r="B4118" s="111">
        <f>+'Bldg+Dev'!U3824</f>
        <v>0</v>
      </c>
    </row>
    <row r="4119" spans="2:2" ht="16.5" hidden="1">
      <c r="B4119" s="111">
        <f>+'Bldg+Dev'!U3825</f>
        <v>0</v>
      </c>
    </row>
    <row r="4120" spans="2:2" ht="16.5" hidden="1">
      <c r="B4120" s="111">
        <f>+'Bldg+Dev'!U3826</f>
        <v>0</v>
      </c>
    </row>
    <row r="4121" spans="2:2" ht="16.5" hidden="1">
      <c r="B4121" s="111">
        <f>+'Bldg+Dev'!U3827</f>
        <v>0</v>
      </c>
    </row>
    <row r="4122" spans="2:2" ht="16.5" hidden="1">
      <c r="B4122" s="111">
        <f>+'Bldg+Dev'!U3828</f>
        <v>0</v>
      </c>
    </row>
    <row r="4123" spans="2:2" ht="16.5" hidden="1">
      <c r="B4123" s="111">
        <f>+'Bldg+Dev'!U3829</f>
        <v>0</v>
      </c>
    </row>
    <row r="4124" spans="2:2" ht="16.5" hidden="1">
      <c r="B4124" s="111">
        <f>+'Bldg+Dev'!U3830</f>
        <v>0</v>
      </c>
    </row>
    <row r="4125" spans="2:2" ht="16.5" hidden="1">
      <c r="B4125" s="111">
        <f>+'Bldg+Dev'!U3831</f>
        <v>0</v>
      </c>
    </row>
    <row r="4126" spans="2:2" ht="16.5" hidden="1">
      <c r="B4126" s="111">
        <f>+'Bldg+Dev'!U3832</f>
        <v>0</v>
      </c>
    </row>
    <row r="4127" spans="2:2" ht="16.5" hidden="1">
      <c r="B4127" s="111">
        <f>+'Bldg+Dev'!U3833</f>
        <v>0</v>
      </c>
    </row>
    <row r="4128" spans="2:2" ht="16.5" hidden="1">
      <c r="B4128" s="111">
        <f>+'Bldg+Dev'!U3834</f>
        <v>0</v>
      </c>
    </row>
    <row r="4129" spans="2:2" ht="16.5" hidden="1">
      <c r="B4129" s="111">
        <f>+'Bldg+Dev'!U3835</f>
        <v>0</v>
      </c>
    </row>
    <row r="4130" spans="2:2" ht="16.5" hidden="1">
      <c r="B4130" s="111">
        <f>+'Bldg+Dev'!U3836</f>
        <v>0</v>
      </c>
    </row>
    <row r="4131" spans="2:2" ht="16.5" hidden="1">
      <c r="B4131" s="111">
        <f>+'Bldg+Dev'!U3837</f>
        <v>0</v>
      </c>
    </row>
    <row r="4132" spans="2:2" ht="16.5" hidden="1">
      <c r="B4132" s="111">
        <f>+'Bldg+Dev'!U3838</f>
        <v>0</v>
      </c>
    </row>
    <row r="4133" spans="2:2" ht="16.5" hidden="1">
      <c r="B4133" s="111">
        <f>+'Bldg+Dev'!U3839</f>
        <v>0</v>
      </c>
    </row>
    <row r="4134" spans="2:2" ht="16.5" hidden="1">
      <c r="B4134" s="111">
        <f>+'Bldg+Dev'!U3840</f>
        <v>0</v>
      </c>
    </row>
    <row r="4135" spans="2:2" ht="16.5" hidden="1">
      <c r="B4135" s="111">
        <f>+'Bldg+Dev'!U3841</f>
        <v>0</v>
      </c>
    </row>
    <row r="4136" spans="2:2" ht="16.5" hidden="1">
      <c r="B4136" s="111">
        <f>+'Bldg+Dev'!U3842</f>
        <v>0</v>
      </c>
    </row>
    <row r="4137" spans="2:2" ht="16.5" hidden="1">
      <c r="B4137" s="111">
        <f>+'Bldg+Dev'!U3843</f>
        <v>0</v>
      </c>
    </row>
    <row r="4138" spans="2:2" ht="16.5" hidden="1">
      <c r="B4138" s="111">
        <f>+'Bldg+Dev'!U3844</f>
        <v>0</v>
      </c>
    </row>
    <row r="4139" spans="2:2" ht="16.5" hidden="1">
      <c r="B4139" s="111">
        <f>+'Bldg+Dev'!U3845</f>
        <v>0</v>
      </c>
    </row>
    <row r="4140" spans="2:2" ht="16.5" hidden="1">
      <c r="B4140" s="111">
        <f>+'Bldg+Dev'!U3846</f>
        <v>0</v>
      </c>
    </row>
    <row r="4141" spans="2:2" ht="16.5" hidden="1">
      <c r="B4141" s="111">
        <f>+'Bldg+Dev'!U3847</f>
        <v>0</v>
      </c>
    </row>
    <row r="4142" spans="2:2" ht="16.5" hidden="1">
      <c r="B4142" s="111">
        <f>+'Bldg+Dev'!U3848</f>
        <v>0</v>
      </c>
    </row>
    <row r="4143" spans="2:2" ht="16.5" hidden="1">
      <c r="B4143" s="111">
        <f>+'Bldg+Dev'!U3849</f>
        <v>0</v>
      </c>
    </row>
    <row r="4144" spans="2:2" ht="16.5" hidden="1">
      <c r="B4144" s="111">
        <f>+'Bldg+Dev'!U3850</f>
        <v>0</v>
      </c>
    </row>
    <row r="4145" spans="2:2" ht="16.5" hidden="1">
      <c r="B4145" s="111">
        <f>+'Bldg+Dev'!U3851</f>
        <v>0</v>
      </c>
    </row>
    <row r="4146" spans="2:2" ht="16.5" hidden="1">
      <c r="B4146" s="111">
        <f>+'Bldg+Dev'!U3852</f>
        <v>0</v>
      </c>
    </row>
    <row r="4147" spans="2:2" ht="16.5" hidden="1">
      <c r="B4147" s="111">
        <f>+'Bldg+Dev'!U3853</f>
        <v>0</v>
      </c>
    </row>
    <row r="4148" spans="2:2" ht="16.5" hidden="1">
      <c r="B4148" s="111">
        <f>+'Bldg+Dev'!U3854</f>
        <v>0</v>
      </c>
    </row>
    <row r="4149" spans="2:2" ht="16.5" hidden="1">
      <c r="B4149" s="111">
        <f>+'Bldg+Dev'!U3855</f>
        <v>0</v>
      </c>
    </row>
    <row r="4150" spans="2:2" ht="16.5" hidden="1">
      <c r="B4150" s="111">
        <f>+'Bldg+Dev'!U3856</f>
        <v>0</v>
      </c>
    </row>
    <row r="4151" spans="2:2" ht="16.5" hidden="1">
      <c r="B4151" s="111">
        <f>+'Bldg+Dev'!U3857</f>
        <v>0</v>
      </c>
    </row>
    <row r="4152" spans="2:2" ht="16.5" hidden="1">
      <c r="B4152" s="111">
        <f>+'Bldg+Dev'!U3858</f>
        <v>0</v>
      </c>
    </row>
    <row r="4153" spans="2:2" ht="16.5" hidden="1">
      <c r="B4153" s="111">
        <f>+'Bldg+Dev'!U3859</f>
        <v>0</v>
      </c>
    </row>
    <row r="4154" spans="2:2" ht="16.5" hidden="1">
      <c r="B4154" s="111">
        <f>+'Bldg+Dev'!U3860</f>
        <v>0</v>
      </c>
    </row>
    <row r="4155" spans="2:2" ht="16.5" hidden="1">
      <c r="B4155" s="111">
        <f>+'Bldg+Dev'!U3861</f>
        <v>0</v>
      </c>
    </row>
    <row r="4156" spans="2:2" ht="16.5" hidden="1">
      <c r="B4156" s="111">
        <f>+'Bldg+Dev'!U3862</f>
        <v>0</v>
      </c>
    </row>
    <row r="4157" spans="2:2" ht="16.5" hidden="1">
      <c r="B4157" s="111">
        <f>+'Bldg+Dev'!U3863</f>
        <v>0</v>
      </c>
    </row>
    <row r="4158" spans="2:2" ht="16.5" hidden="1">
      <c r="B4158" s="111">
        <f>+'Bldg+Dev'!U3864</f>
        <v>0</v>
      </c>
    </row>
    <row r="4159" spans="2:2" ht="16.5" hidden="1">
      <c r="B4159" s="111">
        <f>+'Bldg+Dev'!U3865</f>
        <v>0</v>
      </c>
    </row>
    <row r="4160" spans="2:2" ht="16.5" hidden="1">
      <c r="B4160" s="111">
        <f>+'Bldg+Dev'!U3866</f>
        <v>0</v>
      </c>
    </row>
    <row r="4161" spans="2:2" ht="16.5" hidden="1">
      <c r="B4161" s="111">
        <f>+'Bldg+Dev'!U3867</f>
        <v>0</v>
      </c>
    </row>
    <row r="4162" spans="2:2" ht="16.5" hidden="1">
      <c r="B4162" s="111">
        <f>+'Bldg+Dev'!U3868</f>
        <v>0</v>
      </c>
    </row>
    <row r="4163" spans="2:2" ht="16.5" hidden="1">
      <c r="B4163" s="111">
        <f>+'Bldg+Dev'!U3869</f>
        <v>0</v>
      </c>
    </row>
    <row r="4164" spans="2:2" ht="16.5" hidden="1">
      <c r="B4164" s="111">
        <f>+'Bldg+Dev'!U3870</f>
        <v>0</v>
      </c>
    </row>
    <row r="4165" spans="2:2" ht="16.5" hidden="1">
      <c r="B4165" s="111">
        <f>+'Bldg+Dev'!U3871</f>
        <v>0</v>
      </c>
    </row>
    <row r="4166" spans="2:2" ht="16.5" hidden="1">
      <c r="B4166" s="111">
        <f>+'Bldg+Dev'!U3872</f>
        <v>0</v>
      </c>
    </row>
    <row r="4167" spans="2:2" ht="16.5" hidden="1">
      <c r="B4167" s="111">
        <f>+'Bldg+Dev'!U3873</f>
        <v>0</v>
      </c>
    </row>
    <row r="4168" spans="2:2" ht="16.5" hidden="1">
      <c r="B4168" s="111">
        <f>+'Bldg+Dev'!U3874</f>
        <v>0</v>
      </c>
    </row>
    <row r="4169" spans="2:2" ht="16.5" hidden="1">
      <c r="B4169" s="111">
        <f>+'Bldg+Dev'!U3875</f>
        <v>0</v>
      </c>
    </row>
    <row r="4170" spans="2:2" ht="16.5" hidden="1">
      <c r="B4170" s="111">
        <f>+'Bldg+Dev'!U3876</f>
        <v>0</v>
      </c>
    </row>
    <row r="4171" spans="2:2" ht="16.5" hidden="1">
      <c r="B4171" s="111">
        <f>+'Bldg+Dev'!U3877</f>
        <v>0</v>
      </c>
    </row>
    <row r="4172" spans="2:2" ht="16.5" hidden="1">
      <c r="B4172" s="111">
        <f>+'Bldg+Dev'!U3878</f>
        <v>0</v>
      </c>
    </row>
    <row r="4173" spans="2:2" ht="16.5" hidden="1">
      <c r="B4173" s="111">
        <f>+'Bldg+Dev'!U3879</f>
        <v>0</v>
      </c>
    </row>
    <row r="4174" spans="2:2" ht="16.5" hidden="1">
      <c r="B4174" s="111">
        <f>+'Bldg+Dev'!U3880</f>
        <v>0</v>
      </c>
    </row>
    <row r="4175" spans="2:2" ht="16.5" hidden="1">
      <c r="B4175" s="111">
        <f>+'Bldg+Dev'!U3881</f>
        <v>0</v>
      </c>
    </row>
    <row r="4176" spans="2:2" ht="16.5" hidden="1">
      <c r="B4176" s="111">
        <f>+'Bldg+Dev'!U3882</f>
        <v>0</v>
      </c>
    </row>
    <row r="4177" spans="2:2" ht="16.5" hidden="1">
      <c r="B4177" s="111">
        <f>+'Bldg+Dev'!U3883</f>
        <v>0</v>
      </c>
    </row>
    <row r="4178" spans="2:2" ht="16.5" hidden="1">
      <c r="B4178" s="111">
        <f>+'Bldg+Dev'!U3884</f>
        <v>0</v>
      </c>
    </row>
    <row r="4179" spans="2:2" ht="16.5" hidden="1">
      <c r="B4179" s="111">
        <f>+'Bldg+Dev'!U3885</f>
        <v>0</v>
      </c>
    </row>
    <row r="4180" spans="2:2" ht="16.5" hidden="1">
      <c r="B4180" s="111">
        <f>+'Bldg+Dev'!U3886</f>
        <v>0</v>
      </c>
    </row>
    <row r="4181" spans="2:2" ht="16.5" hidden="1">
      <c r="B4181" s="111">
        <f>+'Bldg+Dev'!U3887</f>
        <v>0</v>
      </c>
    </row>
    <row r="4182" spans="2:2" ht="16.5" hidden="1">
      <c r="B4182" s="111">
        <f>+'Bldg+Dev'!U3888</f>
        <v>0</v>
      </c>
    </row>
    <row r="4183" spans="2:2" ht="16.5" hidden="1">
      <c r="B4183" s="111">
        <f>+'Bldg+Dev'!U3889</f>
        <v>0</v>
      </c>
    </row>
    <row r="4184" spans="2:2" ht="16.5" hidden="1">
      <c r="B4184" s="111">
        <f>+'Bldg+Dev'!U3890</f>
        <v>0</v>
      </c>
    </row>
    <row r="4185" spans="2:2" ht="16.5" hidden="1">
      <c r="B4185" s="111">
        <f>+'Bldg+Dev'!U3891</f>
        <v>0</v>
      </c>
    </row>
    <row r="4186" spans="2:2" ht="16.5" hidden="1">
      <c r="B4186" s="111">
        <f>+'Bldg+Dev'!U3892</f>
        <v>0</v>
      </c>
    </row>
    <row r="4187" spans="2:2" ht="16.5" hidden="1">
      <c r="B4187" s="111">
        <f>+'Bldg+Dev'!U3893</f>
        <v>0</v>
      </c>
    </row>
    <row r="4188" spans="2:2" ht="16.5" hidden="1">
      <c r="B4188" s="111">
        <f>+'Bldg+Dev'!U3894</f>
        <v>0</v>
      </c>
    </row>
    <row r="4189" spans="2:2" ht="16.5" hidden="1">
      <c r="B4189" s="111">
        <f>+'Bldg+Dev'!U3895</f>
        <v>0</v>
      </c>
    </row>
    <row r="4190" spans="2:2" ht="16.5" hidden="1">
      <c r="B4190" s="111">
        <f>+'Bldg+Dev'!U3896</f>
        <v>0</v>
      </c>
    </row>
    <row r="4191" spans="2:2" ht="16.5" hidden="1">
      <c r="B4191" s="111">
        <f>+'Bldg+Dev'!U3897</f>
        <v>0</v>
      </c>
    </row>
    <row r="4192" spans="2:2" ht="16.5" hidden="1">
      <c r="B4192" s="111">
        <f>+'Bldg+Dev'!U3898</f>
        <v>0</v>
      </c>
    </row>
    <row r="4193" spans="2:2" ht="16.5" hidden="1">
      <c r="B4193" s="111">
        <f>+'Bldg+Dev'!U3899</f>
        <v>0</v>
      </c>
    </row>
    <row r="4194" spans="2:2" ht="16.5" hidden="1">
      <c r="B4194" s="111">
        <f>+'Bldg+Dev'!U3900</f>
        <v>0</v>
      </c>
    </row>
    <row r="4195" spans="2:2" ht="16.5" hidden="1">
      <c r="B4195" s="111">
        <f>+'Bldg+Dev'!U3901</f>
        <v>0</v>
      </c>
    </row>
    <row r="4196" spans="2:2" ht="16.5" hidden="1">
      <c r="B4196" s="111">
        <f>+'Bldg+Dev'!U3902</f>
        <v>0</v>
      </c>
    </row>
    <row r="4197" spans="2:2" ht="16.5" hidden="1">
      <c r="B4197" s="111">
        <f>+'Bldg+Dev'!U3903</f>
        <v>0</v>
      </c>
    </row>
    <row r="4198" spans="2:2" ht="16.5" hidden="1">
      <c r="B4198" s="111">
        <f>+'Bldg+Dev'!U3904</f>
        <v>0</v>
      </c>
    </row>
    <row r="4199" spans="2:2" ht="16.5" hidden="1">
      <c r="B4199" s="111">
        <f>+'Bldg+Dev'!U3905</f>
        <v>0</v>
      </c>
    </row>
    <row r="4200" spans="2:2" ht="16.5" hidden="1">
      <c r="B4200" s="111">
        <f>+'Bldg+Dev'!U3906</f>
        <v>0</v>
      </c>
    </row>
    <row r="4201" spans="2:2" ht="16.5" hidden="1">
      <c r="B4201" s="111">
        <f>+'Bldg+Dev'!U3907</f>
        <v>0</v>
      </c>
    </row>
    <row r="4202" spans="2:2" ht="16.5" hidden="1">
      <c r="B4202" s="111">
        <f>+'Bldg+Dev'!U3908</f>
        <v>0</v>
      </c>
    </row>
    <row r="4203" spans="2:2" ht="16.5" hidden="1">
      <c r="B4203" s="111">
        <f>+'Bldg+Dev'!U3909</f>
        <v>0</v>
      </c>
    </row>
    <row r="4204" spans="2:2" ht="16.5" hidden="1">
      <c r="B4204" s="111">
        <f>+'Bldg+Dev'!U3910</f>
        <v>0</v>
      </c>
    </row>
    <row r="4205" spans="2:2" ht="16.5" hidden="1">
      <c r="B4205" s="111">
        <f>+'Bldg+Dev'!U3911</f>
        <v>0</v>
      </c>
    </row>
    <row r="4206" spans="2:2" ht="16.5" hidden="1">
      <c r="B4206" s="111">
        <f>+'Bldg+Dev'!U3912</f>
        <v>0</v>
      </c>
    </row>
    <row r="4207" spans="2:2" ht="16.5" hidden="1">
      <c r="B4207" s="111">
        <f>+'Bldg+Dev'!U3913</f>
        <v>0</v>
      </c>
    </row>
    <row r="4208" spans="2:2" ht="16.5" hidden="1">
      <c r="B4208" s="111">
        <f>+'Bldg+Dev'!U3914</f>
        <v>0</v>
      </c>
    </row>
    <row r="4209" spans="2:2" ht="16.5" hidden="1">
      <c r="B4209" s="111">
        <f>+'Bldg+Dev'!U3915</f>
        <v>0</v>
      </c>
    </row>
    <row r="4210" spans="2:2" ht="16.5" hidden="1">
      <c r="B4210" s="111">
        <f>+'Bldg+Dev'!U3916</f>
        <v>0</v>
      </c>
    </row>
    <row r="4211" spans="2:2" ht="16.5" hidden="1">
      <c r="B4211" s="111">
        <f>+'Bldg+Dev'!U3917</f>
        <v>0</v>
      </c>
    </row>
    <row r="4212" spans="2:2" ht="16.5" hidden="1">
      <c r="B4212" s="111">
        <f>+'Bldg+Dev'!U3918</f>
        <v>0</v>
      </c>
    </row>
    <row r="4213" spans="2:2" ht="16.5" hidden="1">
      <c r="B4213" s="111">
        <f>+'Bldg+Dev'!U3919</f>
        <v>0</v>
      </c>
    </row>
    <row r="4214" spans="2:2" ht="16.5" hidden="1">
      <c r="B4214" s="111">
        <f>+'Bldg+Dev'!U3920</f>
        <v>0</v>
      </c>
    </row>
    <row r="4215" spans="2:2" ht="16.5" hidden="1">
      <c r="B4215" s="111">
        <f>+'Bldg+Dev'!U3921</f>
        <v>0</v>
      </c>
    </row>
    <row r="4216" spans="2:2" ht="16.5" hidden="1">
      <c r="B4216" s="111">
        <f>+'Bldg+Dev'!U3922</f>
        <v>0</v>
      </c>
    </row>
    <row r="4217" spans="2:2" ht="16.5" hidden="1">
      <c r="B4217" s="111">
        <f>+'Bldg+Dev'!U3923</f>
        <v>0</v>
      </c>
    </row>
    <row r="4218" spans="2:2" ht="16.5" hidden="1">
      <c r="B4218" s="111">
        <f>+'Bldg+Dev'!U3924</f>
        <v>0</v>
      </c>
    </row>
    <row r="4219" spans="2:2" ht="16.5" hidden="1">
      <c r="B4219" s="111">
        <f>+'Bldg+Dev'!U3925</f>
        <v>0</v>
      </c>
    </row>
    <row r="4220" spans="2:2" ht="16.5" hidden="1">
      <c r="B4220" s="111">
        <f>+'Bldg+Dev'!U3926</f>
        <v>0</v>
      </c>
    </row>
    <row r="4221" spans="2:2" ht="16.5" hidden="1">
      <c r="B4221" s="111">
        <f>+'Bldg+Dev'!U3927</f>
        <v>0</v>
      </c>
    </row>
    <row r="4222" spans="2:2" ht="16.5" hidden="1">
      <c r="B4222" s="111">
        <f>+'Bldg+Dev'!U3928</f>
        <v>0</v>
      </c>
    </row>
    <row r="4223" spans="2:2" ht="16.5" hidden="1">
      <c r="B4223" s="111">
        <f>+'Bldg+Dev'!U3929</f>
        <v>0</v>
      </c>
    </row>
    <row r="4224" spans="2:2" ht="16.5" hidden="1">
      <c r="B4224" s="111">
        <f>+'Bldg+Dev'!U3930</f>
        <v>0</v>
      </c>
    </row>
    <row r="4225" spans="2:2" ht="16.5" hidden="1">
      <c r="B4225" s="111">
        <f>+'Bldg+Dev'!U3931</f>
        <v>0</v>
      </c>
    </row>
    <row r="4226" spans="2:2" ht="16.5" hidden="1">
      <c r="B4226" s="111">
        <f>+'Bldg+Dev'!U3932</f>
        <v>0</v>
      </c>
    </row>
    <row r="4227" spans="2:2" ht="16.5" hidden="1">
      <c r="B4227" s="111">
        <f>+'Bldg+Dev'!U3933</f>
        <v>0</v>
      </c>
    </row>
    <row r="4228" spans="2:2" ht="16.5" hidden="1">
      <c r="B4228" s="111">
        <f>+'Bldg+Dev'!U3934</f>
        <v>0</v>
      </c>
    </row>
    <row r="4229" spans="2:2" ht="16.5" hidden="1">
      <c r="B4229" s="111">
        <f>+'Bldg+Dev'!U3935</f>
        <v>0</v>
      </c>
    </row>
    <row r="4230" spans="2:2" ht="16.5" hidden="1">
      <c r="B4230" s="111">
        <f>+'Bldg+Dev'!U3936</f>
        <v>0</v>
      </c>
    </row>
    <row r="4231" spans="2:2" ht="16.5" hidden="1">
      <c r="B4231" s="111">
        <f>+'Bldg+Dev'!U3937</f>
        <v>0</v>
      </c>
    </row>
    <row r="4232" spans="2:2" ht="16.5" hidden="1">
      <c r="B4232" s="111">
        <f>+'Bldg+Dev'!U3938</f>
        <v>0</v>
      </c>
    </row>
    <row r="4233" spans="2:2" ht="16.5" hidden="1">
      <c r="B4233" s="111">
        <f>+'Bldg+Dev'!U3939</f>
        <v>0</v>
      </c>
    </row>
    <row r="4234" spans="2:2" ht="16.5" hidden="1">
      <c r="B4234" s="111">
        <f>+'Bldg+Dev'!U3940</f>
        <v>0</v>
      </c>
    </row>
    <row r="4235" spans="2:2" ht="16.5" hidden="1">
      <c r="B4235" s="111">
        <f>+'Bldg+Dev'!U3941</f>
        <v>0</v>
      </c>
    </row>
    <row r="4236" spans="2:2" ht="16.5" hidden="1">
      <c r="B4236" s="111">
        <f>+'Bldg+Dev'!U3942</f>
        <v>0</v>
      </c>
    </row>
    <row r="4237" spans="2:2" ht="16.5" hidden="1">
      <c r="B4237" s="111">
        <f>+'Bldg+Dev'!U3943</f>
        <v>0</v>
      </c>
    </row>
    <row r="4238" spans="2:2" ht="16.5" hidden="1">
      <c r="B4238" s="111">
        <f>+'Bldg+Dev'!U3944</f>
        <v>0</v>
      </c>
    </row>
    <row r="4239" spans="2:2" ht="16.5" hidden="1">
      <c r="B4239" s="111">
        <f>+'Bldg+Dev'!U3945</f>
        <v>0</v>
      </c>
    </row>
    <row r="4240" spans="2:2" ht="16.5" hidden="1">
      <c r="B4240" s="111">
        <f>+'Bldg+Dev'!U3946</f>
        <v>0</v>
      </c>
    </row>
    <row r="4241" spans="2:2" ht="16.5" hidden="1">
      <c r="B4241" s="111">
        <f>+'Bldg+Dev'!U3947</f>
        <v>0</v>
      </c>
    </row>
    <row r="4242" spans="2:2" ht="16.5" hidden="1">
      <c r="B4242" s="111">
        <f>+'Bldg+Dev'!U3948</f>
        <v>0</v>
      </c>
    </row>
    <row r="4243" spans="2:2" ht="16.5" hidden="1">
      <c r="B4243" s="111">
        <f>+'Bldg+Dev'!U3949</f>
        <v>0</v>
      </c>
    </row>
    <row r="4244" spans="2:2" ht="16.5" hidden="1">
      <c r="B4244" s="111">
        <f>+'Bldg+Dev'!U3950</f>
        <v>0</v>
      </c>
    </row>
    <row r="4245" spans="2:2" ht="16.5" hidden="1">
      <c r="B4245" s="111">
        <f>+'Bldg+Dev'!U3951</f>
        <v>0</v>
      </c>
    </row>
    <row r="4246" spans="2:2" ht="16.5" hidden="1">
      <c r="B4246" s="111">
        <f>+'Bldg+Dev'!U3952</f>
        <v>0</v>
      </c>
    </row>
    <row r="4247" spans="2:2" ht="16.5" hidden="1">
      <c r="B4247" s="111">
        <f>+'Bldg+Dev'!U3953</f>
        <v>0</v>
      </c>
    </row>
    <row r="4248" spans="2:2" ht="16.5" hidden="1">
      <c r="B4248" s="111">
        <f>+'Bldg+Dev'!U3954</f>
        <v>0</v>
      </c>
    </row>
    <row r="4249" spans="2:2" ht="16.5" hidden="1">
      <c r="B4249" s="111">
        <f>+'Bldg+Dev'!U3955</f>
        <v>0</v>
      </c>
    </row>
    <row r="4250" spans="2:2" ht="16.5" hidden="1">
      <c r="B4250" s="111">
        <f>+'Bldg+Dev'!U3956</f>
        <v>0</v>
      </c>
    </row>
    <row r="4251" spans="2:2" ht="16.5" hidden="1">
      <c r="B4251" s="111">
        <f>+'Bldg+Dev'!U3957</f>
        <v>0</v>
      </c>
    </row>
    <row r="4252" spans="2:2" ht="16.5" hidden="1">
      <c r="B4252" s="111">
        <f>+'Bldg+Dev'!U3958</f>
        <v>0</v>
      </c>
    </row>
    <row r="4253" spans="2:2" ht="16.5" hidden="1">
      <c r="B4253" s="111">
        <f>+'Bldg+Dev'!U3959</f>
        <v>0</v>
      </c>
    </row>
    <row r="4254" spans="2:2" ht="16.5" hidden="1">
      <c r="B4254" s="111">
        <f>+'Bldg+Dev'!U3960</f>
        <v>0</v>
      </c>
    </row>
    <row r="4255" spans="2:2" ht="16.5" hidden="1">
      <c r="B4255" s="111">
        <f>+'Bldg+Dev'!U3961</f>
        <v>0</v>
      </c>
    </row>
    <row r="4256" spans="2:2" ht="16.5" hidden="1">
      <c r="B4256" s="111">
        <f>+'Bldg+Dev'!U3962</f>
        <v>0</v>
      </c>
    </row>
    <row r="4257" spans="2:2" ht="16.5" hidden="1">
      <c r="B4257" s="111">
        <f>+'Bldg+Dev'!U3963</f>
        <v>0</v>
      </c>
    </row>
    <row r="4258" spans="2:2" ht="16.5" hidden="1">
      <c r="B4258" s="111">
        <f>+'Bldg+Dev'!U3964</f>
        <v>0</v>
      </c>
    </row>
    <row r="4259" spans="2:2" ht="16.5" hidden="1">
      <c r="B4259" s="111">
        <f>+'Bldg+Dev'!U3965</f>
        <v>0</v>
      </c>
    </row>
    <row r="4260" spans="2:2" ht="16.5" hidden="1">
      <c r="B4260" s="111">
        <f>+'Bldg+Dev'!U3966</f>
        <v>0</v>
      </c>
    </row>
    <row r="4261" spans="2:2" ht="16.5" hidden="1">
      <c r="B4261" s="111">
        <f>+'Bldg+Dev'!U3967</f>
        <v>0</v>
      </c>
    </row>
    <row r="4262" spans="2:2" ht="16.5" hidden="1">
      <c r="B4262" s="111">
        <f>+'Bldg+Dev'!U3968</f>
        <v>0</v>
      </c>
    </row>
    <row r="4263" spans="2:2" ht="16.5" hidden="1">
      <c r="B4263" s="111">
        <f>+'Bldg+Dev'!U3969</f>
        <v>0</v>
      </c>
    </row>
    <row r="4264" spans="2:2" ht="16.5" hidden="1">
      <c r="B4264" s="111">
        <f>+'Bldg+Dev'!U3970</f>
        <v>0</v>
      </c>
    </row>
    <row r="4265" spans="2:2" ht="16.5" hidden="1">
      <c r="B4265" s="111">
        <f>+'Bldg+Dev'!U3971</f>
        <v>0</v>
      </c>
    </row>
    <row r="4266" spans="2:2" ht="16.5" hidden="1">
      <c r="B4266" s="111">
        <f>+'Bldg+Dev'!U3972</f>
        <v>0</v>
      </c>
    </row>
    <row r="4267" spans="2:2" ht="16.5" hidden="1">
      <c r="B4267" s="111">
        <f>+'Bldg+Dev'!U3973</f>
        <v>0</v>
      </c>
    </row>
    <row r="4268" spans="2:2" ht="16.5" hidden="1">
      <c r="B4268" s="111">
        <f>+'Bldg+Dev'!U3974</f>
        <v>0</v>
      </c>
    </row>
    <row r="4269" spans="2:2" ht="16.5" hidden="1">
      <c r="B4269" s="111">
        <f>+'Bldg+Dev'!U3975</f>
        <v>0</v>
      </c>
    </row>
    <row r="4270" spans="2:2" ht="16.5" hidden="1">
      <c r="B4270" s="111">
        <f>+'Bldg+Dev'!U3976</f>
        <v>0</v>
      </c>
    </row>
    <row r="4271" spans="2:2" ht="16.5" hidden="1">
      <c r="B4271" s="111">
        <f>+'Bldg+Dev'!U3977</f>
        <v>0</v>
      </c>
    </row>
    <row r="4272" spans="2:2" ht="16.5" hidden="1">
      <c r="B4272" s="111">
        <f>+'Bldg+Dev'!U3978</f>
        <v>0</v>
      </c>
    </row>
    <row r="4273" spans="2:2" ht="16.5" hidden="1">
      <c r="B4273" s="111">
        <f>+'Bldg+Dev'!U3979</f>
        <v>0</v>
      </c>
    </row>
    <row r="4274" spans="2:2" ht="16.5" hidden="1">
      <c r="B4274" s="111">
        <f>+'Bldg+Dev'!U3980</f>
        <v>0</v>
      </c>
    </row>
    <row r="4275" spans="2:2" ht="16.5" hidden="1">
      <c r="B4275" s="111">
        <f>+'Bldg+Dev'!U3981</f>
        <v>0</v>
      </c>
    </row>
    <row r="4276" spans="2:2" ht="16.5" hidden="1">
      <c r="B4276" s="111">
        <f>+'Bldg+Dev'!U3982</f>
        <v>0</v>
      </c>
    </row>
    <row r="4277" spans="2:2" ht="16.5" hidden="1">
      <c r="B4277" s="111">
        <f>+'Bldg+Dev'!U3983</f>
        <v>0</v>
      </c>
    </row>
    <row r="4278" spans="2:2" ht="16.5" hidden="1">
      <c r="B4278" s="111">
        <f>+'Bldg+Dev'!U3984</f>
        <v>0</v>
      </c>
    </row>
    <row r="4279" spans="2:2" ht="16.5" hidden="1">
      <c r="B4279" s="111">
        <f>+'Bldg+Dev'!U3985</f>
        <v>0</v>
      </c>
    </row>
    <row r="4280" spans="2:2" ht="16.5" hidden="1">
      <c r="B4280" s="111">
        <f>+'Bldg+Dev'!U3986</f>
        <v>0</v>
      </c>
    </row>
    <row r="4281" spans="2:2" ht="16.5" hidden="1">
      <c r="B4281" s="111">
        <f>+'Bldg+Dev'!U3987</f>
        <v>0</v>
      </c>
    </row>
    <row r="4282" spans="2:2" ht="16.5" hidden="1">
      <c r="B4282" s="111">
        <f>+'Bldg+Dev'!U3988</f>
        <v>0</v>
      </c>
    </row>
    <row r="4283" spans="2:2" ht="16.5" hidden="1">
      <c r="B4283" s="111">
        <f>+'Bldg+Dev'!U3989</f>
        <v>0</v>
      </c>
    </row>
    <row r="4284" spans="2:2" ht="16.5" hidden="1">
      <c r="B4284" s="111">
        <f>+'Bldg+Dev'!U3990</f>
        <v>0</v>
      </c>
    </row>
    <row r="4285" spans="2:2" ht="16.5" hidden="1">
      <c r="B4285" s="111">
        <f>+'Bldg+Dev'!U3991</f>
        <v>0</v>
      </c>
    </row>
    <row r="4286" spans="2:2" ht="16.5" hidden="1">
      <c r="B4286" s="111">
        <f>+'Bldg+Dev'!U3992</f>
        <v>0</v>
      </c>
    </row>
    <row r="4287" spans="2:2" ht="16.5" hidden="1">
      <c r="B4287" s="111">
        <f>+'Bldg+Dev'!U3993</f>
        <v>0</v>
      </c>
    </row>
    <row r="4288" spans="2:2" ht="16.5" hidden="1">
      <c r="B4288" s="111">
        <f>+'Bldg+Dev'!U3994</f>
        <v>0</v>
      </c>
    </row>
    <row r="4289" spans="2:2" ht="16.5" hidden="1">
      <c r="B4289" s="111">
        <f>+'Bldg+Dev'!U3995</f>
        <v>0</v>
      </c>
    </row>
    <row r="4290" spans="2:2" ht="16.5" hidden="1">
      <c r="B4290" s="111">
        <f>+'Bldg+Dev'!U3996</f>
        <v>0</v>
      </c>
    </row>
    <row r="4291" spans="2:2" ht="16.5" hidden="1">
      <c r="B4291" s="111">
        <f>+'Bldg+Dev'!U3997</f>
        <v>0</v>
      </c>
    </row>
    <row r="4292" spans="2:2" ht="16.5" hidden="1">
      <c r="B4292" s="111">
        <f>+'Bldg+Dev'!U3998</f>
        <v>0</v>
      </c>
    </row>
    <row r="4293" spans="2:2" ht="16.5" hidden="1">
      <c r="B4293" s="111">
        <f>+'Bldg+Dev'!U3999</f>
        <v>0</v>
      </c>
    </row>
    <row r="4294" spans="2:2" ht="16.5" hidden="1">
      <c r="B4294" s="111">
        <f>+'Bldg+Dev'!U4000</f>
        <v>0</v>
      </c>
    </row>
    <row r="4295" spans="2:2" ht="16.5" hidden="1">
      <c r="B4295" s="111">
        <f>+'Bldg+Dev'!U4001</f>
        <v>0</v>
      </c>
    </row>
    <row r="4296" spans="2:2" ht="16.5" hidden="1">
      <c r="B4296" s="111">
        <f>+'Bldg+Dev'!U4002</f>
        <v>0</v>
      </c>
    </row>
    <row r="4297" spans="2:2" ht="16.5" hidden="1">
      <c r="B4297" s="111">
        <f>+'Bldg+Dev'!U4003</f>
        <v>0</v>
      </c>
    </row>
    <row r="4298" spans="2:2" ht="16.5" hidden="1">
      <c r="B4298" s="111">
        <f>+'Bldg+Dev'!U4004</f>
        <v>0</v>
      </c>
    </row>
    <row r="4299" spans="2:2" ht="16.5" hidden="1">
      <c r="B4299" s="111">
        <f>+'Bldg+Dev'!U4005</f>
        <v>0</v>
      </c>
    </row>
    <row r="4300" spans="2:2" ht="16.5" hidden="1">
      <c r="B4300" s="111">
        <f>+'Bldg+Dev'!U4006</f>
        <v>0</v>
      </c>
    </row>
    <row r="4301" spans="2:2" ht="16.5" hidden="1">
      <c r="B4301" s="111">
        <f>+'Bldg+Dev'!U4007</f>
        <v>0</v>
      </c>
    </row>
    <row r="4302" spans="2:2" ht="16.5" hidden="1">
      <c r="B4302" s="111">
        <f>+'Bldg+Dev'!U4008</f>
        <v>0</v>
      </c>
    </row>
    <row r="4303" spans="2:2" ht="16.5" hidden="1">
      <c r="B4303" s="111">
        <f>+'Bldg+Dev'!U4009</f>
        <v>0</v>
      </c>
    </row>
    <row r="4304" spans="2:2" ht="16.5" hidden="1">
      <c r="B4304" s="111">
        <f>+'Bldg+Dev'!U4010</f>
        <v>0</v>
      </c>
    </row>
    <row r="4305" spans="2:2" ht="16.5" hidden="1">
      <c r="B4305" s="111">
        <f>+'Bldg+Dev'!U4011</f>
        <v>0</v>
      </c>
    </row>
    <row r="4306" spans="2:2" ht="16.5" hidden="1">
      <c r="B4306" s="111">
        <f>+'Bldg+Dev'!U4012</f>
        <v>0</v>
      </c>
    </row>
    <row r="4307" spans="2:2" ht="16.5" hidden="1">
      <c r="B4307" s="111">
        <f>+'Bldg+Dev'!U4013</f>
        <v>0</v>
      </c>
    </row>
    <row r="4308" spans="2:2" ht="16.5" hidden="1">
      <c r="B4308" s="111">
        <f>+'Bldg+Dev'!U4014</f>
        <v>0</v>
      </c>
    </row>
    <row r="4309" spans="2:2" ht="16.5" hidden="1">
      <c r="B4309" s="111">
        <f>+'Bldg+Dev'!U4015</f>
        <v>0</v>
      </c>
    </row>
    <row r="4310" spans="2:2" ht="16.5" hidden="1">
      <c r="B4310" s="111">
        <f>+'Bldg+Dev'!U4016</f>
        <v>0</v>
      </c>
    </row>
    <row r="4311" spans="2:2" ht="16.5" hidden="1">
      <c r="B4311" s="111">
        <f>+'Bldg+Dev'!U4017</f>
        <v>0</v>
      </c>
    </row>
    <row r="4312" spans="2:2" ht="16.5" hidden="1">
      <c r="B4312" s="111">
        <f>+'Bldg+Dev'!U4018</f>
        <v>0</v>
      </c>
    </row>
    <row r="4313" spans="2:2" ht="16.5" hidden="1">
      <c r="B4313" s="111">
        <f>+'Bldg+Dev'!U4019</f>
        <v>0</v>
      </c>
    </row>
    <row r="4314" spans="2:2" ht="16.5" hidden="1">
      <c r="B4314" s="111">
        <f>+'Bldg+Dev'!U4020</f>
        <v>0</v>
      </c>
    </row>
    <row r="4315" spans="2:2" ht="16.5" hidden="1">
      <c r="B4315" s="111">
        <f>+'Bldg+Dev'!U4021</f>
        <v>0</v>
      </c>
    </row>
    <row r="4316" spans="2:2" ht="16.5" hidden="1">
      <c r="B4316" s="111">
        <f>+'Bldg+Dev'!U4022</f>
        <v>0</v>
      </c>
    </row>
    <row r="4317" spans="2:2" ht="16.5" hidden="1">
      <c r="B4317" s="111">
        <f>+'Bldg+Dev'!U4023</f>
        <v>0</v>
      </c>
    </row>
    <row r="4318" spans="2:2" ht="16.5" hidden="1">
      <c r="B4318" s="111">
        <f>+'Bldg+Dev'!U4024</f>
        <v>0</v>
      </c>
    </row>
    <row r="4319" spans="2:2" ht="16.5" hidden="1">
      <c r="B4319" s="111">
        <f>+'Bldg+Dev'!U4025</f>
        <v>0</v>
      </c>
    </row>
    <row r="4320" spans="2:2" ht="16.5" hidden="1">
      <c r="B4320" s="111">
        <f>+'Bldg+Dev'!U4026</f>
        <v>0</v>
      </c>
    </row>
    <row r="4321" spans="2:2" ht="16.5" hidden="1">
      <c r="B4321" s="111">
        <f>+'Bldg+Dev'!U4027</f>
        <v>0</v>
      </c>
    </row>
    <row r="4322" spans="2:2" ht="16.5" hidden="1">
      <c r="B4322" s="111">
        <f>+'Bldg+Dev'!U4028</f>
        <v>0</v>
      </c>
    </row>
    <row r="4323" spans="2:2" ht="16.5" hidden="1">
      <c r="B4323" s="111">
        <f>+'Bldg+Dev'!U4029</f>
        <v>0</v>
      </c>
    </row>
    <row r="4324" spans="2:2" ht="16.5" hidden="1">
      <c r="B4324" s="111">
        <f>+'Bldg+Dev'!U4030</f>
        <v>0</v>
      </c>
    </row>
    <row r="4325" spans="2:2" ht="16.5" hidden="1">
      <c r="B4325" s="111">
        <f>+'Bldg+Dev'!U4031</f>
        <v>0</v>
      </c>
    </row>
    <row r="4326" spans="2:2" ht="16.5" hidden="1">
      <c r="B4326" s="111">
        <f>+'Bldg+Dev'!U4032</f>
        <v>0</v>
      </c>
    </row>
    <row r="4327" spans="2:2" ht="16.5" hidden="1">
      <c r="B4327" s="111">
        <f>+'Bldg+Dev'!U4033</f>
        <v>0</v>
      </c>
    </row>
    <row r="4328" spans="2:2" ht="16.5" hidden="1">
      <c r="B4328" s="111">
        <f>+'Bldg+Dev'!U4034</f>
        <v>0</v>
      </c>
    </row>
    <row r="4329" spans="2:2" ht="16.5" hidden="1">
      <c r="B4329" s="111">
        <f>+'Bldg+Dev'!U4035</f>
        <v>0</v>
      </c>
    </row>
    <row r="4330" spans="2:2" ht="16.5" hidden="1">
      <c r="B4330" s="111">
        <f>+'Bldg+Dev'!U4036</f>
        <v>0</v>
      </c>
    </row>
    <row r="4331" spans="2:2" ht="16.5" hidden="1">
      <c r="B4331" s="111">
        <f>+'Bldg+Dev'!U4037</f>
        <v>0</v>
      </c>
    </row>
    <row r="4332" spans="2:2" ht="16.5" hidden="1">
      <c r="B4332" s="111">
        <f>+'Bldg+Dev'!U4038</f>
        <v>0</v>
      </c>
    </row>
    <row r="4333" spans="2:2" ht="16.5" hidden="1">
      <c r="B4333" s="111">
        <f>+'Bldg+Dev'!U4039</f>
        <v>0</v>
      </c>
    </row>
    <row r="4334" spans="2:2" ht="16.5" hidden="1">
      <c r="B4334" s="111">
        <f>+'Bldg+Dev'!U4040</f>
        <v>0</v>
      </c>
    </row>
    <row r="4335" spans="2:2" ht="16.5" hidden="1">
      <c r="B4335" s="111">
        <f>+'Bldg+Dev'!U4041</f>
        <v>0</v>
      </c>
    </row>
    <row r="4336" spans="2:2" ht="16.5" hidden="1">
      <c r="B4336" s="111">
        <f>+'Bldg+Dev'!U4042</f>
        <v>0</v>
      </c>
    </row>
    <row r="4337" spans="2:2" ht="16.5" hidden="1">
      <c r="B4337" s="111">
        <f>+'Bldg+Dev'!U4043</f>
        <v>0</v>
      </c>
    </row>
    <row r="4338" spans="2:2" ht="16.5" hidden="1">
      <c r="B4338" s="111">
        <f>+'Bldg+Dev'!U4044</f>
        <v>0</v>
      </c>
    </row>
    <row r="4339" spans="2:2" ht="16.5" hidden="1">
      <c r="B4339" s="111">
        <f>+'Bldg+Dev'!U4045</f>
        <v>0</v>
      </c>
    </row>
    <row r="4340" spans="2:2" ht="16.5" hidden="1">
      <c r="B4340" s="111">
        <f>+'Bldg+Dev'!U4046</f>
        <v>0</v>
      </c>
    </row>
    <row r="4341" spans="2:2" ht="16.5" hidden="1">
      <c r="B4341" s="111">
        <f>+'Bldg+Dev'!U4047</f>
        <v>0</v>
      </c>
    </row>
    <row r="4342" spans="2:2" ht="16.5" hidden="1">
      <c r="B4342" s="111">
        <f>+'Bldg+Dev'!U4048</f>
        <v>0</v>
      </c>
    </row>
    <row r="4343" spans="2:2" ht="16.5" hidden="1">
      <c r="B4343" s="111">
        <f>+'Bldg+Dev'!U4049</f>
        <v>0</v>
      </c>
    </row>
    <row r="4344" spans="2:2" ht="16.5" hidden="1">
      <c r="B4344" s="111">
        <f>+'Bldg+Dev'!U4050</f>
        <v>0</v>
      </c>
    </row>
    <row r="4345" spans="2:2" ht="16.5" hidden="1">
      <c r="B4345" s="111">
        <f>+'Bldg+Dev'!U4051</f>
        <v>0</v>
      </c>
    </row>
    <row r="4346" spans="2:2" ht="16.5" hidden="1">
      <c r="B4346" s="111">
        <f>+'Bldg+Dev'!U4052</f>
        <v>0</v>
      </c>
    </row>
    <row r="4347" spans="2:2" ht="16.5" hidden="1">
      <c r="B4347" s="111">
        <f>+'Bldg+Dev'!U4053</f>
        <v>0</v>
      </c>
    </row>
    <row r="4348" spans="2:2" ht="16.5" hidden="1">
      <c r="B4348" s="111">
        <f>+'Bldg+Dev'!U4054</f>
        <v>0</v>
      </c>
    </row>
    <row r="4349" spans="2:2" ht="16.5" hidden="1">
      <c r="B4349" s="111">
        <f>+'Bldg+Dev'!U4055</f>
        <v>0</v>
      </c>
    </row>
    <row r="4350" spans="2:2" ht="16.5" hidden="1">
      <c r="B4350" s="111">
        <f>+'Bldg+Dev'!U4056</f>
        <v>0</v>
      </c>
    </row>
    <row r="4351" spans="2:2" ht="16.5" hidden="1">
      <c r="B4351" s="111">
        <f>+'Bldg+Dev'!U4057</f>
        <v>0</v>
      </c>
    </row>
    <row r="4352" spans="2:2" ht="16.5" hidden="1">
      <c r="B4352" s="111">
        <f>+'Bldg+Dev'!U4058</f>
        <v>0</v>
      </c>
    </row>
    <row r="4353" spans="2:2" ht="16.5" hidden="1">
      <c r="B4353" s="111">
        <f>+'Bldg+Dev'!U4059</f>
        <v>0</v>
      </c>
    </row>
    <row r="4354" spans="2:2" ht="16.5" hidden="1">
      <c r="B4354" s="111">
        <f>+'Bldg+Dev'!U4060</f>
        <v>0</v>
      </c>
    </row>
    <row r="4355" spans="2:2" ht="16.5" hidden="1">
      <c r="B4355" s="111">
        <f>+'Bldg+Dev'!U4061</f>
        <v>0</v>
      </c>
    </row>
    <row r="4356" spans="2:2" ht="16.5" hidden="1">
      <c r="B4356" s="111">
        <f>+'Bldg+Dev'!U4062</f>
        <v>0</v>
      </c>
    </row>
    <row r="4357" spans="2:2" ht="16.5" hidden="1">
      <c r="B4357" s="111">
        <f>+'Bldg+Dev'!U4063</f>
        <v>0</v>
      </c>
    </row>
    <row r="4358" spans="2:2" ht="16.5" hidden="1">
      <c r="B4358" s="111">
        <f>+'Bldg+Dev'!U4064</f>
        <v>0</v>
      </c>
    </row>
    <row r="4359" spans="2:2" ht="16.5" hidden="1">
      <c r="B4359" s="111">
        <f>+'Bldg+Dev'!U4065</f>
        <v>0</v>
      </c>
    </row>
    <row r="4360" spans="2:2" ht="16.5" hidden="1">
      <c r="B4360" s="111">
        <f>+'Bldg+Dev'!U4066</f>
        <v>0</v>
      </c>
    </row>
    <row r="4361" spans="2:2" ht="16.5" hidden="1">
      <c r="B4361" s="111">
        <f>+'Bldg+Dev'!U4067</f>
        <v>0</v>
      </c>
    </row>
    <row r="4362" spans="2:2" ht="16.5" hidden="1">
      <c r="B4362" s="111">
        <f>+'Bldg+Dev'!U4068</f>
        <v>0</v>
      </c>
    </row>
    <row r="4363" spans="2:2" ht="16.5" hidden="1">
      <c r="B4363" s="111">
        <f>+'Bldg+Dev'!U4069</f>
        <v>0</v>
      </c>
    </row>
    <row r="4364" spans="2:2" ht="16.5" hidden="1">
      <c r="B4364" s="111">
        <f>+'Bldg+Dev'!U4070</f>
        <v>0</v>
      </c>
    </row>
    <row r="4365" spans="2:2" ht="16.5" hidden="1">
      <c r="B4365" s="111">
        <f>+'Bldg+Dev'!U4071</f>
        <v>0</v>
      </c>
    </row>
    <row r="4366" spans="2:2" ht="16.5" hidden="1">
      <c r="B4366" s="111">
        <f>+'Bldg+Dev'!U4072</f>
        <v>0</v>
      </c>
    </row>
    <row r="4367" spans="2:2" ht="16.5" hidden="1">
      <c r="B4367" s="111">
        <f>+'Bldg+Dev'!U4073</f>
        <v>0</v>
      </c>
    </row>
    <row r="4368" spans="2:2" ht="16.5" hidden="1">
      <c r="B4368" s="111">
        <f>+'Bldg+Dev'!U4074</f>
        <v>0</v>
      </c>
    </row>
    <row r="4369" spans="2:2" ht="16.5" hidden="1">
      <c r="B4369" s="111">
        <f>+'Bldg+Dev'!U4075</f>
        <v>0</v>
      </c>
    </row>
    <row r="4370" spans="2:2" ht="16.5" hidden="1">
      <c r="B4370" s="111">
        <f>+'Bldg+Dev'!U4076</f>
        <v>0</v>
      </c>
    </row>
    <row r="4371" spans="2:2" ht="16.5" hidden="1">
      <c r="B4371" s="111">
        <f>+'Bldg+Dev'!U4077</f>
        <v>0</v>
      </c>
    </row>
    <row r="4372" spans="2:2" ht="16.5" hidden="1">
      <c r="B4372" s="111">
        <f>+'Bldg+Dev'!U4078</f>
        <v>0</v>
      </c>
    </row>
    <row r="4373" spans="2:2" ht="16.5" hidden="1">
      <c r="B4373" s="111">
        <f>+'Bldg+Dev'!U4079</f>
        <v>0</v>
      </c>
    </row>
    <row r="4374" spans="2:2" ht="16.5" hidden="1">
      <c r="B4374" s="111">
        <f>+'Bldg+Dev'!U4080</f>
        <v>0</v>
      </c>
    </row>
    <row r="4375" spans="2:2" ht="16.5" hidden="1">
      <c r="B4375" s="111">
        <f>+'Bldg+Dev'!U4081</f>
        <v>0</v>
      </c>
    </row>
    <row r="4376" spans="2:2" ht="16.5" hidden="1">
      <c r="B4376" s="111">
        <f>+'Bldg+Dev'!U4082</f>
        <v>0</v>
      </c>
    </row>
    <row r="4377" spans="2:2" ht="16.5" hidden="1">
      <c r="B4377" s="111">
        <f>+'Bldg+Dev'!U4083</f>
        <v>0</v>
      </c>
    </row>
    <row r="4378" spans="2:2" ht="16.5" hidden="1">
      <c r="B4378" s="111">
        <f>+'Bldg+Dev'!U4084</f>
        <v>0</v>
      </c>
    </row>
    <row r="4379" spans="2:2" ht="16.5" hidden="1">
      <c r="B4379" s="111">
        <f>+'Bldg+Dev'!U4085</f>
        <v>0</v>
      </c>
    </row>
    <row r="4380" spans="2:2" ht="16.5" hidden="1">
      <c r="B4380" s="111">
        <f>+'Bldg+Dev'!U4086</f>
        <v>0</v>
      </c>
    </row>
    <row r="4381" spans="2:2" ht="16.5" hidden="1">
      <c r="B4381" s="111">
        <f>+'Bldg+Dev'!U4087</f>
        <v>0</v>
      </c>
    </row>
    <row r="4382" spans="2:2" ht="16.5" hidden="1">
      <c r="B4382" s="111">
        <f>+'Bldg+Dev'!U4088</f>
        <v>0</v>
      </c>
    </row>
    <row r="4383" spans="2:2" ht="16.5" hidden="1">
      <c r="B4383" s="111">
        <f>+'Bldg+Dev'!U4089</f>
        <v>0</v>
      </c>
    </row>
    <row r="4384" spans="2:2" ht="16.5" hidden="1">
      <c r="B4384" s="111">
        <f>+'Bldg+Dev'!U4090</f>
        <v>0</v>
      </c>
    </row>
    <row r="4385" spans="2:2" ht="16.5" hidden="1">
      <c r="B4385" s="111">
        <f>+'Bldg+Dev'!U4091</f>
        <v>0</v>
      </c>
    </row>
    <row r="4386" spans="2:2" ht="16.5" hidden="1">
      <c r="B4386" s="111">
        <f>+'Bldg+Dev'!U4092</f>
        <v>0</v>
      </c>
    </row>
    <row r="4387" spans="2:2" ht="16.5" hidden="1">
      <c r="B4387" s="111">
        <f>+'Bldg+Dev'!U4093</f>
        <v>0</v>
      </c>
    </row>
    <row r="4388" spans="2:2" ht="16.5" hidden="1">
      <c r="B4388" s="111">
        <f>+'Bldg+Dev'!U4094</f>
        <v>0</v>
      </c>
    </row>
    <row r="4389" spans="2:2" ht="16.5" hidden="1">
      <c r="B4389" s="111">
        <f>+'Bldg+Dev'!U4095</f>
        <v>0</v>
      </c>
    </row>
    <row r="4390" spans="2:2" ht="16.5" hidden="1">
      <c r="B4390" s="111">
        <f>+'Bldg+Dev'!U4096</f>
        <v>0</v>
      </c>
    </row>
    <row r="4391" spans="2:2" ht="16.5" hidden="1">
      <c r="B4391" s="111">
        <f>+'Bldg+Dev'!U4097</f>
        <v>0</v>
      </c>
    </row>
    <row r="4392" spans="2:2" ht="16.5" hidden="1">
      <c r="B4392" s="111">
        <f>+'Bldg+Dev'!U4098</f>
        <v>0</v>
      </c>
    </row>
    <row r="4393" spans="2:2" ht="16.5" hidden="1">
      <c r="B4393" s="111">
        <f>+'Bldg+Dev'!U4099</f>
        <v>0</v>
      </c>
    </row>
    <row r="4394" spans="2:2" ht="16.5" hidden="1">
      <c r="B4394" s="111">
        <f>+'Bldg+Dev'!U4100</f>
        <v>0</v>
      </c>
    </row>
    <row r="4395" spans="2:2" ht="16.5" hidden="1">
      <c r="B4395" s="111">
        <f>+'Bldg+Dev'!U4101</f>
        <v>0</v>
      </c>
    </row>
    <row r="4396" spans="2:2" ht="16.5" hidden="1">
      <c r="B4396" s="111">
        <f>+'Bldg+Dev'!U4102</f>
        <v>0</v>
      </c>
    </row>
    <row r="4397" spans="2:2" ht="16.5" hidden="1">
      <c r="B4397" s="111">
        <f>+'Bldg+Dev'!U4103</f>
        <v>0</v>
      </c>
    </row>
    <row r="4398" spans="2:2" ht="16.5" hidden="1">
      <c r="B4398" s="111">
        <f>+'Bldg+Dev'!U4104</f>
        <v>0</v>
      </c>
    </row>
    <row r="4399" spans="2:2" ht="16.5" hidden="1">
      <c r="B4399" s="111">
        <f>+'Bldg+Dev'!U4105</f>
        <v>0</v>
      </c>
    </row>
    <row r="4400" spans="2:2" ht="16.5" hidden="1">
      <c r="B4400" s="111">
        <f>+'Bldg+Dev'!U4106</f>
        <v>0</v>
      </c>
    </row>
    <row r="4401" spans="2:2" ht="16.5" hidden="1">
      <c r="B4401" s="111">
        <f>+'Bldg+Dev'!U4107</f>
        <v>0</v>
      </c>
    </row>
    <row r="4402" spans="2:2" ht="16.5" hidden="1">
      <c r="B4402" s="111">
        <f>+'Bldg+Dev'!U4108</f>
        <v>0</v>
      </c>
    </row>
    <row r="4403" spans="2:2" ht="16.5" hidden="1">
      <c r="B4403" s="111">
        <f>+'Bldg+Dev'!U4109</f>
        <v>0</v>
      </c>
    </row>
    <row r="4404" spans="2:2" ht="16.5" hidden="1">
      <c r="B4404" s="111">
        <f>+'Bldg+Dev'!U4110</f>
        <v>0</v>
      </c>
    </row>
    <row r="4405" spans="2:2" ht="16.5" hidden="1">
      <c r="B4405" s="111">
        <f>+'Bldg+Dev'!U4111</f>
        <v>0</v>
      </c>
    </row>
    <row r="4406" spans="2:2" ht="16.5" hidden="1">
      <c r="B4406" s="111">
        <f>+'Bldg+Dev'!U4112</f>
        <v>0</v>
      </c>
    </row>
    <row r="4407" spans="2:2" ht="16.5" hidden="1">
      <c r="B4407" s="111">
        <f>+'Bldg+Dev'!U4113</f>
        <v>0</v>
      </c>
    </row>
    <row r="4408" spans="2:2" ht="16.5" hidden="1">
      <c r="B4408" s="111">
        <f>+'Bldg+Dev'!U4114</f>
        <v>0</v>
      </c>
    </row>
    <row r="4409" spans="2:2" ht="16.5" hidden="1">
      <c r="B4409" s="111">
        <f>+'Bldg+Dev'!U4115</f>
        <v>0</v>
      </c>
    </row>
    <row r="4410" spans="2:2" ht="16.5" hidden="1">
      <c r="B4410" s="111">
        <f>+'Bldg+Dev'!U4116</f>
        <v>0</v>
      </c>
    </row>
    <row r="4411" spans="2:2" ht="16.5" hidden="1">
      <c r="B4411" s="111">
        <f>+'Bldg+Dev'!U4117</f>
        <v>0</v>
      </c>
    </row>
    <row r="4412" spans="2:2" ht="16.5" hidden="1">
      <c r="B4412" s="111">
        <f>+'Bldg+Dev'!U4118</f>
        <v>0</v>
      </c>
    </row>
    <row r="4413" spans="2:2" ht="16.5" hidden="1">
      <c r="B4413" s="111">
        <f>+'Bldg+Dev'!U4119</f>
        <v>0</v>
      </c>
    </row>
    <row r="4414" spans="2:2" ht="16.5" hidden="1">
      <c r="B4414" s="111">
        <f>+'Bldg+Dev'!U4120</f>
        <v>0</v>
      </c>
    </row>
    <row r="4415" spans="2:2" ht="16.5" hidden="1">
      <c r="B4415" s="111">
        <f>+'Bldg+Dev'!U4121</f>
        <v>0</v>
      </c>
    </row>
    <row r="4416" spans="2:2" ht="16.5" hidden="1">
      <c r="B4416" s="111">
        <f>+'Bldg+Dev'!U4122</f>
        <v>0</v>
      </c>
    </row>
    <row r="4417" spans="2:2" ht="16.5" hidden="1">
      <c r="B4417" s="111">
        <f>+'Bldg+Dev'!U4123</f>
        <v>0</v>
      </c>
    </row>
    <row r="4418" spans="2:2" ht="16.5" hidden="1">
      <c r="B4418" s="111">
        <f>+'Bldg+Dev'!U4124</f>
        <v>0</v>
      </c>
    </row>
    <row r="4419" spans="2:2" ht="16.5" hidden="1">
      <c r="B4419" s="111">
        <f>+'Bldg+Dev'!U4125</f>
        <v>0</v>
      </c>
    </row>
    <row r="4420" spans="2:2" ht="16.5" hidden="1">
      <c r="B4420" s="111">
        <f>+'Bldg+Dev'!U4126</f>
        <v>0</v>
      </c>
    </row>
    <row r="4421" spans="2:2" ht="16.5" hidden="1">
      <c r="B4421" s="111">
        <f>+'Bldg+Dev'!U4127</f>
        <v>0</v>
      </c>
    </row>
    <row r="4422" spans="2:2" ht="16.5" hidden="1">
      <c r="B4422" s="111">
        <f>+'Bldg+Dev'!U4128</f>
        <v>0</v>
      </c>
    </row>
    <row r="4423" spans="2:2" ht="16.5" hidden="1">
      <c r="B4423" s="111">
        <f>+'Bldg+Dev'!U4129</f>
        <v>0</v>
      </c>
    </row>
    <row r="4424" spans="2:2" ht="16.5" hidden="1">
      <c r="B4424" s="111">
        <f>+'Bldg+Dev'!U4130</f>
        <v>0</v>
      </c>
    </row>
    <row r="4425" spans="2:2" ht="16.5" hidden="1">
      <c r="B4425" s="111">
        <f>+'Bldg+Dev'!U4131</f>
        <v>0</v>
      </c>
    </row>
    <row r="4426" spans="2:2" ht="16.5" hidden="1">
      <c r="B4426" s="111">
        <f>+'Bldg+Dev'!U4132</f>
        <v>0</v>
      </c>
    </row>
    <row r="4427" spans="2:2" ht="16.5" hidden="1">
      <c r="B4427" s="111">
        <f>+'Bldg+Dev'!U4133</f>
        <v>0</v>
      </c>
    </row>
    <row r="4428" spans="2:2" ht="16.5" hidden="1">
      <c r="B4428" s="111">
        <f>+'Bldg+Dev'!U4134</f>
        <v>0</v>
      </c>
    </row>
    <row r="4429" spans="2:2" ht="16.5" hidden="1">
      <c r="B4429" s="111">
        <f>+'Bldg+Dev'!U4135</f>
        <v>0</v>
      </c>
    </row>
    <row r="4430" spans="2:2" ht="16.5" hidden="1">
      <c r="B4430" s="111">
        <f>+'Bldg+Dev'!U4136</f>
        <v>0</v>
      </c>
    </row>
    <row r="4431" spans="2:2" ht="16.5" hidden="1">
      <c r="B4431" s="111">
        <f>+'Bldg+Dev'!U4137</f>
        <v>0</v>
      </c>
    </row>
    <row r="4432" spans="2:2" ht="16.5" hidden="1">
      <c r="B4432" s="111">
        <f>+'Bldg+Dev'!U4138</f>
        <v>0</v>
      </c>
    </row>
    <row r="4433" spans="2:2" ht="16.5" hidden="1">
      <c r="B4433" s="111">
        <f>+'Bldg+Dev'!U4139</f>
        <v>0</v>
      </c>
    </row>
    <row r="4434" spans="2:2" ht="16.5" hidden="1">
      <c r="B4434" s="111">
        <f>+'Bldg+Dev'!U4140</f>
        <v>0</v>
      </c>
    </row>
    <row r="4435" spans="2:2" ht="16.5" hidden="1">
      <c r="B4435" s="111">
        <f>+'Bldg+Dev'!U4141</f>
        <v>0</v>
      </c>
    </row>
    <row r="4436" spans="2:2" ht="16.5" hidden="1">
      <c r="B4436" s="111">
        <f>+'Bldg+Dev'!U4142</f>
        <v>0</v>
      </c>
    </row>
    <row r="4437" spans="2:2" ht="16.5" hidden="1">
      <c r="B4437" s="111">
        <f>+'Bldg+Dev'!U4143</f>
        <v>0</v>
      </c>
    </row>
    <row r="4438" spans="2:2" ht="16.5" hidden="1">
      <c r="B4438" s="111">
        <f>+'Bldg+Dev'!U4144</f>
        <v>0</v>
      </c>
    </row>
    <row r="4439" spans="2:2" ht="16.5" hidden="1">
      <c r="B4439" s="111">
        <f>+'Bldg+Dev'!U4145</f>
        <v>0</v>
      </c>
    </row>
    <row r="4440" spans="2:2" ht="16.5" hidden="1">
      <c r="B4440" s="111">
        <f>+'Bldg+Dev'!U4146</f>
        <v>0</v>
      </c>
    </row>
    <row r="4441" spans="2:2" ht="16.5" hidden="1">
      <c r="B4441" s="111">
        <f>+'Bldg+Dev'!U4147</f>
        <v>0</v>
      </c>
    </row>
    <row r="4442" spans="2:2" ht="16.5" hidden="1">
      <c r="B4442" s="111">
        <f>+'Bldg+Dev'!U4148</f>
        <v>0</v>
      </c>
    </row>
    <row r="4443" spans="2:2" ht="16.5" hidden="1">
      <c r="B4443" s="111">
        <f>+'Bldg+Dev'!U4149</f>
        <v>0</v>
      </c>
    </row>
    <row r="4444" spans="2:2" ht="16.5" hidden="1">
      <c r="B4444" s="111">
        <f>+'Bldg+Dev'!U4150</f>
        <v>0</v>
      </c>
    </row>
    <row r="4445" spans="2:2" ht="16.5" hidden="1">
      <c r="B4445" s="111">
        <f>+'Bldg+Dev'!U4151</f>
        <v>0</v>
      </c>
    </row>
    <row r="4446" spans="2:2" ht="16.5" hidden="1">
      <c r="B4446" s="111">
        <f>+'Bldg+Dev'!U4152</f>
        <v>0</v>
      </c>
    </row>
    <row r="4447" spans="2:2" ht="16.5" hidden="1">
      <c r="B4447" s="111">
        <f>+'Bldg+Dev'!U4153</f>
        <v>0</v>
      </c>
    </row>
    <row r="4448" spans="2:2" ht="16.5" hidden="1">
      <c r="B4448" s="111">
        <f>+'Bldg+Dev'!U4154</f>
        <v>0</v>
      </c>
    </row>
    <row r="4449" spans="2:2" ht="16.5" hidden="1">
      <c r="B4449" s="111">
        <f>+'Bldg+Dev'!U4155</f>
        <v>0</v>
      </c>
    </row>
    <row r="4450" spans="2:2" ht="16.5" hidden="1">
      <c r="B4450" s="111">
        <f>+'Bldg+Dev'!U4156</f>
        <v>0</v>
      </c>
    </row>
    <row r="4451" spans="2:2" ht="16.5" hidden="1">
      <c r="B4451" s="111">
        <f>+'Bldg+Dev'!U4157</f>
        <v>0</v>
      </c>
    </row>
    <row r="4452" spans="2:2" ht="16.5" hidden="1">
      <c r="B4452" s="111">
        <f>+'Bldg+Dev'!U4158</f>
        <v>0</v>
      </c>
    </row>
    <row r="4453" spans="2:2" ht="16.5" hidden="1">
      <c r="B4453" s="111">
        <f>+'Bldg+Dev'!U4159</f>
        <v>0</v>
      </c>
    </row>
    <row r="4454" spans="2:2" ht="16.5" hidden="1">
      <c r="B4454" s="111">
        <f>+'Bldg+Dev'!U4160</f>
        <v>0</v>
      </c>
    </row>
    <row r="4455" spans="2:2" ht="16.5" hidden="1">
      <c r="B4455" s="111">
        <f>+'Bldg+Dev'!U4161</f>
        <v>0</v>
      </c>
    </row>
    <row r="4456" spans="2:2" ht="16.5" hidden="1">
      <c r="B4456" s="111">
        <f>+'Bldg+Dev'!U4162</f>
        <v>0</v>
      </c>
    </row>
    <row r="4457" spans="2:2" ht="16.5" hidden="1">
      <c r="B4457" s="111">
        <f>+'Bldg+Dev'!U4163</f>
        <v>0</v>
      </c>
    </row>
    <row r="4458" spans="2:2" ht="16.5" hidden="1">
      <c r="B4458" s="111">
        <f>+'Bldg+Dev'!U4164</f>
        <v>0</v>
      </c>
    </row>
    <row r="4459" spans="2:2" ht="16.5" hidden="1">
      <c r="B4459" s="111">
        <f>+'Bldg+Dev'!U4165</f>
        <v>0</v>
      </c>
    </row>
    <row r="4460" spans="2:2" ht="16.5" hidden="1">
      <c r="B4460" s="111">
        <f>+'Bldg+Dev'!U4166</f>
        <v>0</v>
      </c>
    </row>
    <row r="4461" spans="2:2" ht="16.5" hidden="1">
      <c r="B4461" s="111">
        <f>+'Bldg+Dev'!U4167</f>
        <v>0</v>
      </c>
    </row>
    <row r="4462" spans="2:2" ht="16.5" hidden="1">
      <c r="B4462" s="111">
        <f>+'Bldg+Dev'!U4168</f>
        <v>0</v>
      </c>
    </row>
    <row r="4463" spans="2:2" ht="16.5" hidden="1">
      <c r="B4463" s="111">
        <f>+'Bldg+Dev'!U4169</f>
        <v>0</v>
      </c>
    </row>
    <row r="4464" spans="2:2" ht="16.5" hidden="1">
      <c r="B4464" s="111">
        <f>+'Bldg+Dev'!U4170</f>
        <v>0</v>
      </c>
    </row>
    <row r="4465" spans="2:2" ht="16.5" hidden="1">
      <c r="B4465" s="111">
        <f>+'Bldg+Dev'!U4171</f>
        <v>0</v>
      </c>
    </row>
    <row r="4466" spans="2:2" ht="16.5" hidden="1">
      <c r="B4466" s="111">
        <f>+'Bldg+Dev'!U4172</f>
        <v>0</v>
      </c>
    </row>
    <row r="4467" spans="2:2" ht="16.5" hidden="1">
      <c r="B4467" s="111">
        <f>+'Bldg+Dev'!U4173</f>
        <v>0</v>
      </c>
    </row>
    <row r="4468" spans="2:2" ht="16.5" hidden="1">
      <c r="B4468" s="111">
        <f>+'Bldg+Dev'!U4174</f>
        <v>0</v>
      </c>
    </row>
    <row r="4469" spans="2:2" ht="16.5" hidden="1">
      <c r="B4469" s="111">
        <f>+'Bldg+Dev'!U4175</f>
        <v>0</v>
      </c>
    </row>
    <row r="4470" spans="2:2" ht="16.5" hidden="1">
      <c r="B4470" s="111">
        <f>+'Bldg+Dev'!U4176</f>
        <v>0</v>
      </c>
    </row>
    <row r="4471" spans="2:2" ht="16.5" hidden="1">
      <c r="B4471" s="111">
        <f>+'Bldg+Dev'!U4177</f>
        <v>0</v>
      </c>
    </row>
    <row r="4472" spans="2:2" ht="16.5" hidden="1">
      <c r="B4472" s="111">
        <f>+'Bldg+Dev'!U4178</f>
        <v>0</v>
      </c>
    </row>
    <row r="4473" spans="2:2" ht="16.5" hidden="1">
      <c r="B4473" s="111">
        <f>+'Bldg+Dev'!U4179</f>
        <v>0</v>
      </c>
    </row>
    <row r="4474" spans="2:2" ht="16.5" hidden="1">
      <c r="B4474" s="111">
        <f>+'Bldg+Dev'!U4180</f>
        <v>0</v>
      </c>
    </row>
    <row r="4475" spans="2:2" ht="16.5" hidden="1">
      <c r="B4475" s="111">
        <f>+'Bldg+Dev'!U4181</f>
        <v>0</v>
      </c>
    </row>
    <row r="4476" spans="2:2" ht="16.5" hidden="1">
      <c r="B4476" s="111">
        <f>+'Bldg+Dev'!U4182</f>
        <v>0</v>
      </c>
    </row>
    <row r="4477" spans="2:2" ht="16.5" hidden="1">
      <c r="B4477" s="111">
        <f>+'Bldg+Dev'!U4183</f>
        <v>0</v>
      </c>
    </row>
    <row r="4478" spans="2:2" ht="16.5" hidden="1">
      <c r="B4478" s="111">
        <f>+'Bldg+Dev'!U4184</f>
        <v>0</v>
      </c>
    </row>
    <row r="4479" spans="2:2" ht="16.5" hidden="1">
      <c r="B4479" s="111">
        <f>+'Bldg+Dev'!U4185</f>
        <v>0</v>
      </c>
    </row>
    <row r="4480" spans="2:2" ht="16.5" hidden="1">
      <c r="B4480" s="111">
        <f>+'Bldg+Dev'!U4186</f>
        <v>0</v>
      </c>
    </row>
    <row r="4481" spans="2:2" ht="16.5" hidden="1">
      <c r="B4481" s="111">
        <f>+'Bldg+Dev'!U4187</f>
        <v>0</v>
      </c>
    </row>
    <row r="4482" spans="2:2" ht="16.5" hidden="1">
      <c r="B4482" s="111">
        <f>+'Bldg+Dev'!U4188</f>
        <v>0</v>
      </c>
    </row>
    <row r="4483" spans="2:2" ht="16.5" hidden="1">
      <c r="B4483" s="111">
        <f>+'Bldg+Dev'!U4189</f>
        <v>0</v>
      </c>
    </row>
    <row r="4484" spans="2:2" ht="16.5" hidden="1">
      <c r="B4484" s="111">
        <f>+'Bldg+Dev'!U4190</f>
        <v>0</v>
      </c>
    </row>
    <row r="4485" spans="2:2" ht="16.5" hidden="1">
      <c r="B4485" s="111">
        <f>+'Bldg+Dev'!U4191</f>
        <v>0</v>
      </c>
    </row>
    <row r="4486" spans="2:2" ht="16.5" hidden="1">
      <c r="B4486" s="111">
        <f>+'Bldg+Dev'!U4192</f>
        <v>0</v>
      </c>
    </row>
    <row r="4487" spans="2:2" ht="16.5" hidden="1">
      <c r="B4487" s="111">
        <f>+'Bldg+Dev'!U4193</f>
        <v>0</v>
      </c>
    </row>
    <row r="4488" spans="2:2" ht="16.5" hidden="1">
      <c r="B4488" s="111">
        <f>+'Bldg+Dev'!U4194</f>
        <v>0</v>
      </c>
    </row>
    <row r="4489" spans="2:2" ht="16.5" hidden="1">
      <c r="B4489" s="111">
        <f>+'Bldg+Dev'!U4195</f>
        <v>0</v>
      </c>
    </row>
    <row r="4490" spans="2:2" ht="16.5" hidden="1">
      <c r="B4490" s="111">
        <f>+'Bldg+Dev'!U4196</f>
        <v>0</v>
      </c>
    </row>
    <row r="4491" spans="2:2" ht="16.5" hidden="1">
      <c r="B4491" s="111">
        <f>+'Bldg+Dev'!U4197</f>
        <v>0</v>
      </c>
    </row>
    <row r="4492" spans="2:2" ht="16.5" hidden="1">
      <c r="B4492" s="111">
        <f>+'Bldg+Dev'!U4198</f>
        <v>0</v>
      </c>
    </row>
    <row r="4493" spans="2:2" ht="16.5" hidden="1">
      <c r="B4493" s="111">
        <f>+'Bldg+Dev'!U4199</f>
        <v>0</v>
      </c>
    </row>
    <row r="4494" spans="2:2" ht="16.5" hidden="1">
      <c r="B4494" s="111">
        <f>+'Bldg+Dev'!U4200</f>
        <v>0</v>
      </c>
    </row>
    <row r="4495" spans="2:2" ht="16.5" hidden="1">
      <c r="B4495" s="111">
        <f>+'Bldg+Dev'!U4201</f>
        <v>0</v>
      </c>
    </row>
    <row r="4496" spans="2:2" ht="16.5" hidden="1">
      <c r="B4496" s="111">
        <f>+'Bldg+Dev'!U4202</f>
        <v>0</v>
      </c>
    </row>
    <row r="4497" spans="2:2" ht="16.5" hidden="1">
      <c r="B4497" s="111">
        <f>+'Bldg+Dev'!U4203</f>
        <v>0</v>
      </c>
    </row>
    <row r="4498" spans="2:2" ht="16.5" hidden="1">
      <c r="B4498" s="111">
        <f>+'Bldg+Dev'!U4204</f>
        <v>0</v>
      </c>
    </row>
    <row r="4499" spans="2:2" ht="16.5" hidden="1">
      <c r="B4499" s="111">
        <f>+'Bldg+Dev'!U4205</f>
        <v>0</v>
      </c>
    </row>
    <row r="4500" spans="2:2" ht="16.5" hidden="1">
      <c r="B4500" s="111">
        <f>+'Bldg+Dev'!U4206</f>
        <v>0</v>
      </c>
    </row>
    <row r="4501" spans="2:2" ht="16.5" hidden="1">
      <c r="B4501" s="111">
        <f>+'Bldg+Dev'!U4207</f>
        <v>0</v>
      </c>
    </row>
    <row r="4502" spans="2:2" ht="16.5" hidden="1">
      <c r="B4502" s="111">
        <f>+'Bldg+Dev'!U4208</f>
        <v>0</v>
      </c>
    </row>
    <row r="4503" spans="2:2" ht="16.5" hidden="1">
      <c r="B4503" s="111">
        <f>+'Bldg+Dev'!U4209</f>
        <v>0</v>
      </c>
    </row>
    <row r="4504" spans="2:2" ht="16.5" hidden="1">
      <c r="B4504" s="111">
        <f>+'Bldg+Dev'!U4210</f>
        <v>0</v>
      </c>
    </row>
    <row r="4505" spans="2:2" ht="16.5" hidden="1">
      <c r="B4505" s="111">
        <f>+'Bldg+Dev'!U4211</f>
        <v>0</v>
      </c>
    </row>
    <row r="4506" spans="2:2" ht="16.5" hidden="1">
      <c r="B4506" s="111">
        <f>+'Bldg+Dev'!U4212</f>
        <v>0</v>
      </c>
    </row>
    <row r="4507" spans="2:2" ht="16.5" hidden="1">
      <c r="B4507" s="111">
        <f>+'Bldg+Dev'!U4213</f>
        <v>0</v>
      </c>
    </row>
    <row r="4508" spans="2:2" ht="16.5" hidden="1">
      <c r="B4508" s="111">
        <f>+'Bldg+Dev'!U4214</f>
        <v>0</v>
      </c>
    </row>
    <row r="4509" spans="2:2" ht="16.5" hidden="1">
      <c r="B4509" s="111">
        <f>+'Bldg+Dev'!U4215</f>
        <v>0</v>
      </c>
    </row>
    <row r="4510" spans="2:2" ht="16.5" hidden="1">
      <c r="B4510" s="111">
        <f>+'Bldg+Dev'!U4216</f>
        <v>0</v>
      </c>
    </row>
    <row r="4511" spans="2:2" ht="16.5" hidden="1">
      <c r="B4511" s="111">
        <f>+'Bldg+Dev'!U4217</f>
        <v>0</v>
      </c>
    </row>
    <row r="4512" spans="2:2" ht="16.5" hidden="1">
      <c r="B4512" s="111">
        <f>+'Bldg+Dev'!U4218</f>
        <v>0</v>
      </c>
    </row>
    <row r="4513" spans="2:2" ht="16.5" hidden="1">
      <c r="B4513" s="111">
        <f>+'Bldg+Dev'!U4219</f>
        <v>0</v>
      </c>
    </row>
    <row r="4514" spans="2:2" ht="16.5" hidden="1">
      <c r="B4514" s="111">
        <f>+'Bldg+Dev'!U4220</f>
        <v>0</v>
      </c>
    </row>
    <row r="4515" spans="2:2" ht="16.5" hidden="1">
      <c r="B4515" s="111">
        <f>+'Bldg+Dev'!U4221</f>
        <v>0</v>
      </c>
    </row>
    <row r="4516" spans="2:2" ht="16.5" hidden="1">
      <c r="B4516" s="111">
        <f>+'Bldg+Dev'!U4222</f>
        <v>0</v>
      </c>
    </row>
    <row r="4517" spans="2:2" ht="16.5" hidden="1">
      <c r="B4517" s="111">
        <f>+'Bldg+Dev'!U4223</f>
        <v>0</v>
      </c>
    </row>
    <row r="4518" spans="2:2" ht="16.5" hidden="1">
      <c r="B4518" s="111">
        <f>+'Bldg+Dev'!U4224</f>
        <v>0</v>
      </c>
    </row>
    <row r="4519" spans="2:2" ht="16.5" hidden="1">
      <c r="B4519" s="111">
        <f>+'Bldg+Dev'!U4225</f>
        <v>0</v>
      </c>
    </row>
    <row r="4520" spans="2:2" ht="16.5" hidden="1">
      <c r="B4520" s="111">
        <f>+'Bldg+Dev'!U4226</f>
        <v>0</v>
      </c>
    </row>
    <row r="4521" spans="2:2" ht="16.5" hidden="1">
      <c r="B4521" s="111">
        <f>+'Bldg+Dev'!U4227</f>
        <v>0</v>
      </c>
    </row>
    <row r="4522" spans="2:2" ht="16.5" hidden="1">
      <c r="B4522" s="111">
        <f>+'Bldg+Dev'!U4228</f>
        <v>0</v>
      </c>
    </row>
    <row r="4523" spans="2:2" ht="16.5" hidden="1">
      <c r="B4523" s="111">
        <f>+'Bldg+Dev'!U4229</f>
        <v>0</v>
      </c>
    </row>
    <row r="4524" spans="2:2" ht="16.5" hidden="1">
      <c r="B4524" s="111">
        <f>+'Bldg+Dev'!U4230</f>
        <v>0</v>
      </c>
    </row>
    <row r="4525" spans="2:2" ht="16.5" hidden="1">
      <c r="B4525" s="111">
        <f>+'Bldg+Dev'!U4231</f>
        <v>0</v>
      </c>
    </row>
    <row r="4526" spans="2:2" ht="16.5" hidden="1">
      <c r="B4526" s="111">
        <f>+'Bldg+Dev'!U4232</f>
        <v>0</v>
      </c>
    </row>
    <row r="4527" spans="2:2" ht="16.5" hidden="1">
      <c r="B4527" s="111">
        <f>+'Bldg+Dev'!U4233</f>
        <v>0</v>
      </c>
    </row>
    <row r="4528" spans="2:2" ht="16.5" hidden="1">
      <c r="B4528" s="111">
        <f>+'Bldg+Dev'!U4234</f>
        <v>0</v>
      </c>
    </row>
    <row r="4529" spans="2:2" ht="16.5" hidden="1">
      <c r="B4529" s="111">
        <f>+'Bldg+Dev'!U4235</f>
        <v>0</v>
      </c>
    </row>
    <row r="4530" spans="2:2" ht="16.5" hidden="1">
      <c r="B4530" s="111">
        <f>+'Bldg+Dev'!U4236</f>
        <v>0</v>
      </c>
    </row>
    <row r="4531" spans="2:2" ht="16.5" hidden="1">
      <c r="B4531" s="111">
        <f>+'Bldg+Dev'!U4237</f>
        <v>0</v>
      </c>
    </row>
    <row r="4532" spans="2:2" ht="16.5" hidden="1">
      <c r="B4532" s="111">
        <f>+'Bldg+Dev'!U4238</f>
        <v>0</v>
      </c>
    </row>
    <row r="4533" spans="2:2" ht="16.5" hidden="1">
      <c r="B4533" s="111">
        <f>+'Bldg+Dev'!U4239</f>
        <v>0</v>
      </c>
    </row>
    <row r="4534" spans="2:2" ht="16.5" hidden="1">
      <c r="B4534" s="111">
        <f>+'Bldg+Dev'!U4240</f>
        <v>0</v>
      </c>
    </row>
    <row r="4535" spans="2:2" ht="16.5" hidden="1">
      <c r="B4535" s="111">
        <f>+'Bldg+Dev'!U4241</f>
        <v>0</v>
      </c>
    </row>
    <row r="4536" spans="2:2" ht="16.5" hidden="1">
      <c r="B4536" s="111">
        <f>+'Bldg+Dev'!U4242</f>
        <v>0</v>
      </c>
    </row>
    <row r="4537" spans="2:2" ht="16.5" hidden="1">
      <c r="B4537" s="111">
        <f>+'Bldg+Dev'!U4243</f>
        <v>0</v>
      </c>
    </row>
    <row r="4538" spans="2:2" ht="16.5" hidden="1">
      <c r="B4538" s="111">
        <f>+'Bldg+Dev'!U4244</f>
        <v>0</v>
      </c>
    </row>
    <row r="4539" spans="2:2" ht="16.5" hidden="1">
      <c r="B4539" s="111">
        <f>+'Bldg+Dev'!U4245</f>
        <v>0</v>
      </c>
    </row>
    <row r="4540" spans="2:2" ht="16.5" hidden="1">
      <c r="B4540" s="111">
        <f>+'Bldg+Dev'!U4246</f>
        <v>0</v>
      </c>
    </row>
    <row r="4541" spans="2:2" ht="16.5" hidden="1">
      <c r="B4541" s="111">
        <f>+'Bldg+Dev'!U4247</f>
        <v>0</v>
      </c>
    </row>
    <row r="4542" spans="2:2" ht="16.5" hidden="1">
      <c r="B4542" s="111">
        <f>+'Bldg+Dev'!U4248</f>
        <v>0</v>
      </c>
    </row>
    <row r="4543" spans="2:2" ht="16.5" hidden="1">
      <c r="B4543" s="111">
        <f>+'Bldg+Dev'!U4249</f>
        <v>0</v>
      </c>
    </row>
    <row r="4544" spans="2:2" ht="16.5" hidden="1">
      <c r="B4544" s="111">
        <f>+'Bldg+Dev'!U4250</f>
        <v>0</v>
      </c>
    </row>
    <row r="4545" spans="2:2" ht="16.5" hidden="1">
      <c r="B4545" s="111">
        <f>+'Bldg+Dev'!U4251</f>
        <v>0</v>
      </c>
    </row>
    <row r="4546" spans="2:2" ht="16.5" hidden="1">
      <c r="B4546" s="111">
        <f>+'Bldg+Dev'!U4252</f>
        <v>0</v>
      </c>
    </row>
    <row r="4547" spans="2:2" ht="16.5" hidden="1">
      <c r="B4547" s="111">
        <f>+'Bldg+Dev'!U4253</f>
        <v>0</v>
      </c>
    </row>
    <row r="4548" spans="2:2" ht="16.5" hidden="1">
      <c r="B4548" s="111">
        <f>+'Bldg+Dev'!U4254</f>
        <v>0</v>
      </c>
    </row>
    <row r="4549" spans="2:2" ht="16.5" hidden="1">
      <c r="B4549" s="111">
        <f>+'Bldg+Dev'!U4255</f>
        <v>0</v>
      </c>
    </row>
    <row r="4550" spans="2:2" ht="16.5" hidden="1">
      <c r="B4550" s="111">
        <f>+'Bldg+Dev'!U4256</f>
        <v>0</v>
      </c>
    </row>
    <row r="4551" spans="2:2" ht="16.5" hidden="1">
      <c r="B4551" s="111">
        <f>+'Bldg+Dev'!U4257</f>
        <v>0</v>
      </c>
    </row>
    <row r="4552" spans="2:2" ht="16.5" hidden="1">
      <c r="B4552" s="111">
        <f>+'Bldg+Dev'!U4258</f>
        <v>0</v>
      </c>
    </row>
    <row r="4553" spans="2:2" ht="16.5" hidden="1">
      <c r="B4553" s="111">
        <f>+'Bldg+Dev'!U4259</f>
        <v>0</v>
      </c>
    </row>
    <row r="4554" spans="2:2" ht="16.5" hidden="1">
      <c r="B4554" s="111">
        <f>+'Bldg+Dev'!U4260</f>
        <v>0</v>
      </c>
    </row>
    <row r="4555" spans="2:2" ht="16.5" hidden="1">
      <c r="B4555" s="111">
        <f>+'Bldg+Dev'!U4261</f>
        <v>0</v>
      </c>
    </row>
    <row r="4556" spans="2:2" ht="16.5" hidden="1">
      <c r="B4556" s="111">
        <f>+'Bldg+Dev'!U4262</f>
        <v>0</v>
      </c>
    </row>
    <row r="4557" spans="2:2" ht="16.5" hidden="1">
      <c r="B4557" s="111">
        <f>+'Bldg+Dev'!U4263</f>
        <v>0</v>
      </c>
    </row>
    <row r="4558" spans="2:2" ht="16.5" hidden="1">
      <c r="B4558" s="111">
        <f>+'Bldg+Dev'!U4264</f>
        <v>0</v>
      </c>
    </row>
    <row r="4559" spans="2:2" ht="16.5" hidden="1">
      <c r="B4559" s="111">
        <f>+'Bldg+Dev'!U4265</f>
        <v>0</v>
      </c>
    </row>
    <row r="4560" spans="2:2" ht="16.5" hidden="1">
      <c r="B4560" s="111">
        <f>+'Bldg+Dev'!U4266</f>
        <v>0</v>
      </c>
    </row>
    <row r="4561" spans="2:2" ht="16.5" hidden="1">
      <c r="B4561" s="111">
        <f>+'Bldg+Dev'!U4267</f>
        <v>0</v>
      </c>
    </row>
    <row r="4562" spans="2:2" ht="16.5" hidden="1">
      <c r="B4562" s="111">
        <f>+'Bldg+Dev'!U4268</f>
        <v>0</v>
      </c>
    </row>
    <row r="4563" spans="2:2" ht="16.5" hidden="1">
      <c r="B4563" s="111">
        <f>+'Bldg+Dev'!U4269</f>
        <v>0</v>
      </c>
    </row>
    <row r="4564" spans="2:2" ht="16.5" hidden="1">
      <c r="B4564" s="111">
        <f>+'Bldg+Dev'!U4270</f>
        <v>0</v>
      </c>
    </row>
    <row r="4565" spans="2:2" ht="16.5" hidden="1">
      <c r="B4565" s="111">
        <f>+'Bldg+Dev'!U4271</f>
        <v>0</v>
      </c>
    </row>
    <row r="4566" spans="2:2" ht="16.5" hidden="1">
      <c r="B4566" s="111">
        <f>+'Bldg+Dev'!U4272</f>
        <v>0</v>
      </c>
    </row>
    <row r="4567" spans="2:2" ht="16.5" hidden="1">
      <c r="B4567" s="111">
        <f>+'Bldg+Dev'!U4273</f>
        <v>0</v>
      </c>
    </row>
    <row r="4568" spans="2:2" ht="16.5" hidden="1">
      <c r="B4568" s="111">
        <f>+'Bldg+Dev'!U4274</f>
        <v>0</v>
      </c>
    </row>
    <row r="4569" spans="2:2" ht="16.5" hidden="1">
      <c r="B4569" s="111">
        <f>+'Bldg+Dev'!U4275</f>
        <v>0</v>
      </c>
    </row>
    <row r="4570" spans="2:2" ht="16.5" hidden="1">
      <c r="B4570" s="111">
        <f>+'Bldg+Dev'!U4276</f>
        <v>0</v>
      </c>
    </row>
    <row r="4571" spans="2:2" ht="16.5" hidden="1">
      <c r="B4571" s="111">
        <f>+'Bldg+Dev'!U4277</f>
        <v>0</v>
      </c>
    </row>
    <row r="4572" spans="2:2" ht="16.5" hidden="1">
      <c r="B4572" s="111">
        <f>+'Bldg+Dev'!U4278</f>
        <v>0</v>
      </c>
    </row>
    <row r="4573" spans="2:2" ht="16.5" hidden="1">
      <c r="B4573" s="111">
        <f>+'Bldg+Dev'!U4279</f>
        <v>0</v>
      </c>
    </row>
    <row r="4574" spans="2:2" ht="16.5" hidden="1">
      <c r="B4574" s="111">
        <f>+'Bldg+Dev'!U4280</f>
        <v>0</v>
      </c>
    </row>
    <row r="4575" spans="2:2" ht="16.5" hidden="1">
      <c r="B4575" s="111">
        <f>+'Bldg+Dev'!U4281</f>
        <v>0</v>
      </c>
    </row>
    <row r="4576" spans="2:2" ht="16.5" hidden="1">
      <c r="B4576" s="111">
        <f>+'Bldg+Dev'!U4282</f>
        <v>0</v>
      </c>
    </row>
    <row r="4577" spans="2:2" ht="16.5" hidden="1">
      <c r="B4577" s="111">
        <f>+'Bldg+Dev'!U4283</f>
        <v>0</v>
      </c>
    </row>
    <row r="4578" spans="2:2" ht="16.5" hidden="1">
      <c r="B4578" s="111">
        <f>+'Bldg+Dev'!U4284</f>
        <v>0</v>
      </c>
    </row>
    <row r="4579" spans="2:2" ht="16.5" hidden="1">
      <c r="B4579" s="111">
        <f>+'Bldg+Dev'!U4285</f>
        <v>0</v>
      </c>
    </row>
    <row r="4580" spans="2:2" ht="16.5" hidden="1">
      <c r="B4580" s="111">
        <f>+'Bldg+Dev'!U4286</f>
        <v>0</v>
      </c>
    </row>
    <row r="4581" spans="2:2" ht="16.5" hidden="1">
      <c r="B4581" s="111">
        <f>+'Bldg+Dev'!U4287</f>
        <v>0</v>
      </c>
    </row>
    <row r="4582" spans="2:2" ht="16.5" hidden="1">
      <c r="B4582" s="111">
        <f>+'Bldg+Dev'!U4288</f>
        <v>0</v>
      </c>
    </row>
    <row r="4583" spans="2:2" ht="16.5" hidden="1">
      <c r="B4583" s="111">
        <f>+'Bldg+Dev'!U4289</f>
        <v>0</v>
      </c>
    </row>
    <row r="4584" spans="2:2" ht="16.5" hidden="1">
      <c r="B4584" s="111">
        <f>+'Bldg+Dev'!U4290</f>
        <v>0</v>
      </c>
    </row>
    <row r="4585" spans="2:2" ht="16.5" hidden="1">
      <c r="B4585" s="111">
        <f>+'Bldg+Dev'!U4291</f>
        <v>0</v>
      </c>
    </row>
    <row r="4586" spans="2:2" ht="16.5" hidden="1">
      <c r="B4586" s="111">
        <f>+'Bldg+Dev'!U4292</f>
        <v>0</v>
      </c>
    </row>
    <row r="4587" spans="2:2" ht="16.5" hidden="1">
      <c r="B4587" s="111">
        <f>+'Bldg+Dev'!U4293</f>
        <v>0</v>
      </c>
    </row>
    <row r="4588" spans="2:2" ht="16.5" hidden="1">
      <c r="B4588" s="111">
        <f>+'Bldg+Dev'!U4294</f>
        <v>0</v>
      </c>
    </row>
    <row r="4589" spans="2:2" ht="16.5" hidden="1">
      <c r="B4589" s="111">
        <f>+'Bldg+Dev'!U4295</f>
        <v>0</v>
      </c>
    </row>
    <row r="4590" spans="2:2" ht="16.5" hidden="1">
      <c r="B4590" s="111">
        <f>+'Bldg+Dev'!U4296</f>
        <v>0</v>
      </c>
    </row>
    <row r="4591" spans="2:2" ht="16.5" hidden="1">
      <c r="B4591" s="111">
        <f>+'Bldg+Dev'!U4297</f>
        <v>0</v>
      </c>
    </row>
    <row r="4592" spans="2:2" ht="16.5" hidden="1">
      <c r="B4592" s="111">
        <f>+'Bldg+Dev'!U4298</f>
        <v>0</v>
      </c>
    </row>
    <row r="4593" spans="2:2" ht="16.5" hidden="1">
      <c r="B4593" s="111">
        <f>+'Bldg+Dev'!U4299</f>
        <v>0</v>
      </c>
    </row>
    <row r="4594" spans="2:2" ht="16.5" hidden="1">
      <c r="B4594" s="111">
        <f>+'Bldg+Dev'!U4300</f>
        <v>0</v>
      </c>
    </row>
    <row r="4595" spans="2:2" ht="16.5" hidden="1">
      <c r="B4595" s="111">
        <f>+'Bldg+Dev'!U4301</f>
        <v>0</v>
      </c>
    </row>
    <row r="4596" spans="2:2" ht="16.5" hidden="1">
      <c r="B4596" s="111">
        <f>+'Bldg+Dev'!U4302</f>
        <v>0</v>
      </c>
    </row>
    <row r="4597" spans="2:2" ht="16.5" hidden="1">
      <c r="B4597" s="111">
        <f>+'Bldg+Dev'!U4303</f>
        <v>0</v>
      </c>
    </row>
    <row r="4598" spans="2:2" ht="16.5" hidden="1">
      <c r="B4598" s="111">
        <f>+'Bldg+Dev'!U4304</f>
        <v>0</v>
      </c>
    </row>
    <row r="4599" spans="2:2" ht="16.5" hidden="1">
      <c r="B4599" s="111">
        <f>+'Bldg+Dev'!U4305</f>
        <v>0</v>
      </c>
    </row>
    <row r="4600" spans="2:2" ht="16.5" hidden="1">
      <c r="B4600" s="111">
        <f>+'Bldg+Dev'!U4306</f>
        <v>0</v>
      </c>
    </row>
    <row r="4601" spans="2:2" ht="16.5" hidden="1">
      <c r="B4601" s="111">
        <f>+'Bldg+Dev'!U4307</f>
        <v>0</v>
      </c>
    </row>
    <row r="4602" spans="2:2" ht="16.5" hidden="1">
      <c r="B4602" s="111">
        <f>+'Bldg+Dev'!U4308</f>
        <v>0</v>
      </c>
    </row>
    <row r="4603" spans="2:2" ht="16.5" hidden="1">
      <c r="B4603" s="111">
        <f>+'Bldg+Dev'!U4309</f>
        <v>0</v>
      </c>
    </row>
    <row r="4604" spans="2:2" ht="16.5" hidden="1">
      <c r="B4604" s="111">
        <f>+'Bldg+Dev'!U4310</f>
        <v>0</v>
      </c>
    </row>
    <row r="4605" spans="2:2" ht="16.5" hidden="1">
      <c r="B4605" s="111">
        <f>+'Bldg+Dev'!U4311</f>
        <v>0</v>
      </c>
    </row>
    <row r="4606" spans="2:2" ht="16.5" hidden="1">
      <c r="B4606" s="111">
        <f>+'Bldg+Dev'!U4312</f>
        <v>0</v>
      </c>
    </row>
    <row r="4607" spans="2:2" ht="16.5" hidden="1">
      <c r="B4607" s="111">
        <f>+'Bldg+Dev'!U4313</f>
        <v>0</v>
      </c>
    </row>
    <row r="4608" spans="2:2" ht="16.5" hidden="1">
      <c r="B4608" s="111">
        <f>+'Bldg+Dev'!U4314</f>
        <v>0</v>
      </c>
    </row>
    <row r="4609" spans="2:6" ht="16.5" hidden="1">
      <c r="B4609" s="111">
        <f>+'Bldg+Dev'!U4315</f>
        <v>0</v>
      </c>
    </row>
    <row r="4610" spans="2:6" ht="16.5" hidden="1">
      <c r="B4610" s="111">
        <f>+'Bldg+Dev'!U4316</f>
        <v>0</v>
      </c>
    </row>
    <row r="4611" spans="2:6" ht="16.5" hidden="1">
      <c r="B4611" s="111">
        <f>+'Bldg+Dev'!U4317</f>
        <v>0</v>
      </c>
    </row>
    <row r="4612" spans="2:6" ht="16.5" hidden="1">
      <c r="B4612" s="111">
        <f>+'Bldg+Dev'!U4318</f>
        <v>0</v>
      </c>
    </row>
    <row r="4613" spans="2:6" ht="16.5" hidden="1">
      <c r="B4613" s="111">
        <f>+'Bldg+Dev'!U4319</f>
        <v>0</v>
      </c>
    </row>
    <row r="4614" spans="2:6" ht="16.5" hidden="1">
      <c r="B4614" s="111">
        <f>+'Bldg+Dev'!U4320</f>
        <v>0</v>
      </c>
    </row>
    <row r="4615" spans="2:6" ht="16.5" hidden="1">
      <c r="B4615" s="111">
        <f>+'Bldg+Dev'!U4321</f>
        <v>0</v>
      </c>
    </row>
    <row r="4616" spans="2:6" ht="16.5" hidden="1">
      <c r="B4616" s="111">
        <f>+'Bldg+Dev'!U4322</f>
        <v>0</v>
      </c>
    </row>
    <row r="4617" spans="2:6" ht="16.5" hidden="1">
      <c r="B4617" s="111">
        <f>+'Bldg+Dev'!U4323</f>
        <v>0</v>
      </c>
    </row>
    <row r="4618" spans="2:6" ht="16.5" hidden="1">
      <c r="B4618" s="111">
        <f>+'Bldg+Dev'!U4324</f>
        <v>0</v>
      </c>
    </row>
    <row r="4619" spans="2:6" ht="16.5" hidden="1">
      <c r="B4619" s="111">
        <f>+'Bldg+Dev'!U4325</f>
        <v>0</v>
      </c>
    </row>
    <row r="4620" spans="2:6" ht="16.5" hidden="1">
      <c r="B4620" s="111">
        <f>+'Bldg+Dev'!U4326</f>
        <v>0</v>
      </c>
    </row>
    <row r="4621" spans="2:6" ht="16.5" hidden="1">
      <c r="B4621" s="111">
        <f>+'Bldg+Dev'!U4327</f>
        <v>0</v>
      </c>
    </row>
    <row r="4622" spans="2:6" ht="16.5" hidden="1">
      <c r="B4622" s="111">
        <f>+'Bldg+Dev'!U4328</f>
        <v>0</v>
      </c>
    </row>
    <row r="4624" spans="2:6">
      <c r="C4624" s="38" t="s">
        <v>29</v>
      </c>
      <c r="F4624" s="38">
        <v>4764962.37</v>
      </c>
    </row>
    <row r="4626" spans="3:6">
      <c r="C4626" s="38" t="s">
        <v>31</v>
      </c>
      <c r="F4626" s="38" t="e">
        <f>F524-F4624</f>
        <v>#REF!</v>
      </c>
    </row>
    <row r="4627" spans="3:6">
      <c r="C4627" s="38"/>
      <c r="F4627" s="38"/>
    </row>
    <row r="4628" spans="3:6">
      <c r="C4628" s="38" t="s">
        <v>32</v>
      </c>
      <c r="F4628" s="38" t="e">
        <f>F4626/F4624*100</f>
        <v>#REF!</v>
      </c>
    </row>
  </sheetData>
  <autoFilter ref="A6:AV4622">
    <filterColumn colId="1">
      <customFilters and="1">
        <customFilter operator="notEqual" val=" "/>
      </customFilters>
    </filterColumn>
  </autoFilter>
  <mergeCells count="16">
    <mergeCell ref="A1:F1"/>
    <mergeCell ref="K5:L5"/>
    <mergeCell ref="M5:N5"/>
    <mergeCell ref="A2:F2"/>
    <mergeCell ref="B5:B6"/>
    <mergeCell ref="I5:J5"/>
    <mergeCell ref="F5:F6"/>
    <mergeCell ref="A5:A6"/>
    <mergeCell ref="C5:C6"/>
    <mergeCell ref="D5:D6"/>
    <mergeCell ref="E5:E6"/>
    <mergeCell ref="U5:V5"/>
    <mergeCell ref="O5:P5"/>
    <mergeCell ref="Q5:R5"/>
    <mergeCell ref="S5:T5"/>
    <mergeCell ref="D3:F3"/>
  </mergeCells>
  <phoneticPr fontId="0" type="noConversion"/>
  <pageMargins left="0.75" right="0.33" top="0.65" bottom="0.61" header="0.31" footer="0.5"/>
  <pageSetup paperSize="9" scale="80" orientation="portrait" r:id="rId1"/>
  <headerFooter alignWithMargins="0">
    <oddHeader>&amp;CUthukottai Ph-XVII&amp;R&amp;P</oddHeader>
  </headerFooter>
</worksheet>
</file>

<file path=xl/worksheets/sheet7.xml><?xml version="1.0" encoding="utf-8"?>
<worksheet xmlns="http://schemas.openxmlformats.org/spreadsheetml/2006/main" xmlns:r="http://schemas.openxmlformats.org/officeDocument/2006/relationships">
  <dimension ref="A1:Y659"/>
  <sheetViews>
    <sheetView topLeftCell="A14" zoomScale="75" workbookViewId="0">
      <selection activeCell="F32" sqref="F32"/>
    </sheetView>
  </sheetViews>
  <sheetFormatPr defaultRowHeight="15.75"/>
  <cols>
    <col min="1" max="1" width="17.33203125" style="56" customWidth="1"/>
    <col min="2" max="3" width="18" customWidth="1"/>
    <col min="4" max="4" width="14" customWidth="1"/>
    <col min="5" max="5" width="12" customWidth="1"/>
    <col min="6" max="6" width="14.6640625" customWidth="1"/>
    <col min="7" max="7" width="12.77734375" customWidth="1"/>
    <col min="8" max="8" width="12" bestFit="1" customWidth="1"/>
    <col min="9" max="9" width="11" bestFit="1" customWidth="1"/>
    <col min="10" max="10" width="13.109375" customWidth="1"/>
    <col min="11" max="11" width="14.21875" customWidth="1"/>
    <col min="12" max="12" width="12" bestFit="1" customWidth="1"/>
    <col min="13" max="13" width="11" bestFit="1" customWidth="1"/>
    <col min="14" max="14" width="9.5546875" bestFit="1" customWidth="1"/>
    <col min="15" max="15" width="12.5546875" customWidth="1"/>
    <col min="16" max="16" width="10" bestFit="1" customWidth="1"/>
    <col min="17" max="17" width="9" bestFit="1" customWidth="1"/>
    <col min="18" max="18" width="16.44140625" customWidth="1"/>
    <col min="19" max="19" width="14.109375" customWidth="1"/>
    <col min="21" max="21" width="13.21875" customWidth="1"/>
    <col min="24" max="24" width="10.5546875" customWidth="1"/>
    <col min="25" max="25" width="11" bestFit="1" customWidth="1"/>
    <col min="27" max="27" width="10" bestFit="1" customWidth="1"/>
  </cols>
  <sheetData>
    <row r="1" spans="1:11">
      <c r="A1" s="56">
        <v>1.0900000000000001</v>
      </c>
      <c r="B1">
        <v>84.77</v>
      </c>
      <c r="C1">
        <f>B1*A1</f>
        <v>92.4</v>
      </c>
      <c r="D1">
        <v>85</v>
      </c>
      <c r="E1">
        <v>706.7</v>
      </c>
      <c r="F1">
        <f>E1*D1</f>
        <v>60069.5</v>
      </c>
    </row>
    <row r="2" spans="1:11">
      <c r="A2" s="56">
        <v>0.25</v>
      </c>
      <c r="B2">
        <v>396.43</v>
      </c>
      <c r="C2">
        <f t="shared" ref="C2:C41" si="0">B2*A2</f>
        <v>99.11</v>
      </c>
      <c r="D2">
        <v>5</v>
      </c>
      <c r="E2">
        <v>305.3</v>
      </c>
      <c r="F2">
        <f t="shared" ref="F2:F9" si="1">E2*D2</f>
        <v>1526.5</v>
      </c>
    </row>
    <row r="3" spans="1:11">
      <c r="A3" s="56">
        <v>0.25</v>
      </c>
      <c r="B3">
        <v>2252.98</v>
      </c>
      <c r="C3">
        <f t="shared" si="0"/>
        <v>563.25</v>
      </c>
      <c r="D3">
        <v>1</v>
      </c>
      <c r="E3">
        <v>27000</v>
      </c>
      <c r="F3">
        <f t="shared" si="1"/>
        <v>27000</v>
      </c>
    </row>
    <row r="4" spans="1:11">
      <c r="A4" s="56">
        <v>7.54</v>
      </c>
      <c r="B4">
        <v>3193.14</v>
      </c>
      <c r="C4">
        <f t="shared" si="0"/>
        <v>24076.28</v>
      </c>
      <c r="D4">
        <v>1</v>
      </c>
      <c r="E4">
        <v>3110</v>
      </c>
      <c r="F4">
        <f t="shared" si="1"/>
        <v>3110</v>
      </c>
    </row>
    <row r="5" spans="1:11">
      <c r="A5" s="56">
        <v>73.89</v>
      </c>
      <c r="B5">
        <v>92.11</v>
      </c>
      <c r="C5">
        <f t="shared" si="0"/>
        <v>6806.01</v>
      </c>
      <c r="D5">
        <v>1</v>
      </c>
      <c r="E5">
        <v>68470</v>
      </c>
      <c r="F5">
        <f t="shared" si="1"/>
        <v>68470</v>
      </c>
    </row>
    <row r="6" spans="1:11">
      <c r="A6" s="56">
        <v>0.72</v>
      </c>
      <c r="B6">
        <v>991.86</v>
      </c>
      <c r="C6">
        <f t="shared" si="0"/>
        <v>714.14</v>
      </c>
      <c r="D6">
        <v>18</v>
      </c>
      <c r="E6">
        <v>414</v>
      </c>
      <c r="F6">
        <f t="shared" si="1"/>
        <v>7452</v>
      </c>
    </row>
    <row r="7" spans="1:11">
      <c r="A7" s="56">
        <v>1.55</v>
      </c>
      <c r="B7">
        <v>4614.3</v>
      </c>
      <c r="C7">
        <f t="shared" si="0"/>
        <v>7152.17</v>
      </c>
      <c r="D7">
        <v>598.5</v>
      </c>
      <c r="E7">
        <v>297.5</v>
      </c>
      <c r="F7">
        <f t="shared" si="1"/>
        <v>178053.75</v>
      </c>
    </row>
    <row r="8" spans="1:11">
      <c r="A8" s="56">
        <v>15.372</v>
      </c>
      <c r="B8">
        <v>367.76</v>
      </c>
      <c r="C8">
        <f t="shared" si="0"/>
        <v>5653.21</v>
      </c>
      <c r="D8">
        <v>920.1</v>
      </c>
      <c r="E8">
        <v>119.5</v>
      </c>
      <c r="F8">
        <f t="shared" si="1"/>
        <v>109951.95</v>
      </c>
    </row>
    <row r="9" spans="1:11">
      <c r="A9" s="56">
        <v>0.35</v>
      </c>
      <c r="B9">
        <v>58884.9</v>
      </c>
      <c r="C9">
        <f t="shared" si="0"/>
        <v>20609.72</v>
      </c>
      <c r="D9">
        <v>3</v>
      </c>
      <c r="E9">
        <v>3630</v>
      </c>
      <c r="F9">
        <f t="shared" si="1"/>
        <v>10890</v>
      </c>
    </row>
    <row r="10" spans="1:11">
      <c r="A10" s="56">
        <v>3</v>
      </c>
      <c r="B10">
        <v>766</v>
      </c>
      <c r="C10">
        <f t="shared" si="0"/>
        <v>2298</v>
      </c>
      <c r="F10">
        <f>SUM(F1:F9)</f>
        <v>466523.7</v>
      </c>
    </row>
    <row r="11" spans="1:11">
      <c r="A11" s="56">
        <v>3</v>
      </c>
      <c r="B11">
        <v>769</v>
      </c>
      <c r="C11">
        <f t="shared" si="0"/>
        <v>2307</v>
      </c>
      <c r="F11">
        <f>F10*1.078</f>
        <v>502912.55</v>
      </c>
      <c r="K11" s="56"/>
    </row>
    <row r="12" spans="1:11">
      <c r="A12" s="56">
        <v>1</v>
      </c>
      <c r="B12">
        <v>1516</v>
      </c>
      <c r="C12">
        <f t="shared" si="0"/>
        <v>1516</v>
      </c>
    </row>
    <row r="13" spans="1:11">
      <c r="A13" s="56">
        <v>1</v>
      </c>
      <c r="B13">
        <v>2547</v>
      </c>
      <c r="C13">
        <f t="shared" si="0"/>
        <v>2547</v>
      </c>
    </row>
    <row r="14" spans="1:11">
      <c r="A14" s="56">
        <v>1</v>
      </c>
      <c r="B14">
        <v>1059.8800000000001</v>
      </c>
      <c r="C14">
        <f t="shared" si="0"/>
        <v>1059.8800000000001</v>
      </c>
    </row>
    <row r="15" spans="1:11">
      <c r="A15" s="56">
        <v>1</v>
      </c>
      <c r="B15">
        <v>357</v>
      </c>
      <c r="C15">
        <f t="shared" si="0"/>
        <v>357</v>
      </c>
    </row>
    <row r="16" spans="1:11">
      <c r="A16" s="56">
        <v>2</v>
      </c>
      <c r="B16">
        <v>546</v>
      </c>
      <c r="C16">
        <f t="shared" si="0"/>
        <v>1092</v>
      </c>
    </row>
    <row r="17" spans="1:24">
      <c r="A17" s="56">
        <v>1</v>
      </c>
      <c r="B17">
        <v>475</v>
      </c>
      <c r="C17">
        <f t="shared" si="0"/>
        <v>475</v>
      </c>
      <c r="I17" s="56"/>
    </row>
    <row r="18" spans="1:24">
      <c r="A18" s="56">
        <v>2</v>
      </c>
      <c r="B18">
        <v>130</v>
      </c>
      <c r="C18">
        <f t="shared" si="0"/>
        <v>260</v>
      </c>
      <c r="D18">
        <f>C18*0.125</f>
        <v>32.5</v>
      </c>
    </row>
    <row r="19" spans="1:24">
      <c r="A19" s="56">
        <v>2</v>
      </c>
      <c r="B19">
        <v>384.3</v>
      </c>
      <c r="C19">
        <f t="shared" si="0"/>
        <v>768.6</v>
      </c>
      <c r="D19">
        <f>D18+C18</f>
        <v>292.5</v>
      </c>
      <c r="L19" s="56"/>
    </row>
    <row r="20" spans="1:24">
      <c r="A20" s="56">
        <v>116.7</v>
      </c>
      <c r="B20">
        <v>65</v>
      </c>
      <c r="C20">
        <f t="shared" si="0"/>
        <v>7585.5</v>
      </c>
      <c r="D20">
        <f>D19*0.003</f>
        <v>0.88</v>
      </c>
    </row>
    <row r="21" spans="1:24">
      <c r="A21" s="56">
        <v>10.55</v>
      </c>
      <c r="B21">
        <v>106.5</v>
      </c>
      <c r="C21">
        <f t="shared" si="0"/>
        <v>1123.58</v>
      </c>
      <c r="D21">
        <f>D19*0.025</f>
        <v>7.31</v>
      </c>
    </row>
    <row r="22" spans="1:24">
      <c r="A22" s="56">
        <v>10.55</v>
      </c>
      <c r="B22">
        <v>15.2</v>
      </c>
      <c r="C22">
        <f t="shared" si="0"/>
        <v>160.36000000000001</v>
      </c>
      <c r="D22">
        <f>D21*3</f>
        <v>21.93</v>
      </c>
    </row>
    <row r="23" spans="1:24">
      <c r="A23" s="56">
        <v>73.89</v>
      </c>
      <c r="B23">
        <v>79</v>
      </c>
      <c r="C23">
        <f t="shared" si="0"/>
        <v>5837.31</v>
      </c>
      <c r="D23">
        <f>SUM(D19:D22)</f>
        <v>322.62</v>
      </c>
    </row>
    <row r="24" spans="1:24">
      <c r="A24" s="56">
        <v>3.32</v>
      </c>
      <c r="B24">
        <v>77.540000000000006</v>
      </c>
      <c r="C24">
        <f t="shared" si="0"/>
        <v>257.43</v>
      </c>
    </row>
    <row r="25" spans="1:24">
      <c r="A25" s="56">
        <v>60</v>
      </c>
      <c r="B25">
        <v>473.5</v>
      </c>
      <c r="C25">
        <f t="shared" si="0"/>
        <v>28410</v>
      </c>
    </row>
    <row r="26" spans="1:24">
      <c r="A26" s="56">
        <v>60</v>
      </c>
      <c r="B26">
        <v>432.5</v>
      </c>
      <c r="C26">
        <f t="shared" si="0"/>
        <v>25950</v>
      </c>
    </row>
    <row r="27" spans="1:24">
      <c r="A27" s="56">
        <v>2</v>
      </c>
      <c r="B27">
        <v>161</v>
      </c>
      <c r="C27">
        <f t="shared" si="0"/>
        <v>322</v>
      </c>
    </row>
    <row r="28" spans="1:24">
      <c r="A28" s="56">
        <v>489</v>
      </c>
      <c r="B28">
        <v>124.31</v>
      </c>
      <c r="C28">
        <f t="shared" si="0"/>
        <v>60787.59</v>
      </c>
    </row>
    <row r="29" spans="1:24">
      <c r="A29" s="56">
        <v>60.9</v>
      </c>
      <c r="B29">
        <v>150.16</v>
      </c>
      <c r="C29">
        <f t="shared" si="0"/>
        <v>9144.74</v>
      </c>
    </row>
    <row r="30" spans="1:24">
      <c r="A30" s="56">
        <v>4</v>
      </c>
      <c r="B30">
        <v>522</v>
      </c>
      <c r="C30">
        <f t="shared" si="0"/>
        <v>2088</v>
      </c>
    </row>
    <row r="31" spans="1:24">
      <c r="A31" s="56">
        <v>25</v>
      </c>
      <c r="B31">
        <v>190.2</v>
      </c>
      <c r="C31">
        <f t="shared" si="0"/>
        <v>4755</v>
      </c>
    </row>
    <row r="32" spans="1:24" ht="47.25" customHeight="1">
      <c r="A32" s="56">
        <v>6</v>
      </c>
      <c r="B32">
        <v>105.7</v>
      </c>
      <c r="C32">
        <f t="shared" si="0"/>
        <v>634.20000000000005</v>
      </c>
      <c r="D32" s="4"/>
      <c r="E32" s="4">
        <f>431+478+705</f>
        <v>1614</v>
      </c>
      <c r="F32" s="4">
        <f>E32/3</f>
        <v>538</v>
      </c>
      <c r="G32" s="1217"/>
      <c r="H32" s="1217"/>
      <c r="I32" s="1217"/>
      <c r="J32" s="1184"/>
      <c r="K32" s="1184"/>
      <c r="L32" s="1184"/>
      <c r="M32" s="1217"/>
      <c r="N32" s="1217"/>
      <c r="O32" s="1217"/>
      <c r="P32" s="1217"/>
      <c r="Q32" s="1217"/>
      <c r="R32" s="1217"/>
      <c r="S32" s="1217"/>
      <c r="T32" s="1217"/>
      <c r="U32" s="1217"/>
      <c r="V32" s="1217"/>
      <c r="W32" s="1217"/>
      <c r="X32" s="1217"/>
    </row>
    <row r="33" spans="1:23">
      <c r="A33" s="56">
        <v>4</v>
      </c>
      <c r="B33">
        <v>1260</v>
      </c>
      <c r="C33">
        <f t="shared" si="0"/>
        <v>5040</v>
      </c>
    </row>
    <row r="34" spans="1:23">
      <c r="A34" s="56">
        <v>3.8</v>
      </c>
      <c r="B34">
        <v>198.45</v>
      </c>
      <c r="C34">
        <f t="shared" si="0"/>
        <v>754.11</v>
      </c>
    </row>
    <row r="35" spans="1:23">
      <c r="A35" s="56">
        <v>2</v>
      </c>
      <c r="B35">
        <v>110.25</v>
      </c>
      <c r="C35">
        <f t="shared" si="0"/>
        <v>220.5</v>
      </c>
    </row>
    <row r="36" spans="1:23">
      <c r="A36" s="56">
        <v>1.44</v>
      </c>
      <c r="B36">
        <v>189.03</v>
      </c>
      <c r="C36">
        <f t="shared" si="0"/>
        <v>272.2</v>
      </c>
    </row>
    <row r="37" spans="1:23">
      <c r="A37" s="56">
        <v>2</v>
      </c>
      <c r="B37">
        <v>13929.3</v>
      </c>
      <c r="C37">
        <f t="shared" si="0"/>
        <v>27858.6</v>
      </c>
    </row>
    <row r="38" spans="1:23">
      <c r="A38" s="56">
        <v>3</v>
      </c>
      <c r="B38">
        <v>13269.33</v>
      </c>
      <c r="C38">
        <f t="shared" si="0"/>
        <v>39807.99</v>
      </c>
    </row>
    <row r="39" spans="1:23">
      <c r="A39" s="56">
        <v>4</v>
      </c>
      <c r="B39">
        <v>3126</v>
      </c>
      <c r="C39">
        <f t="shared" si="0"/>
        <v>12504</v>
      </c>
      <c r="Q39" s="130"/>
      <c r="V39" s="56"/>
    </row>
    <row r="40" spans="1:23">
      <c r="B40">
        <v>2127.7600000000002</v>
      </c>
      <c r="C40">
        <f t="shared" si="0"/>
        <v>0</v>
      </c>
    </row>
    <row r="41" spans="1:23">
      <c r="B41">
        <v>3833</v>
      </c>
      <c r="C41">
        <f t="shared" si="0"/>
        <v>0</v>
      </c>
    </row>
    <row r="42" spans="1:23">
      <c r="B42">
        <v>97.5</v>
      </c>
      <c r="C42">
        <f t="shared" ref="C42:C65" si="2">B42*A42</f>
        <v>0</v>
      </c>
    </row>
    <row r="43" spans="1:23">
      <c r="B43">
        <v>409</v>
      </c>
      <c r="C43">
        <f t="shared" si="2"/>
        <v>0</v>
      </c>
    </row>
    <row r="44" spans="1:23">
      <c r="B44">
        <v>1368</v>
      </c>
      <c r="C44">
        <f t="shared" si="2"/>
        <v>0</v>
      </c>
    </row>
    <row r="45" spans="1:23">
      <c r="C45">
        <f>SUM(C1:C44)</f>
        <v>311959.88</v>
      </c>
      <c r="D45">
        <f>C45-468875.4</f>
        <v>-156915.51999999999</v>
      </c>
      <c r="E45" s="38"/>
      <c r="H45" s="38"/>
      <c r="K45" s="38"/>
      <c r="N45" s="38"/>
      <c r="Q45" s="38"/>
      <c r="T45" s="38"/>
      <c r="W45" s="38"/>
    </row>
    <row r="46" spans="1:23">
      <c r="C46">
        <f>C45*1.1</f>
        <v>343155.87</v>
      </c>
      <c r="Q46" s="130"/>
    </row>
    <row r="47" spans="1:23">
      <c r="C47">
        <f t="shared" si="2"/>
        <v>0</v>
      </c>
    </row>
    <row r="48" spans="1:23">
      <c r="C48">
        <f t="shared" si="2"/>
        <v>0</v>
      </c>
      <c r="Q48" s="130"/>
    </row>
    <row r="49" spans="3:3">
      <c r="C49">
        <f t="shared" si="2"/>
        <v>0</v>
      </c>
    </row>
    <row r="50" spans="3:3">
      <c r="C50">
        <f t="shared" si="2"/>
        <v>0</v>
      </c>
    </row>
    <row r="51" spans="3:3">
      <c r="C51">
        <f t="shared" si="2"/>
        <v>0</v>
      </c>
    </row>
    <row r="52" spans="3:3">
      <c r="C52">
        <f t="shared" si="2"/>
        <v>0</v>
      </c>
    </row>
    <row r="53" spans="3:3">
      <c r="C53">
        <f t="shared" si="2"/>
        <v>0</v>
      </c>
    </row>
    <row r="54" spans="3:3">
      <c r="C54">
        <f t="shared" si="2"/>
        <v>0</v>
      </c>
    </row>
    <row r="55" spans="3:3">
      <c r="C55">
        <f t="shared" si="2"/>
        <v>0</v>
      </c>
    </row>
    <row r="56" spans="3:3">
      <c r="C56">
        <f t="shared" si="2"/>
        <v>0</v>
      </c>
    </row>
    <row r="57" spans="3:3">
      <c r="C57">
        <f t="shared" si="2"/>
        <v>0</v>
      </c>
    </row>
    <row r="58" spans="3:3">
      <c r="C58">
        <f t="shared" si="2"/>
        <v>0</v>
      </c>
    </row>
    <row r="59" spans="3:3">
      <c r="C59">
        <f t="shared" si="2"/>
        <v>0</v>
      </c>
    </row>
    <row r="60" spans="3:3">
      <c r="C60">
        <f t="shared" si="2"/>
        <v>0</v>
      </c>
    </row>
    <row r="61" spans="3:3">
      <c r="C61">
        <f t="shared" si="2"/>
        <v>0</v>
      </c>
    </row>
    <row r="62" spans="3:3">
      <c r="C62">
        <f t="shared" si="2"/>
        <v>0</v>
      </c>
    </row>
    <row r="63" spans="3:3">
      <c r="C63">
        <f t="shared" si="2"/>
        <v>0</v>
      </c>
    </row>
    <row r="64" spans="3:3">
      <c r="C64">
        <f t="shared" si="2"/>
        <v>0</v>
      </c>
    </row>
    <row r="65" spans="3:3">
      <c r="C65">
        <f t="shared" si="2"/>
        <v>0</v>
      </c>
    </row>
    <row r="86" spans="25:25">
      <c r="Y86" s="56"/>
    </row>
    <row r="120" spans="1:25">
      <c r="M120" s="56"/>
    </row>
    <row r="121" spans="1:25">
      <c r="M121" s="56"/>
    </row>
    <row r="123" spans="1:25">
      <c r="A123" s="506"/>
    </row>
    <row r="126" spans="1:25">
      <c r="Y126" s="56"/>
    </row>
    <row r="128" spans="1:25" ht="35.1" customHeight="1">
      <c r="A128" s="586"/>
      <c r="B128" s="547"/>
      <c r="C128" s="547"/>
      <c r="D128" s="548"/>
    </row>
    <row r="129" spans="1:4" ht="35.1" customHeight="1">
      <c r="A129" s="587"/>
      <c r="B129" s="545"/>
      <c r="C129" s="545"/>
      <c r="D129" s="546"/>
    </row>
    <row r="130" spans="1:4" ht="35.1" customHeight="1">
      <c r="A130" s="588"/>
      <c r="B130" s="526"/>
      <c r="C130" s="527"/>
      <c r="D130" s="528"/>
    </row>
    <row r="131" spans="1:4" ht="35.1" customHeight="1">
      <c r="A131" s="588"/>
      <c r="B131" s="526"/>
      <c r="C131" s="527"/>
      <c r="D131" s="528"/>
    </row>
    <row r="132" spans="1:4" ht="35.1" customHeight="1">
      <c r="A132" s="588"/>
      <c r="B132" s="526"/>
      <c r="C132" s="527"/>
      <c r="D132" s="528"/>
    </row>
    <row r="133" spans="1:4" ht="35.1" customHeight="1">
      <c r="A133" s="589"/>
      <c r="B133" s="529"/>
      <c r="C133" s="530"/>
      <c r="D133" s="531"/>
    </row>
    <row r="134" spans="1:4" ht="35.1" customHeight="1">
      <c r="A134" s="590"/>
      <c r="B134" s="549"/>
      <c r="C134" s="549"/>
      <c r="D134" s="550"/>
    </row>
    <row r="135" spans="1:4" ht="35.1" customHeight="1">
      <c r="A135" s="588"/>
      <c r="B135" s="526"/>
      <c r="C135" s="527"/>
      <c r="D135" s="528"/>
    </row>
    <row r="136" spans="1:4" ht="35.1" customHeight="1">
      <c r="A136" s="588"/>
      <c r="B136" s="526"/>
      <c r="C136" s="527"/>
      <c r="D136" s="528"/>
    </row>
    <row r="137" spans="1:4" ht="35.1" customHeight="1">
      <c r="A137" s="588"/>
      <c r="B137" s="526"/>
      <c r="C137" s="527"/>
      <c r="D137" s="528"/>
    </row>
    <row r="138" spans="1:4" ht="35.1" customHeight="1">
      <c r="A138" s="588"/>
      <c r="B138" s="526"/>
      <c r="C138" s="527"/>
      <c r="D138" s="528"/>
    </row>
    <row r="139" spans="1:4" ht="35.1" customHeight="1">
      <c r="A139" s="591"/>
      <c r="B139" s="532"/>
      <c r="C139" s="533"/>
      <c r="D139" s="534"/>
    </row>
    <row r="155" spans="8:8">
      <c r="H155" s="56"/>
    </row>
    <row r="158" spans="8:8">
      <c r="H158" s="56"/>
    </row>
    <row r="164" spans="3:6">
      <c r="C164" s="130"/>
      <c r="F164" s="130"/>
    </row>
    <row r="165" spans="3:6">
      <c r="C165" s="130"/>
      <c r="F165" s="130"/>
    </row>
    <row r="167" spans="3:6">
      <c r="C167" s="130"/>
      <c r="F167" s="130"/>
    </row>
    <row r="168" spans="3:6">
      <c r="C168" s="130"/>
      <c r="F168" s="130"/>
    </row>
    <row r="175" spans="3:6">
      <c r="F175" s="506"/>
    </row>
    <row r="177" spans="3:6">
      <c r="C177" s="130"/>
      <c r="F177" s="130"/>
    </row>
    <row r="178" spans="3:6">
      <c r="C178" s="130"/>
      <c r="F178" s="130"/>
    </row>
    <row r="180" spans="3:6">
      <c r="C180" s="130"/>
      <c r="F180" s="130"/>
    </row>
    <row r="221" spans="3:3">
      <c r="C221" s="56"/>
    </row>
    <row r="357" spans="2:2">
      <c r="B357" s="130"/>
    </row>
    <row r="367" spans="2:2">
      <c r="B367" s="130"/>
    </row>
    <row r="373" spans="2:5">
      <c r="B373" s="130"/>
    </row>
    <row r="374" spans="2:5">
      <c r="B374" s="130"/>
    </row>
    <row r="376" spans="2:5">
      <c r="B376" s="130"/>
    </row>
    <row r="377" spans="2:5">
      <c r="B377" s="130"/>
    </row>
    <row r="378" spans="2:5">
      <c r="B378" s="130"/>
    </row>
    <row r="379" spans="2:5">
      <c r="B379" s="130"/>
    </row>
    <row r="380" spans="2:5">
      <c r="E380" s="506"/>
    </row>
    <row r="420" spans="3:3">
      <c r="C420" s="56"/>
    </row>
    <row r="421" spans="3:3">
      <c r="C421" s="56"/>
    </row>
    <row r="422" spans="3:3">
      <c r="C422" s="506"/>
    </row>
    <row r="433" spans="3:3">
      <c r="C433" s="56"/>
    </row>
    <row r="441" spans="3:3">
      <c r="C441" s="56"/>
    </row>
    <row r="562" spans="2:2">
      <c r="B562" s="130"/>
    </row>
    <row r="584" spans="9:9">
      <c r="I584" s="56"/>
    </row>
    <row r="614" spans="3:3">
      <c r="C614" s="130"/>
    </row>
    <row r="659" spans="11:11">
      <c r="K659" s="56"/>
    </row>
  </sheetData>
  <mergeCells count="6">
    <mergeCell ref="S32:U32"/>
    <mergeCell ref="V32:X32"/>
    <mergeCell ref="P32:R32"/>
    <mergeCell ref="G32:I32"/>
    <mergeCell ref="J32:L32"/>
    <mergeCell ref="M32:O32"/>
  </mergeCells>
  <phoneticPr fontId="0" type="noConversion"/>
  <pageMargins left="0.75" right="0.75" top="1" bottom="1" header="0.5" footer="0.5"/>
  <pageSetup paperSize="9" scale="90" orientation="portrait" verticalDpi="0" r:id="rId1"/>
  <headerFooter alignWithMargins="0"/>
</worksheet>
</file>

<file path=xl/worksheets/sheet8.xml><?xml version="1.0" encoding="utf-8"?>
<worksheet xmlns="http://schemas.openxmlformats.org/spreadsheetml/2006/main" xmlns:r="http://schemas.openxmlformats.org/officeDocument/2006/relationships">
  <dimension ref="A1:H19"/>
  <sheetViews>
    <sheetView view="pageBreakPreview" zoomScaleNormal="75" zoomScaleSheetLayoutView="100" workbookViewId="0">
      <selection sqref="A1:D1"/>
    </sheetView>
  </sheetViews>
  <sheetFormatPr defaultRowHeight="35.1" customHeight="1"/>
  <cols>
    <col min="1" max="1" width="8" customWidth="1"/>
    <col min="2" max="2" width="6.88671875" customWidth="1"/>
    <col min="3" max="3" width="41.88671875" customWidth="1"/>
    <col min="4" max="4" width="20.88671875" customWidth="1"/>
    <col min="5" max="5" width="14.21875" customWidth="1"/>
    <col min="6" max="6" width="11" bestFit="1" customWidth="1"/>
    <col min="8" max="8" width="34.109375" customWidth="1"/>
  </cols>
  <sheetData>
    <row r="1" spans="1:8" ht="88.5" customHeight="1">
      <c r="A1" s="1221" t="s">
        <v>3670</v>
      </c>
      <c r="B1" s="1222"/>
      <c r="C1" s="1222"/>
      <c r="D1" s="1223"/>
    </row>
    <row r="2" spans="1:8" ht="55.5" customHeight="1">
      <c r="A2" s="1218" t="s">
        <v>1068</v>
      </c>
      <c r="B2" s="1219"/>
      <c r="C2" s="1219"/>
      <c r="D2" s="1220"/>
    </row>
    <row r="3" spans="1:8" ht="35.1" customHeight="1">
      <c r="A3" s="223" t="s">
        <v>1069</v>
      </c>
      <c r="B3" s="223" t="s">
        <v>1070</v>
      </c>
      <c r="C3" s="223" t="s">
        <v>1860</v>
      </c>
      <c r="D3" s="223" t="s">
        <v>994</v>
      </c>
    </row>
    <row r="4" spans="1:8" ht="67.5" customHeight="1">
      <c r="A4" s="227">
        <v>1</v>
      </c>
      <c r="B4" s="224" t="s">
        <v>3671</v>
      </c>
      <c r="C4" s="602" t="s">
        <v>3672</v>
      </c>
      <c r="D4" s="226">
        <v>34400.29</v>
      </c>
    </row>
    <row r="5" spans="1:8" ht="67.5" customHeight="1">
      <c r="A5" s="227">
        <v>2</v>
      </c>
      <c r="B5" s="224" t="s">
        <v>3671</v>
      </c>
      <c r="C5" s="602" t="s">
        <v>3673</v>
      </c>
      <c r="D5" s="226">
        <v>40133.96</v>
      </c>
    </row>
    <row r="6" spans="1:8" ht="35.1" customHeight="1">
      <c r="A6" s="228"/>
      <c r="B6" s="229"/>
      <c r="C6" s="223" t="s">
        <v>2109</v>
      </c>
      <c r="D6" s="230">
        <f>SUM(D4:D5)</f>
        <v>74534.25</v>
      </c>
      <c r="E6" s="230" t="e">
        <f>+'Bldg+Dev'!F213</f>
        <v>#REF!</v>
      </c>
    </row>
    <row r="7" spans="1:8" ht="35.1" customHeight="1">
      <c r="A7" s="228">
        <v>3</v>
      </c>
      <c r="B7" s="224" t="s">
        <v>448</v>
      </c>
      <c r="C7" s="231" t="s">
        <v>3674</v>
      </c>
      <c r="D7" s="226">
        <v>5000</v>
      </c>
    </row>
    <row r="8" spans="1:8" ht="35.1" customHeight="1">
      <c r="A8" s="228">
        <v>4</v>
      </c>
      <c r="B8" s="224" t="s">
        <v>448</v>
      </c>
      <c r="C8" s="225" t="s">
        <v>3675</v>
      </c>
      <c r="D8" s="226">
        <v>5000</v>
      </c>
    </row>
    <row r="9" spans="1:8" ht="35.1" customHeight="1">
      <c r="A9" s="228"/>
      <c r="B9" s="229"/>
      <c r="C9" s="223" t="s">
        <v>3333</v>
      </c>
      <c r="D9" s="230">
        <f>SUM(D6:D8)</f>
        <v>84534.25</v>
      </c>
      <c r="E9" s="230" t="e">
        <f>'Bldg+Dev'!V213</f>
        <v>#REF!</v>
      </c>
      <c r="F9" t="e">
        <f>E9-D9</f>
        <v>#REF!</v>
      </c>
      <c r="G9" t="e">
        <f>F9-E9</f>
        <v>#REF!</v>
      </c>
    </row>
    <row r="10" spans="1:8" ht="35.1" customHeight="1">
      <c r="A10" s="228">
        <v>5</v>
      </c>
      <c r="B10" s="229"/>
      <c r="C10" s="343" t="s">
        <v>285</v>
      </c>
      <c r="D10" s="226">
        <f>D9*0.3/100</f>
        <v>253.6</v>
      </c>
      <c r="H10" s="332"/>
    </row>
    <row r="11" spans="1:8" ht="35.1" customHeight="1">
      <c r="A11" s="228">
        <v>6</v>
      </c>
      <c r="B11" s="229"/>
      <c r="C11" s="343" t="s">
        <v>3676</v>
      </c>
      <c r="D11" s="226">
        <f>D9*2.5/100+91.94</f>
        <v>2205.3000000000002</v>
      </c>
      <c r="H11" s="332"/>
    </row>
    <row r="12" spans="1:8" ht="35.1" customHeight="1">
      <c r="A12" s="228">
        <v>7</v>
      </c>
      <c r="B12" s="229"/>
      <c r="C12" s="343" t="s">
        <v>3332</v>
      </c>
      <c r="D12" s="226">
        <f>D9*7.5/100</f>
        <v>6340.07</v>
      </c>
      <c r="H12" s="332"/>
    </row>
    <row r="13" spans="1:8" ht="35.1" customHeight="1">
      <c r="A13" s="228">
        <v>8</v>
      </c>
      <c r="B13" s="229"/>
      <c r="C13" s="343" t="s">
        <v>3677</v>
      </c>
      <c r="D13" s="226">
        <f>D9*12.5/100</f>
        <v>10566.78</v>
      </c>
      <c r="H13" s="332"/>
    </row>
    <row r="14" spans="1:8" ht="35.1" customHeight="1">
      <c r="A14" s="227"/>
      <c r="B14" s="229"/>
      <c r="C14" s="601" t="s">
        <v>1323</v>
      </c>
      <c r="D14" s="230">
        <f>SUM(D9:D13)</f>
        <v>103900</v>
      </c>
      <c r="E14">
        <f>D14-103900</f>
        <v>0</v>
      </c>
      <c r="H14" s="331"/>
    </row>
    <row r="15" spans="1:8" ht="35.1" customHeight="1">
      <c r="A15" s="233"/>
      <c r="B15" s="234"/>
      <c r="C15" s="603" t="s">
        <v>3678</v>
      </c>
      <c r="D15" s="604" t="s">
        <v>3679</v>
      </c>
      <c r="H15" s="331"/>
    </row>
    <row r="16" spans="1:8" ht="35.1" customHeight="1">
      <c r="A16" s="233"/>
      <c r="B16" s="234"/>
      <c r="C16" s="232"/>
      <c r="D16" s="235">
        <f>5926000-D14</f>
        <v>5822100</v>
      </c>
      <c r="H16" s="331"/>
    </row>
    <row r="17" spans="1:8" ht="35.1" customHeight="1">
      <c r="A17" s="233"/>
      <c r="B17" s="234"/>
      <c r="C17" s="232"/>
      <c r="D17" s="235"/>
      <c r="H17" s="333"/>
    </row>
    <row r="18" spans="1:8" ht="35.1" customHeight="1">
      <c r="A18" s="233"/>
      <c r="B18" s="234"/>
      <c r="C18" s="232"/>
      <c r="D18" s="235">
        <f>61.52-59.26</f>
        <v>2.2599999999999998</v>
      </c>
      <c r="H18" s="334"/>
    </row>
    <row r="19" spans="1:8" ht="35.1" customHeight="1">
      <c r="A19" s="233"/>
      <c r="B19" s="234"/>
      <c r="C19" s="232"/>
      <c r="D19" s="235">
        <f>5930000-D14</f>
        <v>5826100</v>
      </c>
    </row>
  </sheetData>
  <mergeCells count="2">
    <mergeCell ref="A2:D2"/>
    <mergeCell ref="A1:D1"/>
  </mergeCells>
  <printOptions horizontalCentered="1"/>
  <pageMargins left="0.65" right="0.5" top="0.32" bottom="0.35" header="0.2" footer="0.28000000000000003"/>
  <pageSetup paperSize="9" scale="97" orientation="portrait" r:id="rId1"/>
  <headerFooter alignWithMargins="0"/>
</worksheet>
</file>

<file path=xl/worksheets/sheet9.xml><?xml version="1.0" encoding="utf-8"?>
<worksheet xmlns="http://schemas.openxmlformats.org/spreadsheetml/2006/main" xmlns:r="http://schemas.openxmlformats.org/officeDocument/2006/relationships">
  <dimension ref="A1:M111"/>
  <sheetViews>
    <sheetView view="pageBreakPreview" topLeftCell="A46" zoomScale="70" zoomScaleSheetLayoutView="70" workbookViewId="0">
      <selection activeCell="A58" sqref="A58"/>
    </sheetView>
  </sheetViews>
  <sheetFormatPr defaultRowHeight="15.75"/>
  <cols>
    <col min="1" max="1" width="6.44140625" style="645" customWidth="1"/>
    <col min="2" max="2" width="32.77734375" style="645" customWidth="1"/>
    <col min="3" max="3" width="7" style="654" customWidth="1"/>
    <col min="4" max="4" width="6.33203125" style="654" customWidth="1"/>
    <col min="5" max="5" width="8.5546875" style="645" customWidth="1"/>
    <col min="6" max="6" width="9.109375" style="645" customWidth="1"/>
    <col min="7" max="7" width="9.33203125" style="645" customWidth="1"/>
    <col min="8" max="8" width="10" style="645" customWidth="1"/>
    <col min="9" max="9" width="8.88671875" style="645"/>
    <col min="10" max="10" width="12.109375" style="645" customWidth="1"/>
    <col min="11" max="11" width="11" style="645" customWidth="1"/>
    <col min="12" max="16384" width="8.88671875" style="645"/>
  </cols>
  <sheetData>
    <row r="1" spans="1:11" ht="19.5">
      <c r="A1" s="717"/>
      <c r="B1" s="717"/>
      <c r="C1" s="718"/>
      <c r="D1" s="718"/>
      <c r="E1" s="717"/>
      <c r="F1" s="717"/>
      <c r="G1" s="717"/>
      <c r="H1" s="717"/>
      <c r="I1" s="644"/>
      <c r="J1" s="644"/>
      <c r="K1" s="644"/>
    </row>
    <row r="2" spans="1:11">
      <c r="A2" s="1233" t="s">
        <v>3881</v>
      </c>
      <c r="B2" s="1233"/>
      <c r="C2" s="1233"/>
      <c r="D2" s="1233"/>
      <c r="E2" s="1233"/>
      <c r="F2" s="1233"/>
      <c r="G2" s="1233"/>
      <c r="H2" s="1233"/>
      <c r="I2" s="644"/>
      <c r="J2" s="644"/>
      <c r="K2" s="644"/>
    </row>
    <row r="3" spans="1:11">
      <c r="A3" s="1233"/>
      <c r="B3" s="1233"/>
      <c r="C3" s="1233"/>
      <c r="D3" s="1233"/>
      <c r="E3" s="1233"/>
      <c r="F3" s="1233"/>
      <c r="G3" s="1233"/>
      <c r="H3" s="1233"/>
      <c r="I3" s="644"/>
      <c r="J3" s="644"/>
      <c r="K3" s="644"/>
    </row>
    <row r="4" spans="1:11" ht="19.5">
      <c r="A4" s="717"/>
      <c r="B4" s="721" t="s">
        <v>3746</v>
      </c>
      <c r="C4" s="722"/>
      <c r="D4" s="786"/>
      <c r="E4" s="723"/>
      <c r="F4" s="723"/>
      <c r="G4" s="723"/>
      <c r="H4" s="723"/>
      <c r="I4" s="644"/>
      <c r="J4" s="644"/>
      <c r="K4" s="644"/>
    </row>
    <row r="5" spans="1:11" ht="19.5">
      <c r="A5" s="1234" t="s">
        <v>3747</v>
      </c>
      <c r="B5" s="1236" t="s">
        <v>3748</v>
      </c>
      <c r="C5" s="1238" t="s">
        <v>1454</v>
      </c>
      <c r="D5" s="1239"/>
      <c r="E5" s="1242" t="s">
        <v>3749</v>
      </c>
      <c r="F5" s="1242"/>
      <c r="G5" s="1243"/>
      <c r="H5" s="1244" t="s">
        <v>3750</v>
      </c>
      <c r="I5" s="644"/>
      <c r="J5" s="644"/>
      <c r="K5" s="644"/>
    </row>
    <row r="6" spans="1:11" ht="19.5">
      <c r="A6" s="1235"/>
      <c r="B6" s="1237"/>
      <c r="C6" s="1240"/>
      <c r="D6" s="1241"/>
      <c r="E6" s="724" t="s">
        <v>3751</v>
      </c>
      <c r="F6" s="725" t="s">
        <v>3752</v>
      </c>
      <c r="G6" s="725" t="s">
        <v>3753</v>
      </c>
      <c r="H6" s="1245"/>
      <c r="I6" s="644"/>
      <c r="J6" s="644"/>
      <c r="K6" s="644"/>
    </row>
    <row r="7" spans="1:11" ht="19.5">
      <c r="A7" s="787"/>
      <c r="B7" s="787"/>
      <c r="C7" s="787"/>
      <c r="D7" s="788"/>
      <c r="E7" s="789"/>
      <c r="F7" s="790"/>
      <c r="G7" s="790"/>
      <c r="H7" s="791"/>
      <c r="I7" s="644"/>
      <c r="J7" s="644"/>
      <c r="K7" s="644"/>
    </row>
    <row r="8" spans="1:11" ht="41.25">
      <c r="A8" s="787">
        <v>1</v>
      </c>
      <c r="B8" s="694" t="s">
        <v>3874</v>
      </c>
      <c r="C8" s="787"/>
      <c r="D8" s="788"/>
      <c r="E8" s="789"/>
      <c r="F8" s="790"/>
      <c r="G8" s="790"/>
      <c r="H8" s="791"/>
      <c r="I8" s="644"/>
      <c r="J8" s="644"/>
      <c r="K8" s="644"/>
    </row>
    <row r="9" spans="1:11" ht="20.25">
      <c r="A9" s="787"/>
      <c r="B9" s="694" t="s">
        <v>3839</v>
      </c>
      <c r="C9" s="792">
        <v>1</v>
      </c>
      <c r="D9" s="793">
        <v>24</v>
      </c>
      <c r="E9" s="794">
        <v>1.1000000000000001</v>
      </c>
      <c r="F9" s="795">
        <v>1.1000000000000001</v>
      </c>
      <c r="G9" s="795">
        <v>1.22</v>
      </c>
      <c r="H9" s="796">
        <f>G9*C9*D9*E9*F9</f>
        <v>35.43</v>
      </c>
      <c r="I9" s="644"/>
      <c r="J9" s="644"/>
      <c r="K9" s="644"/>
    </row>
    <row r="10" spans="1:11" ht="20.25">
      <c r="A10" s="787"/>
      <c r="B10" s="694" t="s">
        <v>3840</v>
      </c>
      <c r="C10" s="792">
        <v>1</v>
      </c>
      <c r="D10" s="793">
        <v>4</v>
      </c>
      <c r="E10" s="794">
        <v>1.4</v>
      </c>
      <c r="F10" s="795">
        <v>1.4</v>
      </c>
      <c r="G10" s="795">
        <v>1.22</v>
      </c>
      <c r="H10" s="796">
        <f>G10*C10*D10*E10*F10</f>
        <v>9.56</v>
      </c>
      <c r="I10" s="644"/>
      <c r="J10" s="644"/>
      <c r="K10" s="644"/>
    </row>
    <row r="11" spans="1:11" ht="20.25">
      <c r="A11" s="787"/>
      <c r="B11" s="694" t="s">
        <v>3841</v>
      </c>
      <c r="C11" s="792">
        <v>1</v>
      </c>
      <c r="D11" s="793">
        <v>1</v>
      </c>
      <c r="E11" s="797">
        <v>70.900000000000006</v>
      </c>
      <c r="F11" s="795">
        <v>0.38</v>
      </c>
      <c r="G11" s="795">
        <v>0.38</v>
      </c>
      <c r="H11" s="796">
        <f>G11*C11*D11*E11*F11</f>
        <v>10.24</v>
      </c>
      <c r="I11" s="644"/>
      <c r="J11" s="644"/>
      <c r="K11" s="644"/>
    </row>
    <row r="12" spans="1:11" ht="20.25">
      <c r="A12" s="787"/>
      <c r="B12" s="694" t="s">
        <v>3845</v>
      </c>
      <c r="C12" s="792">
        <v>-1</v>
      </c>
      <c r="D12" s="793">
        <v>24</v>
      </c>
      <c r="E12" s="797">
        <v>1.1000000000000001</v>
      </c>
      <c r="F12" s="795">
        <v>0.38</v>
      </c>
      <c r="G12" s="795">
        <v>0.38</v>
      </c>
      <c r="H12" s="796">
        <f>G12*C12*D12*E12*F12</f>
        <v>-3.81</v>
      </c>
      <c r="I12" s="644"/>
      <c r="J12" s="644"/>
      <c r="K12" s="644"/>
    </row>
    <row r="13" spans="1:11" ht="20.25">
      <c r="A13" s="787"/>
      <c r="B13" s="694" t="s">
        <v>3846</v>
      </c>
      <c r="C13" s="792">
        <v>-1</v>
      </c>
      <c r="D13" s="793">
        <v>4</v>
      </c>
      <c r="E13" s="797">
        <v>1.4</v>
      </c>
      <c r="F13" s="795">
        <v>0.38</v>
      </c>
      <c r="G13" s="795">
        <v>0.38</v>
      </c>
      <c r="H13" s="796">
        <f>G13*C13*D13*E13*F13</f>
        <v>-0.81</v>
      </c>
      <c r="I13" s="644"/>
      <c r="J13" s="644"/>
      <c r="K13" s="644"/>
    </row>
    <row r="14" spans="1:11" ht="20.25">
      <c r="A14" s="787"/>
      <c r="B14" s="694"/>
      <c r="C14" s="792"/>
      <c r="D14" s="793"/>
      <c r="E14" s="797"/>
      <c r="F14" s="795"/>
      <c r="G14" s="795"/>
      <c r="H14" s="798">
        <f>SUM(H9:H13)</f>
        <v>50.61</v>
      </c>
      <c r="I14" s="644"/>
      <c r="J14" s="644"/>
      <c r="K14" s="644"/>
    </row>
    <row r="15" spans="1:11" ht="20.25">
      <c r="A15" s="787"/>
      <c r="B15" s="694"/>
      <c r="C15" s="792"/>
      <c r="D15" s="793"/>
      <c r="E15" s="797"/>
      <c r="F15" s="795"/>
      <c r="G15" s="795"/>
      <c r="H15" s="796"/>
      <c r="I15" s="644"/>
      <c r="J15" s="644"/>
      <c r="K15" s="644"/>
    </row>
    <row r="16" spans="1:11" ht="33" customHeight="1">
      <c r="A16" s="726"/>
      <c r="B16" s="1224" t="s">
        <v>3768</v>
      </c>
      <c r="C16" s="1224"/>
      <c r="D16" s="1224"/>
      <c r="E16" s="1224"/>
      <c r="F16" s="656"/>
      <c r="G16" s="657"/>
      <c r="H16" s="728"/>
      <c r="I16" s="644"/>
      <c r="J16" s="644"/>
      <c r="K16" s="644"/>
    </row>
    <row r="17" spans="1:11" ht="27" customHeight="1">
      <c r="A17" s="726"/>
      <c r="B17" s="694" t="s">
        <v>3839</v>
      </c>
      <c r="C17" s="799">
        <v>1</v>
      </c>
      <c r="D17" s="800">
        <v>24</v>
      </c>
      <c r="E17" s="796">
        <v>1.1000000000000001</v>
      </c>
      <c r="F17" s="799">
        <v>1.1000000000000001</v>
      </c>
      <c r="G17" s="801">
        <v>0.1</v>
      </c>
      <c r="H17" s="796">
        <f>G17*C17*D17*E17*F17</f>
        <v>2.9</v>
      </c>
      <c r="I17" s="644"/>
      <c r="J17" s="644"/>
      <c r="K17" s="644"/>
    </row>
    <row r="18" spans="1:11" ht="27" customHeight="1">
      <c r="A18" s="726"/>
      <c r="B18" s="694" t="s">
        <v>3840</v>
      </c>
      <c r="C18" s="799">
        <v>1</v>
      </c>
      <c r="D18" s="800">
        <v>4</v>
      </c>
      <c r="E18" s="796">
        <v>1.4</v>
      </c>
      <c r="F18" s="799">
        <v>1.4</v>
      </c>
      <c r="G18" s="801">
        <v>0.1</v>
      </c>
      <c r="H18" s="796">
        <f>G18*C18*D18*E18*F18</f>
        <v>0.78</v>
      </c>
      <c r="I18" s="644"/>
      <c r="J18" s="644"/>
      <c r="K18" s="644"/>
    </row>
    <row r="19" spans="1:11" ht="27" customHeight="1">
      <c r="A19" s="726"/>
      <c r="B19" s="694" t="s">
        <v>3841</v>
      </c>
      <c r="C19" s="799">
        <v>1</v>
      </c>
      <c r="D19" s="800">
        <v>1</v>
      </c>
      <c r="E19" s="799">
        <v>70.900000000000006</v>
      </c>
      <c r="F19" s="799">
        <v>0.38</v>
      </c>
      <c r="G19" s="801">
        <v>0.1</v>
      </c>
      <c r="H19" s="796">
        <f>G19*C19*D19*E19*F19</f>
        <v>2.69</v>
      </c>
      <c r="I19" s="644"/>
      <c r="J19" s="644"/>
      <c r="K19" s="644"/>
    </row>
    <row r="20" spans="1:11" ht="27" customHeight="1">
      <c r="A20" s="726"/>
      <c r="B20" s="727"/>
      <c r="C20" s="802">
        <v>-1</v>
      </c>
      <c r="D20" s="800">
        <v>24</v>
      </c>
      <c r="E20" s="797">
        <v>1.1000000000000001</v>
      </c>
      <c r="F20" s="799">
        <v>0.38</v>
      </c>
      <c r="G20" s="796">
        <v>0.1</v>
      </c>
      <c r="H20" s="796">
        <f>G20*C20*D20*E20*F20</f>
        <v>-1</v>
      </c>
      <c r="I20" s="644"/>
      <c r="J20" s="644"/>
      <c r="K20" s="644"/>
    </row>
    <row r="21" spans="1:11" ht="27" customHeight="1">
      <c r="A21" s="726"/>
      <c r="B21" s="727"/>
      <c r="C21" s="802">
        <v>-1</v>
      </c>
      <c r="D21" s="800">
        <v>4</v>
      </c>
      <c r="E21" s="797">
        <v>1.4</v>
      </c>
      <c r="F21" s="799">
        <v>0.38</v>
      </c>
      <c r="G21" s="796">
        <v>0.1</v>
      </c>
      <c r="H21" s="796">
        <f>G21*C21*D21*E21*F21</f>
        <v>-0.21</v>
      </c>
      <c r="I21" s="644"/>
      <c r="J21" s="644"/>
      <c r="K21" s="644"/>
    </row>
    <row r="22" spans="1:11" ht="27" customHeight="1">
      <c r="A22" s="726"/>
      <c r="B22" s="727"/>
      <c r="C22" s="803"/>
      <c r="D22" s="804"/>
      <c r="E22" s="727"/>
      <c r="F22" s="656"/>
      <c r="G22" s="657"/>
      <c r="H22" s="660">
        <f>SUM(H17:H21)</f>
        <v>5.16</v>
      </c>
      <c r="I22" s="644"/>
      <c r="J22" s="644"/>
      <c r="K22" s="644"/>
    </row>
    <row r="23" spans="1:11" ht="27" customHeight="1">
      <c r="A23" s="726">
        <v>3</v>
      </c>
      <c r="B23" s="1224" t="s">
        <v>3842</v>
      </c>
      <c r="C23" s="1224"/>
      <c r="D23" s="1224"/>
      <c r="E23" s="1224"/>
      <c r="F23" s="656"/>
      <c r="G23" s="657"/>
      <c r="H23" s="728"/>
      <c r="I23" s="644"/>
      <c r="J23" s="644"/>
      <c r="K23" s="644"/>
    </row>
    <row r="24" spans="1:11" ht="20.25">
      <c r="A24" s="726"/>
      <c r="B24" s="694" t="s">
        <v>3839</v>
      </c>
      <c r="C24" s="656">
        <v>1</v>
      </c>
      <c r="D24" s="805">
        <v>24</v>
      </c>
      <c r="E24" s="657">
        <v>0.9</v>
      </c>
      <c r="F24" s="657">
        <v>0.9</v>
      </c>
      <c r="G24" s="657">
        <v>0.23</v>
      </c>
      <c r="H24" s="796">
        <f t="shared" ref="H24:H29" si="0">G24*C24*D24*E24*F24</f>
        <v>4.47</v>
      </c>
      <c r="I24" s="644"/>
      <c r="J24" s="644"/>
      <c r="K24" s="644"/>
    </row>
    <row r="25" spans="1:11" ht="20.25">
      <c r="A25" s="726"/>
      <c r="B25" s="694" t="s">
        <v>3840</v>
      </c>
      <c r="C25" s="656">
        <v>1</v>
      </c>
      <c r="D25" s="805">
        <v>4</v>
      </c>
      <c r="E25" s="657">
        <v>1.2</v>
      </c>
      <c r="F25" s="657">
        <v>1.2</v>
      </c>
      <c r="G25" s="657">
        <v>0.23</v>
      </c>
      <c r="H25" s="796">
        <f t="shared" si="0"/>
        <v>1.32</v>
      </c>
      <c r="I25" s="644"/>
      <c r="J25" s="644"/>
      <c r="K25" s="644"/>
    </row>
    <row r="26" spans="1:11" ht="20.25">
      <c r="A26" s="726"/>
      <c r="B26" s="694" t="s">
        <v>3841</v>
      </c>
      <c r="C26" s="656">
        <v>1</v>
      </c>
      <c r="D26" s="805">
        <v>1</v>
      </c>
      <c r="E26" s="657">
        <v>70.900000000000006</v>
      </c>
      <c r="F26" s="657">
        <v>0.23</v>
      </c>
      <c r="G26" s="657">
        <v>0.23</v>
      </c>
      <c r="H26" s="796">
        <f t="shared" si="0"/>
        <v>3.75</v>
      </c>
      <c r="I26" s="644"/>
      <c r="J26" s="644"/>
      <c r="K26" s="644"/>
    </row>
    <row r="27" spans="1:11" ht="20.25">
      <c r="A27" s="726"/>
      <c r="B27" s="694" t="s">
        <v>3843</v>
      </c>
      <c r="C27" s="656">
        <v>1</v>
      </c>
      <c r="D27" s="805">
        <v>4</v>
      </c>
      <c r="E27" s="657">
        <v>0.45</v>
      </c>
      <c r="F27" s="657">
        <v>0.45</v>
      </c>
      <c r="G27" s="657">
        <v>0.61</v>
      </c>
      <c r="H27" s="796">
        <f t="shared" si="0"/>
        <v>0.49</v>
      </c>
      <c r="I27" s="644"/>
      <c r="J27" s="644"/>
      <c r="K27" s="644"/>
    </row>
    <row r="28" spans="1:11" ht="18">
      <c r="A28" s="726"/>
      <c r="B28" s="659" t="s">
        <v>3795</v>
      </c>
      <c r="C28" s="656">
        <v>1</v>
      </c>
      <c r="D28" s="805">
        <v>24</v>
      </c>
      <c r="E28" s="657">
        <v>0.23</v>
      </c>
      <c r="F28" s="657">
        <v>0.23</v>
      </c>
      <c r="G28" s="657">
        <v>0.61</v>
      </c>
      <c r="H28" s="658">
        <f t="shared" si="0"/>
        <v>0.77</v>
      </c>
      <c r="I28" s="644"/>
      <c r="J28" s="644"/>
      <c r="K28" s="644"/>
    </row>
    <row r="29" spans="1:11" ht="18">
      <c r="A29" s="726"/>
      <c r="B29" s="659" t="s">
        <v>3844</v>
      </c>
      <c r="C29" s="656">
        <v>-1</v>
      </c>
      <c r="D29" s="805">
        <v>24</v>
      </c>
      <c r="E29" s="657">
        <v>0.23</v>
      </c>
      <c r="F29" s="806">
        <v>0.23</v>
      </c>
      <c r="G29" s="657">
        <v>0.23</v>
      </c>
      <c r="H29" s="658">
        <f t="shared" si="0"/>
        <v>-0.28999999999999998</v>
      </c>
      <c r="I29" s="644"/>
      <c r="J29" s="644"/>
      <c r="K29" s="644"/>
    </row>
    <row r="30" spans="1:11" ht="18">
      <c r="A30" s="726"/>
      <c r="B30" s="659"/>
      <c r="C30" s="656"/>
      <c r="D30" s="805"/>
      <c r="E30" s="657"/>
      <c r="F30" s="806"/>
      <c r="G30" s="657"/>
      <c r="H30" s="658">
        <f>SUM(H24:H29)</f>
        <v>10.51</v>
      </c>
      <c r="I30" s="644"/>
      <c r="J30" s="644"/>
      <c r="K30" s="644"/>
    </row>
    <row r="31" spans="1:11" ht="18">
      <c r="A31" s="726"/>
      <c r="B31" s="659"/>
      <c r="C31" s="656"/>
      <c r="D31" s="805"/>
      <c r="E31" s="657"/>
      <c r="F31" s="657"/>
      <c r="G31" s="657" t="s">
        <v>3754</v>
      </c>
      <c r="H31" s="660">
        <v>10.6</v>
      </c>
      <c r="I31" s="644"/>
      <c r="J31" s="644"/>
      <c r="K31" s="644"/>
    </row>
    <row r="32" spans="1:11" ht="18">
      <c r="A32" s="726"/>
      <c r="B32" s="1224" t="s">
        <v>3865</v>
      </c>
      <c r="C32" s="1224"/>
      <c r="D32" s="1224"/>
      <c r="E32" s="1224"/>
      <c r="F32" s="657"/>
      <c r="G32" s="657"/>
      <c r="H32" s="660"/>
      <c r="I32" s="644"/>
      <c r="J32" s="644"/>
      <c r="K32" s="644"/>
    </row>
    <row r="33" spans="1:11" ht="20.25">
      <c r="A33" s="726"/>
      <c r="B33" s="694" t="s">
        <v>3866</v>
      </c>
      <c r="C33" s="656">
        <v>1</v>
      </c>
      <c r="D33" s="805">
        <v>4</v>
      </c>
      <c r="E33" s="657">
        <v>0.45</v>
      </c>
      <c r="F33" s="657">
        <v>0.45</v>
      </c>
      <c r="G33" s="657">
        <v>1.8</v>
      </c>
      <c r="H33" s="796">
        <f>G33*C33*D33*E33*F33</f>
        <v>1.46</v>
      </c>
      <c r="I33" s="644"/>
      <c r="J33" s="644"/>
      <c r="K33" s="644"/>
    </row>
    <row r="34" spans="1:11" ht="18">
      <c r="A34" s="726"/>
      <c r="B34" s="659"/>
      <c r="C34" s="656"/>
      <c r="D34" s="805"/>
      <c r="E34" s="657"/>
      <c r="F34" s="657"/>
      <c r="G34" s="657"/>
      <c r="H34" s="660">
        <v>1.5</v>
      </c>
      <c r="I34" s="644"/>
      <c r="J34" s="644"/>
      <c r="K34" s="644"/>
    </row>
    <row r="35" spans="1:11" ht="18">
      <c r="A35" s="726"/>
      <c r="B35" s="659"/>
      <c r="C35" s="656"/>
      <c r="D35" s="805"/>
      <c r="E35" s="657"/>
      <c r="F35" s="657"/>
      <c r="G35" s="657"/>
      <c r="H35" s="658"/>
      <c r="I35" s="644"/>
      <c r="J35" s="644"/>
      <c r="K35" s="644"/>
    </row>
    <row r="36" spans="1:11" ht="18">
      <c r="A36" s="726"/>
      <c r="B36" s="659"/>
      <c r="C36" s="656"/>
      <c r="D36" s="805"/>
      <c r="E36" s="657"/>
      <c r="F36" s="657"/>
      <c r="G36" s="657"/>
      <c r="H36" s="660"/>
      <c r="I36" s="644"/>
      <c r="J36" s="644"/>
      <c r="K36" s="644"/>
    </row>
    <row r="37" spans="1:11" ht="18">
      <c r="A37" s="726">
        <v>4</v>
      </c>
      <c r="B37" s="1224" t="s">
        <v>3765</v>
      </c>
      <c r="C37" s="1224"/>
      <c r="D37" s="1224"/>
      <c r="E37" s="1224"/>
      <c r="F37" s="657"/>
      <c r="G37" s="657"/>
      <c r="H37" s="660"/>
      <c r="I37" s="644"/>
      <c r="J37" s="644"/>
      <c r="K37" s="644"/>
    </row>
    <row r="38" spans="1:11" ht="19.5">
      <c r="A38" s="726"/>
      <c r="B38" s="659" t="s">
        <v>3847</v>
      </c>
      <c r="C38" s="656">
        <v>1</v>
      </c>
      <c r="D38" s="805">
        <v>1</v>
      </c>
      <c r="E38" s="657">
        <v>70.900000000000006</v>
      </c>
      <c r="F38" s="657">
        <v>0.23</v>
      </c>
      <c r="G38" s="657">
        <v>0.3</v>
      </c>
      <c r="H38" s="796">
        <f>G38*C38*D38*E38*F38</f>
        <v>4.8899999999999997</v>
      </c>
      <c r="I38" s="644"/>
      <c r="J38" s="644"/>
      <c r="K38" s="644"/>
    </row>
    <row r="39" spans="1:11" ht="18">
      <c r="A39" s="726"/>
      <c r="B39" s="659"/>
      <c r="C39" s="656"/>
      <c r="D39" s="805"/>
      <c r="E39" s="657"/>
      <c r="F39" s="657"/>
      <c r="G39" s="657"/>
      <c r="H39" s="660">
        <v>5</v>
      </c>
      <c r="I39" s="644"/>
      <c r="J39" s="644"/>
      <c r="K39" s="644"/>
    </row>
    <row r="40" spans="1:11" ht="18">
      <c r="A40" s="726"/>
      <c r="B40" s="659"/>
      <c r="C40" s="656"/>
      <c r="D40" s="805"/>
      <c r="E40" s="657"/>
      <c r="F40" s="657"/>
      <c r="G40" s="657"/>
      <c r="H40" s="660"/>
      <c r="I40" s="644"/>
      <c r="J40" s="644"/>
      <c r="K40" s="644"/>
    </row>
    <row r="41" spans="1:11" ht="18">
      <c r="A41" s="726"/>
      <c r="B41" s="659"/>
      <c r="C41" s="656"/>
      <c r="D41" s="805"/>
      <c r="E41" s="657"/>
      <c r="F41" s="657"/>
      <c r="G41" s="657"/>
      <c r="H41" s="660"/>
      <c r="I41" s="644"/>
      <c r="J41" s="644"/>
      <c r="K41" s="644"/>
    </row>
    <row r="42" spans="1:11" ht="30.75" customHeight="1">
      <c r="A42" s="647">
        <v>5</v>
      </c>
      <c r="B42" s="1227" t="s">
        <v>3755</v>
      </c>
      <c r="C42" s="1228"/>
      <c r="D42" s="1228"/>
      <c r="E42" s="1229"/>
      <c r="F42" s="648"/>
      <c r="G42" s="649"/>
      <c r="H42" s="652"/>
      <c r="I42" s="646"/>
      <c r="J42" s="646"/>
      <c r="K42" s="646"/>
    </row>
    <row r="43" spans="1:11" ht="30.75" customHeight="1">
      <c r="A43" s="647"/>
      <c r="B43" s="651" t="s">
        <v>3848</v>
      </c>
      <c r="C43" s="648">
        <v>1</v>
      </c>
      <c r="D43" s="674">
        <v>1</v>
      </c>
      <c r="E43" s="657">
        <v>70.900000000000006</v>
      </c>
      <c r="F43" s="657"/>
      <c r="G43" s="657">
        <v>1.2</v>
      </c>
      <c r="H43" s="652">
        <f>PRODUCT(C43:G43)</f>
        <v>85.08</v>
      </c>
      <c r="I43" s="646"/>
      <c r="J43" s="646"/>
      <c r="K43" s="646"/>
    </row>
    <row r="44" spans="1:11" ht="30.75" customHeight="1">
      <c r="A44" s="647"/>
      <c r="B44" s="659" t="s">
        <v>3844</v>
      </c>
      <c r="C44" s="648">
        <v>-1</v>
      </c>
      <c r="D44" s="674">
        <v>24</v>
      </c>
      <c r="E44" s="649">
        <v>0.23</v>
      </c>
      <c r="F44" s="648"/>
      <c r="G44" s="649">
        <v>1.2</v>
      </c>
      <c r="H44" s="652">
        <f>PRODUCT(C44:G44)</f>
        <v>-6.62</v>
      </c>
      <c r="I44" s="646"/>
      <c r="J44" s="646"/>
      <c r="K44" s="646"/>
    </row>
    <row r="45" spans="1:11" ht="30.75" customHeight="1">
      <c r="A45" s="647"/>
      <c r="B45" s="659" t="s">
        <v>3849</v>
      </c>
      <c r="C45" s="648">
        <v>-1</v>
      </c>
      <c r="D45" s="674">
        <v>4</v>
      </c>
      <c r="E45" s="649">
        <v>0.23</v>
      </c>
      <c r="F45" s="648"/>
      <c r="G45" s="649">
        <v>0.9</v>
      </c>
      <c r="H45" s="652">
        <f>PRODUCT(C45:G45)</f>
        <v>-0.83</v>
      </c>
      <c r="I45" s="646"/>
      <c r="J45" s="646"/>
      <c r="K45" s="646"/>
    </row>
    <row r="46" spans="1:11" ht="30.75" customHeight="1">
      <c r="A46" s="647"/>
      <c r="B46" s="651"/>
      <c r="C46" s="648"/>
      <c r="D46" s="674"/>
      <c r="E46" s="649"/>
      <c r="F46" s="648"/>
      <c r="G46" s="649"/>
      <c r="H46" s="652">
        <f>SUM(H43:H45)</f>
        <v>77.63</v>
      </c>
      <c r="I46" s="646"/>
      <c r="J46" s="646"/>
      <c r="K46" s="646"/>
    </row>
    <row r="47" spans="1:11" ht="30.75" customHeight="1">
      <c r="A47" s="647"/>
      <c r="B47" s="651"/>
      <c r="C47" s="648"/>
      <c r="D47" s="674"/>
      <c r="E47" s="649"/>
      <c r="F47" s="648"/>
      <c r="G47" s="649" t="s">
        <v>3754</v>
      </c>
      <c r="H47" s="650">
        <v>77.8</v>
      </c>
      <c r="I47" s="646"/>
      <c r="J47" s="646"/>
      <c r="K47" s="646"/>
    </row>
    <row r="48" spans="1:11" ht="30.75" customHeight="1">
      <c r="A48" s="647">
        <v>6</v>
      </c>
      <c r="B48" s="1225" t="s">
        <v>3756</v>
      </c>
      <c r="C48" s="1225"/>
      <c r="D48" s="1225"/>
      <c r="E48" s="649"/>
      <c r="F48" s="649"/>
      <c r="G48" s="649"/>
      <c r="H48" s="650"/>
      <c r="I48" s="646"/>
      <c r="J48" s="646"/>
      <c r="K48" s="646"/>
    </row>
    <row r="49" spans="1:13" ht="30.75" customHeight="1">
      <c r="A49" s="647"/>
      <c r="B49" s="651" t="s">
        <v>3850</v>
      </c>
      <c r="C49" s="648">
        <v>1</v>
      </c>
      <c r="D49" s="674">
        <v>2</v>
      </c>
      <c r="E49" s="649">
        <v>70.900000000000006</v>
      </c>
      <c r="F49" s="649"/>
      <c r="G49" s="649">
        <v>1.5</v>
      </c>
      <c r="H49" s="652">
        <f t="shared" ref="H49:H54" si="1">PRODUCT(C49:G49)</f>
        <v>212.7</v>
      </c>
      <c r="I49" s="646"/>
      <c r="J49" s="646"/>
      <c r="K49" s="646"/>
    </row>
    <row r="50" spans="1:13" ht="30.75" customHeight="1">
      <c r="A50" s="647"/>
      <c r="B50" s="651" t="s">
        <v>3851</v>
      </c>
      <c r="C50" s="648">
        <v>1</v>
      </c>
      <c r="D50" s="674">
        <v>1</v>
      </c>
      <c r="E50" s="649">
        <v>70.900000000000006</v>
      </c>
      <c r="F50" s="661"/>
      <c r="G50" s="649">
        <v>0.23</v>
      </c>
      <c r="H50" s="652">
        <f t="shared" si="1"/>
        <v>16.309999999999999</v>
      </c>
      <c r="I50" s="646"/>
      <c r="J50" s="646"/>
      <c r="K50" s="646"/>
    </row>
    <row r="51" spans="1:13" ht="30.75" customHeight="1">
      <c r="A51" s="647"/>
      <c r="B51" s="651" t="s">
        <v>3852</v>
      </c>
      <c r="C51" s="648">
        <v>1</v>
      </c>
      <c r="D51" s="674">
        <v>4</v>
      </c>
      <c r="E51" s="649">
        <v>1.8</v>
      </c>
      <c r="F51" s="649"/>
      <c r="G51" s="649">
        <v>0.3</v>
      </c>
      <c r="H51" s="652">
        <f t="shared" si="1"/>
        <v>2.16</v>
      </c>
      <c r="I51" s="646"/>
      <c r="J51" s="646">
        <v>80</v>
      </c>
      <c r="K51" s="653">
        <v>0.115</v>
      </c>
      <c r="L51" s="645">
        <v>0.9</v>
      </c>
      <c r="M51" s="645">
        <f>L51*K51*J51</f>
        <v>8.2799999999999994</v>
      </c>
    </row>
    <row r="52" spans="1:13" ht="30.75" customHeight="1">
      <c r="A52" s="647"/>
      <c r="B52" s="651" t="s">
        <v>3758</v>
      </c>
      <c r="C52" s="648">
        <v>2</v>
      </c>
      <c r="D52" s="674">
        <v>24</v>
      </c>
      <c r="E52" s="661">
        <v>0.115</v>
      </c>
      <c r="F52" s="649"/>
      <c r="G52" s="649">
        <v>1.2</v>
      </c>
      <c r="H52" s="652">
        <f t="shared" si="1"/>
        <v>6.62</v>
      </c>
      <c r="I52" s="646"/>
      <c r="J52" s="646"/>
      <c r="K52" s="646"/>
    </row>
    <row r="53" spans="1:13" ht="30.75" customHeight="1">
      <c r="A53" s="647"/>
      <c r="B53" s="651" t="s">
        <v>3853</v>
      </c>
      <c r="C53" s="648">
        <v>1</v>
      </c>
      <c r="D53" s="674">
        <v>4</v>
      </c>
      <c r="E53" s="649">
        <v>1.8</v>
      </c>
      <c r="F53" s="649"/>
      <c r="G53" s="649">
        <v>1.5</v>
      </c>
      <c r="H53" s="652">
        <f t="shared" si="1"/>
        <v>10.8</v>
      </c>
      <c r="I53" s="646"/>
      <c r="J53" s="646"/>
      <c r="K53" s="646"/>
    </row>
    <row r="54" spans="1:13" ht="30.75" customHeight="1">
      <c r="A54" s="647"/>
      <c r="B54" s="651" t="s">
        <v>3854</v>
      </c>
      <c r="C54" s="648">
        <v>1</v>
      </c>
      <c r="D54" s="674">
        <v>4</v>
      </c>
      <c r="E54" s="649">
        <v>0.45</v>
      </c>
      <c r="F54" s="661">
        <v>0.45</v>
      </c>
      <c r="G54" s="649"/>
      <c r="H54" s="652">
        <f t="shared" si="1"/>
        <v>0.81</v>
      </c>
      <c r="I54" s="646"/>
      <c r="J54" s="646"/>
      <c r="K54" s="646"/>
    </row>
    <row r="55" spans="1:13" ht="30.75" customHeight="1">
      <c r="A55" s="647"/>
      <c r="B55" s="651"/>
      <c r="C55" s="648"/>
      <c r="D55" s="674"/>
      <c r="E55" s="649"/>
      <c r="F55" s="661"/>
      <c r="G55" s="649"/>
      <c r="H55" s="652">
        <f>SUM(H49:H54)</f>
        <v>249.4</v>
      </c>
      <c r="I55" s="646"/>
      <c r="J55" s="646"/>
      <c r="K55" s="646"/>
    </row>
    <row r="56" spans="1:13" ht="30.75" customHeight="1">
      <c r="A56" s="647"/>
      <c r="B56" s="651"/>
      <c r="C56" s="648"/>
      <c r="D56" s="674"/>
      <c r="E56" s="649"/>
      <c r="F56" s="649"/>
      <c r="G56" s="649" t="s">
        <v>3754</v>
      </c>
      <c r="H56" s="650">
        <v>250</v>
      </c>
      <c r="I56" s="646"/>
      <c r="J56" s="646"/>
      <c r="K56" s="646"/>
    </row>
    <row r="57" spans="1:13" ht="18.75" customHeight="1">
      <c r="A57" s="647"/>
      <c r="B57" s="651"/>
      <c r="C57" s="648"/>
      <c r="D57" s="674"/>
      <c r="E57" s="649"/>
      <c r="F57" s="649"/>
      <c r="G57" s="649"/>
      <c r="H57" s="650"/>
      <c r="I57" s="646"/>
      <c r="J57" s="646"/>
      <c r="K57" s="646"/>
    </row>
    <row r="58" spans="1:13" ht="60.75" customHeight="1">
      <c r="A58" s="647">
        <v>7</v>
      </c>
      <c r="B58" s="711" t="s">
        <v>1806</v>
      </c>
      <c r="C58" s="648"/>
      <c r="D58" s="674"/>
      <c r="E58" s="649"/>
      <c r="F58" s="649"/>
      <c r="G58" s="649"/>
      <c r="H58" s="650"/>
      <c r="I58" s="646"/>
      <c r="J58" s="646"/>
      <c r="K58" s="646"/>
    </row>
    <row r="59" spans="1:13" ht="30.75" customHeight="1">
      <c r="A59" s="647"/>
      <c r="B59" s="651" t="s">
        <v>3855</v>
      </c>
      <c r="C59" s="648"/>
      <c r="D59" s="674"/>
      <c r="E59" s="649"/>
      <c r="F59" s="649"/>
      <c r="G59" s="649"/>
      <c r="H59" s="650"/>
      <c r="I59" s="646"/>
      <c r="J59" s="646"/>
      <c r="K59" s="646"/>
    </row>
    <row r="60" spans="1:13" ht="30.75" customHeight="1">
      <c r="A60" s="647"/>
      <c r="B60" s="651" t="s">
        <v>3856</v>
      </c>
      <c r="C60" s="648">
        <v>1</v>
      </c>
      <c r="D60" s="674">
        <v>1</v>
      </c>
      <c r="E60" s="649">
        <v>70.900000000000006</v>
      </c>
      <c r="F60" s="649"/>
      <c r="G60" s="649"/>
      <c r="H60" s="652">
        <f>PRODUCT(C60:G60)</f>
        <v>70.900000000000006</v>
      </c>
      <c r="I60" s="646"/>
      <c r="J60" s="646"/>
      <c r="K60" s="646"/>
    </row>
    <row r="61" spans="1:13" ht="30.75" customHeight="1">
      <c r="A61" s="647"/>
      <c r="B61" s="651" t="s">
        <v>3857</v>
      </c>
      <c r="C61" s="648">
        <v>1</v>
      </c>
      <c r="D61" s="674">
        <v>1</v>
      </c>
      <c r="E61" s="649">
        <v>1.8</v>
      </c>
      <c r="F61" s="649"/>
      <c r="G61" s="649"/>
      <c r="H61" s="652">
        <f>PRODUCT(C61:G61)</f>
        <v>1.8</v>
      </c>
      <c r="I61" s="646"/>
      <c r="J61" s="646"/>
      <c r="K61" s="646"/>
    </row>
    <row r="62" spans="1:13" ht="30.75" customHeight="1">
      <c r="A62" s="647"/>
      <c r="B62" s="651"/>
      <c r="C62" s="648"/>
      <c r="D62" s="674"/>
      <c r="E62" s="649"/>
      <c r="F62" s="649"/>
      <c r="G62" s="649"/>
      <c r="H62" s="650">
        <f>SUM(H60:H61)</f>
        <v>72.7</v>
      </c>
      <c r="I62" s="646"/>
      <c r="J62" s="646"/>
      <c r="K62" s="646"/>
    </row>
    <row r="63" spans="1:13" ht="39.75" customHeight="1">
      <c r="A63" s="647">
        <v>8</v>
      </c>
      <c r="B63" s="697" t="s">
        <v>3864</v>
      </c>
      <c r="C63" s="648"/>
      <c r="D63" s="674"/>
      <c r="E63" s="649"/>
      <c r="F63" s="649"/>
      <c r="G63" s="649"/>
      <c r="H63" s="652"/>
      <c r="I63" s="646"/>
      <c r="J63" s="646"/>
      <c r="K63" s="646"/>
    </row>
    <row r="64" spans="1:13" ht="30.75" customHeight="1">
      <c r="A64" s="647"/>
      <c r="B64" s="807" t="s">
        <v>3858</v>
      </c>
      <c r="C64" s="648">
        <v>1</v>
      </c>
      <c r="D64" s="674">
        <v>2</v>
      </c>
      <c r="E64" s="649">
        <v>4.5</v>
      </c>
      <c r="F64" s="649"/>
      <c r="G64" s="649">
        <v>1.5</v>
      </c>
      <c r="H64" s="652">
        <f>PRODUCT(C64:G64)</f>
        <v>13.5</v>
      </c>
      <c r="I64" s="646"/>
      <c r="J64" s="646"/>
      <c r="K64" s="646"/>
    </row>
    <row r="65" spans="1:11" ht="30.75" customHeight="1">
      <c r="A65" s="647"/>
      <c r="B65" s="651"/>
      <c r="C65" s="648"/>
      <c r="D65" s="1230" t="s">
        <v>3859</v>
      </c>
      <c r="E65" s="1231"/>
      <c r="F65" s="1232"/>
      <c r="G65" s="649" t="s">
        <v>364</v>
      </c>
      <c r="H65" s="650">
        <v>540</v>
      </c>
      <c r="I65" s="646"/>
      <c r="J65" s="646"/>
      <c r="K65" s="646"/>
    </row>
    <row r="66" spans="1:11" ht="16.5" customHeight="1">
      <c r="A66" s="647"/>
      <c r="B66" s="651"/>
      <c r="C66" s="648"/>
      <c r="D66" s="674"/>
      <c r="E66" s="649"/>
      <c r="F66" s="649"/>
      <c r="G66" s="649"/>
      <c r="H66" s="650"/>
      <c r="I66" s="646"/>
      <c r="J66" s="646"/>
      <c r="K66" s="646"/>
    </row>
    <row r="67" spans="1:11" ht="18.75" customHeight="1">
      <c r="A67" s="647"/>
      <c r="B67" s="651"/>
      <c r="C67" s="648"/>
      <c r="D67" s="674"/>
      <c r="E67" s="649"/>
      <c r="F67" s="649"/>
      <c r="G67" s="649"/>
      <c r="H67" s="650"/>
      <c r="I67" s="646"/>
      <c r="J67" s="646"/>
      <c r="K67" s="646"/>
    </row>
    <row r="68" spans="1:11" ht="30.75" customHeight="1">
      <c r="A68" s="647">
        <v>9</v>
      </c>
      <c r="B68" s="710" t="s">
        <v>2024</v>
      </c>
      <c r="C68" s="648"/>
      <c r="D68" s="674"/>
      <c r="E68" s="649"/>
      <c r="F68" s="649"/>
      <c r="G68" s="649"/>
      <c r="H68" s="650"/>
      <c r="I68" s="646"/>
      <c r="J68" s="646"/>
      <c r="K68" s="646"/>
    </row>
    <row r="69" spans="1:11" ht="30.75" customHeight="1">
      <c r="A69" s="647"/>
      <c r="B69" s="807" t="s">
        <v>3858</v>
      </c>
      <c r="C69" s="648">
        <v>1</v>
      </c>
      <c r="D69" s="674">
        <v>2</v>
      </c>
      <c r="E69" s="649">
        <v>4.5</v>
      </c>
      <c r="F69" s="649">
        <v>1</v>
      </c>
      <c r="G69" s="649">
        <v>1.5</v>
      </c>
      <c r="H69" s="652">
        <f>PRODUCT(C69:G69)</f>
        <v>13.5</v>
      </c>
      <c r="I69" s="646"/>
      <c r="J69" s="646"/>
      <c r="K69" s="646"/>
    </row>
    <row r="70" spans="1:11" ht="30.75" customHeight="1">
      <c r="A70" s="647"/>
      <c r="B70" s="807"/>
      <c r="C70" s="648"/>
      <c r="D70" s="674"/>
      <c r="E70" s="649"/>
      <c r="F70" s="649"/>
      <c r="G70" s="649"/>
      <c r="H70" s="652"/>
      <c r="I70" s="646"/>
      <c r="J70" s="646"/>
      <c r="K70" s="646"/>
    </row>
    <row r="71" spans="1:11" ht="30.75" customHeight="1">
      <c r="A71" s="647">
        <v>10</v>
      </c>
      <c r="B71" s="691" t="s">
        <v>199</v>
      </c>
      <c r="C71" s="648"/>
      <c r="D71" s="674"/>
      <c r="E71" s="649"/>
      <c r="F71" s="649"/>
      <c r="G71" s="649"/>
      <c r="H71" s="652"/>
      <c r="I71" s="646"/>
      <c r="J71" s="646"/>
      <c r="K71" s="646"/>
    </row>
    <row r="72" spans="1:11" ht="35.25" customHeight="1">
      <c r="A72" s="647"/>
      <c r="B72" s="697" t="s">
        <v>1904</v>
      </c>
      <c r="C72" s="648"/>
      <c r="D72" s="674"/>
      <c r="E72" s="649"/>
      <c r="F72" s="649"/>
      <c r="G72" s="649"/>
      <c r="H72" s="652"/>
      <c r="I72" s="646"/>
      <c r="J72" s="646"/>
      <c r="K72" s="646"/>
    </row>
    <row r="73" spans="1:11" ht="30.75" customHeight="1">
      <c r="A73" s="647"/>
      <c r="B73" s="697" t="s">
        <v>3839</v>
      </c>
      <c r="C73" s="648">
        <v>1</v>
      </c>
      <c r="D73" s="674">
        <v>4</v>
      </c>
      <c r="E73" s="649">
        <v>4.8</v>
      </c>
      <c r="F73" s="649"/>
      <c r="G73" s="649">
        <v>0.23</v>
      </c>
      <c r="H73" s="652">
        <f>PRODUCT(C73:G73)</f>
        <v>4.42</v>
      </c>
      <c r="I73" s="646"/>
      <c r="J73" s="646"/>
      <c r="K73" s="646"/>
    </row>
    <row r="74" spans="1:11" ht="30.75" customHeight="1">
      <c r="A74" s="647"/>
      <c r="B74" s="697"/>
      <c r="C74" s="648">
        <v>1</v>
      </c>
      <c r="D74" s="674">
        <v>24</v>
      </c>
      <c r="E74" s="649">
        <v>3.6</v>
      </c>
      <c r="F74" s="649"/>
      <c r="G74" s="649">
        <v>0.23</v>
      </c>
      <c r="H74" s="652">
        <f>PRODUCT(C74:G74)</f>
        <v>19.87</v>
      </c>
      <c r="I74" s="646"/>
      <c r="J74" s="646"/>
      <c r="K74" s="646"/>
    </row>
    <row r="75" spans="1:11" ht="30.75" customHeight="1">
      <c r="A75" s="647"/>
      <c r="B75" s="697" t="s">
        <v>3860</v>
      </c>
      <c r="C75" s="648">
        <v>1</v>
      </c>
      <c r="D75" s="674">
        <v>2</v>
      </c>
      <c r="E75" s="649">
        <v>70.900000000000006</v>
      </c>
      <c r="F75" s="649"/>
      <c r="G75" s="649">
        <v>0.23</v>
      </c>
      <c r="H75" s="652">
        <f>PRODUCT(C75:G75)</f>
        <v>32.61</v>
      </c>
      <c r="I75" s="646"/>
      <c r="J75" s="646"/>
      <c r="K75" s="646"/>
    </row>
    <row r="76" spans="1:11" ht="30.75" customHeight="1">
      <c r="A76" s="647"/>
      <c r="B76" s="697" t="s">
        <v>3861</v>
      </c>
      <c r="C76" s="648">
        <v>-1</v>
      </c>
      <c r="D76" s="674">
        <v>4</v>
      </c>
      <c r="E76" s="649">
        <v>0.45</v>
      </c>
      <c r="F76" s="649"/>
      <c r="G76" s="649">
        <v>0.23</v>
      </c>
      <c r="H76" s="652">
        <f>PRODUCT(C76:G76)</f>
        <v>-0.41</v>
      </c>
      <c r="I76" s="646"/>
      <c r="J76" s="646"/>
      <c r="K76" s="646"/>
    </row>
    <row r="77" spans="1:11" ht="30.75" customHeight="1">
      <c r="A77" s="647"/>
      <c r="B77" s="697"/>
      <c r="C77" s="648"/>
      <c r="D77" s="674"/>
      <c r="E77" s="649"/>
      <c r="F77" s="649"/>
      <c r="G77" s="649"/>
      <c r="H77" s="652">
        <f>SUM(H73:H76)</f>
        <v>56.49</v>
      </c>
      <c r="I77" s="646"/>
      <c r="J77" s="646"/>
      <c r="K77" s="646"/>
    </row>
    <row r="78" spans="1:11" ht="30.75" customHeight="1">
      <c r="A78" s="647"/>
      <c r="B78" s="697"/>
      <c r="C78" s="648"/>
      <c r="D78" s="674"/>
      <c r="E78" s="649"/>
      <c r="F78" s="649"/>
      <c r="G78" s="649"/>
      <c r="H78" s="650">
        <v>56.5</v>
      </c>
      <c r="I78" s="646"/>
      <c r="J78" s="646"/>
      <c r="K78" s="646"/>
    </row>
    <row r="79" spans="1:11" ht="30.75" customHeight="1">
      <c r="A79" s="647"/>
      <c r="B79" s="697" t="s">
        <v>1740</v>
      </c>
      <c r="C79" s="648"/>
      <c r="D79" s="674"/>
      <c r="E79" s="649"/>
      <c r="F79" s="649"/>
      <c r="G79" s="649"/>
      <c r="H79" s="652"/>
      <c r="I79" s="646"/>
      <c r="J79" s="646"/>
      <c r="K79" s="646"/>
    </row>
    <row r="80" spans="1:11" ht="30.75" customHeight="1">
      <c r="A80" s="647"/>
      <c r="B80" s="807" t="s">
        <v>3862</v>
      </c>
      <c r="C80" s="648">
        <v>1</v>
      </c>
      <c r="D80" s="674">
        <v>4</v>
      </c>
      <c r="E80" s="649">
        <v>1.8</v>
      </c>
      <c r="F80" s="649"/>
      <c r="G80" s="649">
        <v>0.61</v>
      </c>
      <c r="H80" s="652">
        <f>PRODUCT(C80:G80)</f>
        <v>4.3899999999999997</v>
      </c>
      <c r="I80" s="646"/>
      <c r="J80" s="646"/>
      <c r="K80" s="646"/>
    </row>
    <row r="81" spans="1:11" ht="30.75" customHeight="1">
      <c r="A81" s="647"/>
      <c r="B81" s="807" t="s">
        <v>3863</v>
      </c>
      <c r="C81" s="648">
        <v>1</v>
      </c>
      <c r="D81" s="674">
        <v>24</v>
      </c>
      <c r="E81" s="649">
        <v>0.9</v>
      </c>
      <c r="F81" s="649"/>
      <c r="G81" s="649">
        <v>0.61</v>
      </c>
      <c r="H81" s="652">
        <f>PRODUCT(C81:G81)</f>
        <v>13.18</v>
      </c>
      <c r="I81" s="646"/>
      <c r="J81" s="646"/>
      <c r="K81" s="646"/>
    </row>
    <row r="82" spans="1:11" ht="30.75" customHeight="1">
      <c r="A82" s="647"/>
      <c r="B82" s="807" t="s">
        <v>3862</v>
      </c>
      <c r="C82" s="648">
        <v>2</v>
      </c>
      <c r="D82" s="674">
        <v>2</v>
      </c>
      <c r="E82" s="649">
        <v>1.8</v>
      </c>
      <c r="F82" s="649"/>
      <c r="G82" s="649">
        <v>1.8</v>
      </c>
      <c r="H82" s="652">
        <f>PRODUCT(C82:G82)</f>
        <v>12.96</v>
      </c>
      <c r="I82" s="646"/>
      <c r="J82" s="646"/>
      <c r="K82" s="646"/>
    </row>
    <row r="83" spans="1:11" ht="30.75" customHeight="1">
      <c r="A83" s="647"/>
      <c r="B83" s="807"/>
      <c r="C83" s="648"/>
      <c r="D83" s="674"/>
      <c r="E83" s="649"/>
      <c r="F83" s="649"/>
      <c r="G83" s="649"/>
      <c r="H83" s="650">
        <f>SUM(H80:H82)</f>
        <v>30.53</v>
      </c>
      <c r="I83" s="646"/>
      <c r="J83" s="646"/>
      <c r="K83" s="646"/>
    </row>
    <row r="84" spans="1:11" ht="18.75" customHeight="1">
      <c r="A84" s="647"/>
      <c r="B84" s="807"/>
      <c r="C84" s="648"/>
      <c r="D84" s="674"/>
      <c r="E84" s="649"/>
      <c r="F84" s="649"/>
      <c r="G84" s="649"/>
      <c r="H84" s="650"/>
      <c r="I84" s="646"/>
      <c r="J84" s="646"/>
      <c r="K84" s="646"/>
    </row>
    <row r="85" spans="1:11" ht="60" customHeight="1">
      <c r="A85" s="647">
        <v>11</v>
      </c>
      <c r="B85" s="697" t="s">
        <v>3880</v>
      </c>
      <c r="C85" s="648"/>
      <c r="D85" s="674"/>
      <c r="E85" s="649"/>
      <c r="F85" s="649"/>
      <c r="G85" s="649"/>
      <c r="H85" s="650"/>
      <c r="I85" s="646"/>
      <c r="J85" s="646"/>
      <c r="K85" s="646"/>
    </row>
    <row r="86" spans="1:11" ht="30.75" customHeight="1">
      <c r="A86" s="647"/>
      <c r="B86" s="807" t="s">
        <v>3898</v>
      </c>
      <c r="C86" s="648">
        <v>1</v>
      </c>
      <c r="D86" s="674">
        <v>1</v>
      </c>
      <c r="E86" s="649">
        <v>12.1</v>
      </c>
      <c r="F86" s="649">
        <v>100</v>
      </c>
      <c r="G86" s="649"/>
      <c r="H86" s="652">
        <f>PRODUCT(C86:G86)</f>
        <v>1210</v>
      </c>
      <c r="I86" s="646"/>
      <c r="J86" s="646"/>
      <c r="K86" s="646"/>
    </row>
    <row r="87" spans="1:11" ht="30.75" customHeight="1">
      <c r="A87" s="647"/>
      <c r="B87" s="807"/>
      <c r="C87" s="648"/>
      <c r="D87" s="674"/>
      <c r="E87" s="649"/>
      <c r="F87" s="649"/>
      <c r="G87" s="649" t="s">
        <v>528</v>
      </c>
      <c r="H87" s="650">
        <v>1.21</v>
      </c>
      <c r="I87" s="646"/>
      <c r="J87" s="646"/>
      <c r="K87" s="646"/>
    </row>
    <row r="88" spans="1:11" ht="30.75" customHeight="1">
      <c r="A88" s="647">
        <v>12</v>
      </c>
      <c r="B88" s="1226" t="s">
        <v>3757</v>
      </c>
      <c r="C88" s="1226"/>
      <c r="D88" s="1226"/>
      <c r="E88" s="1226"/>
      <c r="F88" s="649"/>
      <c r="G88" s="649"/>
      <c r="H88" s="652"/>
      <c r="I88" s="646"/>
      <c r="J88" s="646"/>
      <c r="K88" s="646"/>
    </row>
    <row r="89" spans="1:11" ht="30.75" customHeight="1">
      <c r="A89" s="647"/>
      <c r="B89" s="651" t="s">
        <v>3760</v>
      </c>
      <c r="C89" s="648"/>
      <c r="D89" s="674"/>
      <c r="E89" s="649"/>
      <c r="F89" s="649"/>
      <c r="G89" s="649"/>
      <c r="H89" s="652">
        <v>250</v>
      </c>
      <c r="I89" s="646"/>
      <c r="J89" s="646"/>
      <c r="K89" s="646"/>
    </row>
    <row r="90" spans="1:11" ht="30.75" customHeight="1">
      <c r="A90" s="647"/>
      <c r="B90" s="651" t="s">
        <v>3867</v>
      </c>
      <c r="C90" s="648">
        <v>1</v>
      </c>
      <c r="D90" s="674">
        <v>1</v>
      </c>
      <c r="E90" s="649">
        <v>70.900000000000006</v>
      </c>
      <c r="F90" s="649"/>
      <c r="G90" s="661">
        <v>9.9000000000000005E-2</v>
      </c>
      <c r="H90" s="652">
        <f>D90*E90*G90</f>
        <v>7.02</v>
      </c>
      <c r="I90" s="646"/>
      <c r="J90" s="646"/>
      <c r="K90" s="646"/>
    </row>
    <row r="91" spans="1:11" ht="30.75" customHeight="1">
      <c r="A91" s="647"/>
      <c r="B91" s="651"/>
      <c r="C91" s="648"/>
      <c r="D91" s="674"/>
      <c r="E91" s="649"/>
      <c r="F91" s="649"/>
      <c r="G91" s="649"/>
      <c r="H91" s="650">
        <f>SUM(H89:H90)</f>
        <v>257.02</v>
      </c>
      <c r="I91" s="646"/>
      <c r="J91" s="646"/>
      <c r="K91" s="646"/>
    </row>
    <row r="92" spans="1:11" ht="30.75" customHeight="1">
      <c r="A92" s="647">
        <v>13</v>
      </c>
      <c r="B92" s="764" t="s">
        <v>3759</v>
      </c>
      <c r="C92" s="648"/>
      <c r="D92" s="674"/>
      <c r="E92" s="649"/>
      <c r="F92" s="649"/>
      <c r="G92" s="649"/>
      <c r="H92" s="652"/>
      <c r="I92" s="646"/>
      <c r="J92" s="646"/>
      <c r="K92" s="646"/>
    </row>
    <row r="93" spans="1:11" ht="30.75" customHeight="1">
      <c r="A93" s="647"/>
      <c r="B93" s="651" t="s">
        <v>3760</v>
      </c>
      <c r="C93" s="648"/>
      <c r="D93" s="674"/>
      <c r="E93" s="649"/>
      <c r="F93" s="649"/>
      <c r="G93" s="649"/>
      <c r="H93" s="650">
        <v>250</v>
      </c>
      <c r="I93" s="646"/>
      <c r="J93" s="646"/>
      <c r="K93" s="646"/>
    </row>
    <row r="94" spans="1:11" ht="16.5" customHeight="1">
      <c r="A94" s="647"/>
      <c r="B94" s="651"/>
      <c r="C94" s="648"/>
      <c r="D94" s="674"/>
      <c r="E94" s="649"/>
      <c r="F94" s="649"/>
      <c r="G94" s="649"/>
      <c r="H94" s="650"/>
      <c r="I94" s="646"/>
      <c r="J94" s="646"/>
      <c r="K94" s="646"/>
    </row>
    <row r="95" spans="1:11" ht="30.75" customHeight="1">
      <c r="A95" s="647">
        <v>14</v>
      </c>
      <c r="B95" s="711" t="s">
        <v>37</v>
      </c>
      <c r="C95" s="648"/>
      <c r="D95" s="674"/>
      <c r="E95" s="649"/>
      <c r="F95" s="649"/>
      <c r="G95" s="649"/>
      <c r="H95" s="650"/>
      <c r="I95" s="646"/>
      <c r="J95" s="646"/>
      <c r="K95" s="646"/>
    </row>
    <row r="96" spans="1:11" ht="30.75" customHeight="1">
      <c r="A96" s="647"/>
      <c r="B96" s="651" t="s">
        <v>3868</v>
      </c>
      <c r="C96" s="648">
        <v>1</v>
      </c>
      <c r="D96" s="674">
        <v>1</v>
      </c>
      <c r="E96" s="649">
        <v>78.099999999999994</v>
      </c>
      <c r="F96" s="649"/>
      <c r="G96" s="661">
        <v>9.9000000000000005E-2</v>
      </c>
      <c r="H96" s="650">
        <f>D96*E96*G96</f>
        <v>7.73</v>
      </c>
      <c r="I96" s="646"/>
      <c r="J96" s="646"/>
      <c r="K96" s="646"/>
    </row>
    <row r="97" spans="1:11" ht="12.75" customHeight="1">
      <c r="A97" s="647"/>
      <c r="B97" s="651"/>
      <c r="C97" s="648"/>
      <c r="D97" s="674"/>
      <c r="E97" s="649"/>
      <c r="F97" s="649"/>
      <c r="G97" s="649"/>
      <c r="H97" s="652"/>
      <c r="I97" s="646"/>
      <c r="J97" s="646"/>
      <c r="K97" s="646"/>
    </row>
    <row r="98" spans="1:11" ht="57.75" customHeight="1">
      <c r="A98" s="647">
        <v>15</v>
      </c>
      <c r="B98" s="711" t="s">
        <v>3899</v>
      </c>
      <c r="C98" s="648"/>
      <c r="D98" s="674"/>
      <c r="E98" s="649"/>
      <c r="F98" s="649"/>
      <c r="G98" s="649"/>
      <c r="H98" s="650"/>
      <c r="I98" s="646"/>
      <c r="J98" s="646"/>
      <c r="K98" s="646"/>
    </row>
    <row r="99" spans="1:11" ht="30.75" customHeight="1">
      <c r="A99" s="647"/>
      <c r="B99" s="651" t="s">
        <v>3869</v>
      </c>
      <c r="C99" s="648">
        <v>1</v>
      </c>
      <c r="D99" s="674">
        <v>24</v>
      </c>
      <c r="E99" s="649">
        <v>0.23</v>
      </c>
      <c r="F99" s="649">
        <v>0.23</v>
      </c>
      <c r="G99" s="649">
        <v>1.35</v>
      </c>
      <c r="H99" s="650">
        <f>D99*E99*F99*G99</f>
        <v>1.71</v>
      </c>
      <c r="I99" s="646"/>
      <c r="J99" s="646"/>
      <c r="K99" s="646"/>
    </row>
    <row r="100" spans="1:11" ht="30.75" customHeight="1">
      <c r="A100" s="647"/>
      <c r="B100" s="651"/>
      <c r="C100" s="648"/>
      <c r="D100" s="674"/>
      <c r="E100" s="649"/>
      <c r="F100" s="649"/>
      <c r="G100" s="649" t="s">
        <v>3754</v>
      </c>
      <c r="H100" s="650">
        <v>1.8</v>
      </c>
      <c r="I100" s="646"/>
      <c r="J100" s="646"/>
      <c r="K100" s="646"/>
    </row>
    <row r="101" spans="1:11" ht="11.25" customHeight="1">
      <c r="A101" s="647"/>
      <c r="B101" s="651"/>
      <c r="C101" s="648"/>
      <c r="D101" s="674"/>
      <c r="E101" s="649"/>
      <c r="F101" s="661"/>
      <c r="G101" s="649"/>
      <c r="H101" s="652"/>
      <c r="I101" s="646"/>
      <c r="J101" s="646"/>
      <c r="K101" s="646"/>
    </row>
    <row r="102" spans="1:11" ht="26.25" customHeight="1">
      <c r="A102" s="647">
        <v>16</v>
      </c>
      <c r="B102" s="711" t="s">
        <v>3879</v>
      </c>
      <c r="C102" s="648"/>
      <c r="D102" s="674"/>
      <c r="E102" s="649"/>
      <c r="F102" s="649"/>
      <c r="G102" s="649"/>
      <c r="H102" s="652"/>
      <c r="I102" s="646"/>
      <c r="J102" s="646"/>
      <c r="K102" s="646"/>
    </row>
    <row r="103" spans="1:11" ht="19.5">
      <c r="A103" s="761"/>
      <c r="B103" s="761" t="s">
        <v>3870</v>
      </c>
      <c r="C103" s="732">
        <v>1</v>
      </c>
      <c r="D103" s="732">
        <v>1</v>
      </c>
      <c r="E103" s="761">
        <v>31.5</v>
      </c>
      <c r="F103" s="761"/>
      <c r="G103" s="761">
        <v>0.9</v>
      </c>
      <c r="H103" s="652">
        <f>G103*E103</f>
        <v>28.35</v>
      </c>
    </row>
    <row r="104" spans="1:11" ht="19.5">
      <c r="A104" s="761"/>
      <c r="B104" s="761"/>
      <c r="C104" s="732"/>
      <c r="D104" s="732"/>
      <c r="E104" s="761"/>
      <c r="F104" s="761"/>
      <c r="G104" s="761"/>
      <c r="H104" s="808">
        <v>28.4</v>
      </c>
    </row>
    <row r="105" spans="1:11" ht="19.5">
      <c r="A105" s="761"/>
      <c r="B105" s="761"/>
      <c r="C105" s="732"/>
      <c r="D105" s="732"/>
      <c r="E105" s="761"/>
      <c r="F105" s="761"/>
      <c r="G105" s="761"/>
      <c r="H105" s="761"/>
    </row>
    <row r="106" spans="1:11" ht="101.25">
      <c r="A106" s="809">
        <v>17</v>
      </c>
      <c r="B106" s="710" t="s">
        <v>270</v>
      </c>
      <c r="C106" s="732"/>
      <c r="D106" s="732"/>
      <c r="E106" s="761"/>
      <c r="F106" s="761"/>
      <c r="G106" s="761"/>
      <c r="H106" s="761"/>
    </row>
    <row r="107" spans="1:11" ht="20.25">
      <c r="A107" s="761"/>
      <c r="B107" s="694" t="s">
        <v>2216</v>
      </c>
      <c r="C107" s="732">
        <v>1</v>
      </c>
      <c r="D107" s="732">
        <v>4</v>
      </c>
      <c r="E107" s="761"/>
      <c r="F107" s="761"/>
      <c r="G107" s="761"/>
      <c r="H107" s="652">
        <v>4</v>
      </c>
    </row>
    <row r="108" spans="1:11" ht="19.5">
      <c r="A108" s="761"/>
      <c r="B108" s="761"/>
      <c r="C108" s="732"/>
      <c r="D108" s="732"/>
      <c r="E108" s="761"/>
      <c r="F108" s="761"/>
      <c r="G108" s="761"/>
      <c r="H108" s="761"/>
    </row>
    <row r="109" spans="1:11" ht="101.25">
      <c r="A109" s="809">
        <v>18</v>
      </c>
      <c r="B109" s="684" t="s">
        <v>3878</v>
      </c>
      <c r="C109" s="732"/>
      <c r="D109" s="732"/>
      <c r="E109" s="761"/>
      <c r="F109" s="761"/>
      <c r="G109" s="761"/>
      <c r="H109" s="761"/>
    </row>
    <row r="110" spans="1:11" ht="19.5">
      <c r="A110" s="761"/>
      <c r="B110" s="761" t="s">
        <v>3871</v>
      </c>
      <c r="C110" s="732">
        <v>1</v>
      </c>
      <c r="D110" s="732">
        <v>4</v>
      </c>
      <c r="E110" s="761">
        <v>20</v>
      </c>
      <c r="F110" s="761"/>
      <c r="G110" s="761"/>
      <c r="H110" s="810">
        <v>80</v>
      </c>
    </row>
    <row r="111" spans="1:11" ht="19.5">
      <c r="A111" s="761"/>
      <c r="B111" s="761"/>
      <c r="C111" s="732"/>
      <c r="D111" s="732"/>
      <c r="E111" s="761"/>
      <c r="F111" s="761"/>
      <c r="G111" s="761"/>
      <c r="H111" s="761"/>
    </row>
  </sheetData>
  <mergeCells count="14">
    <mergeCell ref="A2:H3"/>
    <mergeCell ref="A5:A6"/>
    <mergeCell ref="B5:B6"/>
    <mergeCell ref="C5:D6"/>
    <mergeCell ref="E5:G5"/>
    <mergeCell ref="H5:H6"/>
    <mergeCell ref="B32:E32"/>
    <mergeCell ref="B16:E16"/>
    <mergeCell ref="B23:E23"/>
    <mergeCell ref="B48:D48"/>
    <mergeCell ref="B88:E88"/>
    <mergeCell ref="B37:E37"/>
    <mergeCell ref="B42:E42"/>
    <mergeCell ref="D65:F65"/>
  </mergeCells>
  <pageMargins left="0.7" right="0.7" top="0.75" bottom="0.75" header="0.3" footer="0.3"/>
  <pageSetup scale="84" orientation="portrait" r:id="rId1"/>
  <colBreaks count="1" manualBreakCount="1">
    <brk id="8" max="1048575" man="1"/>
  </colBreaks>
</worksheet>
</file>

<file path=xl/worksheets/sheet10.xml><?xml version="1.0" encoding="utf-8"?>
<worksheet xmlns="http://schemas.openxmlformats.org/spreadsheetml/2006/main" xmlns:r="http://schemas.openxmlformats.org/officeDocument/2006/relationships">
  <dimension ref="A1:F52"/>
  <sheetViews>
    <sheetView view="pageBreakPreview" topLeftCell="A38" zoomScale="85" zoomScaleNormal="115" zoomScaleSheetLayoutView="85" workbookViewId="0">
      <selection activeCell="D45" sqref="D45"/>
    </sheetView>
  </sheetViews>
  <sheetFormatPr defaultRowHeight="15.75"/>
  <cols>
    <col min="1" max="1" width="6.88671875" style="45" customWidth="1"/>
    <col min="2" max="2" width="10.77734375" customWidth="1"/>
    <col min="3" max="3" width="22.77734375" customWidth="1"/>
    <col min="4" max="4" width="11.33203125" customWidth="1"/>
    <col min="6" max="6" width="15.77734375" customWidth="1"/>
  </cols>
  <sheetData>
    <row r="1" spans="1:6" ht="16.5">
      <c r="A1" s="675"/>
      <c r="B1" s="1246"/>
      <c r="C1" s="1246"/>
      <c r="D1" s="1246"/>
      <c r="E1" s="1246"/>
      <c r="F1" s="1246"/>
    </row>
    <row r="2" spans="1:6" ht="16.5">
      <c r="A2" s="675"/>
      <c r="B2" s="1246"/>
      <c r="C2" s="1246"/>
      <c r="D2" s="1246"/>
      <c r="E2" s="1246"/>
      <c r="F2" s="1246"/>
    </row>
    <row r="3" spans="1:6" ht="19.5">
      <c r="A3" s="677"/>
      <c r="B3" s="678"/>
      <c r="C3" s="1247" t="s">
        <v>3761</v>
      </c>
      <c r="D3" s="1248"/>
      <c r="E3" s="1248"/>
      <c r="F3" s="678"/>
    </row>
    <row r="4" spans="1:6" ht="19.5">
      <c r="A4" s="679" t="s">
        <v>3747</v>
      </c>
      <c r="B4" s="680" t="s">
        <v>3762</v>
      </c>
      <c r="C4" s="680" t="s">
        <v>3763</v>
      </c>
      <c r="D4" s="681" t="s">
        <v>100</v>
      </c>
      <c r="E4" s="681" t="s">
        <v>3764</v>
      </c>
      <c r="F4" s="682" t="s">
        <v>994</v>
      </c>
    </row>
    <row r="5" spans="1:6" ht="21">
      <c r="A5" s="679"/>
      <c r="B5" s="680"/>
      <c r="C5" s="683"/>
      <c r="D5" s="681"/>
      <c r="E5" s="681"/>
      <c r="F5" s="682"/>
    </row>
    <row r="6" spans="1:6" ht="62.25">
      <c r="A6" s="679">
        <v>1</v>
      </c>
      <c r="B6" s="712"/>
      <c r="C6" s="684" t="s">
        <v>3874</v>
      </c>
      <c r="D6" s="681"/>
      <c r="E6" s="681"/>
      <c r="F6" s="682"/>
    </row>
    <row r="7" spans="1:6" ht="21">
      <c r="A7" s="679"/>
      <c r="B7" s="713">
        <f>'COMP D'!H14</f>
        <v>50.61</v>
      </c>
      <c r="C7" s="683"/>
      <c r="D7" s="714">
        <f>'Bldg+Dev'!C6</f>
        <v>102.25</v>
      </c>
      <c r="E7" s="681" t="s">
        <v>1402</v>
      </c>
      <c r="F7" s="686">
        <f>B7*D7</f>
        <v>5174.87</v>
      </c>
    </row>
    <row r="8" spans="1:6" ht="21">
      <c r="A8" s="679"/>
      <c r="B8" s="712"/>
      <c r="C8" s="683"/>
      <c r="D8" s="714"/>
      <c r="E8" s="681"/>
      <c r="F8" s="686"/>
    </row>
    <row r="9" spans="1:6" ht="16.5" customHeight="1">
      <c r="A9" s="679">
        <v>2</v>
      </c>
      <c r="B9" s="712"/>
      <c r="C9" s="687" t="s">
        <v>3768</v>
      </c>
      <c r="D9" s="715"/>
      <c r="E9" s="687"/>
      <c r="F9" s="688"/>
    </row>
    <row r="10" spans="1:6" ht="21">
      <c r="A10" s="679"/>
      <c r="B10" s="713">
        <f>'COMP D'!H22</f>
        <v>5.16</v>
      </c>
      <c r="C10" s="683"/>
      <c r="D10" s="714">
        <f>'Bldg+Dev'!C22</f>
        <v>2798.38</v>
      </c>
      <c r="E10" s="681" t="s">
        <v>1402</v>
      </c>
      <c r="F10" s="686">
        <f>B10*D10</f>
        <v>14439.64</v>
      </c>
    </row>
    <row r="11" spans="1:6" ht="21">
      <c r="A11" s="679"/>
      <c r="B11" s="712"/>
      <c r="C11" s="683"/>
      <c r="D11" s="714"/>
      <c r="E11" s="681"/>
      <c r="F11" s="686"/>
    </row>
    <row r="12" spans="1:6" ht="61.5">
      <c r="A12" s="689">
        <v>3</v>
      </c>
      <c r="B12" s="690"/>
      <c r="C12" s="691" t="s">
        <v>3875</v>
      </c>
      <c r="D12" s="692"/>
      <c r="E12" s="693"/>
      <c r="F12" s="686"/>
    </row>
    <row r="13" spans="1:6" ht="20.25">
      <c r="A13" s="689"/>
      <c r="B13" s="690">
        <f>'COMP D'!H31</f>
        <v>10.6</v>
      </c>
      <c r="C13" s="694" t="s">
        <v>3890</v>
      </c>
      <c r="D13" s="692">
        <f>'Bldg+Dev'!C25</f>
        <v>4863.82</v>
      </c>
      <c r="E13" s="681" t="s">
        <v>1402</v>
      </c>
      <c r="F13" s="686">
        <f>B13*D13</f>
        <v>51556.49</v>
      </c>
    </row>
    <row r="14" spans="1:6" ht="20.25">
      <c r="A14" s="689"/>
      <c r="B14" s="690">
        <f>'COMP D'!H34</f>
        <v>1.5</v>
      </c>
      <c r="C14" s="694" t="s">
        <v>3872</v>
      </c>
      <c r="D14" s="692">
        <f>'Bldg+Dev'!C32</f>
        <v>4908.47</v>
      </c>
      <c r="E14" s="681" t="s">
        <v>1402</v>
      </c>
      <c r="F14" s="686">
        <f>B14*D14</f>
        <v>7362.71</v>
      </c>
    </row>
    <row r="15" spans="1:6" ht="99" customHeight="1">
      <c r="A15" s="689">
        <v>4</v>
      </c>
      <c r="B15" s="690"/>
      <c r="C15" s="695" t="s">
        <v>3765</v>
      </c>
      <c r="D15" s="692"/>
      <c r="E15" s="693"/>
      <c r="F15" s="696"/>
    </row>
    <row r="16" spans="1:6" ht="43.5" customHeight="1">
      <c r="A16" s="689"/>
      <c r="B16" s="690">
        <f>'COMP D'!H39</f>
        <v>5</v>
      </c>
      <c r="C16" s="694" t="s">
        <v>3789</v>
      </c>
      <c r="D16" s="692">
        <f>Data!K322</f>
        <v>4108.6400000000003</v>
      </c>
      <c r="E16" s="681" t="s">
        <v>1402</v>
      </c>
      <c r="F16" s="696">
        <f>B16*D16</f>
        <v>20543.2</v>
      </c>
    </row>
    <row r="17" spans="1:6" ht="20.25">
      <c r="A17" s="689"/>
      <c r="B17" s="690"/>
      <c r="C17" s="694"/>
      <c r="D17" s="692"/>
      <c r="E17" s="693"/>
      <c r="F17" s="696"/>
    </row>
    <row r="18" spans="1:6" ht="118.5" customHeight="1">
      <c r="A18" s="689">
        <v>5</v>
      </c>
      <c r="B18" s="690"/>
      <c r="C18" s="691" t="s">
        <v>3876</v>
      </c>
      <c r="D18" s="692"/>
      <c r="E18" s="693"/>
      <c r="F18" s="696"/>
    </row>
    <row r="19" spans="1:6" ht="20.25">
      <c r="A19" s="689"/>
      <c r="B19" s="690">
        <f>'COMP D'!H100</f>
        <v>1.8</v>
      </c>
      <c r="C19" s="694" t="s">
        <v>3873</v>
      </c>
      <c r="D19" s="692">
        <f>'Bldg+Dev'!C38</f>
        <v>4041.44</v>
      </c>
      <c r="E19" s="681" t="s">
        <v>1402</v>
      </c>
      <c r="F19" s="696">
        <f>B19*D19</f>
        <v>7274.59</v>
      </c>
    </row>
    <row r="20" spans="1:6" ht="20.25">
      <c r="A20" s="689"/>
      <c r="B20" s="690"/>
      <c r="C20" s="694"/>
      <c r="D20" s="692"/>
      <c r="E20" s="693"/>
      <c r="F20" s="696"/>
    </row>
    <row r="21" spans="1:6" ht="124.5">
      <c r="A21" s="689">
        <v>6</v>
      </c>
      <c r="B21" s="690"/>
      <c r="C21" s="691" t="s">
        <v>3877</v>
      </c>
      <c r="D21" s="692"/>
      <c r="E21" s="693"/>
      <c r="F21" s="696"/>
    </row>
    <row r="22" spans="1:6" ht="20.25">
      <c r="A22" s="689"/>
      <c r="B22" s="690">
        <f>'COMP D'!H47</f>
        <v>77.8</v>
      </c>
      <c r="C22" s="697" t="s">
        <v>548</v>
      </c>
      <c r="D22" s="692">
        <f>Data!K401</f>
        <v>495.57</v>
      </c>
      <c r="E22" s="693" t="s">
        <v>234</v>
      </c>
      <c r="F22" s="696"/>
    </row>
    <row r="23" spans="1:6" ht="20.25">
      <c r="A23" s="689"/>
      <c r="B23" s="690"/>
      <c r="C23" s="692"/>
      <c r="D23" s="692"/>
      <c r="E23" s="693"/>
      <c r="F23" s="696"/>
    </row>
    <row r="24" spans="1:6" ht="39" customHeight="1">
      <c r="A24" s="689">
        <v>7</v>
      </c>
      <c r="B24" s="690">
        <f>'COMP D'!H56</f>
        <v>250</v>
      </c>
      <c r="C24" s="694" t="s">
        <v>3756</v>
      </c>
      <c r="D24" s="692">
        <f>Data!K1329</f>
        <v>121.3</v>
      </c>
      <c r="E24" s="693" t="s">
        <v>234</v>
      </c>
      <c r="F24" s="696">
        <f>B24*D24</f>
        <v>30325</v>
      </c>
    </row>
    <row r="25" spans="1:6" ht="15.75" customHeight="1">
      <c r="A25" s="689"/>
      <c r="B25" s="690"/>
      <c r="C25" s="694"/>
      <c r="D25" s="692"/>
      <c r="E25" s="693"/>
      <c r="F25" s="696"/>
    </row>
    <row r="26" spans="1:6" ht="36.75" customHeight="1">
      <c r="A26" s="689">
        <v>8</v>
      </c>
      <c r="B26" s="690">
        <f>'COMP D'!H91</f>
        <v>257.02</v>
      </c>
      <c r="C26" s="694" t="s">
        <v>3766</v>
      </c>
      <c r="D26" s="692" t="e">
        <f>'Bldg+Dev'!#REF!</f>
        <v>#REF!</v>
      </c>
      <c r="E26" s="693" t="s">
        <v>234</v>
      </c>
      <c r="F26" s="696" t="e">
        <f>B26*D26</f>
        <v>#REF!</v>
      </c>
    </row>
    <row r="27" spans="1:6" ht="20.25">
      <c r="A27" s="689"/>
      <c r="B27" s="690"/>
      <c r="C27" s="692"/>
      <c r="D27" s="692"/>
      <c r="E27" s="693"/>
      <c r="F27" s="696"/>
    </row>
    <row r="28" spans="1:6" ht="62.25" customHeight="1">
      <c r="A28" s="689">
        <v>9</v>
      </c>
      <c r="B28" s="690">
        <f>'COMP D'!H93</f>
        <v>250</v>
      </c>
      <c r="C28" s="698" t="s">
        <v>3759</v>
      </c>
      <c r="D28" s="692" t="e">
        <f>'Bldg+Dev'!#REF!</f>
        <v>#REF!</v>
      </c>
      <c r="E28" s="693" t="s">
        <v>234</v>
      </c>
      <c r="F28" s="696" t="e">
        <f>B28*D28</f>
        <v>#REF!</v>
      </c>
    </row>
    <row r="29" spans="1:6" ht="20.25">
      <c r="A29" s="689"/>
      <c r="B29" s="690"/>
      <c r="C29" s="698"/>
      <c r="D29" s="692"/>
      <c r="E29" s="699"/>
      <c r="F29" s="696"/>
    </row>
    <row r="30" spans="1:6" ht="20.25">
      <c r="A30" s="689">
        <v>10</v>
      </c>
      <c r="B30" s="690">
        <f>'COMP D'!H96</f>
        <v>7.73</v>
      </c>
      <c r="C30" s="684" t="s">
        <v>37</v>
      </c>
      <c r="D30" s="692" t="e">
        <f>'Bldg+Dev'!#REF!</f>
        <v>#REF!</v>
      </c>
      <c r="E30" s="693" t="s">
        <v>234</v>
      </c>
      <c r="F30" s="696"/>
    </row>
    <row r="31" spans="1:6" ht="20.25">
      <c r="A31" s="700"/>
      <c r="B31" s="690"/>
      <c r="C31" s="694"/>
      <c r="D31" s="692"/>
      <c r="E31" s="699"/>
      <c r="F31" s="696"/>
    </row>
    <row r="32" spans="1:6" ht="40.5">
      <c r="A32" s="701">
        <v>11</v>
      </c>
      <c r="B32" s="702"/>
      <c r="C32" s="694" t="s">
        <v>1806</v>
      </c>
      <c r="D32" s="692"/>
      <c r="E32" s="699"/>
      <c r="F32" s="703"/>
    </row>
    <row r="33" spans="1:6" ht="20.25">
      <c r="A33" s="704"/>
      <c r="B33" s="705">
        <f>'COMP D'!H62</f>
        <v>72.7</v>
      </c>
      <c r="C33" s="694" t="s">
        <v>2020</v>
      </c>
      <c r="D33" s="692">
        <f>'Bldg+Dev'!C83</f>
        <v>23.18</v>
      </c>
      <c r="E33" s="693" t="s">
        <v>840</v>
      </c>
      <c r="F33" s="696">
        <f t="shared" ref="F33:F51" si="0">B33*D33</f>
        <v>1685.19</v>
      </c>
    </row>
    <row r="34" spans="1:6" ht="20.25">
      <c r="A34" s="704"/>
      <c r="B34" s="705"/>
      <c r="C34" s="706"/>
      <c r="D34" s="692"/>
      <c r="E34" s="693"/>
      <c r="F34" s="696"/>
    </row>
    <row r="35" spans="1:6" ht="20.25">
      <c r="A35" s="704">
        <v>12</v>
      </c>
      <c r="B35" s="705">
        <f>'COMP D'!H65</f>
        <v>540</v>
      </c>
      <c r="C35" s="684" t="s">
        <v>2023</v>
      </c>
      <c r="D35" s="692">
        <f>'Bldg+Dev'!C91</f>
        <v>63.3</v>
      </c>
      <c r="E35" s="693" t="s">
        <v>929</v>
      </c>
      <c r="F35" s="696">
        <f t="shared" si="0"/>
        <v>34182</v>
      </c>
    </row>
    <row r="36" spans="1:6" ht="20.25">
      <c r="A36" s="704"/>
      <c r="B36" s="705"/>
      <c r="C36" s="706"/>
      <c r="D36" s="692"/>
      <c r="E36" s="693"/>
      <c r="F36" s="696"/>
    </row>
    <row r="37" spans="1:6" ht="40.5">
      <c r="A37" s="704">
        <v>13</v>
      </c>
      <c r="B37" s="705">
        <f>'COMP D'!H69</f>
        <v>13.5</v>
      </c>
      <c r="C37" s="684" t="s">
        <v>2024</v>
      </c>
      <c r="D37" s="707">
        <f>'Bldg+Dev'!C94</f>
        <v>92.23</v>
      </c>
      <c r="E37" s="693" t="s">
        <v>234</v>
      </c>
      <c r="F37" s="696">
        <f t="shared" si="0"/>
        <v>1245.1099999999999</v>
      </c>
    </row>
    <row r="38" spans="1:6" ht="19.5">
      <c r="A38" s="708"/>
      <c r="B38" s="692"/>
      <c r="C38" s="692"/>
      <c r="D38" s="692"/>
      <c r="E38" s="693"/>
      <c r="F38" s="696"/>
    </row>
    <row r="39" spans="1:6" ht="42">
      <c r="A39" s="708"/>
      <c r="B39" s="692"/>
      <c r="C39" s="709" t="s">
        <v>2215</v>
      </c>
      <c r="D39" s="692"/>
      <c r="E39" s="692"/>
      <c r="F39" s="696"/>
    </row>
    <row r="40" spans="1:6" ht="153" customHeight="1">
      <c r="A40" s="708">
        <v>14</v>
      </c>
      <c r="B40" s="692"/>
      <c r="C40" s="710" t="s">
        <v>270</v>
      </c>
      <c r="D40" s="692"/>
      <c r="E40" s="692"/>
      <c r="F40" s="696"/>
    </row>
    <row r="41" spans="1:6" ht="40.5">
      <c r="A41" s="708"/>
      <c r="B41" s="692">
        <f>'COMP D'!H107</f>
        <v>4</v>
      </c>
      <c r="C41" s="694" t="s">
        <v>2216</v>
      </c>
      <c r="D41" s="692" t="e">
        <f>'Bldg+Dev'!#REF!</f>
        <v>#REF!</v>
      </c>
      <c r="E41" s="692" t="s">
        <v>1794</v>
      </c>
      <c r="F41" s="696" t="e">
        <f t="shared" si="0"/>
        <v>#REF!</v>
      </c>
    </row>
    <row r="42" spans="1:6" ht="19.5">
      <c r="A42" s="708"/>
      <c r="B42" s="692"/>
      <c r="C42" s="692"/>
      <c r="D42" s="692"/>
      <c r="E42" s="692"/>
      <c r="F42" s="696"/>
    </row>
    <row r="43" spans="1:6" ht="141.75">
      <c r="A43" s="708">
        <v>15</v>
      </c>
      <c r="B43" s="692">
        <f>'COMP D'!H110</f>
        <v>80</v>
      </c>
      <c r="C43" s="684" t="s">
        <v>3878</v>
      </c>
      <c r="D43" s="692">
        <f>'Bldg+Dev'!C197</f>
        <v>120</v>
      </c>
      <c r="E43" s="692" t="s">
        <v>840</v>
      </c>
      <c r="F43" s="696">
        <f t="shared" si="0"/>
        <v>9600</v>
      </c>
    </row>
    <row r="44" spans="1:6" ht="19.5">
      <c r="A44" s="708"/>
      <c r="B44" s="692"/>
      <c r="C44" s="692"/>
      <c r="D44" s="692"/>
      <c r="E44" s="692"/>
      <c r="F44" s="696"/>
    </row>
    <row r="45" spans="1:6" ht="41.25">
      <c r="A45" s="708">
        <v>16</v>
      </c>
      <c r="B45" s="692">
        <f>'COMP D'!H104</f>
        <v>28.4</v>
      </c>
      <c r="C45" s="711" t="s">
        <v>3879</v>
      </c>
      <c r="D45" s="692" t="e">
        <f>'Bldg+Dev'!#REF!</f>
        <v>#REF!</v>
      </c>
      <c r="E45" s="692" t="s">
        <v>234</v>
      </c>
      <c r="F45" s="696" t="e">
        <f t="shared" si="0"/>
        <v>#REF!</v>
      </c>
    </row>
    <row r="46" spans="1:6" ht="19.5">
      <c r="A46" s="708"/>
      <c r="B46" s="692"/>
      <c r="C46" s="692"/>
      <c r="D46" s="692"/>
      <c r="E46" s="692"/>
      <c r="F46" s="696"/>
    </row>
    <row r="47" spans="1:6" ht="102.75">
      <c r="A47" s="708">
        <v>17</v>
      </c>
      <c r="B47" s="692">
        <f>'COMP D'!H87</f>
        <v>1.21</v>
      </c>
      <c r="C47" s="697" t="s">
        <v>3880</v>
      </c>
      <c r="D47" s="692" t="e">
        <f>'Bldg+Dev'!#REF!</f>
        <v>#REF!</v>
      </c>
      <c r="E47" s="692" t="s">
        <v>528</v>
      </c>
      <c r="F47" s="696" t="e">
        <f t="shared" si="0"/>
        <v>#REF!</v>
      </c>
    </row>
    <row r="48" spans="1:6" ht="19.5">
      <c r="A48" s="708"/>
      <c r="B48" s="692"/>
      <c r="C48" s="692"/>
      <c r="D48" s="692"/>
      <c r="E48" s="692"/>
      <c r="F48" s="696"/>
    </row>
    <row r="49" spans="1:6" ht="42">
      <c r="A49" s="708">
        <v>18</v>
      </c>
      <c r="B49" s="692"/>
      <c r="C49" s="691" t="s">
        <v>199</v>
      </c>
      <c r="D49" s="692"/>
      <c r="E49" s="692"/>
      <c r="F49" s="696"/>
    </row>
    <row r="50" spans="1:6" ht="101.25">
      <c r="A50" s="708"/>
      <c r="B50" s="692">
        <f>'COMP D'!H78</f>
        <v>56.5</v>
      </c>
      <c r="C50" s="697" t="s">
        <v>1904</v>
      </c>
      <c r="D50" s="692">
        <f>'Bldg+Dev'!C184</f>
        <v>399.45</v>
      </c>
      <c r="E50" s="692" t="s">
        <v>234</v>
      </c>
      <c r="F50" s="696">
        <f t="shared" si="0"/>
        <v>22568.93</v>
      </c>
    </row>
    <row r="51" spans="1:6" ht="60.75">
      <c r="A51" s="708"/>
      <c r="B51" s="692">
        <f>'COMP D'!H83</f>
        <v>30.53</v>
      </c>
      <c r="C51" s="697" t="s">
        <v>1740</v>
      </c>
      <c r="D51" s="692">
        <f>'Bldg+Dev'!C185</f>
        <v>461.84</v>
      </c>
      <c r="E51" s="692" t="s">
        <v>234</v>
      </c>
      <c r="F51" s="696">
        <f t="shared" si="0"/>
        <v>14099.98</v>
      </c>
    </row>
    <row r="52" spans="1:6" ht="19.5">
      <c r="A52" s="708"/>
      <c r="B52" s="692"/>
      <c r="C52" s="692"/>
      <c r="D52" s="692"/>
      <c r="E52" s="692"/>
      <c r="F52" s="716" t="e">
        <f>SUM(F7:F51)</f>
        <v>#REF!</v>
      </c>
    </row>
  </sheetData>
  <mergeCells count="3">
    <mergeCell ref="B1:F1"/>
    <mergeCell ref="B2:F2"/>
    <mergeCell ref="C3:E3"/>
  </mergeCells>
  <pageMargins left="0.7" right="0.7" top="0.75" bottom="0.75" header="0.3" footer="0.3"/>
  <pageSetup scale="90" orientation="portrait" r:id="rId1"/>
  <rowBreaks count="1" manualBreakCount="1">
    <brk id="39" max="5" man="1"/>
  </rowBreaks>
</worksheet>
</file>

<file path=xl/worksheets/sheet11.xml><?xml version="1.0" encoding="utf-8"?>
<worksheet xmlns="http://schemas.openxmlformats.org/spreadsheetml/2006/main" xmlns:r="http://schemas.openxmlformats.org/officeDocument/2006/relationships">
  <dimension ref="A1:I39"/>
  <sheetViews>
    <sheetView view="pageBreakPreview" topLeftCell="A22" zoomScale="115" zoomScaleSheetLayoutView="115" workbookViewId="0">
      <selection activeCell="H27" sqref="H27:H37"/>
    </sheetView>
  </sheetViews>
  <sheetFormatPr defaultRowHeight="19.5"/>
  <cols>
    <col min="1" max="1" width="6.44140625" style="720" customWidth="1"/>
    <col min="2" max="2" width="32.77734375" style="720" customWidth="1"/>
    <col min="3" max="3" width="7" style="735" customWidth="1"/>
    <col min="4" max="4" width="6.33203125" style="736" customWidth="1"/>
    <col min="5" max="5" width="8.5546875" style="720" customWidth="1"/>
    <col min="6" max="6" width="6.5546875" style="720" customWidth="1"/>
    <col min="7" max="7" width="6.44140625" style="720" customWidth="1"/>
    <col min="8" max="8" width="10" style="720" customWidth="1"/>
    <col min="9" max="9" width="9.33203125" style="720" customWidth="1"/>
    <col min="10" max="10" width="8.88671875" style="720"/>
    <col min="11" max="11" width="12.109375" style="720" customWidth="1"/>
    <col min="12" max="12" width="11" style="720" customWidth="1"/>
    <col min="13" max="16384" width="8.88671875" style="720"/>
  </cols>
  <sheetData>
    <row r="1" spans="1:9">
      <c r="A1" s="717"/>
      <c r="B1" s="717"/>
      <c r="C1" s="718"/>
      <c r="D1" s="719"/>
      <c r="E1" s="717"/>
      <c r="F1" s="717"/>
      <c r="G1" s="717"/>
      <c r="H1" s="717"/>
      <c r="I1" s="717"/>
    </row>
    <row r="2" spans="1:9">
      <c r="A2" s="1233" t="s">
        <v>3837</v>
      </c>
      <c r="B2" s="1233"/>
      <c r="C2" s="1233"/>
      <c r="D2" s="1233"/>
      <c r="E2" s="1233"/>
      <c r="F2" s="1233"/>
      <c r="G2" s="1233"/>
      <c r="H2" s="1233"/>
      <c r="I2" s="717"/>
    </row>
    <row r="3" spans="1:9">
      <c r="A3" s="1233"/>
      <c r="B3" s="1233"/>
      <c r="C3" s="1233"/>
      <c r="D3" s="1233"/>
      <c r="E3" s="1233"/>
      <c r="F3" s="1233"/>
      <c r="G3" s="1233"/>
      <c r="H3" s="1233"/>
      <c r="I3" s="717"/>
    </row>
    <row r="4" spans="1:9">
      <c r="A4" s="717"/>
      <c r="B4" s="721" t="s">
        <v>3746</v>
      </c>
      <c r="C4" s="722"/>
      <c r="D4" s="722"/>
      <c r="E4" s="723"/>
      <c r="F4" s="723"/>
      <c r="G4" s="723"/>
      <c r="H4" s="723"/>
      <c r="I4" s="717"/>
    </row>
    <row r="5" spans="1:9">
      <c r="A5" s="1234" t="s">
        <v>3747</v>
      </c>
      <c r="B5" s="1236" t="s">
        <v>3748</v>
      </c>
      <c r="C5" s="1238" t="s">
        <v>1454</v>
      </c>
      <c r="D5" s="1239"/>
      <c r="E5" s="1242" t="s">
        <v>3749</v>
      </c>
      <c r="F5" s="1242"/>
      <c r="G5" s="1243"/>
      <c r="H5" s="1244" t="s">
        <v>3750</v>
      </c>
      <c r="I5" s="717"/>
    </row>
    <row r="6" spans="1:9">
      <c r="A6" s="1235"/>
      <c r="B6" s="1237"/>
      <c r="C6" s="1240"/>
      <c r="D6" s="1241"/>
      <c r="E6" s="724" t="s">
        <v>3811</v>
      </c>
      <c r="F6" s="725" t="s">
        <v>1635</v>
      </c>
      <c r="G6" s="725" t="s">
        <v>3812</v>
      </c>
      <c r="H6" s="1245"/>
      <c r="I6" s="717"/>
    </row>
    <row r="7" spans="1:9" ht="27" customHeight="1">
      <c r="A7" s="726">
        <v>1</v>
      </c>
      <c r="B7" s="1224" t="s">
        <v>3813</v>
      </c>
      <c r="C7" s="1224"/>
      <c r="D7" s="1224"/>
      <c r="E7" s="1224"/>
      <c r="F7" s="656"/>
      <c r="G7" s="657"/>
      <c r="H7" s="728"/>
      <c r="I7" s="729"/>
    </row>
    <row r="8" spans="1:9">
      <c r="A8" s="726"/>
      <c r="B8" s="659" t="s">
        <v>3814</v>
      </c>
      <c r="C8" s="656">
        <v>1</v>
      </c>
      <c r="D8" s="656">
        <v>1</v>
      </c>
      <c r="E8" s="657">
        <v>100</v>
      </c>
      <c r="F8" s="657"/>
      <c r="G8" s="657"/>
      <c r="H8" s="660">
        <f>C8*D8*E8</f>
        <v>100</v>
      </c>
      <c r="I8" s="729" t="s">
        <v>3818</v>
      </c>
    </row>
    <row r="9" spans="1:9">
      <c r="A9" s="726"/>
      <c r="B9" s="659" t="s">
        <v>3815</v>
      </c>
      <c r="C9" s="656">
        <v>1</v>
      </c>
      <c r="D9" s="656">
        <v>1</v>
      </c>
      <c r="E9" s="657">
        <v>100</v>
      </c>
      <c r="F9" s="657"/>
      <c r="G9" s="657"/>
      <c r="H9" s="660">
        <f>C9*D9*E9</f>
        <v>100</v>
      </c>
      <c r="I9" s="729" t="s">
        <v>3818</v>
      </c>
    </row>
    <row r="10" spans="1:9">
      <c r="A10" s="726"/>
      <c r="B10" s="659"/>
      <c r="C10" s="656"/>
      <c r="D10" s="656"/>
      <c r="E10" s="657"/>
      <c r="F10" s="657"/>
      <c r="G10" s="657"/>
      <c r="H10" s="660"/>
      <c r="I10" s="729"/>
    </row>
    <row r="11" spans="1:9">
      <c r="A11" s="726">
        <v>2</v>
      </c>
      <c r="B11" s="659" t="s">
        <v>3816</v>
      </c>
      <c r="C11" s="656"/>
      <c r="D11" s="656"/>
      <c r="E11" s="657"/>
      <c r="F11" s="657"/>
      <c r="G11" s="657"/>
      <c r="H11" s="660"/>
      <c r="I11" s="729"/>
    </row>
    <row r="12" spans="1:9">
      <c r="A12" s="726"/>
      <c r="B12" s="659" t="s">
        <v>3817</v>
      </c>
      <c r="C12" s="656">
        <v>1</v>
      </c>
      <c r="D12" s="656">
        <v>2</v>
      </c>
      <c r="E12" s="657">
        <v>6</v>
      </c>
      <c r="F12" s="657"/>
      <c r="G12" s="657"/>
      <c r="H12" s="660">
        <f>C12*D12*E12</f>
        <v>12</v>
      </c>
      <c r="I12" s="729" t="s">
        <v>3819</v>
      </c>
    </row>
    <row r="13" spans="1:9">
      <c r="A13" s="726"/>
      <c r="B13" s="659"/>
      <c r="C13" s="656"/>
      <c r="D13" s="656"/>
      <c r="E13" s="657"/>
      <c r="F13" s="657"/>
      <c r="G13" s="657"/>
      <c r="H13" s="660"/>
      <c r="I13" s="729"/>
    </row>
    <row r="14" spans="1:9" ht="33" customHeight="1">
      <c r="A14" s="726">
        <v>3</v>
      </c>
      <c r="B14" s="1224" t="s">
        <v>3820</v>
      </c>
      <c r="C14" s="1224"/>
      <c r="D14" s="1224"/>
      <c r="E14" s="1224"/>
      <c r="F14" s="657"/>
      <c r="G14" s="657"/>
      <c r="H14" s="660"/>
      <c r="I14" s="729"/>
    </row>
    <row r="15" spans="1:9" ht="15" customHeight="1">
      <c r="A15" s="726"/>
      <c r="B15" s="659" t="s">
        <v>3821</v>
      </c>
      <c r="C15" s="656">
        <v>1</v>
      </c>
      <c r="D15" s="656">
        <v>1</v>
      </c>
      <c r="E15" s="657"/>
      <c r="F15" s="657"/>
      <c r="G15" s="657"/>
      <c r="H15" s="660">
        <v>1</v>
      </c>
      <c r="I15" s="729" t="s">
        <v>1843</v>
      </c>
    </row>
    <row r="16" spans="1:9" ht="15" customHeight="1">
      <c r="A16" s="726"/>
      <c r="B16" s="659"/>
      <c r="C16" s="656"/>
      <c r="D16" s="656"/>
      <c r="E16" s="657"/>
      <c r="F16" s="657"/>
      <c r="G16" s="657"/>
      <c r="H16" s="660"/>
      <c r="I16" s="729"/>
    </row>
    <row r="17" spans="1:9">
      <c r="A17" s="726"/>
      <c r="B17" s="727"/>
      <c r="C17" s="656"/>
      <c r="D17" s="656"/>
      <c r="E17" s="657"/>
      <c r="F17" s="657"/>
      <c r="G17" s="657"/>
      <c r="H17" s="660"/>
      <c r="I17" s="729"/>
    </row>
    <row r="18" spans="1:9" ht="42.75" customHeight="1">
      <c r="A18" s="726">
        <v>4</v>
      </c>
      <c r="B18" s="695" t="s">
        <v>3822</v>
      </c>
      <c r="C18" s="656"/>
      <c r="D18" s="656"/>
      <c r="E18" s="657"/>
      <c r="F18" s="657"/>
      <c r="G18" s="657"/>
      <c r="H18" s="660"/>
      <c r="I18" s="729"/>
    </row>
    <row r="19" spans="1:9">
      <c r="A19" s="726"/>
      <c r="B19" s="659"/>
      <c r="C19" s="656">
        <v>1</v>
      </c>
      <c r="D19" s="656">
        <v>1</v>
      </c>
      <c r="E19" s="657"/>
      <c r="F19" s="657"/>
      <c r="G19" s="657"/>
      <c r="H19" s="660">
        <v>1</v>
      </c>
      <c r="I19" s="729" t="s">
        <v>1843</v>
      </c>
    </row>
    <row r="20" spans="1:9">
      <c r="A20" s="726"/>
      <c r="B20" s="659"/>
      <c r="C20" s="656"/>
      <c r="D20" s="656"/>
      <c r="E20" s="657"/>
      <c r="F20" s="657"/>
      <c r="G20" s="657"/>
      <c r="H20" s="658"/>
      <c r="I20" s="729"/>
    </row>
    <row r="21" spans="1:9" ht="63">
      <c r="A21" s="726">
        <v>5</v>
      </c>
      <c r="B21" s="695" t="s">
        <v>3823</v>
      </c>
      <c r="C21" s="656"/>
      <c r="D21" s="656"/>
      <c r="E21" s="657"/>
      <c r="F21" s="657"/>
      <c r="G21" s="657"/>
      <c r="H21" s="658"/>
      <c r="I21" s="729"/>
    </row>
    <row r="22" spans="1:9">
      <c r="A22" s="726"/>
      <c r="B22" s="659" t="s">
        <v>3824</v>
      </c>
      <c r="C22" s="656">
        <v>1</v>
      </c>
      <c r="D22" s="656">
        <v>1</v>
      </c>
      <c r="E22" s="657">
        <v>200</v>
      </c>
      <c r="F22" s="657"/>
      <c r="G22" s="657"/>
      <c r="H22" s="658">
        <v>200</v>
      </c>
      <c r="I22" s="729"/>
    </row>
    <row r="23" spans="1:9">
      <c r="A23" s="726"/>
      <c r="B23" s="659" t="s">
        <v>3825</v>
      </c>
      <c r="C23" s="656">
        <v>1</v>
      </c>
      <c r="D23" s="656">
        <v>1</v>
      </c>
      <c r="E23" s="657">
        <v>40</v>
      </c>
      <c r="F23" s="657"/>
      <c r="G23" s="657"/>
      <c r="H23" s="658">
        <v>40</v>
      </c>
      <c r="I23" s="729"/>
    </row>
    <row r="24" spans="1:9">
      <c r="A24" s="726"/>
      <c r="B24" s="659"/>
      <c r="C24" s="656"/>
      <c r="D24" s="656"/>
      <c r="E24" s="657"/>
      <c r="F24" s="657"/>
      <c r="G24" s="657"/>
      <c r="H24" s="660">
        <f>SUM(H22:H23)</f>
        <v>240</v>
      </c>
      <c r="I24" s="729" t="s">
        <v>3818</v>
      </c>
    </row>
    <row r="25" spans="1:9">
      <c r="A25" s="726"/>
      <c r="B25" s="659"/>
      <c r="C25" s="656"/>
      <c r="D25" s="656"/>
      <c r="E25" s="657"/>
      <c r="F25" s="657"/>
      <c r="G25" s="657"/>
      <c r="H25" s="660"/>
      <c r="I25" s="729"/>
    </row>
    <row r="26" spans="1:9" ht="63">
      <c r="A26" s="726">
        <v>6</v>
      </c>
      <c r="B26" s="695" t="s">
        <v>3826</v>
      </c>
      <c r="C26" s="656"/>
      <c r="D26" s="656"/>
      <c r="E26" s="657"/>
      <c r="F26" s="657"/>
      <c r="G26" s="657"/>
      <c r="H26" s="660"/>
      <c r="I26" s="729"/>
    </row>
    <row r="27" spans="1:9">
      <c r="A27" s="726"/>
      <c r="B27" s="659" t="s">
        <v>3827</v>
      </c>
      <c r="C27" s="656">
        <v>1</v>
      </c>
      <c r="D27" s="656">
        <v>1</v>
      </c>
      <c r="E27" s="657"/>
      <c r="F27" s="657"/>
      <c r="G27" s="657"/>
      <c r="H27" s="660">
        <v>1</v>
      </c>
      <c r="I27" s="729"/>
    </row>
    <row r="28" spans="1:9">
      <c r="A28" s="726"/>
      <c r="B28" s="659" t="s">
        <v>3836</v>
      </c>
      <c r="C28" s="656">
        <v>1</v>
      </c>
      <c r="D28" s="656">
        <v>1</v>
      </c>
      <c r="E28" s="657"/>
      <c r="F28" s="657"/>
      <c r="G28" s="657"/>
      <c r="H28" s="660">
        <f>D28*C28</f>
        <v>1</v>
      </c>
      <c r="I28" s="729"/>
    </row>
    <row r="29" spans="1:9">
      <c r="A29" s="726"/>
      <c r="B29" s="659" t="s">
        <v>3829</v>
      </c>
      <c r="C29" s="656">
        <v>1</v>
      </c>
      <c r="D29" s="656">
        <v>1</v>
      </c>
      <c r="E29" s="657">
        <v>3</v>
      </c>
      <c r="F29" s="657"/>
      <c r="G29" s="657"/>
      <c r="H29" s="660">
        <f t="shared" ref="H29:H37" si="0">E29*D29*C29</f>
        <v>3</v>
      </c>
      <c r="I29" s="729"/>
    </row>
    <row r="30" spans="1:9">
      <c r="A30" s="726"/>
      <c r="B30" s="659" t="s">
        <v>3828</v>
      </c>
      <c r="C30" s="656">
        <v>1</v>
      </c>
      <c r="D30" s="656">
        <v>5</v>
      </c>
      <c r="E30" s="657"/>
      <c r="F30" s="657"/>
      <c r="G30" s="657"/>
      <c r="H30" s="660">
        <f>D30*C30</f>
        <v>5</v>
      </c>
      <c r="I30" s="729"/>
    </row>
    <row r="31" spans="1:9">
      <c r="A31" s="726"/>
      <c r="B31" s="659" t="s">
        <v>3831</v>
      </c>
      <c r="C31" s="656">
        <v>1</v>
      </c>
      <c r="D31" s="656">
        <v>2</v>
      </c>
      <c r="E31" s="657"/>
      <c r="F31" s="657"/>
      <c r="G31" s="657"/>
      <c r="H31" s="660">
        <f>D31*C31</f>
        <v>2</v>
      </c>
      <c r="I31" s="729"/>
    </row>
    <row r="32" spans="1:9">
      <c r="A32" s="726"/>
      <c r="B32" s="659" t="s">
        <v>3830</v>
      </c>
      <c r="C32" s="656">
        <v>1</v>
      </c>
      <c r="D32" s="656">
        <v>2</v>
      </c>
      <c r="E32" s="657"/>
      <c r="F32" s="657"/>
      <c r="G32" s="657"/>
      <c r="H32" s="660">
        <f>D32*C32</f>
        <v>2</v>
      </c>
      <c r="I32" s="729"/>
    </row>
    <row r="33" spans="1:9">
      <c r="A33" s="726"/>
      <c r="B33" s="659" t="s">
        <v>3832</v>
      </c>
      <c r="C33" s="656">
        <v>1</v>
      </c>
      <c r="D33" s="656">
        <v>2</v>
      </c>
      <c r="E33" s="657"/>
      <c r="F33" s="657"/>
      <c r="G33" s="657"/>
      <c r="H33" s="660">
        <f>D33*C33</f>
        <v>2</v>
      </c>
      <c r="I33" s="729"/>
    </row>
    <row r="34" spans="1:9">
      <c r="A34" s="726"/>
      <c r="B34" s="659" t="s">
        <v>3833</v>
      </c>
      <c r="C34" s="656">
        <v>1</v>
      </c>
      <c r="D34" s="656">
        <v>1</v>
      </c>
      <c r="E34" s="657">
        <v>40</v>
      </c>
      <c r="F34" s="657"/>
      <c r="G34" s="657"/>
      <c r="H34" s="660">
        <f t="shared" si="0"/>
        <v>40</v>
      </c>
      <c r="I34" s="729"/>
    </row>
    <row r="35" spans="1:9">
      <c r="A35" s="726"/>
      <c r="B35" s="659" t="s">
        <v>3834</v>
      </c>
      <c r="C35" s="656">
        <v>1</v>
      </c>
      <c r="D35" s="656">
        <v>1</v>
      </c>
      <c r="E35" s="657">
        <v>40</v>
      </c>
      <c r="F35" s="657"/>
      <c r="G35" s="657"/>
      <c r="H35" s="660">
        <f t="shared" si="0"/>
        <v>40</v>
      </c>
      <c r="I35" s="729"/>
    </row>
    <row r="36" spans="1:9" ht="19.5" customHeight="1">
      <c r="A36" s="730"/>
      <c r="B36" s="659" t="s">
        <v>3835</v>
      </c>
      <c r="C36" s="656">
        <v>1</v>
      </c>
      <c r="D36" s="656">
        <v>2</v>
      </c>
      <c r="E36" s="657"/>
      <c r="F36" s="657"/>
      <c r="G36" s="657"/>
      <c r="H36" s="660">
        <f>D36*C36</f>
        <v>2</v>
      </c>
      <c r="I36" s="729"/>
    </row>
    <row r="37" spans="1:9">
      <c r="A37" s="726"/>
      <c r="B37" s="659" t="s">
        <v>3883</v>
      </c>
      <c r="C37" s="656">
        <v>1</v>
      </c>
      <c r="D37" s="656">
        <v>1</v>
      </c>
      <c r="E37" s="657">
        <v>196</v>
      </c>
      <c r="F37" s="657"/>
      <c r="G37" s="657"/>
      <c r="H37" s="660">
        <f t="shared" si="0"/>
        <v>196</v>
      </c>
      <c r="I37" s="729"/>
    </row>
    <row r="38" spans="1:9">
      <c r="A38" s="726"/>
      <c r="B38" s="659"/>
      <c r="C38" s="656"/>
      <c r="D38" s="656"/>
      <c r="E38" s="657"/>
      <c r="F38" s="657"/>
      <c r="G38" s="657"/>
      <c r="H38" s="658"/>
      <c r="I38" s="729"/>
    </row>
    <row r="39" spans="1:9">
      <c r="A39" s="726"/>
      <c r="B39" s="731"/>
      <c r="C39" s="732"/>
      <c r="D39" s="733"/>
      <c r="E39" s="734"/>
      <c r="F39" s="734"/>
      <c r="G39" s="734"/>
      <c r="H39" s="658"/>
      <c r="I39" s="729"/>
    </row>
  </sheetData>
  <mergeCells count="8">
    <mergeCell ref="B7:E7"/>
    <mergeCell ref="B14:E14"/>
    <mergeCell ref="A2:H3"/>
    <mergeCell ref="A5:A6"/>
    <mergeCell ref="B5:B6"/>
    <mergeCell ref="C5:D6"/>
    <mergeCell ref="E5:G5"/>
    <mergeCell ref="H5:H6"/>
  </mergeCells>
  <pageMargins left="0.7" right="0.7" top="0.75" bottom="0.75" header="0.3" footer="0.3"/>
  <pageSetup scale="76" orientation="portrait" r:id="rId1"/>
  <ignoredErrors>
    <ignoredError sqref="H28:H29" formula="1"/>
  </ignoredErrors>
</worksheet>
</file>

<file path=xl/worksheets/sheet12.xml><?xml version="1.0" encoding="utf-8"?>
<worksheet xmlns="http://schemas.openxmlformats.org/spreadsheetml/2006/main" xmlns:r="http://schemas.openxmlformats.org/officeDocument/2006/relationships">
  <dimension ref="A1:F111"/>
  <sheetViews>
    <sheetView view="pageBreakPreview" topLeftCell="A19" zoomScale="115" zoomScaleSheetLayoutView="115" workbookViewId="0">
      <selection activeCell="F33" sqref="F33"/>
    </sheetView>
  </sheetViews>
  <sheetFormatPr defaultRowHeight="15.75"/>
  <cols>
    <col min="1" max="1" width="6.88671875" customWidth="1"/>
    <col min="2" max="2" width="10.77734375" style="4" customWidth="1"/>
    <col min="3" max="3" width="20.5546875" customWidth="1"/>
    <col min="4" max="4" width="9.109375" bestFit="1" customWidth="1"/>
    <col min="6" max="6" width="15.77734375" customWidth="1"/>
  </cols>
  <sheetData>
    <row r="1" spans="1:6" ht="16.5">
      <c r="A1" s="676"/>
      <c r="B1" s="1246"/>
      <c r="C1" s="1246"/>
      <c r="D1" s="1246"/>
      <c r="E1" s="1246"/>
      <c r="F1" s="1246"/>
    </row>
    <row r="2" spans="1:6" ht="16.5">
      <c r="A2" s="676"/>
      <c r="B2" s="1246"/>
      <c r="C2" s="1246"/>
      <c r="D2" s="1246"/>
      <c r="E2" s="1246"/>
      <c r="F2" s="1246"/>
    </row>
    <row r="3" spans="1:6" ht="19.5">
      <c r="A3" s="678"/>
      <c r="B3" s="678"/>
      <c r="C3" s="1247" t="s">
        <v>3761</v>
      </c>
      <c r="D3" s="1248"/>
      <c r="E3" s="1248"/>
      <c r="F3" s="678"/>
    </row>
    <row r="4" spans="1:6" ht="19.5">
      <c r="A4" s="680" t="s">
        <v>3747</v>
      </c>
      <c r="B4" s="680" t="s">
        <v>3762</v>
      </c>
      <c r="C4" s="680" t="s">
        <v>3763</v>
      </c>
      <c r="D4" s="681" t="s">
        <v>100</v>
      </c>
      <c r="E4" s="681" t="s">
        <v>3764</v>
      </c>
      <c r="F4" s="682" t="s">
        <v>994</v>
      </c>
    </row>
    <row r="5" spans="1:6" ht="28.5" customHeight="1">
      <c r="A5" s="737">
        <v>1</v>
      </c>
      <c r="B5" s="737"/>
      <c r="C5" s="738" t="s">
        <v>3813</v>
      </c>
      <c r="D5" s="687"/>
      <c r="E5" s="687"/>
      <c r="F5" s="687"/>
    </row>
    <row r="6" spans="1:6" ht="20.25">
      <c r="A6" s="737"/>
      <c r="B6" s="739">
        <f>'EW D'!H8</f>
        <v>100</v>
      </c>
      <c r="C6" s="659" t="s">
        <v>3814</v>
      </c>
      <c r="D6" s="714">
        <v>265</v>
      </c>
      <c r="E6" s="740" t="s">
        <v>3646</v>
      </c>
      <c r="F6" s="686">
        <f>B6*D6</f>
        <v>26500</v>
      </c>
    </row>
    <row r="7" spans="1:6" ht="20.25">
      <c r="A7" s="737"/>
      <c r="B7" s="739">
        <f>'EW D'!H9</f>
        <v>100</v>
      </c>
      <c r="C7" s="659" t="s">
        <v>3815</v>
      </c>
      <c r="D7" s="714">
        <v>275</v>
      </c>
      <c r="E7" s="740" t="s">
        <v>3646</v>
      </c>
      <c r="F7" s="686">
        <f t="shared" ref="F7:F31" si="0">B7*D7</f>
        <v>27500</v>
      </c>
    </row>
    <row r="8" spans="1:6" ht="20.25">
      <c r="A8" s="737"/>
      <c r="B8" s="737"/>
      <c r="C8" s="738"/>
      <c r="D8" s="714"/>
      <c r="E8" s="740"/>
      <c r="F8" s="686"/>
    </row>
    <row r="9" spans="1:6" ht="33">
      <c r="A9" s="737">
        <v>2</v>
      </c>
      <c r="B9" s="737"/>
      <c r="C9" s="738" t="s">
        <v>3816</v>
      </c>
      <c r="D9" s="714"/>
      <c r="E9" s="740"/>
      <c r="F9" s="686"/>
    </row>
    <row r="10" spans="1:6" ht="20.25">
      <c r="A10" s="737"/>
      <c r="B10" s="739">
        <f>'EW D'!H12</f>
        <v>12</v>
      </c>
      <c r="C10" s="738"/>
      <c r="D10" s="714">
        <v>410</v>
      </c>
      <c r="E10" s="740" t="s">
        <v>3646</v>
      </c>
      <c r="F10" s="686">
        <f t="shared" si="0"/>
        <v>4920</v>
      </c>
    </row>
    <row r="11" spans="1:6" ht="20.25">
      <c r="A11" s="737"/>
      <c r="B11" s="737"/>
      <c r="C11" s="738"/>
      <c r="D11" s="714"/>
      <c r="E11" s="740"/>
      <c r="F11" s="686"/>
    </row>
    <row r="12" spans="1:6" ht="99">
      <c r="A12" s="737">
        <v>3</v>
      </c>
      <c r="B12" s="741">
        <v>1</v>
      </c>
      <c r="C12" s="738" t="s">
        <v>3838</v>
      </c>
      <c r="D12" s="714">
        <v>30000</v>
      </c>
      <c r="E12" s="742" t="s">
        <v>1794</v>
      </c>
      <c r="F12" s="686">
        <f t="shared" si="0"/>
        <v>30000</v>
      </c>
    </row>
    <row r="13" spans="1:6" ht="20.25">
      <c r="A13" s="737"/>
      <c r="B13" s="737"/>
      <c r="C13" s="738"/>
      <c r="D13" s="714"/>
      <c r="E13" s="740"/>
      <c r="F13" s="686"/>
    </row>
    <row r="14" spans="1:6" ht="66">
      <c r="A14" s="737">
        <v>4</v>
      </c>
      <c r="B14" s="737">
        <v>1</v>
      </c>
      <c r="C14" s="738" t="s">
        <v>3822</v>
      </c>
      <c r="D14" s="714">
        <v>5000</v>
      </c>
      <c r="E14" s="742" t="s">
        <v>1794</v>
      </c>
      <c r="F14" s="686">
        <f t="shared" si="0"/>
        <v>5000</v>
      </c>
    </row>
    <row r="15" spans="1:6" ht="21">
      <c r="A15" s="737"/>
      <c r="B15" s="737"/>
      <c r="C15" s="695"/>
      <c r="D15" s="714"/>
      <c r="E15" s="740"/>
      <c r="F15" s="686"/>
    </row>
    <row r="16" spans="1:6" ht="21">
      <c r="A16" s="737"/>
      <c r="B16" s="737"/>
      <c r="C16" s="695"/>
      <c r="D16" s="714"/>
      <c r="E16" s="740"/>
      <c r="F16" s="686"/>
    </row>
    <row r="17" spans="1:6" ht="66">
      <c r="A17" s="737">
        <v>5</v>
      </c>
      <c r="B17" s="739">
        <f>'EW D'!H24</f>
        <v>240</v>
      </c>
      <c r="C17" s="738" t="s">
        <v>3823</v>
      </c>
      <c r="D17" s="743">
        <v>80</v>
      </c>
      <c r="E17" s="740"/>
      <c r="F17" s="686">
        <f t="shared" si="0"/>
        <v>19200</v>
      </c>
    </row>
    <row r="18" spans="1:6" ht="20.25">
      <c r="A18" s="680"/>
      <c r="B18" s="713"/>
      <c r="C18" s="697"/>
      <c r="D18" s="714"/>
      <c r="E18" s="740"/>
      <c r="F18" s="686"/>
    </row>
    <row r="19" spans="1:6" ht="21">
      <c r="A19" s="680"/>
      <c r="B19" s="713"/>
      <c r="C19" s="691"/>
      <c r="D19" s="714"/>
      <c r="E19" s="740"/>
      <c r="F19" s="686"/>
    </row>
    <row r="20" spans="1:6" ht="66">
      <c r="A20" s="680">
        <v>6</v>
      </c>
      <c r="B20" s="713"/>
      <c r="C20" s="738" t="s">
        <v>3826</v>
      </c>
      <c r="D20" s="699"/>
      <c r="E20" s="740" t="s">
        <v>3646</v>
      </c>
      <c r="F20" s="686"/>
    </row>
    <row r="21" spans="1:6" ht="20.25">
      <c r="A21" s="680"/>
      <c r="B21" s="658">
        <f>'EW D'!H27</f>
        <v>1</v>
      </c>
      <c r="C21" s="738" t="s">
        <v>3827</v>
      </c>
      <c r="D21" s="743">
        <v>180</v>
      </c>
      <c r="E21" s="740" t="s">
        <v>2932</v>
      </c>
      <c r="F21" s="686">
        <f t="shared" si="0"/>
        <v>180</v>
      </c>
    </row>
    <row r="22" spans="1:6" ht="20.25">
      <c r="A22" s="680"/>
      <c r="B22" s="658">
        <f>'EW D'!H28</f>
        <v>1</v>
      </c>
      <c r="C22" s="738" t="s">
        <v>3836</v>
      </c>
      <c r="D22" s="743">
        <v>400</v>
      </c>
      <c r="E22" s="740" t="s">
        <v>2932</v>
      </c>
      <c r="F22" s="686">
        <f t="shared" si="0"/>
        <v>400</v>
      </c>
    </row>
    <row r="23" spans="1:6" ht="20.25">
      <c r="A23" s="680"/>
      <c r="B23" s="658">
        <f>'EW D'!H29</f>
        <v>3</v>
      </c>
      <c r="C23" s="738" t="s">
        <v>3829</v>
      </c>
      <c r="D23" s="743">
        <v>157.6</v>
      </c>
      <c r="E23" s="740" t="s">
        <v>2932</v>
      </c>
      <c r="F23" s="686">
        <f t="shared" si="0"/>
        <v>472.8</v>
      </c>
    </row>
    <row r="24" spans="1:6" ht="20.25">
      <c r="A24" s="680"/>
      <c r="B24" s="658">
        <f>'EW D'!H30</f>
        <v>5</v>
      </c>
      <c r="C24" s="738" t="s">
        <v>3828</v>
      </c>
      <c r="D24" s="714">
        <v>72.75</v>
      </c>
      <c r="E24" s="740" t="s">
        <v>2932</v>
      </c>
      <c r="F24" s="686">
        <f t="shared" si="0"/>
        <v>363.75</v>
      </c>
    </row>
    <row r="25" spans="1:6" ht="20.25">
      <c r="A25" s="680"/>
      <c r="B25" s="658">
        <f>'EW D'!H31</f>
        <v>2</v>
      </c>
      <c r="C25" s="738" t="s">
        <v>3831</v>
      </c>
      <c r="D25" s="743">
        <v>19</v>
      </c>
      <c r="E25" s="740" t="s">
        <v>2932</v>
      </c>
      <c r="F25" s="686">
        <f t="shared" si="0"/>
        <v>38</v>
      </c>
    </row>
    <row r="26" spans="1:6" ht="20.25">
      <c r="A26" s="680"/>
      <c r="B26" s="658">
        <f>'EW D'!H32</f>
        <v>2</v>
      </c>
      <c r="C26" s="738" t="s">
        <v>3830</v>
      </c>
      <c r="D26" s="743">
        <v>22.4</v>
      </c>
      <c r="E26" s="740" t="s">
        <v>2932</v>
      </c>
      <c r="F26" s="686">
        <f t="shared" si="0"/>
        <v>44.8</v>
      </c>
    </row>
    <row r="27" spans="1:6" ht="20.25">
      <c r="A27" s="680"/>
      <c r="B27" s="658">
        <f>'EW D'!H33</f>
        <v>2</v>
      </c>
      <c r="C27" s="738" t="s">
        <v>3882</v>
      </c>
      <c r="D27" s="743">
        <v>49</v>
      </c>
      <c r="E27" s="740" t="s">
        <v>2932</v>
      </c>
      <c r="F27" s="686">
        <f t="shared" si="0"/>
        <v>98</v>
      </c>
    </row>
    <row r="28" spans="1:6" ht="20.25">
      <c r="A28" s="680"/>
      <c r="B28" s="658">
        <f>'EW D'!H34</f>
        <v>40</v>
      </c>
      <c r="C28" s="738" t="s">
        <v>3833</v>
      </c>
      <c r="D28" s="743">
        <v>84.8</v>
      </c>
      <c r="E28" s="740" t="s">
        <v>3646</v>
      </c>
      <c r="F28" s="686">
        <f t="shared" si="0"/>
        <v>3392</v>
      </c>
    </row>
    <row r="29" spans="1:6" ht="33">
      <c r="A29" s="680"/>
      <c r="B29" s="658">
        <f>'EW D'!H35</f>
        <v>40</v>
      </c>
      <c r="C29" s="738" t="s">
        <v>3834</v>
      </c>
      <c r="D29" s="743">
        <v>21.3</v>
      </c>
      <c r="E29" s="740" t="s">
        <v>3646</v>
      </c>
      <c r="F29" s="686">
        <f t="shared" si="0"/>
        <v>852</v>
      </c>
    </row>
    <row r="30" spans="1:6" ht="20.25">
      <c r="A30" s="680"/>
      <c r="B30" s="658">
        <f>'EW D'!H36</f>
        <v>2</v>
      </c>
      <c r="C30" s="738" t="s">
        <v>3835</v>
      </c>
      <c r="D30" s="714">
        <v>19.350000000000001</v>
      </c>
      <c r="E30" s="740" t="s">
        <v>2932</v>
      </c>
      <c r="F30" s="686">
        <f t="shared" si="0"/>
        <v>38.700000000000003</v>
      </c>
    </row>
    <row r="31" spans="1:6" ht="20.25">
      <c r="A31" s="680"/>
      <c r="B31" s="658">
        <f>'EW D'!H37</f>
        <v>196</v>
      </c>
      <c r="C31" s="659" t="s">
        <v>3883</v>
      </c>
      <c r="D31" s="743">
        <v>150</v>
      </c>
      <c r="E31" s="740" t="s">
        <v>3646</v>
      </c>
      <c r="F31" s="686">
        <f t="shared" si="0"/>
        <v>29400</v>
      </c>
    </row>
    <row r="32" spans="1:6" ht="20.25">
      <c r="A32" s="680"/>
      <c r="B32" s="713"/>
      <c r="C32" s="697"/>
      <c r="D32" s="681"/>
      <c r="E32" s="740"/>
      <c r="F32" s="744">
        <f>SUM(F6:F31)-0.05</f>
        <v>148400</v>
      </c>
    </row>
    <row r="33" spans="1:6" ht="19.5">
      <c r="A33" s="745"/>
      <c r="B33" s="746"/>
      <c r="C33" s="745"/>
      <c r="D33" s="745"/>
      <c r="E33" s="745"/>
      <c r="F33" s="745"/>
    </row>
    <row r="34" spans="1:6" ht="19.5">
      <c r="A34" s="745"/>
      <c r="B34" s="746"/>
      <c r="C34" s="745"/>
      <c r="D34" s="745"/>
      <c r="E34" s="745"/>
      <c r="F34" s="745"/>
    </row>
    <row r="35" spans="1:6" ht="19.5">
      <c r="A35" s="745"/>
      <c r="B35" s="746"/>
      <c r="C35" s="745"/>
      <c r="D35" s="745"/>
      <c r="E35" s="745"/>
      <c r="F35" s="745"/>
    </row>
    <row r="36" spans="1:6" ht="19.5">
      <c r="A36" s="745"/>
      <c r="B36" s="746"/>
      <c r="C36" s="745"/>
      <c r="D36" s="745"/>
      <c r="E36" s="745"/>
      <c r="F36" s="745"/>
    </row>
    <row r="37" spans="1:6" ht="19.5">
      <c r="A37" s="745"/>
      <c r="B37" s="746"/>
      <c r="C37" s="745"/>
      <c r="D37" s="745"/>
      <c r="E37" s="745"/>
      <c r="F37" s="745"/>
    </row>
    <row r="38" spans="1:6" ht="19.5">
      <c r="A38" s="745"/>
      <c r="B38" s="746"/>
      <c r="C38" s="745"/>
      <c r="D38" s="745"/>
      <c r="E38" s="745"/>
      <c r="F38" s="745"/>
    </row>
    <row r="39" spans="1:6" ht="19.5">
      <c r="A39" s="745"/>
      <c r="B39" s="746"/>
      <c r="C39" s="745"/>
      <c r="D39" s="745"/>
      <c r="E39" s="745"/>
      <c r="F39" s="745"/>
    </row>
    <row r="40" spans="1:6" ht="19.5">
      <c r="A40" s="745"/>
      <c r="B40" s="746"/>
      <c r="C40" s="745"/>
      <c r="D40" s="745"/>
      <c r="E40" s="745"/>
      <c r="F40" s="745"/>
    </row>
    <row r="41" spans="1:6" ht="19.5">
      <c r="A41" s="745"/>
      <c r="B41" s="746"/>
      <c r="C41" s="745"/>
      <c r="D41" s="745"/>
      <c r="E41" s="745"/>
      <c r="F41" s="745"/>
    </row>
    <row r="42" spans="1:6" ht="19.5">
      <c r="A42" s="745"/>
      <c r="B42" s="746"/>
      <c r="C42" s="745"/>
      <c r="D42" s="745"/>
      <c r="E42" s="745"/>
      <c r="F42" s="745"/>
    </row>
    <row r="43" spans="1:6" ht="19.5">
      <c r="A43" s="745"/>
      <c r="B43" s="746"/>
      <c r="C43" s="745"/>
      <c r="D43" s="745"/>
      <c r="E43" s="745"/>
      <c r="F43" s="745"/>
    </row>
    <row r="44" spans="1:6" ht="19.5">
      <c r="A44" s="745"/>
      <c r="B44" s="746"/>
      <c r="C44" s="745"/>
      <c r="D44" s="745"/>
      <c r="E44" s="745"/>
      <c r="F44" s="745"/>
    </row>
    <row r="45" spans="1:6" ht="19.5">
      <c r="A45" s="745"/>
      <c r="B45" s="746"/>
      <c r="C45" s="745"/>
      <c r="D45" s="745"/>
      <c r="E45" s="745"/>
      <c r="F45" s="745"/>
    </row>
    <row r="46" spans="1:6" ht="19.5">
      <c r="A46" s="745"/>
      <c r="B46" s="746"/>
      <c r="C46" s="745"/>
      <c r="D46" s="745"/>
      <c r="E46" s="745"/>
      <c r="F46" s="745"/>
    </row>
    <row r="47" spans="1:6" ht="19.5">
      <c r="A47" s="745"/>
      <c r="B47" s="746"/>
      <c r="C47" s="745"/>
      <c r="D47" s="745"/>
      <c r="E47" s="745"/>
      <c r="F47" s="745"/>
    </row>
    <row r="48" spans="1:6" ht="19.5">
      <c r="A48" s="745"/>
      <c r="B48" s="746"/>
      <c r="C48" s="745"/>
      <c r="D48" s="745"/>
      <c r="E48" s="745"/>
      <c r="F48" s="745"/>
    </row>
    <row r="49" spans="1:6" ht="19.5">
      <c r="A49" s="745"/>
      <c r="B49" s="746"/>
      <c r="C49" s="745"/>
      <c r="D49" s="745"/>
      <c r="E49" s="745"/>
      <c r="F49" s="745"/>
    </row>
    <row r="50" spans="1:6" ht="19.5">
      <c r="A50" s="745"/>
      <c r="B50" s="746"/>
      <c r="C50" s="745"/>
      <c r="D50" s="745"/>
      <c r="E50" s="745"/>
      <c r="F50" s="745"/>
    </row>
    <row r="51" spans="1:6" ht="19.5">
      <c r="A51" s="745"/>
      <c r="B51" s="746"/>
      <c r="C51" s="745"/>
      <c r="D51" s="745"/>
      <c r="E51" s="745"/>
      <c r="F51" s="745"/>
    </row>
    <row r="52" spans="1:6" ht="19.5">
      <c r="A52" s="745"/>
      <c r="B52" s="746"/>
      <c r="C52" s="745"/>
      <c r="D52" s="745"/>
      <c r="E52" s="745"/>
      <c r="F52" s="745"/>
    </row>
    <row r="53" spans="1:6" ht="19.5">
      <c r="A53" s="745"/>
      <c r="B53" s="746"/>
      <c r="C53" s="745"/>
      <c r="D53" s="745"/>
      <c r="E53" s="745"/>
      <c r="F53" s="745"/>
    </row>
    <row r="54" spans="1:6" ht="19.5">
      <c r="A54" s="745"/>
      <c r="B54" s="746"/>
      <c r="C54" s="745"/>
      <c r="D54" s="745"/>
      <c r="E54" s="745"/>
      <c r="F54" s="745"/>
    </row>
    <row r="55" spans="1:6" ht="19.5">
      <c r="A55" s="745"/>
      <c r="B55" s="746"/>
      <c r="C55" s="745"/>
      <c r="D55" s="745"/>
      <c r="E55" s="745"/>
      <c r="F55" s="745"/>
    </row>
    <row r="56" spans="1:6" ht="19.5">
      <c r="A56" s="745"/>
      <c r="B56" s="746"/>
      <c r="C56" s="745"/>
      <c r="D56" s="745"/>
      <c r="E56" s="745"/>
      <c r="F56" s="745"/>
    </row>
    <row r="57" spans="1:6" ht="19.5">
      <c r="A57" s="745"/>
      <c r="B57" s="746"/>
      <c r="C57" s="745"/>
      <c r="D57" s="745"/>
      <c r="E57" s="745"/>
      <c r="F57" s="745"/>
    </row>
    <row r="58" spans="1:6" ht="19.5">
      <c r="A58" s="745"/>
      <c r="B58" s="746"/>
      <c r="C58" s="745"/>
      <c r="D58" s="745"/>
      <c r="E58" s="745"/>
      <c r="F58" s="745"/>
    </row>
    <row r="59" spans="1:6" ht="19.5">
      <c r="A59" s="745"/>
      <c r="B59" s="746"/>
      <c r="C59" s="745"/>
      <c r="D59" s="745"/>
      <c r="E59" s="745"/>
      <c r="F59" s="745"/>
    </row>
    <row r="60" spans="1:6" ht="19.5">
      <c r="A60" s="745"/>
      <c r="B60" s="746"/>
      <c r="C60" s="745"/>
      <c r="D60" s="745"/>
      <c r="E60" s="745"/>
      <c r="F60" s="745"/>
    </row>
    <row r="61" spans="1:6" ht="19.5">
      <c r="A61" s="745"/>
      <c r="B61" s="746"/>
      <c r="C61" s="745"/>
      <c r="D61" s="745"/>
      <c r="E61" s="745"/>
      <c r="F61" s="745"/>
    </row>
    <row r="62" spans="1:6" ht="19.5">
      <c r="A62" s="745"/>
      <c r="B62" s="746"/>
      <c r="C62" s="745"/>
      <c r="D62" s="745"/>
      <c r="E62" s="745"/>
      <c r="F62" s="745"/>
    </row>
    <row r="63" spans="1:6" ht="19.5">
      <c r="A63" s="745"/>
      <c r="B63" s="746"/>
      <c r="C63" s="745"/>
      <c r="D63" s="745"/>
      <c r="E63" s="745"/>
      <c r="F63" s="745"/>
    </row>
    <row r="64" spans="1:6" ht="19.5">
      <c r="A64" s="745"/>
      <c r="B64" s="746"/>
      <c r="C64" s="745"/>
      <c r="D64" s="745"/>
      <c r="E64" s="745"/>
      <c r="F64" s="745"/>
    </row>
    <row r="65" spans="1:6" ht="19.5">
      <c r="A65" s="745"/>
      <c r="B65" s="746"/>
      <c r="C65" s="745"/>
      <c r="D65" s="745"/>
      <c r="E65" s="745"/>
      <c r="F65" s="745"/>
    </row>
    <row r="66" spans="1:6" ht="19.5">
      <c r="A66" s="745"/>
      <c r="B66" s="746"/>
      <c r="C66" s="745"/>
      <c r="D66" s="745"/>
      <c r="E66" s="745"/>
      <c r="F66" s="745"/>
    </row>
    <row r="67" spans="1:6" ht="19.5">
      <c r="A67" s="745"/>
      <c r="B67" s="746"/>
      <c r="C67" s="745"/>
      <c r="D67" s="745"/>
      <c r="E67" s="745"/>
      <c r="F67" s="745"/>
    </row>
    <row r="68" spans="1:6" ht="19.5">
      <c r="A68" s="745"/>
      <c r="B68" s="746"/>
      <c r="C68" s="745"/>
      <c r="D68" s="745"/>
      <c r="E68" s="745"/>
      <c r="F68" s="745"/>
    </row>
    <row r="69" spans="1:6" ht="19.5">
      <c r="A69" s="745"/>
      <c r="B69" s="746"/>
      <c r="C69" s="745"/>
      <c r="D69" s="745"/>
      <c r="E69" s="745"/>
      <c r="F69" s="745"/>
    </row>
    <row r="70" spans="1:6" ht="19.5">
      <c r="A70" s="745"/>
      <c r="B70" s="746"/>
      <c r="C70" s="745"/>
      <c r="D70" s="745"/>
      <c r="E70" s="745"/>
      <c r="F70" s="745"/>
    </row>
    <row r="71" spans="1:6" ht="19.5">
      <c r="A71" s="745"/>
      <c r="B71" s="746"/>
      <c r="C71" s="745"/>
      <c r="D71" s="745"/>
      <c r="E71" s="745"/>
      <c r="F71" s="745"/>
    </row>
    <row r="72" spans="1:6" ht="19.5">
      <c r="A72" s="745"/>
      <c r="B72" s="746"/>
      <c r="C72" s="745"/>
      <c r="D72" s="745"/>
      <c r="E72" s="745"/>
      <c r="F72" s="745"/>
    </row>
    <row r="73" spans="1:6" ht="19.5">
      <c r="A73" s="745"/>
      <c r="B73" s="746"/>
      <c r="C73" s="745"/>
      <c r="D73" s="745"/>
      <c r="E73" s="745"/>
      <c r="F73" s="745"/>
    </row>
    <row r="74" spans="1:6" ht="19.5">
      <c r="A74" s="745"/>
      <c r="B74" s="746"/>
      <c r="C74" s="745"/>
      <c r="D74" s="745"/>
      <c r="E74" s="745"/>
      <c r="F74" s="745"/>
    </row>
    <row r="75" spans="1:6" ht="19.5">
      <c r="A75" s="745"/>
      <c r="B75" s="746"/>
      <c r="C75" s="745"/>
      <c r="D75" s="745"/>
      <c r="E75" s="745"/>
      <c r="F75" s="745"/>
    </row>
    <row r="76" spans="1:6" ht="19.5">
      <c r="A76" s="745"/>
      <c r="B76" s="746"/>
      <c r="C76" s="745"/>
      <c r="D76" s="745"/>
      <c r="E76" s="745"/>
      <c r="F76" s="745"/>
    </row>
    <row r="77" spans="1:6" ht="19.5">
      <c r="A77" s="745"/>
      <c r="B77" s="746"/>
      <c r="C77" s="745"/>
      <c r="D77" s="745"/>
      <c r="E77" s="745"/>
      <c r="F77" s="745"/>
    </row>
    <row r="78" spans="1:6" ht="19.5">
      <c r="A78" s="745"/>
      <c r="B78" s="746"/>
      <c r="C78" s="745"/>
      <c r="D78" s="745"/>
      <c r="E78" s="745"/>
      <c r="F78" s="745"/>
    </row>
    <row r="79" spans="1:6" ht="19.5">
      <c r="A79" s="745"/>
      <c r="B79" s="746"/>
      <c r="C79" s="745"/>
      <c r="D79" s="745"/>
      <c r="E79" s="745"/>
      <c r="F79" s="745"/>
    </row>
    <row r="80" spans="1:6" ht="19.5">
      <c r="A80" s="745"/>
      <c r="B80" s="746"/>
      <c r="C80" s="745"/>
      <c r="D80" s="745"/>
      <c r="E80" s="745"/>
      <c r="F80" s="745"/>
    </row>
    <row r="81" spans="1:6" ht="19.5">
      <c r="A81" s="745"/>
      <c r="B81" s="746"/>
      <c r="C81" s="745"/>
      <c r="D81" s="745"/>
      <c r="E81" s="745"/>
      <c r="F81" s="745"/>
    </row>
    <row r="82" spans="1:6" ht="19.5">
      <c r="A82" s="745"/>
      <c r="B82" s="746"/>
      <c r="C82" s="745"/>
      <c r="D82" s="745"/>
      <c r="E82" s="745"/>
      <c r="F82" s="745"/>
    </row>
    <row r="83" spans="1:6" ht="19.5">
      <c r="A83" s="745"/>
      <c r="B83" s="746"/>
      <c r="C83" s="745"/>
      <c r="D83" s="745"/>
      <c r="E83" s="745"/>
      <c r="F83" s="745"/>
    </row>
    <row r="84" spans="1:6" ht="19.5">
      <c r="A84" s="745"/>
      <c r="B84" s="746"/>
      <c r="C84" s="745"/>
      <c r="D84" s="745"/>
      <c r="E84" s="745"/>
      <c r="F84" s="745"/>
    </row>
    <row r="85" spans="1:6" ht="19.5">
      <c r="A85" s="745"/>
      <c r="B85" s="746"/>
      <c r="C85" s="745"/>
      <c r="D85" s="745"/>
      <c r="E85" s="745"/>
      <c r="F85" s="745"/>
    </row>
    <row r="86" spans="1:6" ht="19.5">
      <c r="A86" s="745"/>
      <c r="B86" s="746"/>
      <c r="C86" s="745"/>
      <c r="D86" s="745"/>
      <c r="E86" s="745"/>
      <c r="F86" s="745"/>
    </row>
    <row r="87" spans="1:6" ht="19.5">
      <c r="A87" s="745"/>
      <c r="B87" s="746"/>
      <c r="C87" s="745"/>
      <c r="D87" s="745"/>
      <c r="E87" s="745"/>
      <c r="F87" s="745"/>
    </row>
    <row r="88" spans="1:6" ht="19.5">
      <c r="A88" s="745"/>
      <c r="B88" s="746"/>
      <c r="C88" s="745"/>
      <c r="D88" s="745"/>
      <c r="E88" s="745"/>
      <c r="F88" s="745"/>
    </row>
    <row r="89" spans="1:6" ht="19.5">
      <c r="A89" s="745"/>
      <c r="B89" s="746"/>
      <c r="C89" s="745"/>
      <c r="D89" s="745"/>
      <c r="E89" s="745"/>
      <c r="F89" s="745"/>
    </row>
    <row r="90" spans="1:6" ht="19.5">
      <c r="A90" s="745"/>
      <c r="B90" s="746"/>
      <c r="C90" s="745"/>
      <c r="D90" s="745"/>
      <c r="E90" s="745"/>
      <c r="F90" s="745"/>
    </row>
    <row r="91" spans="1:6" ht="19.5">
      <c r="A91" s="745"/>
      <c r="B91" s="746"/>
      <c r="C91" s="745"/>
      <c r="D91" s="745"/>
      <c r="E91" s="745"/>
      <c r="F91" s="745"/>
    </row>
    <row r="92" spans="1:6" ht="19.5">
      <c r="A92" s="745"/>
      <c r="B92" s="746"/>
      <c r="C92" s="745"/>
      <c r="D92" s="745"/>
      <c r="E92" s="745"/>
      <c r="F92" s="745"/>
    </row>
    <row r="93" spans="1:6" ht="19.5">
      <c r="A93" s="745"/>
      <c r="B93" s="746"/>
      <c r="C93" s="745"/>
      <c r="D93" s="745"/>
      <c r="E93" s="745"/>
      <c r="F93" s="745"/>
    </row>
    <row r="94" spans="1:6" ht="19.5">
      <c r="A94" s="745"/>
      <c r="B94" s="746"/>
      <c r="C94" s="745"/>
      <c r="D94" s="745"/>
      <c r="E94" s="745"/>
      <c r="F94" s="745"/>
    </row>
    <row r="95" spans="1:6" ht="19.5">
      <c r="A95" s="745"/>
      <c r="B95" s="746"/>
      <c r="C95" s="745"/>
      <c r="D95" s="745"/>
      <c r="E95" s="745"/>
      <c r="F95" s="745"/>
    </row>
    <row r="96" spans="1:6" ht="19.5">
      <c r="A96" s="745"/>
      <c r="B96" s="746"/>
      <c r="C96" s="745"/>
      <c r="D96" s="745"/>
      <c r="E96" s="745"/>
      <c r="F96" s="745"/>
    </row>
    <row r="97" spans="1:6" ht="19.5">
      <c r="A97" s="745"/>
      <c r="B97" s="746"/>
      <c r="C97" s="745"/>
      <c r="D97" s="745"/>
      <c r="E97" s="745"/>
      <c r="F97" s="745"/>
    </row>
    <row r="98" spans="1:6" ht="19.5">
      <c r="A98" s="745"/>
      <c r="B98" s="746"/>
      <c r="C98" s="745"/>
      <c r="D98" s="745"/>
      <c r="E98" s="745"/>
      <c r="F98" s="745"/>
    </row>
    <row r="99" spans="1:6" ht="19.5">
      <c r="A99" s="745"/>
      <c r="B99" s="746"/>
      <c r="C99" s="745"/>
      <c r="D99" s="745"/>
      <c r="E99" s="745"/>
      <c r="F99" s="745"/>
    </row>
    <row r="100" spans="1:6" ht="19.5">
      <c r="A100" s="745"/>
      <c r="B100" s="746"/>
      <c r="C100" s="745"/>
      <c r="D100" s="745"/>
      <c r="E100" s="745"/>
      <c r="F100" s="745"/>
    </row>
    <row r="101" spans="1:6" ht="19.5">
      <c r="A101" s="745"/>
      <c r="B101" s="746"/>
      <c r="C101" s="745"/>
      <c r="D101" s="745"/>
      <c r="E101" s="745"/>
      <c r="F101" s="745"/>
    </row>
    <row r="102" spans="1:6" ht="19.5">
      <c r="A102" s="745"/>
      <c r="B102" s="746"/>
      <c r="C102" s="745"/>
      <c r="D102" s="745"/>
      <c r="E102" s="745"/>
      <c r="F102" s="745"/>
    </row>
    <row r="103" spans="1:6" ht="19.5">
      <c r="A103" s="745"/>
      <c r="B103" s="746"/>
      <c r="C103" s="745"/>
      <c r="D103" s="745"/>
      <c r="E103" s="745"/>
      <c r="F103" s="745"/>
    </row>
    <row r="104" spans="1:6" ht="19.5">
      <c r="A104" s="745"/>
      <c r="B104" s="746"/>
      <c r="C104" s="745"/>
      <c r="D104" s="745"/>
      <c r="E104" s="745"/>
      <c r="F104" s="745"/>
    </row>
    <row r="105" spans="1:6" ht="19.5">
      <c r="A105" s="745"/>
      <c r="B105" s="746"/>
      <c r="C105" s="745"/>
      <c r="D105" s="745"/>
      <c r="E105" s="745"/>
      <c r="F105" s="745"/>
    </row>
    <row r="106" spans="1:6" ht="19.5">
      <c r="A106" s="745"/>
      <c r="B106" s="746"/>
      <c r="C106" s="745"/>
      <c r="D106" s="745"/>
      <c r="E106" s="745"/>
      <c r="F106" s="745"/>
    </row>
    <row r="107" spans="1:6" ht="19.5">
      <c r="A107" s="745"/>
      <c r="B107" s="746"/>
      <c r="C107" s="745"/>
      <c r="D107" s="745"/>
      <c r="E107" s="745"/>
      <c r="F107" s="745"/>
    </row>
    <row r="108" spans="1:6" ht="19.5">
      <c r="A108" s="745"/>
      <c r="B108" s="746"/>
      <c r="C108" s="745"/>
      <c r="D108" s="745"/>
      <c r="E108" s="745"/>
      <c r="F108" s="745"/>
    </row>
    <row r="109" spans="1:6" ht="19.5">
      <c r="A109" s="745"/>
      <c r="B109" s="746"/>
      <c r="C109" s="745"/>
      <c r="D109" s="745"/>
      <c r="E109" s="745"/>
      <c r="F109" s="745"/>
    </row>
    <row r="110" spans="1:6" ht="19.5">
      <c r="A110" s="745"/>
      <c r="B110" s="746"/>
      <c r="C110" s="745"/>
      <c r="D110" s="745"/>
      <c r="E110" s="745"/>
      <c r="F110" s="745"/>
    </row>
    <row r="111" spans="1:6" ht="19.5">
      <c r="A111" s="745"/>
      <c r="B111" s="746"/>
      <c r="C111" s="745"/>
      <c r="D111" s="745"/>
      <c r="E111" s="745"/>
      <c r="F111" s="745"/>
    </row>
  </sheetData>
  <mergeCells count="3">
    <mergeCell ref="B1:F1"/>
    <mergeCell ref="B2:F2"/>
    <mergeCell ref="C3:E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L79"/>
  <sheetViews>
    <sheetView view="pageBreakPreview" zoomScale="85" zoomScaleSheetLayoutView="85" workbookViewId="0">
      <selection activeCell="G14" sqref="G14"/>
    </sheetView>
  </sheetViews>
  <sheetFormatPr defaultRowHeight="15.75"/>
  <cols>
    <col min="1" max="1" width="6.44140625" style="645" customWidth="1"/>
    <col min="2" max="2" width="32.77734375" style="645" customWidth="1"/>
    <col min="3" max="3" width="7" style="654" customWidth="1"/>
    <col min="4" max="4" width="6.33203125" style="655" customWidth="1"/>
    <col min="5" max="5" width="8.5546875" style="645" customWidth="1"/>
    <col min="6" max="6" width="9.109375" style="645" customWidth="1"/>
    <col min="7" max="7" width="9.33203125" style="645" customWidth="1"/>
    <col min="8" max="8" width="10" style="645" customWidth="1"/>
    <col min="9" max="9" width="9.33203125" style="645" customWidth="1"/>
    <col min="10" max="10" width="8.88671875" style="645"/>
    <col min="11" max="11" width="12.109375" style="645" customWidth="1"/>
    <col min="12" max="12" width="11" style="645" customWidth="1"/>
    <col min="13" max="16384" width="8.88671875" style="645"/>
  </cols>
  <sheetData>
    <row r="1" spans="1:12" ht="19.5">
      <c r="A1" s="717"/>
      <c r="B1" s="717"/>
      <c r="C1" s="718"/>
      <c r="D1" s="719"/>
      <c r="E1" s="717"/>
      <c r="F1" s="717"/>
      <c r="G1" s="717"/>
      <c r="H1" s="717"/>
      <c r="I1" s="717"/>
      <c r="J1" s="644"/>
      <c r="K1" s="644"/>
      <c r="L1" s="644"/>
    </row>
    <row r="2" spans="1:12" ht="19.5">
      <c r="A2" s="1233" t="s">
        <v>3896</v>
      </c>
      <c r="B2" s="1233"/>
      <c r="C2" s="1233"/>
      <c r="D2" s="1233"/>
      <c r="E2" s="1233"/>
      <c r="F2" s="1233"/>
      <c r="G2" s="1233"/>
      <c r="H2" s="1233"/>
      <c r="I2" s="717"/>
      <c r="J2" s="644"/>
      <c r="K2" s="644"/>
      <c r="L2" s="644"/>
    </row>
    <row r="3" spans="1:12" ht="19.5">
      <c r="A3" s="1233"/>
      <c r="B3" s="1233"/>
      <c r="C3" s="1233"/>
      <c r="D3" s="1233"/>
      <c r="E3" s="1233"/>
      <c r="F3" s="1233"/>
      <c r="G3" s="1233"/>
      <c r="H3" s="1233"/>
      <c r="I3" s="717"/>
      <c r="J3" s="644"/>
      <c r="K3" s="644"/>
      <c r="L3" s="644"/>
    </row>
    <row r="4" spans="1:12" ht="19.5">
      <c r="A4" s="717"/>
      <c r="B4" s="721" t="s">
        <v>3746</v>
      </c>
      <c r="C4" s="722"/>
      <c r="D4" s="722"/>
      <c r="E4" s="723"/>
      <c r="F4" s="723"/>
      <c r="G4" s="723"/>
      <c r="H4" s="723"/>
      <c r="I4" s="717"/>
      <c r="J4" s="644"/>
      <c r="K4" s="644"/>
      <c r="L4" s="644"/>
    </row>
    <row r="5" spans="1:12" ht="19.5">
      <c r="A5" s="1234" t="s">
        <v>3747</v>
      </c>
      <c r="B5" s="1236" t="s">
        <v>3748</v>
      </c>
      <c r="C5" s="1238" t="s">
        <v>1454</v>
      </c>
      <c r="D5" s="1239"/>
      <c r="E5" s="1242" t="s">
        <v>3749</v>
      </c>
      <c r="F5" s="1242"/>
      <c r="G5" s="1243"/>
      <c r="H5" s="1244" t="s">
        <v>3750</v>
      </c>
      <c r="I5" s="717"/>
      <c r="J5" s="644"/>
      <c r="K5" s="644"/>
      <c r="L5" s="644"/>
    </row>
    <row r="6" spans="1:12" ht="19.5">
      <c r="A6" s="1235"/>
      <c r="B6" s="1237"/>
      <c r="C6" s="1240"/>
      <c r="D6" s="1241"/>
      <c r="E6" s="724" t="s">
        <v>3811</v>
      </c>
      <c r="F6" s="725" t="s">
        <v>1635</v>
      </c>
      <c r="G6" s="725" t="s">
        <v>3812</v>
      </c>
      <c r="H6" s="1245"/>
      <c r="I6" s="717"/>
      <c r="J6" s="644"/>
      <c r="K6" s="644"/>
      <c r="L6" s="644"/>
    </row>
    <row r="7" spans="1:12" ht="27" customHeight="1">
      <c r="A7" s="726">
        <v>1</v>
      </c>
      <c r="B7" s="1224" t="s">
        <v>3767</v>
      </c>
      <c r="C7" s="1224"/>
      <c r="D7" s="1224"/>
      <c r="E7" s="1224"/>
      <c r="F7" s="656"/>
      <c r="G7" s="657"/>
      <c r="H7" s="728"/>
      <c r="I7" s="729"/>
      <c r="J7" s="644"/>
      <c r="K7" s="644"/>
      <c r="L7" s="644"/>
    </row>
    <row r="8" spans="1:12" ht="18">
      <c r="A8" s="726"/>
      <c r="B8" s="659" t="s">
        <v>3790</v>
      </c>
      <c r="C8" s="656">
        <v>1</v>
      </c>
      <c r="D8" s="656">
        <v>5</v>
      </c>
      <c r="E8" s="657">
        <v>1.1000000000000001</v>
      </c>
      <c r="F8" s="657">
        <v>1.1000000000000001</v>
      </c>
      <c r="G8" s="657">
        <v>0.9</v>
      </c>
      <c r="H8" s="658">
        <f>PRODUCT(C8:G8)</f>
        <v>5.45</v>
      </c>
      <c r="I8" s="729"/>
      <c r="J8" s="644"/>
      <c r="K8" s="644"/>
      <c r="L8" s="644"/>
    </row>
    <row r="9" spans="1:12" ht="18">
      <c r="A9" s="726"/>
      <c r="B9" s="659" t="s">
        <v>3791</v>
      </c>
      <c r="C9" s="656">
        <v>1</v>
      </c>
      <c r="D9" s="656">
        <v>1</v>
      </c>
      <c r="E9" s="657">
        <v>29.12</v>
      </c>
      <c r="F9" s="657">
        <v>0.45</v>
      </c>
      <c r="G9" s="657">
        <v>0.45</v>
      </c>
      <c r="H9" s="658">
        <f>PRODUCT(C9:G9)</f>
        <v>5.9</v>
      </c>
      <c r="I9" s="729"/>
      <c r="J9" s="644"/>
      <c r="K9" s="644"/>
      <c r="L9" s="644"/>
    </row>
    <row r="10" spans="1:12" ht="18">
      <c r="A10" s="726"/>
      <c r="B10" s="659" t="s">
        <v>3792</v>
      </c>
      <c r="C10" s="656">
        <v>1</v>
      </c>
      <c r="D10" s="656">
        <v>1</v>
      </c>
      <c r="E10" s="657">
        <v>14.64</v>
      </c>
      <c r="F10" s="657">
        <v>0.45</v>
      </c>
      <c r="G10" s="657">
        <v>0.45</v>
      </c>
      <c r="H10" s="658">
        <f>PRODUCT(C10:G10)</f>
        <v>2.96</v>
      </c>
      <c r="I10" s="729"/>
      <c r="J10" s="644"/>
      <c r="K10" s="644"/>
      <c r="L10" s="644"/>
    </row>
    <row r="11" spans="1:12" ht="18">
      <c r="A11" s="726"/>
      <c r="B11" s="659" t="s">
        <v>3793</v>
      </c>
      <c r="C11" s="656">
        <v>-1</v>
      </c>
      <c r="D11" s="656">
        <v>5</v>
      </c>
      <c r="E11" s="657">
        <v>1.1000000000000001</v>
      </c>
      <c r="F11" s="657">
        <v>0.45</v>
      </c>
      <c r="G11" s="657">
        <v>0.45</v>
      </c>
      <c r="H11" s="658">
        <f>PRODUCT(C11:G11)</f>
        <v>-1.1100000000000001</v>
      </c>
      <c r="I11" s="729"/>
      <c r="J11" s="644"/>
      <c r="K11" s="644"/>
      <c r="L11" s="644"/>
    </row>
    <row r="12" spans="1:12" ht="18">
      <c r="A12" s="726"/>
      <c r="B12" s="659"/>
      <c r="C12" s="656"/>
      <c r="D12" s="656"/>
      <c r="E12" s="657"/>
      <c r="F12" s="657"/>
      <c r="G12" s="657"/>
      <c r="H12" s="660">
        <f>SUM(H8:H11)</f>
        <v>13.2</v>
      </c>
      <c r="I12" s="729"/>
      <c r="J12" s="644"/>
      <c r="K12" s="644"/>
      <c r="L12" s="644"/>
    </row>
    <row r="13" spans="1:12" ht="18">
      <c r="A13" s="726"/>
      <c r="B13" s="659"/>
      <c r="C13" s="656"/>
      <c r="D13" s="656"/>
      <c r="E13" s="657"/>
      <c r="F13" s="657"/>
      <c r="G13" s="657"/>
      <c r="H13" s="660"/>
      <c r="I13" s="729"/>
      <c r="J13" s="644"/>
      <c r="K13" s="644"/>
      <c r="L13" s="644"/>
    </row>
    <row r="14" spans="1:12" ht="15" customHeight="1">
      <c r="A14" s="726"/>
      <c r="B14" s="659"/>
      <c r="C14" s="656"/>
      <c r="D14" s="656"/>
      <c r="E14" s="657"/>
      <c r="F14" s="657"/>
      <c r="G14" s="657"/>
      <c r="H14" s="660"/>
      <c r="I14" s="729"/>
      <c r="J14" s="644"/>
      <c r="K14" s="644"/>
      <c r="L14" s="644"/>
    </row>
    <row r="15" spans="1:12" ht="18">
      <c r="A15" s="726">
        <v>2</v>
      </c>
      <c r="B15" s="727" t="s">
        <v>3768</v>
      </c>
      <c r="C15" s="656"/>
      <c r="D15" s="656"/>
      <c r="E15" s="657"/>
      <c r="F15" s="657"/>
      <c r="G15" s="657"/>
      <c r="H15" s="658"/>
      <c r="I15" s="729"/>
      <c r="J15" s="644"/>
      <c r="K15" s="644"/>
      <c r="L15" s="644"/>
    </row>
    <row r="16" spans="1:12" ht="18">
      <c r="A16" s="726"/>
      <c r="B16" s="659" t="s">
        <v>3794</v>
      </c>
      <c r="C16" s="656">
        <v>1</v>
      </c>
      <c r="D16" s="656">
        <v>5</v>
      </c>
      <c r="E16" s="657">
        <v>1.1000000000000001</v>
      </c>
      <c r="F16" s="657">
        <v>1.1000000000000001</v>
      </c>
      <c r="G16" s="657">
        <v>0.1</v>
      </c>
      <c r="H16" s="658">
        <f>PRODUCT(C16:G16)</f>
        <v>0.61</v>
      </c>
      <c r="I16" s="729"/>
      <c r="J16" s="644"/>
      <c r="K16" s="644"/>
      <c r="L16" s="644"/>
    </row>
    <row r="17" spans="1:12" ht="18">
      <c r="A17" s="726"/>
      <c r="B17" s="659" t="s">
        <v>3791</v>
      </c>
      <c r="C17" s="656">
        <v>1</v>
      </c>
      <c r="D17" s="656">
        <v>1</v>
      </c>
      <c r="E17" s="657">
        <v>29.12</v>
      </c>
      <c r="F17" s="657">
        <v>0.45</v>
      </c>
      <c r="G17" s="657">
        <v>0.15</v>
      </c>
      <c r="H17" s="658">
        <f>PRODUCT(C17:G17)</f>
        <v>1.97</v>
      </c>
      <c r="I17" s="729"/>
      <c r="J17" s="644"/>
      <c r="K17" s="644"/>
      <c r="L17" s="644"/>
    </row>
    <row r="18" spans="1:12" ht="18">
      <c r="A18" s="726"/>
      <c r="B18" s="659" t="s">
        <v>3792</v>
      </c>
      <c r="C18" s="656">
        <v>1</v>
      </c>
      <c r="D18" s="656">
        <v>1</v>
      </c>
      <c r="E18" s="657">
        <v>14.64</v>
      </c>
      <c r="F18" s="657">
        <v>0.45</v>
      </c>
      <c r="G18" s="657">
        <v>0.15</v>
      </c>
      <c r="H18" s="658">
        <f>PRODUCT(C18:G18)</f>
        <v>0.99</v>
      </c>
      <c r="I18" s="729"/>
      <c r="J18" s="644"/>
      <c r="K18" s="644"/>
      <c r="L18" s="644"/>
    </row>
    <row r="19" spans="1:12" ht="18">
      <c r="A19" s="726"/>
      <c r="B19" s="659"/>
      <c r="C19" s="656"/>
      <c r="D19" s="656"/>
      <c r="E19" s="657"/>
      <c r="F19" s="657"/>
      <c r="G19" s="657"/>
      <c r="H19" s="658">
        <f>SUM(H16:H18)</f>
        <v>3.57</v>
      </c>
      <c r="I19" s="729"/>
      <c r="J19" s="644"/>
      <c r="K19" s="644"/>
      <c r="L19" s="644"/>
    </row>
    <row r="20" spans="1:12" ht="18">
      <c r="A20" s="726"/>
      <c r="B20" s="659"/>
      <c r="C20" s="656"/>
      <c r="D20" s="656"/>
      <c r="E20" s="657"/>
      <c r="F20" s="657"/>
      <c r="G20" s="657"/>
      <c r="H20" s="660">
        <v>3.6</v>
      </c>
      <c r="I20" s="729" t="s">
        <v>2226</v>
      </c>
      <c r="J20" s="644"/>
      <c r="K20" s="644"/>
      <c r="L20" s="644"/>
    </row>
    <row r="21" spans="1:12" ht="18">
      <c r="A21" s="726"/>
      <c r="B21" s="659"/>
      <c r="C21" s="656"/>
      <c r="D21" s="656"/>
      <c r="E21" s="657"/>
      <c r="F21" s="657"/>
      <c r="G21" s="657"/>
      <c r="H21" s="660"/>
      <c r="I21" s="729"/>
      <c r="J21" s="644"/>
      <c r="K21" s="644"/>
      <c r="L21" s="644"/>
    </row>
    <row r="22" spans="1:12" ht="41.25">
      <c r="A22" s="726">
        <v>3</v>
      </c>
      <c r="B22" s="756" t="s">
        <v>3875</v>
      </c>
      <c r="C22" s="656"/>
      <c r="D22" s="656"/>
      <c r="E22" s="657"/>
      <c r="F22" s="657"/>
      <c r="G22" s="657"/>
      <c r="H22" s="658"/>
      <c r="I22" s="729"/>
      <c r="J22" s="644"/>
      <c r="K22" s="644"/>
      <c r="L22" s="644"/>
    </row>
    <row r="23" spans="1:12" ht="18">
      <c r="A23" s="726"/>
      <c r="B23" s="659" t="s">
        <v>3794</v>
      </c>
      <c r="C23" s="656">
        <v>1</v>
      </c>
      <c r="D23" s="656">
        <v>5</v>
      </c>
      <c r="E23" s="657">
        <v>0.9</v>
      </c>
      <c r="F23" s="657">
        <v>0.9</v>
      </c>
      <c r="G23" s="657">
        <v>0.2</v>
      </c>
      <c r="H23" s="658">
        <f>PRODUCT(C23:G23)</f>
        <v>0.81</v>
      </c>
      <c r="I23" s="729"/>
      <c r="J23" s="644"/>
      <c r="K23" s="644"/>
      <c r="L23" s="644"/>
    </row>
    <row r="24" spans="1:12" ht="18">
      <c r="A24" s="726"/>
      <c r="B24" s="659" t="s">
        <v>3795</v>
      </c>
      <c r="C24" s="656">
        <v>1</v>
      </c>
      <c r="D24" s="656">
        <v>5</v>
      </c>
      <c r="E24" s="656">
        <v>0.34</v>
      </c>
      <c r="F24" s="656">
        <v>0.34</v>
      </c>
      <c r="G24" s="656">
        <v>0.34</v>
      </c>
      <c r="H24" s="658">
        <f>PRODUCT(C24:G24)</f>
        <v>0.2</v>
      </c>
      <c r="I24" s="729"/>
      <c r="J24" s="644"/>
      <c r="K24" s="644"/>
      <c r="L24" s="644"/>
    </row>
    <row r="25" spans="1:12" ht="19.5">
      <c r="A25" s="726"/>
      <c r="B25" s="757" t="s">
        <v>3796</v>
      </c>
      <c r="C25" s="656">
        <v>1</v>
      </c>
      <c r="D25" s="656">
        <v>1</v>
      </c>
      <c r="E25" s="656">
        <v>12.46</v>
      </c>
      <c r="F25" s="656">
        <v>0.23</v>
      </c>
      <c r="G25" s="656">
        <v>0.23</v>
      </c>
      <c r="H25" s="658">
        <f>PRODUCT(C25:G25)</f>
        <v>0.66</v>
      </c>
      <c r="I25" s="729"/>
      <c r="J25" s="644"/>
      <c r="K25" s="644"/>
      <c r="L25" s="644"/>
    </row>
    <row r="26" spans="1:12" ht="18">
      <c r="A26" s="726"/>
      <c r="B26" s="659"/>
      <c r="C26" s="656"/>
      <c r="D26" s="656"/>
      <c r="E26" s="656"/>
      <c r="F26" s="656"/>
      <c r="G26" s="656"/>
      <c r="H26" s="658">
        <f>SUM(H23:H25)</f>
        <v>1.67</v>
      </c>
      <c r="I26" s="729"/>
      <c r="J26" s="644"/>
      <c r="K26" s="644"/>
      <c r="L26" s="644"/>
    </row>
    <row r="27" spans="1:12" ht="18">
      <c r="A27" s="726"/>
      <c r="B27" s="659"/>
      <c r="C27" s="656"/>
      <c r="D27" s="656"/>
      <c r="E27" s="656"/>
      <c r="F27" s="656"/>
      <c r="G27" s="656" t="s">
        <v>3754</v>
      </c>
      <c r="H27" s="660">
        <v>1.7</v>
      </c>
      <c r="I27" s="729"/>
      <c r="J27" s="644"/>
      <c r="K27" s="644"/>
      <c r="L27" s="644"/>
    </row>
    <row r="28" spans="1:12" ht="54" customHeight="1">
      <c r="A28" s="730">
        <v>4</v>
      </c>
      <c r="B28" s="758" t="s">
        <v>3769</v>
      </c>
      <c r="C28" s="656"/>
      <c r="D28" s="656"/>
      <c r="E28" s="657"/>
      <c r="F28" s="657"/>
      <c r="G28" s="657"/>
      <c r="H28" s="660"/>
      <c r="I28" s="729"/>
      <c r="J28" s="644"/>
      <c r="K28" s="644"/>
      <c r="L28" s="644"/>
    </row>
    <row r="29" spans="1:12" ht="18">
      <c r="A29" s="726"/>
      <c r="B29" s="659" t="s">
        <v>3797</v>
      </c>
      <c r="C29" s="656">
        <v>1</v>
      </c>
      <c r="D29" s="656">
        <v>1</v>
      </c>
      <c r="E29" s="657">
        <v>29.12</v>
      </c>
      <c r="F29" s="657">
        <v>0.23</v>
      </c>
      <c r="G29" s="657">
        <v>0.55000000000000004</v>
      </c>
      <c r="H29" s="658">
        <f>PRODUCT(C29:G29)</f>
        <v>3.68</v>
      </c>
      <c r="I29" s="729"/>
      <c r="J29" s="644"/>
      <c r="K29" s="644"/>
      <c r="L29" s="644"/>
    </row>
    <row r="30" spans="1:12" ht="19.5">
      <c r="A30" s="726"/>
      <c r="B30" s="659" t="s">
        <v>3798</v>
      </c>
      <c r="C30" s="732">
        <v>2</v>
      </c>
      <c r="D30" s="759">
        <v>0.5</v>
      </c>
      <c r="E30" s="734">
        <v>1.2</v>
      </c>
      <c r="F30" s="734">
        <v>0.23</v>
      </c>
      <c r="G30" s="734">
        <v>0.55000000000000004</v>
      </c>
      <c r="H30" s="658">
        <f>PRODUCT(C30:G30)</f>
        <v>0.15</v>
      </c>
      <c r="I30" s="729"/>
      <c r="J30" s="644"/>
      <c r="K30" s="644"/>
      <c r="L30" s="644"/>
    </row>
    <row r="31" spans="1:12" ht="19.5">
      <c r="A31" s="726"/>
      <c r="B31" s="659" t="s">
        <v>3799</v>
      </c>
      <c r="C31" s="732">
        <v>1</v>
      </c>
      <c r="D31" s="733">
        <v>1</v>
      </c>
      <c r="E31" s="734">
        <v>12.46</v>
      </c>
      <c r="F31" s="734">
        <v>0.23</v>
      </c>
      <c r="G31" s="734">
        <v>0.3</v>
      </c>
      <c r="H31" s="658">
        <f>PRODUCT(C31:G31)</f>
        <v>0.86</v>
      </c>
      <c r="I31" s="729"/>
      <c r="J31" s="644"/>
      <c r="K31" s="644"/>
      <c r="L31" s="644"/>
    </row>
    <row r="32" spans="1:12" ht="19.5">
      <c r="A32" s="726"/>
      <c r="B32" s="659" t="s">
        <v>3773</v>
      </c>
      <c r="C32" s="732">
        <v>1</v>
      </c>
      <c r="D32" s="733">
        <v>1</v>
      </c>
      <c r="E32" s="734">
        <v>12.46</v>
      </c>
      <c r="F32" s="734">
        <v>0.23</v>
      </c>
      <c r="G32" s="734">
        <v>0.3</v>
      </c>
      <c r="H32" s="658">
        <f>PRODUCT(C32:G32)</f>
        <v>0.86</v>
      </c>
      <c r="I32" s="729"/>
      <c r="J32" s="644"/>
      <c r="K32" s="644"/>
      <c r="L32" s="644"/>
    </row>
    <row r="33" spans="1:12" ht="18">
      <c r="A33" s="726"/>
      <c r="B33" s="659"/>
      <c r="C33" s="656"/>
      <c r="D33" s="656"/>
      <c r="E33" s="657"/>
      <c r="F33" s="657"/>
      <c r="G33" s="657"/>
      <c r="H33" s="660">
        <f>SUM(H29:H32)</f>
        <v>5.55</v>
      </c>
      <c r="I33" s="729"/>
      <c r="J33" s="644"/>
      <c r="K33" s="644"/>
      <c r="L33" s="644"/>
    </row>
    <row r="34" spans="1:12" ht="18">
      <c r="A34" s="726"/>
      <c r="B34" s="659"/>
      <c r="C34" s="656"/>
      <c r="D34" s="656"/>
      <c r="E34" s="657"/>
      <c r="F34" s="657"/>
      <c r="G34" s="657" t="s">
        <v>3754</v>
      </c>
      <c r="H34" s="660">
        <v>5.6</v>
      </c>
      <c r="I34" s="729"/>
      <c r="J34" s="644"/>
      <c r="K34" s="644"/>
      <c r="L34" s="644"/>
    </row>
    <row r="35" spans="1:12" ht="18">
      <c r="A35" s="726">
        <v>5</v>
      </c>
      <c r="B35" s="727" t="s">
        <v>3800</v>
      </c>
      <c r="C35" s="656"/>
      <c r="D35" s="656"/>
      <c r="E35" s="657"/>
      <c r="F35" s="657"/>
      <c r="G35" s="657"/>
      <c r="H35" s="660"/>
      <c r="I35" s="729"/>
      <c r="J35" s="644"/>
      <c r="K35" s="644"/>
      <c r="L35" s="644"/>
    </row>
    <row r="36" spans="1:12" ht="19.5">
      <c r="A36" s="726"/>
      <c r="B36" s="757" t="s">
        <v>3801</v>
      </c>
      <c r="C36" s="760">
        <v>1</v>
      </c>
      <c r="D36" s="760">
        <v>1</v>
      </c>
      <c r="E36" s="761">
        <v>12</v>
      </c>
      <c r="F36" s="761">
        <v>2.1</v>
      </c>
      <c r="G36" s="762">
        <v>0.1</v>
      </c>
      <c r="H36" s="761">
        <f>PRODUCT(C36:G36)</f>
        <v>2.52</v>
      </c>
      <c r="I36" s="729"/>
      <c r="J36" s="644"/>
      <c r="K36" s="644"/>
      <c r="L36" s="644"/>
    </row>
    <row r="37" spans="1:12" ht="19.5">
      <c r="A37" s="726"/>
      <c r="B37" s="659" t="s">
        <v>3792</v>
      </c>
      <c r="C37" s="760">
        <v>1</v>
      </c>
      <c r="D37" s="760">
        <v>1</v>
      </c>
      <c r="E37" s="762">
        <v>12</v>
      </c>
      <c r="F37" s="761">
        <v>1.2</v>
      </c>
      <c r="G37" s="762">
        <v>0.15</v>
      </c>
      <c r="H37" s="761">
        <f>PRODUCT(C37:G37)</f>
        <v>2.16</v>
      </c>
      <c r="I37" s="760"/>
      <c r="J37" s="644"/>
      <c r="K37" s="644"/>
      <c r="L37" s="644"/>
    </row>
    <row r="38" spans="1:12" ht="19.5">
      <c r="A38" s="726"/>
      <c r="B38" s="757"/>
      <c r="C38" s="760"/>
      <c r="D38" s="760"/>
      <c r="E38" s="763"/>
      <c r="F38" s="761"/>
      <c r="G38" s="763"/>
      <c r="H38" s="761">
        <f>SUM(H36:H37)</f>
        <v>4.68</v>
      </c>
      <c r="I38" s="760"/>
      <c r="J38" s="644"/>
      <c r="K38" s="644"/>
      <c r="L38" s="644"/>
    </row>
    <row r="39" spans="1:12" ht="18">
      <c r="A39" s="726"/>
      <c r="B39" s="659"/>
      <c r="C39" s="656"/>
      <c r="D39" s="656"/>
      <c r="E39" s="657"/>
      <c r="F39" s="657"/>
      <c r="G39" s="657" t="s">
        <v>3754</v>
      </c>
      <c r="H39" s="660">
        <v>4.7</v>
      </c>
      <c r="I39" s="729"/>
      <c r="J39" s="644"/>
      <c r="K39" s="644"/>
      <c r="L39" s="644"/>
    </row>
    <row r="40" spans="1:12" ht="18">
      <c r="A40" s="647">
        <v>6</v>
      </c>
      <c r="B40" s="764" t="s">
        <v>3774</v>
      </c>
      <c r="C40" s="764"/>
      <c r="D40" s="764"/>
      <c r="E40" s="764"/>
      <c r="F40" s="648"/>
      <c r="G40" s="649"/>
      <c r="H40" s="765"/>
      <c r="I40" s="766"/>
      <c r="J40" s="644"/>
      <c r="K40" s="644"/>
      <c r="L40" s="644"/>
    </row>
    <row r="41" spans="1:12" ht="19.5">
      <c r="A41" s="647"/>
      <c r="B41" s="757" t="s">
        <v>3801</v>
      </c>
      <c r="C41" s="760">
        <v>1</v>
      </c>
      <c r="D41" s="760">
        <v>1</v>
      </c>
      <c r="E41" s="761">
        <v>12</v>
      </c>
      <c r="F41" s="761"/>
      <c r="G41" s="762">
        <v>0.23</v>
      </c>
      <c r="H41" s="652">
        <f>E41*G41</f>
        <v>2.76</v>
      </c>
      <c r="I41" s="766"/>
      <c r="J41" s="644"/>
      <c r="K41" s="644"/>
      <c r="L41" s="644"/>
    </row>
    <row r="42" spans="1:12" ht="19.5">
      <c r="A42" s="647"/>
      <c r="B42" s="659" t="s">
        <v>3792</v>
      </c>
      <c r="C42" s="760">
        <v>1</v>
      </c>
      <c r="D42" s="760">
        <v>1</v>
      </c>
      <c r="E42" s="762">
        <v>12</v>
      </c>
      <c r="F42" s="761"/>
      <c r="G42" s="762">
        <v>1.43</v>
      </c>
      <c r="H42" s="652">
        <f>E42*G42</f>
        <v>17.16</v>
      </c>
      <c r="I42" s="766"/>
      <c r="J42" s="644"/>
      <c r="K42" s="644"/>
      <c r="L42" s="644"/>
    </row>
    <row r="43" spans="1:12" ht="18">
      <c r="A43" s="647"/>
      <c r="B43" s="659"/>
      <c r="C43" s="656"/>
      <c r="D43" s="656"/>
      <c r="E43" s="657"/>
      <c r="F43" s="657"/>
      <c r="G43" s="649"/>
      <c r="H43" s="652">
        <f>SUM(H41:H42)</f>
        <v>19.920000000000002</v>
      </c>
      <c r="I43" s="766"/>
      <c r="J43" s="644"/>
      <c r="K43" s="644"/>
      <c r="L43" s="644"/>
    </row>
    <row r="44" spans="1:12" ht="18">
      <c r="A44" s="647"/>
      <c r="B44" s="651"/>
      <c r="C44" s="648"/>
      <c r="D44" s="648"/>
      <c r="E44" s="649"/>
      <c r="F44" s="648"/>
      <c r="G44" s="649" t="s">
        <v>3678</v>
      </c>
      <c r="H44" s="650">
        <v>20</v>
      </c>
      <c r="I44" s="766"/>
      <c r="J44" s="644"/>
      <c r="K44" s="644"/>
      <c r="L44" s="644"/>
    </row>
    <row r="45" spans="1:12" ht="18">
      <c r="A45" s="647">
        <v>7</v>
      </c>
      <c r="B45" s="1225" t="s">
        <v>3756</v>
      </c>
      <c r="C45" s="1225"/>
      <c r="D45" s="1225"/>
      <c r="E45" s="649"/>
      <c r="F45" s="648"/>
      <c r="G45" s="649"/>
      <c r="H45" s="652"/>
      <c r="I45" s="766"/>
      <c r="J45" s="644"/>
      <c r="K45" s="644"/>
      <c r="L45" s="644"/>
    </row>
    <row r="46" spans="1:12" ht="18">
      <c r="A46" s="647"/>
      <c r="B46" s="651" t="s">
        <v>3802</v>
      </c>
      <c r="C46" s="648">
        <v>1</v>
      </c>
      <c r="D46" s="648">
        <v>1</v>
      </c>
      <c r="E46" s="649">
        <v>12.46</v>
      </c>
      <c r="F46" s="648">
        <v>0.23</v>
      </c>
      <c r="G46" s="649"/>
      <c r="H46" s="652">
        <f>PRODUCT(C46:G46)</f>
        <v>2.87</v>
      </c>
      <c r="I46" s="766"/>
      <c r="J46" s="644"/>
      <c r="K46" s="644"/>
      <c r="L46" s="644"/>
    </row>
    <row r="47" spans="1:12" ht="18">
      <c r="A47" s="647"/>
      <c r="B47" s="651" t="s">
        <v>3803</v>
      </c>
      <c r="C47" s="648">
        <v>1</v>
      </c>
      <c r="D47" s="648">
        <v>1</v>
      </c>
      <c r="E47" s="649">
        <v>25.38</v>
      </c>
      <c r="F47" s="648"/>
      <c r="G47" s="649">
        <v>0.45</v>
      </c>
      <c r="H47" s="652">
        <f>PRODUCT(C47:G47)</f>
        <v>11.42</v>
      </c>
      <c r="I47" s="766"/>
      <c r="J47" s="644"/>
      <c r="K47" s="644"/>
      <c r="L47" s="644"/>
    </row>
    <row r="48" spans="1:12" ht="18">
      <c r="A48" s="647"/>
      <c r="B48" s="651"/>
      <c r="C48" s="648"/>
      <c r="D48" s="648"/>
      <c r="E48" s="649"/>
      <c r="F48" s="648"/>
      <c r="G48" s="649"/>
      <c r="H48" s="652">
        <f>SUM(H46:H47)</f>
        <v>14.29</v>
      </c>
      <c r="I48" s="766"/>
      <c r="J48" s="644"/>
      <c r="K48" s="644"/>
      <c r="L48" s="644"/>
    </row>
    <row r="49" spans="1:12" ht="18">
      <c r="A49" s="647"/>
      <c r="B49" s="651"/>
      <c r="C49" s="648"/>
      <c r="D49" s="648"/>
      <c r="E49" s="649"/>
      <c r="F49" s="648"/>
      <c r="G49" s="649" t="s">
        <v>3678</v>
      </c>
      <c r="H49" s="650">
        <v>15.3</v>
      </c>
      <c r="I49" s="766"/>
      <c r="J49" s="644"/>
      <c r="K49" s="644"/>
      <c r="L49" s="644"/>
    </row>
    <row r="50" spans="1:12" ht="18">
      <c r="A50" s="647"/>
      <c r="B50" s="651"/>
      <c r="C50" s="648"/>
      <c r="D50" s="648"/>
      <c r="E50" s="661"/>
      <c r="F50" s="648"/>
      <c r="G50" s="649"/>
      <c r="H50" s="652"/>
      <c r="I50" s="766"/>
      <c r="J50" s="644"/>
      <c r="K50" s="644"/>
      <c r="L50" s="644"/>
    </row>
    <row r="51" spans="1:12" ht="36">
      <c r="A51" s="647">
        <v>8</v>
      </c>
      <c r="B51" s="767" t="s">
        <v>3775</v>
      </c>
      <c r="C51" s="648"/>
      <c r="D51" s="648"/>
      <c r="E51" s="649"/>
      <c r="F51" s="649"/>
      <c r="G51" s="649"/>
      <c r="H51" s="650"/>
      <c r="I51" s="766"/>
      <c r="J51" s="644"/>
      <c r="K51" s="644"/>
      <c r="L51" s="644"/>
    </row>
    <row r="52" spans="1:12" ht="18">
      <c r="A52" s="647"/>
      <c r="B52" s="768" t="s">
        <v>3804</v>
      </c>
      <c r="C52" s="648">
        <v>1</v>
      </c>
      <c r="D52" s="648">
        <v>1</v>
      </c>
      <c r="E52" s="649">
        <v>13.06</v>
      </c>
      <c r="F52" s="649">
        <v>2.5</v>
      </c>
      <c r="G52" s="649"/>
      <c r="H52" s="652">
        <f>PRODUCT(C52:G52)</f>
        <v>32.65</v>
      </c>
      <c r="I52" s="766"/>
      <c r="J52" s="644"/>
      <c r="K52" s="644"/>
      <c r="L52" s="644"/>
    </row>
    <row r="53" spans="1:12" ht="18">
      <c r="A53" s="647"/>
      <c r="B53" s="651" t="s">
        <v>3805</v>
      </c>
      <c r="C53" s="648">
        <v>1</v>
      </c>
      <c r="D53" s="648">
        <v>1</v>
      </c>
      <c r="E53" s="649">
        <v>12.46</v>
      </c>
      <c r="F53" s="649"/>
      <c r="G53" s="649">
        <v>0.45</v>
      </c>
      <c r="H53" s="652">
        <f>PRODUCT(C53:G53)</f>
        <v>5.61</v>
      </c>
      <c r="I53" s="766"/>
      <c r="J53" s="644"/>
      <c r="K53" s="644"/>
      <c r="L53" s="644"/>
    </row>
    <row r="54" spans="1:12" ht="18">
      <c r="A54" s="647"/>
      <c r="B54" s="651"/>
      <c r="C54" s="648"/>
      <c r="D54" s="648"/>
      <c r="E54" s="649"/>
      <c r="F54" s="649"/>
      <c r="G54" s="649"/>
      <c r="H54" s="652">
        <f>SUM(H52:H53)</f>
        <v>38.26</v>
      </c>
      <c r="I54" s="766"/>
      <c r="J54" s="644"/>
      <c r="K54" s="644"/>
      <c r="L54" s="644"/>
    </row>
    <row r="55" spans="1:12" ht="18">
      <c r="A55" s="647"/>
      <c r="B55" s="651"/>
      <c r="C55" s="648"/>
      <c r="D55" s="648"/>
      <c r="E55" s="649"/>
      <c r="F55" s="649"/>
      <c r="G55" s="649" t="s">
        <v>3678</v>
      </c>
      <c r="H55" s="650">
        <v>38.299999999999997</v>
      </c>
      <c r="I55" s="766"/>
      <c r="J55" s="644"/>
      <c r="K55" s="644"/>
      <c r="L55" s="644"/>
    </row>
    <row r="56" spans="1:12" ht="18">
      <c r="A56" s="647">
        <v>9</v>
      </c>
      <c r="B56" s="769" t="s">
        <v>3806</v>
      </c>
      <c r="C56" s="648"/>
      <c r="D56" s="648"/>
      <c r="E56" s="649"/>
      <c r="F56" s="648" t="s">
        <v>3776</v>
      </c>
      <c r="G56" s="649"/>
      <c r="H56" s="650"/>
      <c r="I56" s="766"/>
      <c r="J56" s="644"/>
      <c r="K56" s="644"/>
      <c r="L56" s="644"/>
    </row>
    <row r="57" spans="1:12" ht="18">
      <c r="A57" s="647"/>
      <c r="B57" s="651" t="s">
        <v>3807</v>
      </c>
      <c r="C57" s="648">
        <v>5</v>
      </c>
      <c r="D57" s="648">
        <v>3.14</v>
      </c>
      <c r="E57" s="649">
        <v>0.09</v>
      </c>
      <c r="F57" s="648">
        <v>1</v>
      </c>
      <c r="G57" s="649">
        <v>2.5499999999999998</v>
      </c>
      <c r="H57" s="652">
        <f>C57*D57*E57*F57*G57</f>
        <v>3.6</v>
      </c>
      <c r="I57" s="766"/>
      <c r="J57" s="644"/>
      <c r="K57" s="644"/>
      <c r="L57" s="644"/>
    </row>
    <row r="58" spans="1:12" ht="18">
      <c r="A58" s="647"/>
      <c r="B58" s="768" t="s">
        <v>3808</v>
      </c>
      <c r="C58" s="648">
        <v>5</v>
      </c>
      <c r="D58" s="648">
        <v>0.5</v>
      </c>
      <c r="E58" s="649">
        <v>2.1</v>
      </c>
      <c r="F58" s="648">
        <v>1</v>
      </c>
      <c r="G58" s="649">
        <v>0.45</v>
      </c>
      <c r="H58" s="652">
        <f>C58*D58*E58*F58*G58</f>
        <v>2.36</v>
      </c>
      <c r="I58" s="766"/>
      <c r="J58" s="644"/>
      <c r="K58" s="644"/>
      <c r="L58" s="644"/>
    </row>
    <row r="59" spans="1:12" ht="18">
      <c r="A59" s="647"/>
      <c r="B59" s="768" t="s">
        <v>3809</v>
      </c>
      <c r="C59" s="648">
        <v>1</v>
      </c>
      <c r="D59" s="648">
        <v>1</v>
      </c>
      <c r="E59" s="649">
        <v>12.46</v>
      </c>
      <c r="F59" s="648">
        <v>1</v>
      </c>
      <c r="G59" s="649">
        <v>0.45</v>
      </c>
      <c r="H59" s="652">
        <f>C59*D59*E59*F59*G59</f>
        <v>5.61</v>
      </c>
      <c r="I59" s="766"/>
      <c r="J59" s="644"/>
      <c r="K59" s="644"/>
      <c r="L59" s="644"/>
    </row>
    <row r="60" spans="1:12" ht="18">
      <c r="A60" s="647"/>
      <c r="B60" s="768" t="s">
        <v>3810</v>
      </c>
      <c r="C60" s="648">
        <v>1</v>
      </c>
      <c r="D60" s="648">
        <v>3</v>
      </c>
      <c r="E60" s="649">
        <v>13.06</v>
      </c>
      <c r="F60" s="648">
        <v>1</v>
      </c>
      <c r="G60" s="649">
        <v>0.2</v>
      </c>
      <c r="H60" s="652">
        <f>C60*D60*E60*F60*G60</f>
        <v>7.84</v>
      </c>
      <c r="I60" s="766"/>
      <c r="J60" s="644"/>
      <c r="K60" s="644"/>
      <c r="L60" s="644"/>
    </row>
    <row r="61" spans="1:12" ht="18">
      <c r="A61" s="647"/>
      <c r="B61" s="768"/>
      <c r="C61" s="648"/>
      <c r="D61" s="648"/>
      <c r="E61" s="649"/>
      <c r="F61" s="648"/>
      <c r="G61" s="649"/>
      <c r="H61" s="650">
        <f>SUM(H57:H60)-0.01</f>
        <v>19.399999999999999</v>
      </c>
      <c r="I61" s="766"/>
      <c r="J61" s="644"/>
      <c r="K61" s="644"/>
      <c r="L61" s="644"/>
    </row>
    <row r="62" spans="1:12" ht="18">
      <c r="A62" s="647"/>
      <c r="B62" s="768"/>
      <c r="C62" s="648"/>
      <c r="D62" s="648"/>
      <c r="E62" s="649"/>
      <c r="F62" s="648"/>
      <c r="G62" s="649"/>
      <c r="H62" s="652"/>
      <c r="I62" s="766"/>
      <c r="J62" s="644"/>
      <c r="K62" s="644"/>
      <c r="L62" s="644"/>
    </row>
    <row r="63" spans="1:12" ht="18">
      <c r="A63" s="647">
        <v>10</v>
      </c>
      <c r="B63" s="1250" t="s">
        <v>270</v>
      </c>
      <c r="C63" s="1250"/>
      <c r="D63" s="1250"/>
      <c r="E63" s="1250"/>
      <c r="F63" s="1250"/>
      <c r="G63" s="649"/>
      <c r="H63" s="765"/>
      <c r="I63" s="766"/>
      <c r="J63" s="644"/>
      <c r="K63" s="644"/>
      <c r="L63" s="644"/>
    </row>
    <row r="64" spans="1:12" ht="18">
      <c r="A64" s="647" t="s">
        <v>3770</v>
      </c>
      <c r="B64" s="767" t="s">
        <v>3771</v>
      </c>
      <c r="C64" s="648"/>
      <c r="D64" s="648"/>
      <c r="E64" s="649"/>
      <c r="F64" s="648"/>
      <c r="G64" s="649"/>
      <c r="H64" s="765"/>
      <c r="I64" s="766"/>
      <c r="J64" s="644"/>
      <c r="K64" s="644"/>
      <c r="L64" s="644"/>
    </row>
    <row r="65" spans="1:12" ht="18">
      <c r="A65" s="647"/>
      <c r="B65" s="768"/>
      <c r="C65" s="648">
        <v>1</v>
      </c>
      <c r="D65" s="648">
        <v>2</v>
      </c>
      <c r="E65" s="649"/>
      <c r="F65" s="648"/>
      <c r="G65" s="649"/>
      <c r="H65" s="765">
        <f>PRODUCT(C65:G65)</f>
        <v>2</v>
      </c>
      <c r="I65" s="766"/>
      <c r="J65" s="644"/>
      <c r="K65" s="644"/>
      <c r="L65" s="644"/>
    </row>
    <row r="66" spans="1:12" ht="18">
      <c r="A66" s="647"/>
      <c r="B66" s="768"/>
      <c r="C66" s="648"/>
      <c r="D66" s="648"/>
      <c r="E66" s="649"/>
      <c r="F66" s="648"/>
      <c r="G66" s="649"/>
      <c r="H66" s="770">
        <f>SUM(H65:H65)</f>
        <v>2</v>
      </c>
      <c r="I66" s="766" t="s">
        <v>1492</v>
      </c>
      <c r="J66" s="644"/>
      <c r="K66" s="644"/>
      <c r="L66" s="644"/>
    </row>
    <row r="67" spans="1:12" ht="52.5" customHeight="1">
      <c r="A67" s="647">
        <v>11</v>
      </c>
      <c r="B67" s="1250" t="s">
        <v>3897</v>
      </c>
      <c r="C67" s="1250"/>
      <c r="D67" s="1250"/>
      <c r="E67" s="1250"/>
      <c r="F67" s="648"/>
      <c r="G67" s="649"/>
      <c r="H67" s="765"/>
      <c r="I67" s="766"/>
      <c r="J67" s="644"/>
      <c r="K67" s="644"/>
      <c r="L67" s="644"/>
    </row>
    <row r="68" spans="1:12" ht="18">
      <c r="A68" s="647"/>
      <c r="B68" s="651"/>
      <c r="C68" s="648">
        <v>1</v>
      </c>
      <c r="D68" s="648">
        <v>1</v>
      </c>
      <c r="E68" s="649">
        <v>25</v>
      </c>
      <c r="F68" s="648"/>
      <c r="G68" s="649"/>
      <c r="H68" s="650">
        <f>PRODUCT(C68:G68)</f>
        <v>25</v>
      </c>
      <c r="I68" s="766" t="s">
        <v>840</v>
      </c>
      <c r="J68" s="644"/>
      <c r="K68" s="644"/>
      <c r="L68" s="644"/>
    </row>
    <row r="69" spans="1:12" ht="18">
      <c r="A69" s="647"/>
      <c r="B69" s="764"/>
      <c r="C69" s="648"/>
      <c r="D69" s="648"/>
      <c r="E69" s="649"/>
      <c r="F69" s="649"/>
      <c r="G69" s="649"/>
      <c r="H69" s="652"/>
      <c r="I69" s="766"/>
      <c r="J69" s="644"/>
      <c r="K69" s="644"/>
      <c r="L69" s="644"/>
    </row>
    <row r="70" spans="1:12" ht="18">
      <c r="A70" s="647"/>
      <c r="B70" s="764"/>
      <c r="C70" s="648"/>
      <c r="D70" s="648"/>
      <c r="E70" s="649"/>
      <c r="F70" s="649"/>
      <c r="G70" s="649"/>
      <c r="H70" s="652"/>
      <c r="I70" s="766"/>
      <c r="J70" s="644"/>
      <c r="K70" s="644"/>
      <c r="L70" s="644"/>
    </row>
    <row r="71" spans="1:12" ht="18">
      <c r="A71" s="647"/>
      <c r="B71" s="764"/>
      <c r="C71" s="648"/>
      <c r="D71" s="648"/>
      <c r="E71" s="649"/>
      <c r="F71" s="649"/>
      <c r="G71" s="649"/>
      <c r="H71" s="652"/>
      <c r="I71" s="766"/>
      <c r="J71" s="644"/>
      <c r="K71" s="644"/>
      <c r="L71" s="644"/>
    </row>
    <row r="72" spans="1:12" ht="33" customHeight="1">
      <c r="A72" s="647">
        <v>12</v>
      </c>
      <c r="B72" s="1249" t="s">
        <v>3772</v>
      </c>
      <c r="C72" s="1249"/>
      <c r="D72" s="1249"/>
      <c r="E72" s="1249"/>
      <c r="F72" s="648"/>
      <c r="G72" s="649"/>
      <c r="H72" s="765"/>
      <c r="I72" s="766"/>
      <c r="J72" s="644"/>
      <c r="K72" s="644"/>
      <c r="L72" s="644"/>
    </row>
    <row r="73" spans="1:12" ht="18">
      <c r="A73" s="647"/>
      <c r="B73" s="768"/>
      <c r="C73" s="648">
        <v>1</v>
      </c>
      <c r="D73" s="648">
        <v>2</v>
      </c>
      <c r="E73" s="649"/>
      <c r="F73" s="648"/>
      <c r="G73" s="649"/>
      <c r="H73" s="765">
        <f>PRODUCT(C73:G73)</f>
        <v>2</v>
      </c>
      <c r="I73" s="766"/>
      <c r="J73" s="644"/>
      <c r="K73" s="644"/>
      <c r="L73" s="644"/>
    </row>
    <row r="74" spans="1:12" ht="18">
      <c r="A74" s="647"/>
      <c r="B74" s="651"/>
      <c r="C74" s="648"/>
      <c r="D74" s="648"/>
      <c r="E74" s="649"/>
      <c r="F74" s="649"/>
      <c r="G74" s="649"/>
      <c r="H74" s="650">
        <f>SUM(H73:H73)</f>
        <v>2</v>
      </c>
      <c r="I74" s="766" t="s">
        <v>1492</v>
      </c>
      <c r="J74" s="644"/>
      <c r="K74" s="644"/>
      <c r="L74" s="644"/>
    </row>
    <row r="75" spans="1:12" ht="19.5">
      <c r="A75" s="647"/>
      <c r="B75" s="761"/>
      <c r="C75" s="732"/>
      <c r="D75" s="733"/>
      <c r="E75" s="761"/>
      <c r="F75" s="761"/>
      <c r="G75" s="761"/>
      <c r="H75" s="761"/>
      <c r="I75" s="761"/>
    </row>
    <row r="76" spans="1:12" ht="19.5">
      <c r="A76" s="647">
        <v>13</v>
      </c>
      <c r="B76" s="1249" t="s">
        <v>3889</v>
      </c>
      <c r="C76" s="1249"/>
      <c r="D76" s="1249"/>
      <c r="E76" s="1249"/>
      <c r="F76" s="761"/>
      <c r="G76" s="761"/>
      <c r="H76" s="761"/>
      <c r="I76" s="761"/>
    </row>
    <row r="77" spans="1:12" ht="19.5">
      <c r="A77" s="761"/>
      <c r="B77" s="761" t="s">
        <v>3888</v>
      </c>
      <c r="C77" s="732">
        <v>1</v>
      </c>
      <c r="D77" s="733">
        <v>5</v>
      </c>
      <c r="E77" s="761">
        <v>3.4</v>
      </c>
      <c r="F77" s="761"/>
      <c r="G77" s="761"/>
      <c r="H77" s="650">
        <f>E77*D77*C77</f>
        <v>17</v>
      </c>
      <c r="I77" s="766" t="s">
        <v>840</v>
      </c>
    </row>
    <row r="78" spans="1:12" ht="19.5">
      <c r="A78" s="720"/>
      <c r="B78" s="720"/>
      <c r="C78" s="735"/>
      <c r="D78" s="736"/>
      <c r="E78" s="720"/>
      <c r="F78" s="720"/>
      <c r="G78" s="720"/>
      <c r="H78" s="720"/>
      <c r="I78" s="720"/>
    </row>
    <row r="79" spans="1:12" ht="19.5">
      <c r="A79" s="720"/>
      <c r="B79" s="720"/>
      <c r="C79" s="735"/>
      <c r="D79" s="736"/>
      <c r="E79" s="720"/>
      <c r="F79" s="720"/>
      <c r="G79" s="720"/>
      <c r="H79" s="720"/>
      <c r="I79" s="720"/>
    </row>
  </sheetData>
  <mergeCells count="12">
    <mergeCell ref="B7:E7"/>
    <mergeCell ref="A2:H3"/>
    <mergeCell ref="A5:A6"/>
    <mergeCell ref="B5:B6"/>
    <mergeCell ref="C5:D6"/>
    <mergeCell ref="E5:G5"/>
    <mergeCell ref="H5:H6"/>
    <mergeCell ref="B72:E72"/>
    <mergeCell ref="B45:D45"/>
    <mergeCell ref="B63:F63"/>
    <mergeCell ref="B67:E67"/>
    <mergeCell ref="B76:E76"/>
  </mergeCells>
  <pageMargins left="0.7" right="0.7" top="0.75" bottom="0.75" header="0.3" footer="0.3"/>
  <pageSetup scale="76" orientation="portrait" r:id="rId1"/>
</worksheet>
</file>

<file path=xl/worksheets/sheet14.xml><?xml version="1.0" encoding="utf-8"?>
<worksheet xmlns="http://schemas.openxmlformats.org/spreadsheetml/2006/main" xmlns:r="http://schemas.openxmlformats.org/officeDocument/2006/relationships">
  <dimension ref="A1:I22"/>
  <sheetViews>
    <sheetView view="pageBreakPreview" topLeftCell="A18" zoomScaleSheetLayoutView="100" workbookViewId="0">
      <selection activeCell="D18" sqref="D18"/>
    </sheetView>
  </sheetViews>
  <sheetFormatPr defaultRowHeight="19.5"/>
  <cols>
    <col min="1" max="2" width="8.88671875" style="745"/>
    <col min="3" max="3" width="19.88671875" style="745" customWidth="1"/>
    <col min="4" max="4" width="15" style="745" customWidth="1"/>
    <col min="5" max="5" width="12.44140625" style="745" customWidth="1"/>
    <col min="6" max="6" width="17.77734375" style="745" customWidth="1"/>
    <col min="7" max="16384" width="8.88671875" style="745"/>
  </cols>
  <sheetData>
    <row r="1" spans="1:9" ht="15.75" customHeight="1">
      <c r="A1" s="676"/>
      <c r="B1" s="747" t="s">
        <v>3896</v>
      </c>
      <c r="C1" s="747"/>
      <c r="D1" s="747"/>
      <c r="E1" s="747"/>
      <c r="F1" s="747"/>
      <c r="G1" s="747"/>
      <c r="H1" s="747"/>
      <c r="I1" s="747"/>
    </row>
    <row r="2" spans="1:9">
      <c r="A2" s="676"/>
      <c r="B2" s="747"/>
      <c r="C2" s="747"/>
      <c r="D2" s="747"/>
      <c r="E2" s="747"/>
      <c r="F2" s="747"/>
      <c r="G2" s="747"/>
      <c r="H2" s="747"/>
      <c r="I2" s="747"/>
    </row>
    <row r="3" spans="1:9">
      <c r="A3" s="678"/>
      <c r="B3" s="678"/>
      <c r="C3" s="1247" t="s">
        <v>3761</v>
      </c>
      <c r="D3" s="1248"/>
      <c r="E3" s="1248"/>
      <c r="F3" s="678"/>
    </row>
    <row r="4" spans="1:9">
      <c r="A4" s="680" t="s">
        <v>3747</v>
      </c>
      <c r="B4" s="680" t="s">
        <v>3762</v>
      </c>
      <c r="C4" s="680" t="s">
        <v>3763</v>
      </c>
      <c r="D4" s="681" t="s">
        <v>100</v>
      </c>
      <c r="E4" s="681" t="s">
        <v>3764</v>
      </c>
      <c r="F4" s="682" t="s">
        <v>994</v>
      </c>
    </row>
    <row r="5" spans="1:9" ht="75.75" customHeight="1">
      <c r="A5" s="680">
        <v>1</v>
      </c>
      <c r="B5" s="680"/>
      <c r="C5" s="697" t="s">
        <v>3891</v>
      </c>
      <c r="D5" s="681"/>
      <c r="E5" s="681"/>
      <c r="F5" s="682"/>
    </row>
    <row r="6" spans="1:9" ht="20.25">
      <c r="A6" s="680"/>
      <c r="B6" s="685">
        <f>'cycle shed D'!H12</f>
        <v>13.2</v>
      </c>
      <c r="C6" s="697" t="s">
        <v>2054</v>
      </c>
      <c r="D6" s="681">
        <f>Data!K88</f>
        <v>102.25</v>
      </c>
      <c r="E6" s="740" t="s">
        <v>1245</v>
      </c>
      <c r="F6" s="744">
        <f>B6*D6</f>
        <v>1349.7</v>
      </c>
    </row>
    <row r="7" spans="1:9" ht="20.25">
      <c r="A7" s="680"/>
      <c r="B7" s="680"/>
      <c r="C7" s="697"/>
      <c r="D7" s="681"/>
      <c r="E7" s="740"/>
      <c r="F7" s="744"/>
    </row>
    <row r="8" spans="1:9" ht="20.25">
      <c r="A8" s="680"/>
      <c r="B8" s="680"/>
      <c r="C8" s="697"/>
      <c r="D8" s="681"/>
      <c r="E8" s="740"/>
      <c r="F8" s="744"/>
    </row>
    <row r="9" spans="1:9" ht="42" customHeight="1">
      <c r="A9" s="680">
        <v>2</v>
      </c>
      <c r="B9" s="685">
        <f>'cycle shed D'!H20</f>
        <v>3.6</v>
      </c>
      <c r="C9" s="697" t="s">
        <v>1962</v>
      </c>
      <c r="D9" s="681">
        <f>'Bldg+Dev'!C22</f>
        <v>2798.38</v>
      </c>
      <c r="E9" s="740"/>
      <c r="F9" s="744">
        <f t="shared" ref="F9:F21" si="0">B9*D9</f>
        <v>10074.17</v>
      </c>
    </row>
    <row r="10" spans="1:9" ht="72" customHeight="1">
      <c r="A10" s="680">
        <v>3</v>
      </c>
      <c r="B10" s="685">
        <f>'cycle shed D'!H27</f>
        <v>1.7</v>
      </c>
      <c r="C10" s="691" t="s">
        <v>3875</v>
      </c>
      <c r="D10" s="681">
        <f>'Bldg+Dev'!C25</f>
        <v>4863.82</v>
      </c>
      <c r="E10" s="740" t="s">
        <v>1245</v>
      </c>
      <c r="F10" s="744">
        <f t="shared" si="0"/>
        <v>8268.49</v>
      </c>
    </row>
    <row r="11" spans="1:9" ht="86.25" customHeight="1">
      <c r="A11" s="680">
        <v>4</v>
      </c>
      <c r="B11" s="685">
        <f>'cycle shed D'!H34</f>
        <v>5.6</v>
      </c>
      <c r="C11" s="691" t="s">
        <v>3892</v>
      </c>
      <c r="D11" s="681">
        <f>'COMP A'!D16</f>
        <v>4108.6400000000003</v>
      </c>
      <c r="E11" s="740" t="s">
        <v>1245</v>
      </c>
      <c r="F11" s="744">
        <f t="shared" si="0"/>
        <v>23008.38</v>
      </c>
    </row>
    <row r="12" spans="1:9" ht="36.75" customHeight="1">
      <c r="A12" s="680">
        <v>5</v>
      </c>
      <c r="B12" s="685">
        <f>'cycle shed D'!H39</f>
        <v>4.7</v>
      </c>
      <c r="C12" s="697" t="s">
        <v>3884</v>
      </c>
      <c r="D12" s="681">
        <f>'Bldg+Dev'!C63</f>
        <v>2798.38</v>
      </c>
      <c r="E12" s="740" t="s">
        <v>1245</v>
      </c>
      <c r="F12" s="744"/>
    </row>
    <row r="13" spans="1:9" ht="36" customHeight="1">
      <c r="A13" s="680">
        <v>6</v>
      </c>
      <c r="B13" s="685">
        <f>'cycle shed D'!H49</f>
        <v>15.3</v>
      </c>
      <c r="C13" s="697" t="s">
        <v>1027</v>
      </c>
      <c r="D13" s="681">
        <f>'EW A'!D31</f>
        <v>150</v>
      </c>
      <c r="E13" s="740" t="s">
        <v>1918</v>
      </c>
      <c r="F13" s="744">
        <f t="shared" si="0"/>
        <v>2295</v>
      </c>
    </row>
    <row r="14" spans="1:9" ht="45" customHeight="1">
      <c r="A14" s="680">
        <v>7</v>
      </c>
      <c r="B14" s="685">
        <f>'cycle shed D'!H61</f>
        <v>19.399999999999999</v>
      </c>
      <c r="C14" s="697" t="s">
        <v>2024</v>
      </c>
      <c r="D14" s="681">
        <f>'COMP A'!D37</f>
        <v>92.23</v>
      </c>
      <c r="E14" s="740" t="s">
        <v>1918</v>
      </c>
      <c r="F14" s="744">
        <f t="shared" si="0"/>
        <v>1789.26</v>
      </c>
    </row>
    <row r="15" spans="1:9" ht="117" customHeight="1">
      <c r="A15" s="680">
        <v>8</v>
      </c>
      <c r="B15" s="680"/>
      <c r="C15" s="697" t="s">
        <v>270</v>
      </c>
      <c r="D15" s="681"/>
      <c r="E15" s="681"/>
      <c r="F15" s="744"/>
    </row>
    <row r="16" spans="1:9" ht="35.25" customHeight="1">
      <c r="A16" s="680"/>
      <c r="B16" s="680">
        <f>'cycle shed D'!H66</f>
        <v>2</v>
      </c>
      <c r="C16" s="697" t="s">
        <v>2216</v>
      </c>
      <c r="D16" s="681" t="e">
        <f>'COMP A'!D41</f>
        <v>#REF!</v>
      </c>
      <c r="E16" s="681" t="s">
        <v>1458</v>
      </c>
      <c r="F16" s="744" t="e">
        <f t="shared" si="0"/>
        <v>#REF!</v>
      </c>
    </row>
    <row r="17" spans="1:6" ht="115.5" customHeight="1">
      <c r="A17" s="680">
        <v>9</v>
      </c>
      <c r="B17" s="685">
        <f>'cycle shed D'!H68</f>
        <v>25</v>
      </c>
      <c r="C17" s="697" t="s">
        <v>3893</v>
      </c>
      <c r="D17" s="681">
        <f>'COMP A'!D43</f>
        <v>120</v>
      </c>
      <c r="E17" s="681" t="s">
        <v>840</v>
      </c>
      <c r="F17" s="744">
        <f t="shared" si="0"/>
        <v>3000</v>
      </c>
    </row>
    <row r="18" spans="1:6" ht="33.75" customHeight="1">
      <c r="A18" s="680">
        <v>10</v>
      </c>
      <c r="B18" s="685">
        <f>'cycle shed D'!H44</f>
        <v>20</v>
      </c>
      <c r="C18" s="697" t="s">
        <v>3774</v>
      </c>
      <c r="D18" s="681">
        <f>Data!K1241</f>
        <v>238.91</v>
      </c>
      <c r="E18" s="681" t="s">
        <v>2371</v>
      </c>
      <c r="F18" s="744">
        <f t="shared" si="0"/>
        <v>4778.2</v>
      </c>
    </row>
    <row r="19" spans="1:6" ht="53.25" customHeight="1">
      <c r="A19" s="680">
        <v>11</v>
      </c>
      <c r="B19" s="702">
        <f>'cycle shed D'!H55</f>
        <v>38.299999999999997</v>
      </c>
      <c r="C19" s="748" t="s">
        <v>3775</v>
      </c>
      <c r="D19" s="749">
        <v>1400</v>
      </c>
      <c r="E19" s="681" t="s">
        <v>2371</v>
      </c>
      <c r="F19" s="744">
        <f t="shared" si="0"/>
        <v>53620</v>
      </c>
    </row>
    <row r="20" spans="1:6" ht="53.25" customHeight="1">
      <c r="A20" s="680">
        <v>12</v>
      </c>
      <c r="B20" s="702">
        <f>'cycle shed D'!H74</f>
        <v>2</v>
      </c>
      <c r="C20" s="750" t="s">
        <v>3772</v>
      </c>
      <c r="D20" s="751">
        <f>'Bldg+Dev'!C193</f>
        <v>498</v>
      </c>
      <c r="E20" s="751" t="s">
        <v>1458</v>
      </c>
      <c r="F20" s="744">
        <f t="shared" si="0"/>
        <v>996</v>
      </c>
    </row>
    <row r="21" spans="1:6" ht="42" customHeight="1">
      <c r="A21" s="680">
        <v>13</v>
      </c>
      <c r="B21" s="702">
        <f>'cycle shed D'!H77</f>
        <v>17</v>
      </c>
      <c r="C21" s="752" t="s">
        <v>3889</v>
      </c>
      <c r="D21" s="751">
        <v>800</v>
      </c>
      <c r="E21" s="753" t="s">
        <v>840</v>
      </c>
      <c r="F21" s="744">
        <f t="shared" si="0"/>
        <v>13600</v>
      </c>
    </row>
    <row r="22" spans="1:6" ht="23.25" customHeight="1">
      <c r="A22" s="754"/>
      <c r="B22" s="705"/>
      <c r="C22" s="755"/>
      <c r="D22" s="692"/>
      <c r="E22" s="693"/>
      <c r="F22" s="716" t="e">
        <f>SUM(F6:F21)</f>
        <v>#REF!</v>
      </c>
    </row>
  </sheetData>
  <mergeCells count="1">
    <mergeCell ref="C3:E3"/>
  </mergeCells>
  <pageMargins left="0.7" right="0.7" top="0.75" bottom="0.75" header="0.3" footer="0.3"/>
  <pageSetup scale="91" orientation="portrait" r:id="rId1"/>
</worksheet>
</file>

<file path=xl/worksheets/sheet15.xml><?xml version="1.0" encoding="utf-8"?>
<worksheet xmlns="http://schemas.openxmlformats.org/spreadsheetml/2006/main" xmlns:r="http://schemas.openxmlformats.org/officeDocument/2006/relationships">
  <dimension ref="A1:G16"/>
  <sheetViews>
    <sheetView view="pageBreakPreview" topLeftCell="A7" zoomScale="115" zoomScaleSheetLayoutView="115" workbookViewId="0">
      <selection activeCell="I9" sqref="I9"/>
    </sheetView>
  </sheetViews>
  <sheetFormatPr defaultRowHeight="15.75"/>
  <cols>
    <col min="3" max="3" width="26.109375" customWidth="1"/>
    <col min="4" max="4" width="17.44140625" customWidth="1"/>
    <col min="6" max="6" width="17.6640625" customWidth="1"/>
    <col min="7" max="7" width="12.5546875" customWidth="1"/>
  </cols>
  <sheetData>
    <row r="1" spans="1:7" ht="35.25" customHeight="1">
      <c r="A1" s="1251" t="s">
        <v>3895</v>
      </c>
      <c r="B1" s="1251"/>
      <c r="C1" s="1251"/>
      <c r="D1" s="1251"/>
      <c r="E1" s="1251"/>
      <c r="F1" s="1251"/>
    </row>
    <row r="2" spans="1:7" ht="22.5">
      <c r="A2" s="1256" t="s">
        <v>1068</v>
      </c>
      <c r="B2" s="1256"/>
      <c r="C2" s="1256"/>
      <c r="D2" s="1256"/>
      <c r="E2" s="1256"/>
      <c r="F2" s="1256"/>
    </row>
    <row r="3" spans="1:7" ht="22.5">
      <c r="A3" s="1257"/>
      <c r="B3" s="1258"/>
      <c r="C3" s="1258"/>
      <c r="D3" s="1258"/>
      <c r="E3" s="1258"/>
      <c r="F3" s="1259"/>
    </row>
    <row r="4" spans="1:7" ht="22.5">
      <c r="A4" s="772" t="s">
        <v>1069</v>
      </c>
      <c r="B4" s="772" t="s">
        <v>1070</v>
      </c>
      <c r="C4" s="772" t="s">
        <v>1860</v>
      </c>
      <c r="D4" s="772" t="s">
        <v>100</v>
      </c>
      <c r="E4" s="772" t="s">
        <v>227</v>
      </c>
      <c r="F4" s="772" t="s">
        <v>994</v>
      </c>
    </row>
    <row r="5" spans="1:7" ht="30.75" customHeight="1">
      <c r="A5" s="772"/>
      <c r="B5" s="772"/>
      <c r="C5" s="772" t="s">
        <v>1071</v>
      </c>
      <c r="D5" s="773"/>
      <c r="E5" s="772"/>
      <c r="F5" s="773"/>
    </row>
    <row r="6" spans="1:7" ht="36.75" customHeight="1">
      <c r="A6" s="774">
        <v>1</v>
      </c>
      <c r="B6" s="775">
        <v>1</v>
      </c>
      <c r="C6" s="776" t="s">
        <v>3887</v>
      </c>
      <c r="D6" s="777" t="e">
        <f>'COMP A'!F52</f>
        <v>#REF!</v>
      </c>
      <c r="E6" s="778" t="s">
        <v>1072</v>
      </c>
      <c r="F6" s="779" t="e">
        <f>D6*B6</f>
        <v>#REF!</v>
      </c>
      <c r="G6" t="e">
        <f>D6</f>
        <v>#REF!</v>
      </c>
    </row>
    <row r="7" spans="1:7" ht="42">
      <c r="A7" s="774">
        <v>2</v>
      </c>
      <c r="B7" s="775">
        <v>1</v>
      </c>
      <c r="C7" s="776" t="s">
        <v>3886</v>
      </c>
      <c r="D7" s="777">
        <f>'EW A'!F32</f>
        <v>148400</v>
      </c>
      <c r="E7" s="780"/>
      <c r="F7" s="779">
        <f>D7*B7</f>
        <v>148400</v>
      </c>
      <c r="G7" t="e">
        <f>G6*0.3%</f>
        <v>#REF!</v>
      </c>
    </row>
    <row r="8" spans="1:7" ht="21">
      <c r="A8" s="774">
        <v>3</v>
      </c>
      <c r="B8" s="775">
        <v>1</v>
      </c>
      <c r="C8" s="776" t="s">
        <v>3885</v>
      </c>
      <c r="D8" s="777" t="e">
        <f>'cycle shed A'!F22</f>
        <v>#REF!</v>
      </c>
      <c r="E8" s="780"/>
      <c r="F8" s="779" t="e">
        <f>D8*B8</f>
        <v>#REF!</v>
      </c>
      <c r="G8" t="e">
        <f>G6*2.5%</f>
        <v>#REF!</v>
      </c>
    </row>
    <row r="9" spans="1:7" ht="24.75">
      <c r="A9" s="781"/>
      <c r="B9" s="782"/>
      <c r="C9" s="771" t="s">
        <v>3777</v>
      </c>
      <c r="D9" s="1260"/>
      <c r="E9" s="1261"/>
      <c r="F9" s="783" t="e">
        <f>SUM(F6:F8)</f>
        <v>#REF!</v>
      </c>
      <c r="G9" t="e">
        <f>G6*2.5%</f>
        <v>#REF!</v>
      </c>
    </row>
    <row r="10" spans="1:7" ht="42.75" customHeight="1">
      <c r="A10" s="781">
        <v>4</v>
      </c>
      <c r="B10" s="782"/>
      <c r="C10" s="784" t="s">
        <v>285</v>
      </c>
      <c r="D10" s="1254" t="s">
        <v>3894</v>
      </c>
      <c r="E10" s="1254"/>
      <c r="F10" s="779" t="e">
        <f>F9*0.3%</f>
        <v>#REF!</v>
      </c>
      <c r="G10" t="e">
        <f>G6*7.5%</f>
        <v>#REF!</v>
      </c>
    </row>
    <row r="11" spans="1:7" ht="42" customHeight="1">
      <c r="A11" s="781">
        <v>5</v>
      </c>
      <c r="B11" s="782"/>
      <c r="C11" s="784" t="s">
        <v>3778</v>
      </c>
      <c r="D11" s="1254" t="s">
        <v>3894</v>
      </c>
      <c r="E11" s="1254"/>
      <c r="F11" s="779" t="e">
        <f>F9*2.5%</f>
        <v>#REF!</v>
      </c>
      <c r="G11" t="e">
        <f>SUM(G6:G10)</f>
        <v>#REF!</v>
      </c>
    </row>
    <row r="12" spans="1:7" ht="33" customHeight="1">
      <c r="A12" s="781"/>
      <c r="B12" s="782"/>
      <c r="C12" s="784" t="s">
        <v>3779</v>
      </c>
      <c r="D12" s="1254" t="s">
        <v>3894</v>
      </c>
      <c r="E12" s="1254"/>
      <c r="F12" s="779" t="e">
        <f>F9*2.5%</f>
        <v>#REF!</v>
      </c>
    </row>
    <row r="13" spans="1:7" ht="24.75">
      <c r="A13" s="781"/>
      <c r="B13" s="782"/>
      <c r="C13" s="771"/>
      <c r="D13" s="1252"/>
      <c r="E13" s="1253"/>
      <c r="F13" s="783" t="e">
        <f>SUM(F9:F12)</f>
        <v>#REF!</v>
      </c>
    </row>
    <row r="14" spans="1:7" ht="46.5" customHeight="1">
      <c r="A14" s="781">
        <v>6</v>
      </c>
      <c r="B14" s="782"/>
      <c r="C14" s="784" t="s">
        <v>3332</v>
      </c>
      <c r="D14" s="1254" t="s">
        <v>3894</v>
      </c>
      <c r="E14" s="1254"/>
      <c r="F14" s="779" t="e">
        <f>F13*7.5%</f>
        <v>#REF!</v>
      </c>
    </row>
    <row r="15" spans="1:7" ht="24.75">
      <c r="A15" s="781"/>
      <c r="B15" s="782"/>
      <c r="C15" s="771" t="s">
        <v>3781</v>
      </c>
      <c r="D15" s="785"/>
      <c r="E15" s="785"/>
      <c r="F15" s="783" t="e">
        <f>SUM(F13:F14)+241.7</f>
        <v>#REF!</v>
      </c>
    </row>
    <row r="16" spans="1:7" ht="24.75">
      <c r="A16" s="781"/>
      <c r="B16" s="782"/>
      <c r="C16" s="784"/>
      <c r="D16" s="1255" t="s">
        <v>3780</v>
      </c>
      <c r="E16" s="1255"/>
      <c r="F16" s="783" t="e">
        <f>SUM(F15:F15)</f>
        <v>#REF!</v>
      </c>
    </row>
  </sheetData>
  <mergeCells count="10">
    <mergeCell ref="A1:F1"/>
    <mergeCell ref="D13:E13"/>
    <mergeCell ref="D14:E14"/>
    <mergeCell ref="D16:E16"/>
    <mergeCell ref="A2:F2"/>
    <mergeCell ref="A3:F3"/>
    <mergeCell ref="D9:E9"/>
    <mergeCell ref="D10:E10"/>
    <mergeCell ref="D11:E11"/>
    <mergeCell ref="D12:E12"/>
  </mergeCells>
  <pageMargins left="0.7" right="0.7" top="0.75" bottom="0.75" header="0.3" footer="0.3"/>
  <pageSetup scale="80" orientation="portrait" r:id="rId1"/>
</worksheet>
</file>

<file path=xl/worksheets/sheet16.xml><?xml version="1.0" encoding="utf-8"?>
<worksheet xmlns="http://schemas.openxmlformats.org/spreadsheetml/2006/main" xmlns:r="http://schemas.openxmlformats.org/officeDocument/2006/relationships">
  <dimension ref="A1:F16"/>
  <sheetViews>
    <sheetView view="pageBreakPreview" topLeftCell="A3" zoomScaleSheetLayoutView="100" workbookViewId="0">
      <selection activeCell="C11" sqref="C11"/>
    </sheetView>
  </sheetViews>
  <sheetFormatPr defaultRowHeight="15.75"/>
  <cols>
    <col min="1" max="1" width="5" customWidth="1"/>
    <col min="2" max="2" width="8" customWidth="1"/>
    <col min="3" max="3" width="37.5546875" customWidth="1"/>
    <col min="4" max="4" width="7.77734375" customWidth="1"/>
    <col min="5" max="5" width="6.88671875" customWidth="1"/>
    <col min="6" max="6" width="9.44140625" customWidth="1"/>
  </cols>
  <sheetData>
    <row r="1" spans="1:6" ht="42.75" customHeight="1">
      <c r="A1" s="1262" t="s">
        <v>4193</v>
      </c>
      <c r="B1" s="1263"/>
      <c r="C1" s="1263"/>
      <c r="D1" s="1263"/>
      <c r="E1" s="1263"/>
      <c r="F1" s="1264"/>
    </row>
    <row r="2" spans="1:6" ht="21" customHeight="1">
      <c r="A2" s="1205" t="s">
        <v>4189</v>
      </c>
      <c r="B2" s="1205"/>
      <c r="C2" s="1205"/>
      <c r="D2" s="1205"/>
      <c r="E2" s="1205"/>
      <c r="F2" s="1205"/>
    </row>
    <row r="3" spans="1:6" ht="24" customHeight="1">
      <c r="A3" s="878" t="s">
        <v>3747</v>
      </c>
      <c r="B3" s="879" t="s">
        <v>1070</v>
      </c>
      <c r="C3" s="879" t="s">
        <v>3748</v>
      </c>
      <c r="D3" s="879" t="s">
        <v>100</v>
      </c>
      <c r="E3" s="879" t="s">
        <v>3764</v>
      </c>
      <c r="F3" s="879" t="s">
        <v>994</v>
      </c>
    </row>
    <row r="4" spans="1:6" ht="64.5" customHeight="1">
      <c r="A4" s="822">
        <v>1</v>
      </c>
      <c r="B4" s="870"/>
      <c r="C4" s="862" t="s">
        <v>4142</v>
      </c>
      <c r="D4" s="870"/>
      <c r="E4" s="844"/>
      <c r="F4" s="844"/>
    </row>
    <row r="5" spans="1:6" ht="27.75" customHeight="1">
      <c r="A5" s="822"/>
      <c r="B5" s="870">
        <f>Road.Detailed!H10</f>
        <v>89.3</v>
      </c>
      <c r="C5" s="862" t="s">
        <v>4093</v>
      </c>
      <c r="D5" s="870">
        <f>[1]Data!$K$118</f>
        <v>50.6</v>
      </c>
      <c r="E5" s="844" t="s">
        <v>3902</v>
      </c>
      <c r="F5" s="844">
        <f>B5*D5</f>
        <v>4518.58</v>
      </c>
    </row>
    <row r="6" spans="1:6" ht="11.25" customHeight="1">
      <c r="A6" s="822"/>
      <c r="B6" s="860"/>
      <c r="C6" s="862"/>
      <c r="D6" s="861"/>
      <c r="E6" s="844"/>
      <c r="F6" s="844"/>
    </row>
    <row r="7" spans="1:6" ht="60">
      <c r="A7" s="822">
        <v>2</v>
      </c>
      <c r="B7" s="870">
        <f>Road.Detailed!H16</f>
        <v>41.9</v>
      </c>
      <c r="C7" s="850" t="s">
        <v>4094</v>
      </c>
      <c r="D7" s="870">
        <f>[1]Data!$K$203</f>
        <v>3073.98</v>
      </c>
      <c r="E7" s="844" t="s">
        <v>3902</v>
      </c>
      <c r="F7" s="844">
        <f t="shared" ref="F7:F15" si="0">B7*D7</f>
        <v>128799.76</v>
      </c>
    </row>
    <row r="8" spans="1:6" ht="9" customHeight="1">
      <c r="A8" s="822"/>
      <c r="B8" s="870"/>
      <c r="C8" s="862"/>
      <c r="D8" s="873"/>
      <c r="E8" s="844"/>
      <c r="F8" s="844"/>
    </row>
    <row r="9" spans="1:6" ht="45">
      <c r="A9" s="822">
        <v>3</v>
      </c>
      <c r="B9" s="870">
        <f>Road.Detailed!H22</f>
        <v>14</v>
      </c>
      <c r="C9" s="850" t="s">
        <v>4146</v>
      </c>
      <c r="D9" s="870">
        <f>[1]Data!$K$218</f>
        <v>4616.9399999999996</v>
      </c>
      <c r="E9" s="844" t="s">
        <v>3902</v>
      </c>
      <c r="F9" s="844">
        <f t="shared" si="0"/>
        <v>64637.16</v>
      </c>
    </row>
    <row r="10" spans="1:6" ht="9" customHeight="1">
      <c r="A10" s="822"/>
      <c r="B10" s="870"/>
      <c r="C10" s="862"/>
      <c r="D10" s="870"/>
      <c r="E10" s="871"/>
      <c r="F10" s="844"/>
    </row>
    <row r="11" spans="1:6" ht="30">
      <c r="A11" s="822">
        <v>4</v>
      </c>
      <c r="B11" s="870">
        <f>Road.Detailed!H27</f>
        <v>18.899999999999999</v>
      </c>
      <c r="C11" s="862" t="s">
        <v>4147</v>
      </c>
      <c r="D11" s="870">
        <f>[1]Data!$K$328</f>
        <v>430</v>
      </c>
      <c r="E11" s="871" t="s">
        <v>4121</v>
      </c>
      <c r="F11" s="844">
        <f t="shared" si="0"/>
        <v>8127</v>
      </c>
    </row>
    <row r="12" spans="1:6">
      <c r="A12" s="822"/>
      <c r="B12" s="870"/>
      <c r="C12" s="862"/>
      <c r="D12" s="870"/>
      <c r="E12" s="844"/>
      <c r="F12" s="844"/>
    </row>
    <row r="13" spans="1:6" ht="30">
      <c r="A13" s="822">
        <v>5</v>
      </c>
      <c r="B13" s="870">
        <f>Road.Detailed!H31</f>
        <v>124</v>
      </c>
      <c r="C13" s="850" t="s">
        <v>4148</v>
      </c>
      <c r="D13" s="870">
        <f>[1]Data!$K$1675</f>
        <v>182.07</v>
      </c>
      <c r="E13" s="844" t="s">
        <v>840</v>
      </c>
      <c r="F13" s="844">
        <f t="shared" si="0"/>
        <v>22576.68</v>
      </c>
    </row>
    <row r="14" spans="1:6">
      <c r="A14" s="822"/>
      <c r="B14" s="870"/>
      <c r="C14" s="862"/>
      <c r="D14" s="870"/>
      <c r="E14" s="844"/>
      <c r="F14" s="844"/>
    </row>
    <row r="15" spans="1:6" ht="30">
      <c r="A15" s="822">
        <v>6</v>
      </c>
      <c r="B15" s="870">
        <f>Road.Detailed!H37</f>
        <v>62</v>
      </c>
      <c r="C15" s="862" t="s">
        <v>4150</v>
      </c>
      <c r="D15" s="870">
        <f>[1]Data!$K$1482</f>
        <v>93.71</v>
      </c>
      <c r="E15" s="844" t="s">
        <v>4121</v>
      </c>
      <c r="F15" s="844">
        <f t="shared" si="0"/>
        <v>5810.02</v>
      </c>
    </row>
    <row r="16" spans="1:6" ht="21.75" customHeight="1">
      <c r="A16" s="822"/>
      <c r="B16" s="870"/>
      <c r="C16" s="875" t="s">
        <v>2332</v>
      </c>
      <c r="D16" s="870"/>
      <c r="E16" s="844"/>
      <c r="F16" s="820">
        <f>SUM(F5:F15)</f>
        <v>234469.2</v>
      </c>
    </row>
  </sheetData>
  <mergeCells count="2">
    <mergeCell ref="A1:F1"/>
    <mergeCell ref="A2:F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P33"/>
  <sheetViews>
    <sheetView view="pageBreakPreview" zoomScale="106" zoomScaleNormal="95" zoomScaleSheetLayoutView="106" workbookViewId="0">
      <selection activeCell="C19" sqref="C19"/>
    </sheetView>
  </sheetViews>
  <sheetFormatPr defaultRowHeight="15.75"/>
  <cols>
    <col min="1" max="1" width="3.88671875" customWidth="1"/>
    <col min="2" max="2" width="7" customWidth="1"/>
    <col min="3" max="3" width="36.109375" customWidth="1"/>
    <col min="4" max="4" width="7.88671875" customWidth="1"/>
    <col min="5" max="5" width="6.77734375" customWidth="1"/>
    <col min="6" max="6" width="12.33203125" customWidth="1"/>
    <col min="7" max="7" width="11" bestFit="1" customWidth="1"/>
    <col min="8" max="9" width="10" bestFit="1" customWidth="1"/>
  </cols>
  <sheetData>
    <row r="1" spans="1:16" ht="48.75" customHeight="1">
      <c r="A1" s="1262" t="s">
        <v>4133</v>
      </c>
      <c r="B1" s="1263"/>
      <c r="C1" s="1263"/>
      <c r="D1" s="1263"/>
      <c r="E1" s="1263"/>
      <c r="F1" s="1264"/>
      <c r="G1" s="812"/>
      <c r="H1" s="812"/>
      <c r="I1" s="243"/>
      <c r="J1" s="3"/>
      <c r="K1" s="3"/>
      <c r="L1" s="3"/>
      <c r="M1" s="3"/>
      <c r="N1" s="3"/>
      <c r="O1" s="3"/>
      <c r="P1" s="3"/>
    </row>
    <row r="2" spans="1:16" ht="24" customHeight="1">
      <c r="A2" s="1205" t="s">
        <v>4106</v>
      </c>
      <c r="B2" s="1205"/>
      <c r="C2" s="1205"/>
      <c r="D2" s="1205"/>
      <c r="E2" s="1205"/>
      <c r="F2" s="1205"/>
      <c r="H2" s="245"/>
      <c r="I2" s="245"/>
    </row>
    <row r="3" spans="1:16" ht="31.5">
      <c r="A3" s="880" t="s">
        <v>3747</v>
      </c>
      <c r="B3" s="888" t="s">
        <v>1070</v>
      </c>
      <c r="C3" s="888" t="s">
        <v>3748</v>
      </c>
      <c r="D3" s="888" t="s">
        <v>100</v>
      </c>
      <c r="E3" s="888" t="s">
        <v>3764</v>
      </c>
      <c r="F3" s="888" t="s">
        <v>994</v>
      </c>
      <c r="H3" s="848"/>
    </row>
    <row r="4" spans="1:16" ht="36" customHeight="1">
      <c r="A4" s="822">
        <v>1</v>
      </c>
      <c r="B4" s="870"/>
      <c r="C4" s="862" t="s">
        <v>4137</v>
      </c>
      <c r="D4" s="870"/>
      <c r="E4" s="844"/>
      <c r="F4" s="844"/>
      <c r="H4" s="848"/>
    </row>
    <row r="5" spans="1:16" ht="19.5" customHeight="1">
      <c r="A5" s="822"/>
      <c r="B5" s="870">
        <v>19</v>
      </c>
      <c r="C5" s="862" t="s">
        <v>4107</v>
      </c>
      <c r="D5" s="870">
        <v>275</v>
      </c>
      <c r="E5" s="844" t="s">
        <v>840</v>
      </c>
      <c r="F5" s="844">
        <f>B5*D5</f>
        <v>5225</v>
      </c>
      <c r="H5" s="848"/>
    </row>
    <row r="6" spans="1:16" ht="19.5" customHeight="1">
      <c r="A6" s="822"/>
      <c r="B6" s="870">
        <v>181</v>
      </c>
      <c r="C6" s="862" t="s">
        <v>4108</v>
      </c>
      <c r="D6" s="870">
        <v>295</v>
      </c>
      <c r="E6" s="844" t="s">
        <v>840</v>
      </c>
      <c r="F6" s="844">
        <f>B6*D6</f>
        <v>53395</v>
      </c>
      <c r="H6" s="848"/>
    </row>
    <row r="7" spans="1:16" ht="8.25" customHeight="1">
      <c r="A7" s="822"/>
      <c r="B7" s="860"/>
      <c r="C7" s="862"/>
      <c r="D7" s="861"/>
      <c r="E7" s="844"/>
      <c r="F7" s="844"/>
      <c r="H7" s="848"/>
    </row>
    <row r="8" spans="1:16" ht="33.75" customHeight="1">
      <c r="A8" s="822">
        <v>2</v>
      </c>
      <c r="B8" s="870">
        <v>12</v>
      </c>
      <c r="C8" s="862" t="s">
        <v>4138</v>
      </c>
      <c r="D8" s="870">
        <v>445</v>
      </c>
      <c r="E8" s="844" t="s">
        <v>840</v>
      </c>
      <c r="F8" s="844">
        <f t="shared" ref="F8:F27" si="0">B8*D8</f>
        <v>5340</v>
      </c>
      <c r="H8" s="848"/>
    </row>
    <row r="9" spans="1:16" ht="8.25" customHeight="1">
      <c r="A9" s="822"/>
      <c r="B9" s="870"/>
      <c r="C9" s="862"/>
      <c r="D9" s="873"/>
      <c r="E9" s="844"/>
      <c r="F9" s="844"/>
      <c r="H9" s="848"/>
    </row>
    <row r="10" spans="1:16" ht="45">
      <c r="A10" s="822">
        <v>3</v>
      </c>
      <c r="B10" s="870">
        <v>1</v>
      </c>
      <c r="C10" s="862" t="s">
        <v>4139</v>
      </c>
      <c r="D10" s="870">
        <v>29370</v>
      </c>
      <c r="E10" s="844" t="s">
        <v>1458</v>
      </c>
      <c r="F10" s="844">
        <f t="shared" si="0"/>
        <v>29370</v>
      </c>
      <c r="G10">
        <v>29370</v>
      </c>
      <c r="H10" s="848"/>
    </row>
    <row r="11" spans="1:16" ht="8.25" customHeight="1">
      <c r="A11" s="822"/>
      <c r="B11" s="870"/>
      <c r="C11" s="862"/>
      <c r="D11" s="870"/>
      <c r="E11" s="844"/>
      <c r="F11" s="844"/>
      <c r="H11" s="848"/>
    </row>
    <row r="12" spans="1:16" ht="36.75" customHeight="1">
      <c r="A12" s="822">
        <v>4</v>
      </c>
      <c r="B12" s="870">
        <v>1</v>
      </c>
      <c r="C12" s="850" t="s">
        <v>4109</v>
      </c>
      <c r="D12" s="870">
        <v>6210</v>
      </c>
      <c r="E12" s="844" t="s">
        <v>1458</v>
      </c>
      <c r="F12" s="844">
        <f t="shared" si="0"/>
        <v>6210</v>
      </c>
      <c r="G12">
        <v>6210</v>
      </c>
      <c r="H12" s="848"/>
    </row>
    <row r="13" spans="1:16" ht="8.25" customHeight="1">
      <c r="A13" s="822"/>
      <c r="B13" s="870"/>
      <c r="C13" s="850"/>
      <c r="D13" s="870"/>
      <c r="E13" s="844"/>
      <c r="F13" s="844"/>
      <c r="H13" s="848"/>
    </row>
    <row r="14" spans="1:16" ht="30">
      <c r="A14" s="822">
        <v>5</v>
      </c>
      <c r="B14" s="870">
        <v>240</v>
      </c>
      <c r="C14" s="850" t="s">
        <v>4110</v>
      </c>
      <c r="D14" s="870">
        <v>88</v>
      </c>
      <c r="E14" s="844" t="s">
        <v>840</v>
      </c>
      <c r="F14" s="844">
        <f t="shared" si="0"/>
        <v>21120</v>
      </c>
      <c r="H14" s="848"/>
    </row>
    <row r="15" spans="1:16" ht="8.25" customHeight="1">
      <c r="A15" s="822"/>
      <c r="B15" s="870"/>
      <c r="C15" s="850"/>
      <c r="D15" s="870"/>
      <c r="E15" s="844"/>
      <c r="F15" s="844"/>
      <c r="H15" s="848"/>
    </row>
    <row r="16" spans="1:16" ht="41.25" customHeight="1">
      <c r="A16" s="822">
        <v>6</v>
      </c>
      <c r="B16" s="870"/>
      <c r="C16" s="850" t="s">
        <v>4111</v>
      </c>
      <c r="D16" s="870"/>
      <c r="E16" s="844"/>
      <c r="F16" s="844"/>
      <c r="H16" s="848"/>
    </row>
    <row r="17" spans="1:9" ht="21.75" customHeight="1">
      <c r="A17" s="822"/>
      <c r="B17" s="870">
        <v>1</v>
      </c>
      <c r="C17" s="850" t="s">
        <v>4136</v>
      </c>
      <c r="D17" s="870">
        <v>127</v>
      </c>
      <c r="E17" s="844" t="s">
        <v>1458</v>
      </c>
      <c r="F17" s="844">
        <f t="shared" si="0"/>
        <v>127</v>
      </c>
      <c r="H17" s="848"/>
    </row>
    <row r="18" spans="1:9" ht="21.75" customHeight="1">
      <c r="A18" s="822"/>
      <c r="B18" s="870">
        <v>1</v>
      </c>
      <c r="C18" s="850" t="s">
        <v>4112</v>
      </c>
      <c r="D18" s="870">
        <v>900</v>
      </c>
      <c r="E18" s="844" t="s">
        <v>1458</v>
      </c>
      <c r="F18" s="844">
        <f t="shared" si="0"/>
        <v>900</v>
      </c>
      <c r="H18" s="848"/>
    </row>
    <row r="19" spans="1:9" ht="21.75" customHeight="1">
      <c r="A19" s="822"/>
      <c r="B19" s="870">
        <v>3</v>
      </c>
      <c r="C19" s="850" t="s">
        <v>4113</v>
      </c>
      <c r="D19" s="870">
        <v>157.6</v>
      </c>
      <c r="E19" s="844" t="s">
        <v>1458</v>
      </c>
      <c r="F19" s="844">
        <f t="shared" si="0"/>
        <v>472.8</v>
      </c>
      <c r="H19" s="848"/>
    </row>
    <row r="20" spans="1:9" ht="21.75" customHeight="1">
      <c r="A20" s="822"/>
      <c r="B20" s="870">
        <v>5</v>
      </c>
      <c r="C20" s="850" t="s">
        <v>4114</v>
      </c>
      <c r="D20" s="870">
        <v>72.75</v>
      </c>
      <c r="E20" s="844" t="s">
        <v>1458</v>
      </c>
      <c r="F20" s="844">
        <f t="shared" si="0"/>
        <v>363.75</v>
      </c>
      <c r="H20" s="848"/>
    </row>
    <row r="21" spans="1:9" ht="21.75" customHeight="1">
      <c r="A21" s="822"/>
      <c r="B21" s="870">
        <v>2</v>
      </c>
      <c r="C21" s="850" t="s">
        <v>4140</v>
      </c>
      <c r="D21" s="870">
        <v>18</v>
      </c>
      <c r="E21" s="844" t="s">
        <v>1458</v>
      </c>
      <c r="F21" s="844">
        <f t="shared" si="0"/>
        <v>36</v>
      </c>
      <c r="H21" s="848"/>
    </row>
    <row r="22" spans="1:9" ht="21.75" customHeight="1">
      <c r="A22" s="822"/>
      <c r="B22" s="870">
        <v>2</v>
      </c>
      <c r="C22" s="850" t="s">
        <v>4141</v>
      </c>
      <c r="D22" s="870">
        <v>18</v>
      </c>
      <c r="E22" s="844" t="s">
        <v>1458</v>
      </c>
      <c r="F22" s="844">
        <f t="shared" si="0"/>
        <v>36</v>
      </c>
      <c r="H22" s="848"/>
    </row>
    <row r="23" spans="1:9" ht="21.75" customHeight="1">
      <c r="A23" s="822"/>
      <c r="B23" s="870">
        <v>2</v>
      </c>
      <c r="C23" s="850" t="s">
        <v>4115</v>
      </c>
      <c r="D23" s="870">
        <v>48.5</v>
      </c>
      <c r="E23" s="844" t="s">
        <v>1458</v>
      </c>
      <c r="F23" s="844">
        <f t="shared" si="0"/>
        <v>97</v>
      </c>
      <c r="H23" s="848"/>
    </row>
    <row r="24" spans="1:9" ht="21.75" customHeight="1">
      <c r="A24" s="822"/>
      <c r="B24" s="870">
        <v>40</v>
      </c>
      <c r="C24" s="850" t="s">
        <v>4116</v>
      </c>
      <c r="D24" s="870">
        <f>[2]Data!$K$3471</f>
        <v>130.32</v>
      </c>
      <c r="E24" s="844" t="s">
        <v>840</v>
      </c>
      <c r="F24" s="844">
        <f t="shared" si="0"/>
        <v>5212.8</v>
      </c>
      <c r="H24" s="848"/>
    </row>
    <row r="25" spans="1:9" ht="21.75" customHeight="1">
      <c r="A25" s="822"/>
      <c r="B25" s="870">
        <v>40</v>
      </c>
      <c r="C25" s="850" t="s">
        <v>4117</v>
      </c>
      <c r="D25" s="870">
        <v>22.35</v>
      </c>
      <c r="E25" s="844" t="s">
        <v>840</v>
      </c>
      <c r="F25" s="844">
        <f t="shared" si="0"/>
        <v>894</v>
      </c>
      <c r="H25" s="848"/>
    </row>
    <row r="26" spans="1:9" ht="21.75" customHeight="1">
      <c r="A26" s="822"/>
      <c r="B26" s="870">
        <v>2</v>
      </c>
      <c r="C26" s="850" t="s">
        <v>4118</v>
      </c>
      <c r="D26" s="870">
        <v>25.4</v>
      </c>
      <c r="E26" s="844" t="s">
        <v>1458</v>
      </c>
      <c r="F26" s="844">
        <f t="shared" si="0"/>
        <v>50.8</v>
      </c>
      <c r="H26" s="848"/>
    </row>
    <row r="27" spans="1:9" ht="21.75" customHeight="1">
      <c r="A27" s="822"/>
      <c r="B27" s="870">
        <v>196</v>
      </c>
      <c r="C27" s="850" t="s">
        <v>4119</v>
      </c>
      <c r="D27" s="870">
        <v>76.3</v>
      </c>
      <c r="E27" s="844" t="s">
        <v>840</v>
      </c>
      <c r="F27" s="844">
        <f t="shared" si="0"/>
        <v>14954.8</v>
      </c>
      <c r="H27" s="848"/>
    </row>
    <row r="28" spans="1:9">
      <c r="A28" s="822"/>
      <c r="B28" s="870"/>
      <c r="C28" s="850"/>
      <c r="D28" s="870"/>
      <c r="E28" s="844"/>
      <c r="F28" s="844"/>
      <c r="H28" s="245"/>
      <c r="I28" s="244"/>
    </row>
    <row r="29" spans="1:9">
      <c r="A29" s="822"/>
      <c r="B29" s="870"/>
      <c r="C29" s="875" t="s">
        <v>2332</v>
      </c>
      <c r="D29" s="870"/>
      <c r="E29" s="844"/>
      <c r="F29" s="820">
        <f>SUM(F5:F28)</f>
        <v>143804.95000000001</v>
      </c>
      <c r="H29" s="245"/>
      <c r="I29" s="244"/>
    </row>
    <row r="30" spans="1:9">
      <c r="A30" s="822"/>
      <c r="B30" s="870"/>
      <c r="C30" s="875"/>
      <c r="D30" s="870"/>
      <c r="E30" s="844"/>
      <c r="F30" s="844"/>
      <c r="H30" s="245"/>
      <c r="I30" s="244"/>
    </row>
    <row r="31" spans="1:9">
      <c r="B31" s="245"/>
      <c r="C31" s="245"/>
      <c r="D31" s="874"/>
      <c r="E31" s="872"/>
      <c r="F31" s="859"/>
    </row>
    <row r="32" spans="1:9">
      <c r="B32" s="245"/>
      <c r="C32" s="245"/>
      <c r="D32" s="245"/>
      <c r="E32" s="859"/>
      <c r="F32" s="859"/>
    </row>
    <row r="33" spans="2:6">
      <c r="B33" s="245"/>
      <c r="C33" s="245"/>
      <c r="D33" s="245"/>
      <c r="E33" s="859"/>
      <c r="F33" s="859"/>
    </row>
  </sheetData>
  <mergeCells count="2">
    <mergeCell ref="A1:F1"/>
    <mergeCell ref="A2:F2"/>
  </mergeCells>
  <pageMargins left="0.7" right="0.15" top="0.5" bottom="0.2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dimension ref="A1:V346"/>
  <sheetViews>
    <sheetView showZeros="0" view="pageBreakPreview" topLeftCell="A113" zoomScaleNormal="40" zoomScaleSheetLayoutView="100" workbookViewId="0">
      <selection activeCell="C119" sqref="C119"/>
    </sheetView>
  </sheetViews>
  <sheetFormatPr defaultRowHeight="15.75"/>
  <cols>
    <col min="1" max="1" width="6.5546875" style="312" customWidth="1"/>
    <col min="2" max="2" width="43.44140625" style="304" customWidth="1"/>
    <col min="3" max="3" width="11" style="304" customWidth="1"/>
    <col min="4" max="4" width="9.44140625" style="304" customWidth="1"/>
    <col min="5" max="5" width="10.21875" style="304" customWidth="1"/>
    <col min="6" max="6" width="17.109375" style="304" customWidth="1"/>
    <col min="7" max="7" width="8.88671875" style="304"/>
    <col min="8" max="8" width="13" style="304" customWidth="1"/>
    <col min="9" max="9" width="10" style="304" customWidth="1"/>
    <col min="10" max="10" width="12.5546875" style="304" customWidth="1"/>
    <col min="11" max="11" width="8.88671875" style="304"/>
    <col min="12" max="12" width="13.21875" style="304" customWidth="1"/>
    <col min="13" max="13" width="9.77734375" style="304" hidden="1" customWidth="1"/>
    <col min="14" max="14" width="11.6640625" style="304" hidden="1" customWidth="1"/>
    <col min="15" max="15" width="11.44140625" style="304" customWidth="1"/>
    <col min="16" max="16" width="12.33203125" style="304" customWidth="1"/>
    <col min="17" max="17" width="10.109375" style="304" hidden="1" customWidth="1"/>
    <col min="18" max="18" width="11.33203125" style="304" hidden="1" customWidth="1"/>
    <col min="19" max="19" width="9.109375" style="304" bestFit="1" customWidth="1"/>
    <col min="20" max="20" width="13.77734375" style="304" customWidth="1"/>
    <col min="21" max="21" width="8.88671875" style="304"/>
    <col min="22" max="22" width="14.5546875" style="304" customWidth="1"/>
    <col min="23" max="24" width="8.88671875" style="304"/>
    <col min="25" max="25" width="9" style="304" bestFit="1" customWidth="1"/>
    <col min="26" max="16384" width="8.88671875" style="304"/>
  </cols>
  <sheetData>
    <row r="1" spans="1:22" ht="36" customHeight="1">
      <c r="A1" s="1267" t="s">
        <v>3331</v>
      </c>
      <c r="B1" s="1267"/>
      <c r="C1" s="1267"/>
      <c r="D1" s="1267"/>
      <c r="E1" s="1267"/>
      <c r="F1" s="1267"/>
      <c r="G1" s="1267"/>
      <c r="H1" s="1267"/>
      <c r="I1" s="1267"/>
      <c r="J1" s="1267"/>
      <c r="K1" s="1267"/>
      <c r="L1" s="1267"/>
      <c r="M1" s="1267"/>
      <c r="N1" s="1267"/>
      <c r="O1" s="1267"/>
      <c r="P1" s="1267"/>
      <c r="Q1" s="1267"/>
      <c r="R1" s="1267"/>
      <c r="S1" s="1267"/>
      <c r="T1" s="1267"/>
      <c r="U1" s="1267"/>
      <c r="V1" s="1267"/>
    </row>
    <row r="2" spans="1:22" ht="41.25" customHeight="1">
      <c r="A2" s="1268" t="s">
        <v>229</v>
      </c>
      <c r="B2" s="1270" t="s">
        <v>1860</v>
      </c>
      <c r="C2" s="1270" t="s">
        <v>100</v>
      </c>
      <c r="D2" s="1270" t="s">
        <v>227</v>
      </c>
      <c r="E2" s="1265" t="s">
        <v>3986</v>
      </c>
      <c r="F2" s="1272"/>
      <c r="G2" s="1265" t="s">
        <v>2095</v>
      </c>
      <c r="H2" s="1265"/>
      <c r="I2" s="1265" t="s">
        <v>2096</v>
      </c>
      <c r="J2" s="1265"/>
      <c r="K2" s="1265" t="s">
        <v>2097</v>
      </c>
      <c r="L2" s="1265"/>
      <c r="M2" s="1265" t="s">
        <v>2098</v>
      </c>
      <c r="N2" s="1265"/>
      <c r="O2" s="1265" t="s">
        <v>3601</v>
      </c>
      <c r="P2" s="1265"/>
      <c r="Q2" s="1265" t="s">
        <v>2250</v>
      </c>
      <c r="R2" s="1265"/>
      <c r="S2" s="1265" t="s">
        <v>2099</v>
      </c>
      <c r="T2" s="1265"/>
      <c r="U2" s="1265" t="s">
        <v>2157</v>
      </c>
      <c r="V2" s="1266"/>
    </row>
    <row r="3" spans="1:22" ht="29.25" customHeight="1">
      <c r="A3" s="1269"/>
      <c r="B3" s="1271"/>
      <c r="C3" s="1271"/>
      <c r="D3" s="1271"/>
      <c r="E3" s="313" t="s">
        <v>2185</v>
      </c>
      <c r="F3" s="313" t="s">
        <v>994</v>
      </c>
      <c r="G3" s="313" t="s">
        <v>2185</v>
      </c>
      <c r="H3" s="313" t="s">
        <v>994</v>
      </c>
      <c r="I3" s="313" t="s">
        <v>2185</v>
      </c>
      <c r="J3" s="313" t="s">
        <v>994</v>
      </c>
      <c r="K3" s="313" t="s">
        <v>2185</v>
      </c>
      <c r="L3" s="313" t="s">
        <v>994</v>
      </c>
      <c r="M3" s="313" t="s">
        <v>2185</v>
      </c>
      <c r="N3" s="313" t="s">
        <v>994</v>
      </c>
      <c r="O3" s="313" t="s">
        <v>2185</v>
      </c>
      <c r="P3" s="313" t="s">
        <v>994</v>
      </c>
      <c r="Q3" s="313" t="s">
        <v>2185</v>
      </c>
      <c r="R3" s="313" t="s">
        <v>994</v>
      </c>
      <c r="S3" s="120" t="s">
        <v>1070</v>
      </c>
      <c r="T3" s="120" t="s">
        <v>994</v>
      </c>
      <c r="U3" s="120" t="s">
        <v>1070</v>
      </c>
      <c r="V3" s="314" t="s">
        <v>994</v>
      </c>
    </row>
    <row r="4" spans="1:22" ht="15.75" customHeight="1">
      <c r="A4" s="306"/>
      <c r="B4" s="305"/>
      <c r="C4" s="307"/>
      <c r="D4" s="305"/>
      <c r="E4" s="283"/>
      <c r="F4" s="283"/>
      <c r="G4" s="283"/>
      <c r="H4" s="283"/>
      <c r="I4" s="283"/>
      <c r="J4" s="283"/>
      <c r="K4" s="283"/>
      <c r="L4" s="283"/>
      <c r="M4" s="283"/>
      <c r="N4" s="283"/>
      <c r="O4" s="283"/>
      <c r="P4" s="283"/>
      <c r="Q4" s="283"/>
      <c r="R4" s="283"/>
      <c r="S4" s="283"/>
      <c r="T4" s="283"/>
      <c r="U4" s="283"/>
      <c r="V4" s="308"/>
    </row>
    <row r="5" spans="1:22" ht="40.5" customHeight="1">
      <c r="A5" s="135">
        <v>1.1000000000000001</v>
      </c>
      <c r="B5" s="111" t="s">
        <v>2139</v>
      </c>
      <c r="C5" s="321"/>
      <c r="D5" s="318" t="s">
        <v>995</v>
      </c>
      <c r="E5" s="315"/>
      <c r="F5" s="315"/>
      <c r="G5" s="315"/>
      <c r="H5" s="315"/>
      <c r="I5" s="315"/>
      <c r="J5" s="315"/>
      <c r="K5" s="315"/>
      <c r="L5" s="315"/>
      <c r="M5" s="315"/>
      <c r="N5" s="315"/>
      <c r="O5" s="315"/>
      <c r="P5" s="315"/>
      <c r="Q5" s="315"/>
      <c r="R5" s="315"/>
      <c r="S5" s="315"/>
      <c r="T5" s="315"/>
      <c r="U5" s="319" t="s">
        <v>2338</v>
      </c>
      <c r="V5" s="322"/>
    </row>
    <row r="6" spans="1:22" ht="26.25" customHeight="1">
      <c r="A6" s="135"/>
      <c r="B6" s="111" t="s">
        <v>2054</v>
      </c>
      <c r="C6" s="315">
        <f>ROUND(Data!K88,2)</f>
        <v>102.25</v>
      </c>
      <c r="D6" s="318" t="s">
        <v>1245</v>
      </c>
      <c r="E6" s="315" t="e">
        <f>'Sullage Detailed'!#REF!</f>
        <v>#REF!</v>
      </c>
      <c r="F6" s="315" t="e">
        <f>+E6*C6</f>
        <v>#REF!</v>
      </c>
      <c r="G6" s="315"/>
      <c r="H6" s="315"/>
      <c r="I6" s="315"/>
      <c r="J6" s="315"/>
      <c r="K6" s="315"/>
      <c r="L6" s="315"/>
      <c r="M6" s="315"/>
      <c r="N6" s="315"/>
      <c r="O6" s="315"/>
      <c r="P6" s="315"/>
      <c r="Q6" s="315"/>
      <c r="R6" s="315"/>
      <c r="S6" s="315">
        <f>O6+K6+I6+G6</f>
        <v>0</v>
      </c>
      <c r="T6" s="315">
        <f>P6+L6+J6+H6</f>
        <v>0</v>
      </c>
      <c r="U6" s="315" t="e">
        <f>S6+E6</f>
        <v>#REF!</v>
      </c>
      <c r="V6" s="322" t="e">
        <f>T6+F6</f>
        <v>#REF!</v>
      </c>
    </row>
    <row r="7" spans="1:22" ht="20.100000000000001" customHeight="1">
      <c r="A7" s="135"/>
      <c r="B7" s="111" t="s">
        <v>733</v>
      </c>
      <c r="C7" s="315">
        <f>ROUND(Data!K89,2)</f>
        <v>106.45</v>
      </c>
      <c r="D7" s="318" t="s">
        <v>1245</v>
      </c>
      <c r="E7" s="316"/>
      <c r="F7" s="315">
        <f t="shared" ref="F7:F67" si="0">+E7*C7</f>
        <v>0</v>
      </c>
      <c r="G7" s="315"/>
      <c r="H7" s="315"/>
      <c r="I7" s="315"/>
      <c r="J7" s="315"/>
      <c r="K7" s="315"/>
      <c r="L7" s="315"/>
      <c r="M7" s="315"/>
      <c r="N7" s="315"/>
      <c r="O7" s="315"/>
      <c r="P7" s="315"/>
      <c r="Q7" s="315"/>
      <c r="R7" s="315"/>
      <c r="S7" s="315">
        <f t="shared" ref="S7:S40" si="1">O7+K7+I7+G7</f>
        <v>0</v>
      </c>
      <c r="T7" s="315">
        <f t="shared" ref="T7:T40" si="2">P7+L7+J7+H7</f>
        <v>0</v>
      </c>
      <c r="U7" s="315">
        <f t="shared" ref="U7:U40" si="3">S7+E7</f>
        <v>0</v>
      </c>
      <c r="V7" s="322">
        <f t="shared" ref="V7:V40" si="4">T7+F7</f>
        <v>0</v>
      </c>
    </row>
    <row r="8" spans="1:22" ht="41.25" customHeight="1">
      <c r="A8" s="135">
        <v>1.2</v>
      </c>
      <c r="B8" s="111" t="s">
        <v>2138</v>
      </c>
      <c r="C8" s="315"/>
      <c r="D8" s="318"/>
      <c r="E8" s="316"/>
      <c r="F8" s="315">
        <f t="shared" si="0"/>
        <v>0</v>
      </c>
      <c r="G8" s="315"/>
      <c r="H8" s="315"/>
      <c r="I8" s="315"/>
      <c r="J8" s="315"/>
      <c r="K8" s="315"/>
      <c r="L8" s="315"/>
      <c r="M8" s="315"/>
      <c r="N8" s="315"/>
      <c r="O8" s="315"/>
      <c r="P8" s="315"/>
      <c r="Q8" s="315"/>
      <c r="R8" s="315"/>
      <c r="S8" s="315">
        <f t="shared" si="1"/>
        <v>0</v>
      </c>
      <c r="T8" s="315">
        <f t="shared" si="2"/>
        <v>0</v>
      </c>
      <c r="U8" s="315">
        <f t="shared" si="3"/>
        <v>0</v>
      </c>
      <c r="V8" s="322">
        <f t="shared" si="4"/>
        <v>0</v>
      </c>
    </row>
    <row r="9" spans="1:22" ht="22.5" customHeight="1">
      <c r="A9" s="135"/>
      <c r="B9" s="111" t="s">
        <v>2054</v>
      </c>
      <c r="C9" s="315">
        <f>ROUND(Data!K90,2)</f>
        <v>96.6</v>
      </c>
      <c r="D9" s="318" t="s">
        <v>1245</v>
      </c>
      <c r="E9" s="316"/>
      <c r="F9" s="315">
        <f t="shared" si="0"/>
        <v>0</v>
      </c>
      <c r="G9" s="315">
        <v>15</v>
      </c>
      <c r="H9" s="315">
        <f>G9*C9</f>
        <v>1449</v>
      </c>
      <c r="I9" s="315"/>
      <c r="J9" s="315"/>
      <c r="K9" s="315"/>
      <c r="L9" s="315"/>
      <c r="M9" s="315"/>
      <c r="N9" s="315"/>
      <c r="O9" s="315"/>
      <c r="P9" s="315"/>
      <c r="Q9" s="315"/>
      <c r="R9" s="315"/>
      <c r="S9" s="315">
        <f t="shared" si="1"/>
        <v>15</v>
      </c>
      <c r="T9" s="315">
        <f t="shared" si="2"/>
        <v>1449</v>
      </c>
      <c r="U9" s="315">
        <f t="shared" si="3"/>
        <v>15</v>
      </c>
      <c r="V9" s="322">
        <f t="shared" si="4"/>
        <v>1449</v>
      </c>
    </row>
    <row r="10" spans="1:22" ht="20.100000000000001" customHeight="1">
      <c r="A10" s="135"/>
      <c r="B10" s="111" t="s">
        <v>733</v>
      </c>
      <c r="C10" s="315">
        <f>ROUND(Data!K91,2)</f>
        <v>100.8</v>
      </c>
      <c r="D10" s="318" t="s">
        <v>1245</v>
      </c>
      <c r="E10" s="316"/>
      <c r="F10" s="315">
        <f t="shared" si="0"/>
        <v>0</v>
      </c>
      <c r="G10" s="315">
        <v>3</v>
      </c>
      <c r="H10" s="315">
        <f t="shared" ref="H10:H70" si="5">G10*C10</f>
        <v>302.39999999999998</v>
      </c>
      <c r="I10" s="315"/>
      <c r="J10" s="315"/>
      <c r="K10" s="315"/>
      <c r="L10" s="315"/>
      <c r="M10" s="315"/>
      <c r="N10" s="315"/>
      <c r="O10" s="315"/>
      <c r="P10" s="315"/>
      <c r="Q10" s="315"/>
      <c r="R10" s="315"/>
      <c r="S10" s="315">
        <f t="shared" si="1"/>
        <v>3</v>
      </c>
      <c r="T10" s="315">
        <f t="shared" si="2"/>
        <v>302.39999999999998</v>
      </c>
      <c r="U10" s="315">
        <f t="shared" si="3"/>
        <v>3</v>
      </c>
      <c r="V10" s="322">
        <f t="shared" si="4"/>
        <v>302.39999999999998</v>
      </c>
    </row>
    <row r="11" spans="1:22" ht="42" customHeight="1">
      <c r="A11" s="135">
        <v>1.4</v>
      </c>
      <c r="B11" s="111" t="s">
        <v>2204</v>
      </c>
      <c r="C11" s="315"/>
      <c r="D11" s="318"/>
      <c r="E11" s="316"/>
      <c r="F11" s="315">
        <f t="shared" si="0"/>
        <v>0</v>
      </c>
      <c r="G11" s="315"/>
      <c r="H11" s="315">
        <f t="shared" si="5"/>
        <v>0</v>
      </c>
      <c r="I11" s="315"/>
      <c r="J11" s="315"/>
      <c r="K11" s="315"/>
      <c r="L11" s="315"/>
      <c r="M11" s="315"/>
      <c r="N11" s="315"/>
      <c r="O11" s="315"/>
      <c r="P11" s="315"/>
      <c r="Q11" s="315"/>
      <c r="R11" s="315"/>
      <c r="S11" s="315">
        <f t="shared" si="1"/>
        <v>0</v>
      </c>
      <c r="T11" s="315">
        <f t="shared" si="2"/>
        <v>0</v>
      </c>
      <c r="U11" s="315">
        <f t="shared" si="3"/>
        <v>0</v>
      </c>
      <c r="V11" s="322">
        <f t="shared" si="4"/>
        <v>0</v>
      </c>
    </row>
    <row r="12" spans="1:22" ht="20.100000000000001" customHeight="1">
      <c r="A12" s="135"/>
      <c r="B12" s="111" t="s">
        <v>2054</v>
      </c>
      <c r="C12" s="315">
        <f>ROUND(Data!K116,2)</f>
        <v>53.95</v>
      </c>
      <c r="D12" s="318" t="s">
        <v>1245</v>
      </c>
      <c r="E12" s="316"/>
      <c r="F12" s="315">
        <f t="shared" si="0"/>
        <v>0</v>
      </c>
      <c r="G12" s="315"/>
      <c r="H12" s="315">
        <f t="shared" si="5"/>
        <v>0</v>
      </c>
      <c r="I12" s="315"/>
      <c r="J12" s="315"/>
      <c r="K12" s="315">
        <f>'D.W.Detailed for CC road'!H8</f>
        <v>30.6</v>
      </c>
      <c r="L12" s="315">
        <f>K12*C12</f>
        <v>1650.87</v>
      </c>
      <c r="M12" s="315"/>
      <c r="N12" s="315"/>
      <c r="O12" s="315">
        <f>'DW.Detailed for Drain'!H8</f>
        <v>12.5</v>
      </c>
      <c r="P12" s="315">
        <f>O12*C12</f>
        <v>674.38</v>
      </c>
      <c r="Q12" s="315"/>
      <c r="R12" s="315"/>
      <c r="S12" s="315">
        <f t="shared" si="1"/>
        <v>43.1</v>
      </c>
      <c r="T12" s="315">
        <f t="shared" si="2"/>
        <v>2325.25</v>
      </c>
      <c r="U12" s="315">
        <f t="shared" si="3"/>
        <v>43.1</v>
      </c>
      <c r="V12" s="322">
        <f t="shared" si="4"/>
        <v>2325.25</v>
      </c>
    </row>
    <row r="13" spans="1:22" ht="20.100000000000001" customHeight="1">
      <c r="A13" s="135"/>
      <c r="B13" s="111" t="s">
        <v>733</v>
      </c>
      <c r="C13" s="315">
        <f>ROUND(Data!L116,2)</f>
        <v>58.15</v>
      </c>
      <c r="D13" s="318" t="s">
        <v>1245</v>
      </c>
      <c r="E13" s="316"/>
      <c r="F13" s="315">
        <f t="shared" si="0"/>
        <v>0</v>
      </c>
      <c r="G13" s="315"/>
      <c r="H13" s="315">
        <f t="shared" si="5"/>
        <v>0</v>
      </c>
      <c r="I13" s="315"/>
      <c r="J13" s="315"/>
      <c r="K13" s="315"/>
      <c r="L13" s="315">
        <f t="shared" ref="L13:L73" si="6">K13*C13</f>
        <v>0</v>
      </c>
      <c r="M13" s="315"/>
      <c r="N13" s="315"/>
      <c r="O13" s="315"/>
      <c r="P13" s="315">
        <f t="shared" ref="P13:P73" si="7">O13*C13</f>
        <v>0</v>
      </c>
      <c r="Q13" s="315"/>
      <c r="R13" s="315"/>
      <c r="S13" s="315">
        <f t="shared" si="1"/>
        <v>0</v>
      </c>
      <c r="T13" s="315">
        <f t="shared" si="2"/>
        <v>0</v>
      </c>
      <c r="U13" s="315">
        <f t="shared" si="3"/>
        <v>0</v>
      </c>
      <c r="V13" s="322">
        <f t="shared" si="4"/>
        <v>0</v>
      </c>
    </row>
    <row r="14" spans="1:22" ht="40.5" customHeight="1">
      <c r="A14" s="135">
        <v>1.5</v>
      </c>
      <c r="B14" s="111" t="s">
        <v>1371</v>
      </c>
      <c r="C14" s="315"/>
      <c r="D14" s="318" t="s">
        <v>995</v>
      </c>
      <c r="E14" s="316"/>
      <c r="F14" s="315">
        <f t="shared" si="0"/>
        <v>0</v>
      </c>
      <c r="G14" s="315"/>
      <c r="H14" s="315">
        <f t="shared" si="5"/>
        <v>0</v>
      </c>
      <c r="I14" s="315"/>
      <c r="J14" s="315"/>
      <c r="K14" s="315"/>
      <c r="L14" s="315">
        <f t="shared" si="6"/>
        <v>0</v>
      </c>
      <c r="M14" s="315"/>
      <c r="N14" s="315"/>
      <c r="O14" s="315"/>
      <c r="P14" s="315">
        <f t="shared" si="7"/>
        <v>0</v>
      </c>
      <c r="Q14" s="315"/>
      <c r="R14" s="315"/>
      <c r="S14" s="315">
        <f t="shared" si="1"/>
        <v>0</v>
      </c>
      <c r="T14" s="315">
        <f t="shared" si="2"/>
        <v>0</v>
      </c>
      <c r="U14" s="315">
        <f t="shared" si="3"/>
        <v>0</v>
      </c>
      <c r="V14" s="322">
        <f t="shared" si="4"/>
        <v>0</v>
      </c>
    </row>
    <row r="15" spans="1:22" ht="23.25" customHeight="1">
      <c r="A15" s="135"/>
      <c r="B15" s="111" t="s">
        <v>2054</v>
      </c>
      <c r="C15" s="315">
        <f>ROUND(Data!K118,2)</f>
        <v>48.3</v>
      </c>
      <c r="D15" s="318" t="s">
        <v>1245</v>
      </c>
      <c r="E15" s="316"/>
      <c r="F15" s="315">
        <f t="shared" si="0"/>
        <v>0</v>
      </c>
      <c r="G15" s="315"/>
      <c r="H15" s="315">
        <f t="shared" si="5"/>
        <v>0</v>
      </c>
      <c r="I15" s="315">
        <f>'D.W. Detailed for Septic Tank'!H10</f>
        <v>64</v>
      </c>
      <c r="J15" s="315">
        <f>+I15*C15</f>
        <v>3091.2</v>
      </c>
      <c r="K15" s="315"/>
      <c r="L15" s="315">
        <f t="shared" si="6"/>
        <v>0</v>
      </c>
      <c r="M15" s="315"/>
      <c r="N15" s="315"/>
      <c r="O15" s="315"/>
      <c r="P15" s="315">
        <f t="shared" si="7"/>
        <v>0</v>
      </c>
      <c r="Q15" s="315"/>
      <c r="R15" s="315"/>
      <c r="S15" s="315">
        <f t="shared" si="1"/>
        <v>64</v>
      </c>
      <c r="T15" s="315">
        <f t="shared" si="2"/>
        <v>3091.2</v>
      </c>
      <c r="U15" s="315">
        <f t="shared" si="3"/>
        <v>64</v>
      </c>
      <c r="V15" s="322">
        <f t="shared" si="4"/>
        <v>3091.2</v>
      </c>
    </row>
    <row r="16" spans="1:22" ht="35.1" customHeight="1">
      <c r="A16" s="135"/>
      <c r="B16" s="111" t="s">
        <v>733</v>
      </c>
      <c r="C16" s="315">
        <f>ROUND(Data!K119,2)</f>
        <v>52.5</v>
      </c>
      <c r="D16" s="318" t="s">
        <v>1245</v>
      </c>
      <c r="E16" s="316"/>
      <c r="F16" s="315">
        <f t="shared" si="0"/>
        <v>0</v>
      </c>
      <c r="G16" s="315"/>
      <c r="H16" s="315">
        <f t="shared" si="5"/>
        <v>0</v>
      </c>
      <c r="I16" s="315"/>
      <c r="J16" s="315">
        <f t="shared" ref="J16:J76" si="8">+I16*C16</f>
        <v>0</v>
      </c>
      <c r="K16" s="315"/>
      <c r="L16" s="315">
        <f t="shared" si="6"/>
        <v>0</v>
      </c>
      <c r="M16" s="315"/>
      <c r="N16" s="315"/>
      <c r="O16" s="315"/>
      <c r="P16" s="315">
        <f t="shared" si="7"/>
        <v>0</v>
      </c>
      <c r="Q16" s="315"/>
      <c r="R16" s="315"/>
      <c r="S16" s="315">
        <f t="shared" si="1"/>
        <v>0</v>
      </c>
      <c r="T16" s="315">
        <f t="shared" si="2"/>
        <v>0</v>
      </c>
      <c r="U16" s="315">
        <f t="shared" si="3"/>
        <v>0</v>
      </c>
      <c r="V16" s="322">
        <f t="shared" si="4"/>
        <v>0</v>
      </c>
    </row>
    <row r="17" spans="1:22" ht="24.75" customHeight="1">
      <c r="A17" s="135"/>
      <c r="B17" s="111" t="s">
        <v>733</v>
      </c>
      <c r="C17" s="315">
        <f>ROUND(Data!K129,2)</f>
        <v>76.13</v>
      </c>
      <c r="D17" s="318" t="s">
        <v>1245</v>
      </c>
      <c r="E17" s="316"/>
      <c r="F17" s="315">
        <f t="shared" si="0"/>
        <v>0</v>
      </c>
      <c r="G17" s="315"/>
      <c r="H17" s="315">
        <f t="shared" si="5"/>
        <v>0</v>
      </c>
      <c r="I17" s="315"/>
      <c r="J17" s="315">
        <f t="shared" si="8"/>
        <v>0</v>
      </c>
      <c r="K17" s="315"/>
      <c r="L17" s="315">
        <f t="shared" si="6"/>
        <v>0</v>
      </c>
      <c r="M17" s="315"/>
      <c r="N17" s="315"/>
      <c r="O17" s="315"/>
      <c r="P17" s="315">
        <f t="shared" si="7"/>
        <v>0</v>
      </c>
      <c r="Q17" s="315"/>
      <c r="R17" s="315"/>
      <c r="S17" s="315">
        <f t="shared" si="1"/>
        <v>0</v>
      </c>
      <c r="T17" s="315">
        <f t="shared" si="2"/>
        <v>0</v>
      </c>
      <c r="U17" s="315">
        <f t="shared" si="3"/>
        <v>0</v>
      </c>
      <c r="V17" s="322">
        <f t="shared" si="4"/>
        <v>0</v>
      </c>
    </row>
    <row r="18" spans="1:22" ht="24.75" customHeight="1">
      <c r="A18" s="135">
        <v>2.1</v>
      </c>
      <c r="B18" s="111" t="s">
        <v>928</v>
      </c>
      <c r="C18" s="315">
        <f>ROUND(Data!K143,2)</f>
        <v>755.94</v>
      </c>
      <c r="D18" s="318" t="s">
        <v>1245</v>
      </c>
      <c r="E18" s="315" t="e">
        <f>'Sullage Detailed'!#REF!</f>
        <v>#REF!</v>
      </c>
      <c r="F18" s="315" t="e">
        <f t="shared" si="0"/>
        <v>#REF!</v>
      </c>
      <c r="G18" s="315"/>
      <c r="H18" s="315">
        <f t="shared" si="5"/>
        <v>0</v>
      </c>
      <c r="I18" s="315">
        <f>'D.W. Detailed for Septic Tank'!H30</f>
        <v>1.8</v>
      </c>
      <c r="J18" s="315">
        <f t="shared" si="8"/>
        <v>1360.69</v>
      </c>
      <c r="K18" s="315">
        <f>'D.W.Detailed for CC road'!H12</f>
        <v>13.5</v>
      </c>
      <c r="L18" s="315">
        <f t="shared" si="6"/>
        <v>10205.19</v>
      </c>
      <c r="M18" s="315"/>
      <c r="N18" s="315"/>
      <c r="O18" s="315"/>
      <c r="P18" s="315">
        <f t="shared" si="7"/>
        <v>0</v>
      </c>
      <c r="Q18" s="315"/>
      <c r="R18" s="315"/>
      <c r="S18" s="315">
        <f t="shared" si="1"/>
        <v>15.3</v>
      </c>
      <c r="T18" s="315">
        <f t="shared" si="2"/>
        <v>11565.88</v>
      </c>
      <c r="U18" s="315" t="e">
        <f t="shared" si="3"/>
        <v>#REF!</v>
      </c>
      <c r="V18" s="322" t="e">
        <f t="shared" si="4"/>
        <v>#REF!</v>
      </c>
    </row>
    <row r="19" spans="1:22" ht="24" customHeight="1">
      <c r="A19" s="135">
        <v>2.2000000000000002</v>
      </c>
      <c r="B19" s="111" t="s">
        <v>233</v>
      </c>
      <c r="C19" s="315">
        <f>ROUND(Data!K160,2)</f>
        <v>776.91</v>
      </c>
      <c r="D19" s="318" t="s">
        <v>1245</v>
      </c>
      <c r="E19" s="316"/>
      <c r="F19" s="315">
        <f t="shared" si="0"/>
        <v>0</v>
      </c>
      <c r="G19" s="315"/>
      <c r="H19" s="315">
        <f t="shared" si="5"/>
        <v>0</v>
      </c>
      <c r="I19" s="315"/>
      <c r="J19" s="315">
        <f t="shared" si="8"/>
        <v>0</v>
      </c>
      <c r="K19" s="315"/>
      <c r="L19" s="315">
        <f t="shared" si="6"/>
        <v>0</v>
      </c>
      <c r="M19" s="315"/>
      <c r="N19" s="315"/>
      <c r="O19" s="315"/>
      <c r="P19" s="315">
        <f t="shared" si="7"/>
        <v>0</v>
      </c>
      <c r="Q19" s="315"/>
      <c r="R19" s="315"/>
      <c r="S19" s="315">
        <f t="shared" si="1"/>
        <v>0</v>
      </c>
      <c r="T19" s="315">
        <f t="shared" si="2"/>
        <v>0</v>
      </c>
      <c r="U19" s="315">
        <f t="shared" si="3"/>
        <v>0</v>
      </c>
      <c r="V19" s="322">
        <f t="shared" si="4"/>
        <v>0</v>
      </c>
    </row>
    <row r="20" spans="1:22" ht="24.75" customHeight="1">
      <c r="A20" s="135">
        <v>2.6</v>
      </c>
      <c r="B20" s="111" t="s">
        <v>475</v>
      </c>
      <c r="C20" s="315">
        <f>ROUND(Data!K170,2)</f>
        <v>934.74</v>
      </c>
      <c r="D20" s="318" t="s">
        <v>1245</v>
      </c>
      <c r="E20" s="316"/>
      <c r="F20" s="315">
        <f t="shared" si="0"/>
        <v>0</v>
      </c>
      <c r="G20" s="315"/>
      <c r="H20" s="315">
        <f t="shared" si="5"/>
        <v>0</v>
      </c>
      <c r="I20" s="315">
        <f>'D.W. Detailed for Septic Tank'!H24</f>
        <v>3.6</v>
      </c>
      <c r="J20" s="315">
        <f t="shared" si="8"/>
        <v>3365.06</v>
      </c>
      <c r="K20" s="315"/>
      <c r="L20" s="315">
        <f t="shared" si="6"/>
        <v>0</v>
      </c>
      <c r="M20" s="315"/>
      <c r="N20" s="315"/>
      <c r="O20" s="315"/>
      <c r="P20" s="315">
        <f t="shared" si="7"/>
        <v>0</v>
      </c>
      <c r="Q20" s="315"/>
      <c r="R20" s="315"/>
      <c r="S20" s="315">
        <f t="shared" si="1"/>
        <v>3.6</v>
      </c>
      <c r="T20" s="315">
        <f t="shared" si="2"/>
        <v>3365.06</v>
      </c>
      <c r="U20" s="315">
        <f t="shared" si="3"/>
        <v>3.6</v>
      </c>
      <c r="V20" s="322">
        <f t="shared" si="4"/>
        <v>3365.06</v>
      </c>
    </row>
    <row r="21" spans="1:22" ht="24.75" customHeight="1">
      <c r="A21" s="135">
        <v>2.7</v>
      </c>
      <c r="B21" s="111" t="s">
        <v>306</v>
      </c>
      <c r="C21" s="315">
        <f>ROUND(Data!K178,2)</f>
        <v>1253.74</v>
      </c>
      <c r="D21" s="318" t="s">
        <v>1245</v>
      </c>
      <c r="E21" s="316"/>
      <c r="F21" s="315">
        <f t="shared" si="0"/>
        <v>0</v>
      </c>
      <c r="G21" s="315"/>
      <c r="H21" s="315">
        <f t="shared" si="5"/>
        <v>0</v>
      </c>
      <c r="I21" s="315">
        <f>'D.W. Detailed for Septic Tank'!H27</f>
        <v>1.8</v>
      </c>
      <c r="J21" s="315">
        <f t="shared" si="8"/>
        <v>2256.73</v>
      </c>
      <c r="K21" s="315"/>
      <c r="L21" s="315">
        <f t="shared" si="6"/>
        <v>0</v>
      </c>
      <c r="M21" s="315"/>
      <c r="N21" s="315"/>
      <c r="O21" s="315"/>
      <c r="P21" s="315">
        <f t="shared" si="7"/>
        <v>0</v>
      </c>
      <c r="Q21" s="315"/>
      <c r="R21" s="315"/>
      <c r="S21" s="315">
        <f t="shared" si="1"/>
        <v>1.8</v>
      </c>
      <c r="T21" s="315">
        <f t="shared" si="2"/>
        <v>2256.73</v>
      </c>
      <c r="U21" s="315">
        <f t="shared" si="3"/>
        <v>1.8</v>
      </c>
      <c r="V21" s="322">
        <f t="shared" si="4"/>
        <v>2256.73</v>
      </c>
    </row>
    <row r="22" spans="1:22" ht="24.75" customHeight="1">
      <c r="A22" s="135">
        <v>3.1</v>
      </c>
      <c r="B22" s="111" t="s">
        <v>1962</v>
      </c>
      <c r="C22" s="315">
        <f>ROUND(Data!K203,2)</f>
        <v>2798.38</v>
      </c>
      <c r="D22" s="318" t="s">
        <v>1245</v>
      </c>
      <c r="E22" s="315" t="e">
        <f>'Sullage Detailed'!#REF!</f>
        <v>#REF!</v>
      </c>
      <c r="F22" s="315" t="e">
        <f t="shared" si="0"/>
        <v>#REF!</v>
      </c>
      <c r="G22" s="315">
        <v>0.8</v>
      </c>
      <c r="H22" s="845">
        <f t="shared" si="5"/>
        <v>2238.7040000000002</v>
      </c>
      <c r="I22" s="315">
        <f>'D.W. Detailed for Septic Tank'!H16</f>
        <v>4.5</v>
      </c>
      <c r="J22" s="845">
        <f t="shared" si="8"/>
        <v>12592.71</v>
      </c>
      <c r="K22" s="315">
        <f>'D.W.Detailed for CC road'!H16</f>
        <v>13.5</v>
      </c>
      <c r="L22" s="845">
        <f t="shared" si="6"/>
        <v>37778.129999999997</v>
      </c>
      <c r="M22" s="315"/>
      <c r="N22" s="315"/>
      <c r="O22" s="315">
        <f>'DW.Detailed for Drain'!H13</f>
        <v>6.5</v>
      </c>
      <c r="P22" s="845">
        <f t="shared" si="7"/>
        <v>18189.47</v>
      </c>
      <c r="Q22" s="315"/>
      <c r="R22" s="315"/>
      <c r="S22" s="315">
        <f t="shared" si="1"/>
        <v>25.3</v>
      </c>
      <c r="T22" s="845">
        <f t="shared" si="2"/>
        <v>70799.013999999996</v>
      </c>
      <c r="U22" s="315" t="e">
        <f t="shared" si="3"/>
        <v>#REF!</v>
      </c>
      <c r="V22" s="846" t="e">
        <f>T22+F22</f>
        <v>#REF!</v>
      </c>
    </row>
    <row r="23" spans="1:22" ht="39.75" customHeight="1">
      <c r="A23" s="135">
        <v>3.2</v>
      </c>
      <c r="B23" s="111" t="s">
        <v>2010</v>
      </c>
      <c r="C23" s="315">
        <f>ROUND(Data!K218,2)</f>
        <v>4174.12</v>
      </c>
      <c r="D23" s="318" t="s">
        <v>1245</v>
      </c>
      <c r="E23" s="316"/>
      <c r="F23" s="315">
        <f t="shared" si="0"/>
        <v>0</v>
      </c>
      <c r="G23" s="315"/>
      <c r="H23" s="315">
        <f t="shared" si="5"/>
        <v>0</v>
      </c>
      <c r="I23" s="315">
        <f>'D.W. Detailed for Septic Tank'!H21</f>
        <v>5</v>
      </c>
      <c r="J23" s="315">
        <f t="shared" si="8"/>
        <v>20870.599999999999</v>
      </c>
      <c r="K23" s="315">
        <f>'D.W.Detailed for CC road'!H19</f>
        <v>18</v>
      </c>
      <c r="L23" s="315">
        <f t="shared" si="6"/>
        <v>75134.16</v>
      </c>
      <c r="M23" s="315"/>
      <c r="N23" s="315"/>
      <c r="O23" s="315"/>
      <c r="P23" s="315">
        <f t="shared" si="7"/>
        <v>0</v>
      </c>
      <c r="Q23" s="315"/>
      <c r="R23" s="315"/>
      <c r="S23" s="315">
        <f t="shared" si="1"/>
        <v>23</v>
      </c>
      <c r="T23" s="315">
        <f t="shared" si="2"/>
        <v>96004.76</v>
      </c>
      <c r="U23" s="315">
        <f t="shared" si="3"/>
        <v>23</v>
      </c>
      <c r="V23" s="322">
        <f t="shared" si="4"/>
        <v>96004.76</v>
      </c>
    </row>
    <row r="24" spans="1:22" ht="26.25" customHeight="1">
      <c r="A24" s="135">
        <v>3.3</v>
      </c>
      <c r="B24" s="111" t="s">
        <v>2011</v>
      </c>
      <c r="C24" s="315">
        <f>ROUND(Data!K233,2)</f>
        <v>2306.3000000000002</v>
      </c>
      <c r="D24" s="318" t="s">
        <v>1245</v>
      </c>
      <c r="E24" s="316"/>
      <c r="F24" s="315">
        <f t="shared" si="0"/>
        <v>0</v>
      </c>
      <c r="G24" s="315"/>
      <c r="H24" s="315">
        <f t="shared" si="5"/>
        <v>0</v>
      </c>
      <c r="I24" s="315"/>
      <c r="J24" s="315">
        <f t="shared" si="8"/>
        <v>0</v>
      </c>
      <c r="K24" s="315"/>
      <c r="L24" s="315">
        <f t="shared" si="6"/>
        <v>0</v>
      </c>
      <c r="M24" s="315"/>
      <c r="N24" s="315"/>
      <c r="O24" s="315">
        <f>'DW.Detailed for Drain'!H27</f>
        <v>3</v>
      </c>
      <c r="P24" s="315">
        <f t="shared" si="7"/>
        <v>6918.9</v>
      </c>
      <c r="Q24" s="315"/>
      <c r="R24" s="315"/>
      <c r="S24" s="315">
        <f t="shared" si="1"/>
        <v>3</v>
      </c>
      <c r="T24" s="315">
        <f t="shared" si="2"/>
        <v>6918.9</v>
      </c>
      <c r="U24" s="315">
        <f t="shared" si="3"/>
        <v>3</v>
      </c>
      <c r="V24" s="322">
        <f t="shared" si="4"/>
        <v>6918.9</v>
      </c>
    </row>
    <row r="25" spans="1:22" ht="25.5" customHeight="1">
      <c r="A25" s="135">
        <v>4.0999999999999996</v>
      </c>
      <c r="B25" s="112" t="s">
        <v>231</v>
      </c>
      <c r="C25" s="315">
        <f>ROUND(Data!K284,2)</f>
        <v>4863.82</v>
      </c>
      <c r="D25" s="318" t="s">
        <v>1245</v>
      </c>
      <c r="E25" s="315" t="e">
        <f>'Sullage Detailed'!#REF!</f>
        <v>#REF!</v>
      </c>
      <c r="F25" s="315" t="e">
        <f t="shared" si="0"/>
        <v>#REF!</v>
      </c>
      <c r="G25" s="315">
        <v>3.4</v>
      </c>
      <c r="H25" s="315">
        <f t="shared" si="5"/>
        <v>16536.990000000002</v>
      </c>
      <c r="I25" s="315">
        <f>'D.W. Detailed for Septic Tank'!H57</f>
        <v>1.5</v>
      </c>
      <c r="J25" s="315">
        <f t="shared" si="8"/>
        <v>7295.73</v>
      </c>
      <c r="K25" s="315"/>
      <c r="L25" s="315">
        <f t="shared" si="6"/>
        <v>0</v>
      </c>
      <c r="M25" s="315"/>
      <c r="N25" s="315"/>
      <c r="O25" s="315"/>
      <c r="P25" s="315">
        <f t="shared" si="7"/>
        <v>0</v>
      </c>
      <c r="Q25" s="315"/>
      <c r="R25" s="315"/>
      <c r="S25" s="315">
        <f t="shared" si="1"/>
        <v>4.9000000000000004</v>
      </c>
      <c r="T25" s="315">
        <f t="shared" si="2"/>
        <v>23832.720000000001</v>
      </c>
      <c r="U25" s="315" t="e">
        <f t="shared" si="3"/>
        <v>#REF!</v>
      </c>
      <c r="V25" s="322" t="e">
        <f t="shared" si="4"/>
        <v>#REF!</v>
      </c>
    </row>
    <row r="26" spans="1:22" ht="26.25" customHeight="1">
      <c r="A26" s="135">
        <v>4.2</v>
      </c>
      <c r="B26" s="112" t="s">
        <v>1152</v>
      </c>
      <c r="C26" s="315">
        <f>Data!K783</f>
        <v>5466.94</v>
      </c>
      <c r="D26" s="318" t="s">
        <v>1245</v>
      </c>
      <c r="E26" s="316"/>
      <c r="F26" s="315">
        <f t="shared" si="0"/>
        <v>0</v>
      </c>
      <c r="G26" s="315">
        <v>1.3</v>
      </c>
      <c r="H26" s="315">
        <f t="shared" si="5"/>
        <v>7107.02</v>
      </c>
      <c r="I26" s="315"/>
      <c r="J26" s="315">
        <f t="shared" si="8"/>
        <v>0</v>
      </c>
      <c r="K26" s="315"/>
      <c r="L26" s="315">
        <f t="shared" si="6"/>
        <v>0</v>
      </c>
      <c r="M26" s="315"/>
      <c r="N26" s="315"/>
      <c r="O26" s="315"/>
      <c r="P26" s="315">
        <f t="shared" si="7"/>
        <v>0</v>
      </c>
      <c r="Q26" s="315"/>
      <c r="R26" s="315"/>
      <c r="S26" s="315">
        <f t="shared" si="1"/>
        <v>1.3</v>
      </c>
      <c r="T26" s="315">
        <f t="shared" si="2"/>
        <v>7107.02</v>
      </c>
      <c r="U26" s="315">
        <f t="shared" si="3"/>
        <v>1.3</v>
      </c>
      <c r="V26" s="322">
        <f t="shared" si="4"/>
        <v>7107.02</v>
      </c>
    </row>
    <row r="27" spans="1:22" ht="40.5" customHeight="1">
      <c r="A27" s="135">
        <v>5</v>
      </c>
      <c r="B27" s="111" t="s">
        <v>904</v>
      </c>
      <c r="C27" s="315">
        <f>ROUND(Data!K305,2)</f>
        <v>2783.51</v>
      </c>
      <c r="D27" s="318" t="s">
        <v>1245</v>
      </c>
      <c r="E27" s="316"/>
      <c r="F27" s="315">
        <f t="shared" si="0"/>
        <v>0</v>
      </c>
      <c r="G27" s="315"/>
      <c r="H27" s="315">
        <f t="shared" si="5"/>
        <v>0</v>
      </c>
      <c r="I27" s="315"/>
      <c r="J27" s="315">
        <f t="shared" si="8"/>
        <v>0</v>
      </c>
      <c r="K27" s="315"/>
      <c r="L27" s="315">
        <f t="shared" si="6"/>
        <v>0</v>
      </c>
      <c r="M27" s="315"/>
      <c r="N27" s="315"/>
      <c r="O27" s="315"/>
      <c r="P27" s="315">
        <f t="shared" si="7"/>
        <v>0</v>
      </c>
      <c r="Q27" s="315"/>
      <c r="R27" s="315"/>
      <c r="S27" s="315">
        <f t="shared" si="1"/>
        <v>0</v>
      </c>
      <c r="T27" s="315">
        <f t="shared" si="2"/>
        <v>0</v>
      </c>
      <c r="U27" s="315">
        <f t="shared" si="3"/>
        <v>0</v>
      </c>
      <c r="V27" s="322">
        <f t="shared" si="4"/>
        <v>0</v>
      </c>
    </row>
    <row r="28" spans="1:22" ht="51.75" customHeight="1">
      <c r="A28" s="135">
        <v>6.2</v>
      </c>
      <c r="B28" s="112" t="s">
        <v>3310</v>
      </c>
      <c r="C28" s="315">
        <f>Data!K320</f>
        <v>4076.14</v>
      </c>
      <c r="D28" s="318" t="s">
        <v>1245</v>
      </c>
      <c r="E28" s="315" t="e">
        <f>'Sullage Detailed'!#REF!</f>
        <v>#REF!</v>
      </c>
      <c r="F28" s="315" t="e">
        <f t="shared" si="0"/>
        <v>#REF!</v>
      </c>
      <c r="G28" s="315"/>
      <c r="H28" s="315">
        <f t="shared" si="5"/>
        <v>0</v>
      </c>
      <c r="I28" s="315">
        <f>'D.W. Detailed for Septic Tank'!H40</f>
        <v>22</v>
      </c>
      <c r="J28" s="315">
        <f t="shared" si="8"/>
        <v>89675.08</v>
      </c>
      <c r="K28" s="315"/>
      <c r="L28" s="315">
        <f t="shared" si="6"/>
        <v>0</v>
      </c>
      <c r="M28" s="315"/>
      <c r="N28" s="315"/>
      <c r="O28" s="315">
        <f>'DW.Detailed for Drain'!H18</f>
        <v>4.5999999999999996</v>
      </c>
      <c r="P28" s="315">
        <f t="shared" si="7"/>
        <v>18750.240000000002</v>
      </c>
      <c r="Q28" s="315"/>
      <c r="R28" s="315"/>
      <c r="S28" s="315">
        <f t="shared" si="1"/>
        <v>26.6</v>
      </c>
      <c r="T28" s="315">
        <f t="shared" si="2"/>
        <v>108425.32</v>
      </c>
      <c r="U28" s="315" t="e">
        <f t="shared" si="3"/>
        <v>#REF!</v>
      </c>
      <c r="V28" s="322" t="e">
        <f t="shared" si="4"/>
        <v>#REF!</v>
      </c>
    </row>
    <row r="29" spans="1:22" ht="43.5" customHeight="1">
      <c r="A29" s="135">
        <v>7.2</v>
      </c>
      <c r="B29" s="111" t="s">
        <v>1313</v>
      </c>
      <c r="C29" s="315">
        <f>ROUND(Data!K328,2)</f>
        <v>430</v>
      </c>
      <c r="D29" s="318" t="s">
        <v>1918</v>
      </c>
      <c r="E29" s="316"/>
      <c r="F29" s="315">
        <f t="shared" si="0"/>
        <v>0</v>
      </c>
      <c r="G29" s="315"/>
      <c r="H29" s="315">
        <f t="shared" si="5"/>
        <v>0</v>
      </c>
      <c r="I29" s="315"/>
      <c r="J29" s="315">
        <f t="shared" si="8"/>
        <v>0</v>
      </c>
      <c r="K29" s="315">
        <f>'D.W.Detailed for CC road'!H22</f>
        <v>7.2</v>
      </c>
      <c r="L29" s="315">
        <f t="shared" si="6"/>
        <v>3096</v>
      </c>
      <c r="M29" s="315"/>
      <c r="N29" s="315"/>
      <c r="O29" s="315"/>
      <c r="P29" s="315">
        <f t="shared" si="7"/>
        <v>0</v>
      </c>
      <c r="Q29" s="315"/>
      <c r="R29" s="315"/>
      <c r="S29" s="315">
        <f t="shared" si="1"/>
        <v>7.2</v>
      </c>
      <c r="T29" s="315">
        <f t="shared" si="2"/>
        <v>3096</v>
      </c>
      <c r="U29" s="315">
        <f t="shared" si="3"/>
        <v>7.2</v>
      </c>
      <c r="V29" s="322">
        <f t="shared" si="4"/>
        <v>3096</v>
      </c>
    </row>
    <row r="30" spans="1:22" ht="43.5" customHeight="1">
      <c r="A30" s="135">
        <v>7.3</v>
      </c>
      <c r="B30" s="112" t="s">
        <v>2205</v>
      </c>
      <c r="C30" s="315">
        <f>ROUND(Data!K489,2)</f>
        <v>150.31</v>
      </c>
      <c r="D30" s="318" t="s">
        <v>1918</v>
      </c>
      <c r="E30" s="316"/>
      <c r="F30" s="315">
        <f t="shared" si="0"/>
        <v>0</v>
      </c>
      <c r="G30" s="315"/>
      <c r="H30" s="315">
        <f t="shared" si="5"/>
        <v>0</v>
      </c>
      <c r="I30" s="315"/>
      <c r="J30" s="315">
        <f t="shared" si="8"/>
        <v>0</v>
      </c>
      <c r="K30" s="315"/>
      <c r="L30" s="315">
        <f t="shared" si="6"/>
        <v>0</v>
      </c>
      <c r="M30" s="315"/>
      <c r="N30" s="315"/>
      <c r="O30" s="315"/>
      <c r="P30" s="315">
        <f t="shared" si="7"/>
        <v>0</v>
      </c>
      <c r="Q30" s="315"/>
      <c r="R30" s="315"/>
      <c r="S30" s="315">
        <f t="shared" si="1"/>
        <v>0</v>
      </c>
      <c r="T30" s="315">
        <f t="shared" si="2"/>
        <v>0</v>
      </c>
      <c r="U30" s="315">
        <f t="shared" si="3"/>
        <v>0</v>
      </c>
      <c r="V30" s="322">
        <f t="shared" si="4"/>
        <v>0</v>
      </c>
    </row>
    <row r="31" spans="1:22" ht="26.25" customHeight="1">
      <c r="A31" s="135">
        <v>8.1</v>
      </c>
      <c r="B31" s="112" t="s">
        <v>597</v>
      </c>
      <c r="C31" s="315"/>
      <c r="D31" s="318"/>
      <c r="E31" s="316"/>
      <c r="F31" s="315">
        <f t="shared" si="0"/>
        <v>0</v>
      </c>
      <c r="G31" s="315"/>
      <c r="H31" s="315">
        <f t="shared" si="5"/>
        <v>0</v>
      </c>
      <c r="I31" s="315"/>
      <c r="J31" s="315">
        <f t="shared" si="8"/>
        <v>0</v>
      </c>
      <c r="K31" s="315"/>
      <c r="L31" s="315">
        <f t="shared" si="6"/>
        <v>0</v>
      </c>
      <c r="M31" s="315"/>
      <c r="N31" s="315"/>
      <c r="O31" s="315"/>
      <c r="P31" s="315">
        <f t="shared" si="7"/>
        <v>0</v>
      </c>
      <c r="Q31" s="315"/>
      <c r="R31" s="315"/>
      <c r="S31" s="315">
        <f t="shared" si="1"/>
        <v>0</v>
      </c>
      <c r="T31" s="315">
        <f t="shared" si="2"/>
        <v>0</v>
      </c>
      <c r="U31" s="315">
        <f t="shared" si="3"/>
        <v>0</v>
      </c>
      <c r="V31" s="322">
        <f t="shared" si="4"/>
        <v>0</v>
      </c>
    </row>
    <row r="32" spans="1:22" ht="20.100000000000001" customHeight="1">
      <c r="A32" s="135"/>
      <c r="B32" s="111" t="s">
        <v>1310</v>
      </c>
      <c r="C32" s="315">
        <f>ROUND(Data!K286,2)</f>
        <v>4908.47</v>
      </c>
      <c r="D32" s="318" t="s">
        <v>1245</v>
      </c>
      <c r="E32" s="315" t="e">
        <f>'Sullage Detailed'!#REF!</f>
        <v>#REF!</v>
      </c>
      <c r="F32" s="315" t="e">
        <f t="shared" si="0"/>
        <v>#REF!</v>
      </c>
      <c r="G32" s="315"/>
      <c r="H32" s="315">
        <f t="shared" si="5"/>
        <v>0</v>
      </c>
      <c r="I32" s="315"/>
      <c r="J32" s="315">
        <f t="shared" si="8"/>
        <v>0</v>
      </c>
      <c r="K32" s="315"/>
      <c r="L32" s="315">
        <f t="shared" si="6"/>
        <v>0</v>
      </c>
      <c r="M32" s="315"/>
      <c r="N32" s="315"/>
      <c r="O32" s="315"/>
      <c r="P32" s="315">
        <f t="shared" si="7"/>
        <v>0</v>
      </c>
      <c r="Q32" s="315"/>
      <c r="R32" s="315"/>
      <c r="S32" s="315">
        <f t="shared" si="1"/>
        <v>0</v>
      </c>
      <c r="T32" s="315">
        <f t="shared" si="2"/>
        <v>0</v>
      </c>
      <c r="U32" s="315" t="e">
        <f t="shared" si="3"/>
        <v>#REF!</v>
      </c>
      <c r="V32" s="322" t="e">
        <f t="shared" si="4"/>
        <v>#REF!</v>
      </c>
    </row>
    <row r="33" spans="1:22" ht="20.100000000000001" customHeight="1">
      <c r="A33" s="135"/>
      <c r="B33" s="111" t="s">
        <v>1446</v>
      </c>
      <c r="C33" s="315">
        <f>ROUND(Data!K287,2)</f>
        <v>4997.47</v>
      </c>
      <c r="D33" s="318" t="s">
        <v>1245</v>
      </c>
      <c r="E33" s="315"/>
      <c r="F33" s="315">
        <f t="shared" si="0"/>
        <v>0</v>
      </c>
      <c r="G33" s="315"/>
      <c r="H33" s="315">
        <f t="shared" si="5"/>
        <v>0</v>
      </c>
      <c r="I33" s="315"/>
      <c r="J33" s="315">
        <f t="shared" si="8"/>
        <v>0</v>
      </c>
      <c r="K33" s="315"/>
      <c r="L33" s="315">
        <f t="shared" si="6"/>
        <v>0</v>
      </c>
      <c r="M33" s="315"/>
      <c r="N33" s="315"/>
      <c r="O33" s="315"/>
      <c r="P33" s="315">
        <f t="shared" si="7"/>
        <v>0</v>
      </c>
      <c r="Q33" s="315"/>
      <c r="R33" s="315"/>
      <c r="S33" s="315">
        <f t="shared" si="1"/>
        <v>0</v>
      </c>
      <c r="T33" s="315">
        <f t="shared" si="2"/>
        <v>0</v>
      </c>
      <c r="U33" s="315">
        <f t="shared" si="3"/>
        <v>0</v>
      </c>
      <c r="V33" s="322">
        <f t="shared" si="4"/>
        <v>0</v>
      </c>
    </row>
    <row r="34" spans="1:22" ht="20.100000000000001" customHeight="1">
      <c r="A34" s="135"/>
      <c r="B34" s="111" t="s">
        <v>1495</v>
      </c>
      <c r="C34" s="315">
        <f>ROUND(Data!K288,2)</f>
        <v>5086.47</v>
      </c>
      <c r="D34" s="318" t="s">
        <v>1245</v>
      </c>
      <c r="E34" s="315"/>
      <c r="F34" s="315">
        <f t="shared" si="0"/>
        <v>0</v>
      </c>
      <c r="G34" s="315"/>
      <c r="H34" s="315">
        <f t="shared" si="5"/>
        <v>0</v>
      </c>
      <c r="I34" s="315"/>
      <c r="J34" s="315">
        <f t="shared" si="8"/>
        <v>0</v>
      </c>
      <c r="K34" s="315"/>
      <c r="L34" s="315">
        <f t="shared" si="6"/>
        <v>0</v>
      </c>
      <c r="M34" s="315"/>
      <c r="N34" s="315"/>
      <c r="O34" s="315"/>
      <c r="P34" s="315">
        <f t="shared" si="7"/>
        <v>0</v>
      </c>
      <c r="Q34" s="315"/>
      <c r="R34" s="315"/>
      <c r="S34" s="315">
        <f t="shared" si="1"/>
        <v>0</v>
      </c>
      <c r="T34" s="315">
        <f t="shared" si="2"/>
        <v>0</v>
      </c>
      <c r="U34" s="315">
        <f t="shared" si="3"/>
        <v>0</v>
      </c>
      <c r="V34" s="322">
        <f t="shared" si="4"/>
        <v>0</v>
      </c>
    </row>
    <row r="35" spans="1:22" ht="20.100000000000001" customHeight="1">
      <c r="A35" s="135"/>
      <c r="B35" s="111" t="s">
        <v>1382</v>
      </c>
      <c r="C35" s="315">
        <f>ROUND(Data!K289,2)</f>
        <v>5175.47</v>
      </c>
      <c r="D35" s="318" t="s">
        <v>1245</v>
      </c>
      <c r="E35" s="315"/>
      <c r="F35" s="315">
        <f t="shared" si="0"/>
        <v>0</v>
      </c>
      <c r="G35" s="315"/>
      <c r="H35" s="315">
        <f t="shared" si="5"/>
        <v>0</v>
      </c>
      <c r="I35" s="315"/>
      <c r="J35" s="315">
        <f t="shared" si="8"/>
        <v>0</v>
      </c>
      <c r="K35" s="315"/>
      <c r="L35" s="315">
        <f t="shared" si="6"/>
        <v>0</v>
      </c>
      <c r="M35" s="315"/>
      <c r="N35" s="315"/>
      <c r="O35" s="315"/>
      <c r="P35" s="315">
        <f t="shared" si="7"/>
        <v>0</v>
      </c>
      <c r="Q35" s="315"/>
      <c r="R35" s="315"/>
      <c r="S35" s="315">
        <f t="shared" si="1"/>
        <v>0</v>
      </c>
      <c r="T35" s="315">
        <f t="shared" si="2"/>
        <v>0</v>
      </c>
      <c r="U35" s="315">
        <f t="shared" si="3"/>
        <v>0</v>
      </c>
      <c r="V35" s="322">
        <f t="shared" si="4"/>
        <v>0</v>
      </c>
    </row>
    <row r="36" spans="1:22" ht="26.25" customHeight="1">
      <c r="A36" s="309"/>
      <c r="B36" s="111" t="s">
        <v>1118</v>
      </c>
      <c r="C36" s="315">
        <f>ROUND(Data!K290,2)</f>
        <v>5264.47</v>
      </c>
      <c r="D36" s="318" t="s">
        <v>1245</v>
      </c>
      <c r="E36" s="315"/>
      <c r="F36" s="315">
        <f t="shared" si="0"/>
        <v>0</v>
      </c>
      <c r="G36" s="315"/>
      <c r="H36" s="315">
        <f t="shared" si="5"/>
        <v>0</v>
      </c>
      <c r="I36" s="315"/>
      <c r="J36" s="315">
        <f t="shared" si="8"/>
        <v>0</v>
      </c>
      <c r="K36" s="315"/>
      <c r="L36" s="315">
        <f t="shared" si="6"/>
        <v>0</v>
      </c>
      <c r="M36" s="315"/>
      <c r="N36" s="315"/>
      <c r="O36" s="315"/>
      <c r="P36" s="315">
        <f t="shared" si="7"/>
        <v>0</v>
      </c>
      <c r="Q36" s="315"/>
      <c r="R36" s="315"/>
      <c r="S36" s="315">
        <f t="shared" si="1"/>
        <v>0</v>
      </c>
      <c r="T36" s="315">
        <f t="shared" si="2"/>
        <v>0</v>
      </c>
      <c r="U36" s="315">
        <f t="shared" si="3"/>
        <v>0</v>
      </c>
      <c r="V36" s="322">
        <f t="shared" si="4"/>
        <v>0</v>
      </c>
    </row>
    <row r="37" spans="1:22" ht="63.75" customHeight="1">
      <c r="A37" s="135">
        <v>9.1999999999999993</v>
      </c>
      <c r="B37" s="112" t="s">
        <v>2972</v>
      </c>
      <c r="C37" s="315"/>
      <c r="D37" s="318"/>
      <c r="E37" s="316"/>
      <c r="F37" s="315">
        <f t="shared" si="0"/>
        <v>0</v>
      </c>
      <c r="G37" s="315"/>
      <c r="H37" s="315">
        <f t="shared" si="5"/>
        <v>0</v>
      </c>
      <c r="I37" s="315"/>
      <c r="J37" s="315">
        <f t="shared" si="8"/>
        <v>0</v>
      </c>
      <c r="K37" s="315"/>
      <c r="L37" s="315">
        <f t="shared" si="6"/>
        <v>0</v>
      </c>
      <c r="M37" s="315"/>
      <c r="N37" s="315"/>
      <c r="O37" s="315"/>
      <c r="P37" s="315">
        <f t="shared" si="7"/>
        <v>0</v>
      </c>
      <c r="Q37" s="315"/>
      <c r="R37" s="315"/>
      <c r="S37" s="315">
        <f t="shared" si="1"/>
        <v>0</v>
      </c>
      <c r="T37" s="315">
        <f t="shared" si="2"/>
        <v>0</v>
      </c>
      <c r="U37" s="315">
        <f t="shared" si="3"/>
        <v>0</v>
      </c>
      <c r="V37" s="322">
        <f t="shared" si="4"/>
        <v>0</v>
      </c>
    </row>
    <row r="38" spans="1:22" ht="26.25" customHeight="1">
      <c r="A38" s="135"/>
      <c r="B38" s="111" t="s">
        <v>205</v>
      </c>
      <c r="C38" s="499">
        <f>Data!K346</f>
        <v>4041.44</v>
      </c>
      <c r="D38" s="318" t="s">
        <v>1245</v>
      </c>
      <c r="E38" s="315" t="e">
        <f>'Sullage Detailed'!#REF!</f>
        <v>#REF!</v>
      </c>
      <c r="F38" s="315" t="e">
        <f t="shared" si="0"/>
        <v>#REF!</v>
      </c>
      <c r="G38" s="315"/>
      <c r="H38" s="315">
        <f t="shared" si="5"/>
        <v>0</v>
      </c>
      <c r="I38" s="315"/>
      <c r="J38" s="315">
        <f t="shared" si="8"/>
        <v>0</v>
      </c>
      <c r="K38" s="315"/>
      <c r="L38" s="315">
        <f t="shared" si="6"/>
        <v>0</v>
      </c>
      <c r="M38" s="315"/>
      <c r="N38" s="315"/>
      <c r="O38" s="315"/>
      <c r="P38" s="315">
        <f t="shared" si="7"/>
        <v>0</v>
      </c>
      <c r="Q38" s="315"/>
      <c r="R38" s="315"/>
      <c r="S38" s="315">
        <f t="shared" si="1"/>
        <v>0</v>
      </c>
      <c r="T38" s="315">
        <f t="shared" si="2"/>
        <v>0</v>
      </c>
      <c r="U38" s="315" t="e">
        <f t="shared" si="3"/>
        <v>#REF!</v>
      </c>
      <c r="V38" s="322" t="e">
        <f t="shared" si="4"/>
        <v>#REF!</v>
      </c>
    </row>
    <row r="39" spans="1:22" ht="26.25" customHeight="1">
      <c r="A39" s="135"/>
      <c r="B39" s="111" t="s">
        <v>206</v>
      </c>
      <c r="C39" s="499">
        <f>Data!K347</f>
        <v>4106.74</v>
      </c>
      <c r="D39" s="318" t="s">
        <v>1245</v>
      </c>
      <c r="E39" s="315"/>
      <c r="F39" s="315">
        <f t="shared" si="0"/>
        <v>0</v>
      </c>
      <c r="G39" s="315"/>
      <c r="H39" s="315">
        <f t="shared" si="5"/>
        <v>0</v>
      </c>
      <c r="I39" s="315"/>
      <c r="J39" s="315">
        <f t="shared" si="8"/>
        <v>0</v>
      </c>
      <c r="K39" s="315"/>
      <c r="L39" s="315">
        <f t="shared" si="6"/>
        <v>0</v>
      </c>
      <c r="M39" s="315"/>
      <c r="N39" s="315"/>
      <c r="O39" s="315"/>
      <c r="P39" s="315">
        <f t="shared" si="7"/>
        <v>0</v>
      </c>
      <c r="Q39" s="315"/>
      <c r="R39" s="315"/>
      <c r="S39" s="315">
        <f t="shared" si="1"/>
        <v>0</v>
      </c>
      <c r="T39" s="315">
        <f t="shared" si="2"/>
        <v>0</v>
      </c>
      <c r="U39" s="315">
        <f t="shared" si="3"/>
        <v>0</v>
      </c>
      <c r="V39" s="322">
        <f t="shared" si="4"/>
        <v>0</v>
      </c>
    </row>
    <row r="40" spans="1:22" ht="26.25" customHeight="1">
      <c r="A40" s="135"/>
      <c r="B40" s="111" t="s">
        <v>207</v>
      </c>
      <c r="C40" s="499">
        <f>Data!K348</f>
        <v>4172.04</v>
      </c>
      <c r="D40" s="318" t="s">
        <v>1245</v>
      </c>
      <c r="E40" s="315"/>
      <c r="F40" s="315">
        <f t="shared" si="0"/>
        <v>0</v>
      </c>
      <c r="G40" s="315"/>
      <c r="H40" s="315">
        <f t="shared" si="5"/>
        <v>0</v>
      </c>
      <c r="I40" s="315"/>
      <c r="J40" s="315">
        <f t="shared" si="8"/>
        <v>0</v>
      </c>
      <c r="K40" s="315"/>
      <c r="L40" s="315">
        <f t="shared" si="6"/>
        <v>0</v>
      </c>
      <c r="M40" s="315"/>
      <c r="N40" s="315"/>
      <c r="O40" s="315"/>
      <c r="P40" s="315">
        <f t="shared" si="7"/>
        <v>0</v>
      </c>
      <c r="Q40" s="315"/>
      <c r="R40" s="315"/>
      <c r="S40" s="315">
        <f t="shared" si="1"/>
        <v>0</v>
      </c>
      <c r="T40" s="315">
        <f t="shared" si="2"/>
        <v>0</v>
      </c>
      <c r="U40" s="315">
        <f t="shared" si="3"/>
        <v>0</v>
      </c>
      <c r="V40" s="322">
        <f t="shared" si="4"/>
        <v>0</v>
      </c>
    </row>
    <row r="41" spans="1:22" ht="26.25" customHeight="1">
      <c r="A41" s="135"/>
      <c r="B41" s="111" t="s">
        <v>208</v>
      </c>
      <c r="C41" s="499">
        <f>Data!K349</f>
        <v>4237.34</v>
      </c>
      <c r="D41" s="318" t="s">
        <v>1245</v>
      </c>
      <c r="E41" s="315"/>
      <c r="F41" s="315">
        <f t="shared" si="0"/>
        <v>0</v>
      </c>
      <c r="G41" s="315"/>
      <c r="H41" s="315">
        <f t="shared" si="5"/>
        <v>0</v>
      </c>
      <c r="I41" s="315"/>
      <c r="J41" s="315">
        <f t="shared" si="8"/>
        <v>0</v>
      </c>
      <c r="K41" s="315"/>
      <c r="L41" s="315">
        <f t="shared" si="6"/>
        <v>0</v>
      </c>
      <c r="M41" s="315"/>
      <c r="N41" s="315"/>
      <c r="O41" s="315"/>
      <c r="P41" s="315">
        <f t="shared" si="7"/>
        <v>0</v>
      </c>
      <c r="Q41" s="315"/>
      <c r="R41" s="315"/>
      <c r="S41" s="315">
        <f t="shared" ref="S41:S97" si="9">O41+K41+I41+G41</f>
        <v>0</v>
      </c>
      <c r="T41" s="315">
        <f t="shared" ref="T41:T97" si="10">P41+L41+J41+H41</f>
        <v>0</v>
      </c>
      <c r="U41" s="315">
        <f t="shared" ref="U41:U97" si="11">S41+E41</f>
        <v>0</v>
      </c>
      <c r="V41" s="322">
        <f t="shared" ref="V41:V97" si="12">T41+F41</f>
        <v>0</v>
      </c>
    </row>
    <row r="42" spans="1:22" ht="26.25" customHeight="1">
      <c r="A42" s="135"/>
      <c r="B42" s="111" t="s">
        <v>608</v>
      </c>
      <c r="C42" s="499">
        <f>Data!K350</f>
        <v>4302.6400000000003</v>
      </c>
      <c r="D42" s="318" t="s">
        <v>1245</v>
      </c>
      <c r="E42" s="315"/>
      <c r="F42" s="315">
        <f t="shared" si="0"/>
        <v>0</v>
      </c>
      <c r="G42" s="315"/>
      <c r="H42" s="315">
        <f t="shared" si="5"/>
        <v>0</v>
      </c>
      <c r="I42" s="315"/>
      <c r="J42" s="315">
        <f t="shared" si="8"/>
        <v>0</v>
      </c>
      <c r="K42" s="315"/>
      <c r="L42" s="315">
        <f t="shared" si="6"/>
        <v>0</v>
      </c>
      <c r="M42" s="315"/>
      <c r="N42" s="315"/>
      <c r="O42" s="315"/>
      <c r="P42" s="315">
        <f t="shared" si="7"/>
        <v>0</v>
      </c>
      <c r="Q42" s="315"/>
      <c r="R42" s="315"/>
      <c r="S42" s="315">
        <f t="shared" si="9"/>
        <v>0</v>
      </c>
      <c r="T42" s="315">
        <f t="shared" si="10"/>
        <v>0</v>
      </c>
      <c r="U42" s="315">
        <f t="shared" si="11"/>
        <v>0</v>
      </c>
      <c r="V42" s="322">
        <f t="shared" si="12"/>
        <v>0</v>
      </c>
    </row>
    <row r="43" spans="1:22" ht="20.100000000000001" customHeight="1">
      <c r="A43" s="309"/>
      <c r="B43" s="111" t="s">
        <v>608</v>
      </c>
      <c r="C43" s="315"/>
      <c r="D43" s="318" t="s">
        <v>1245</v>
      </c>
      <c r="E43" s="316"/>
      <c r="F43" s="315">
        <f t="shared" si="0"/>
        <v>0</v>
      </c>
      <c r="G43" s="315"/>
      <c r="H43" s="315">
        <f t="shared" si="5"/>
        <v>0</v>
      </c>
      <c r="I43" s="315"/>
      <c r="J43" s="315">
        <f t="shared" si="8"/>
        <v>0</v>
      </c>
      <c r="K43" s="315"/>
      <c r="L43" s="315">
        <f t="shared" si="6"/>
        <v>0</v>
      </c>
      <c r="M43" s="315"/>
      <c r="N43" s="315"/>
      <c r="O43" s="315"/>
      <c r="P43" s="315">
        <f t="shared" si="7"/>
        <v>0</v>
      </c>
      <c r="Q43" s="315"/>
      <c r="R43" s="315"/>
      <c r="S43" s="315">
        <f t="shared" si="9"/>
        <v>0</v>
      </c>
      <c r="T43" s="315">
        <f t="shared" si="10"/>
        <v>0</v>
      </c>
      <c r="U43" s="315">
        <f t="shared" si="11"/>
        <v>0</v>
      </c>
      <c r="V43" s="322">
        <f t="shared" si="12"/>
        <v>0</v>
      </c>
    </row>
    <row r="44" spans="1:22" ht="54" customHeight="1">
      <c r="A44" s="135">
        <v>10.199999999999999</v>
      </c>
      <c r="B44" s="112" t="s">
        <v>2937</v>
      </c>
      <c r="C44" s="315"/>
      <c r="D44" s="318"/>
      <c r="E44" s="316"/>
      <c r="F44" s="315">
        <f t="shared" si="0"/>
        <v>0</v>
      </c>
      <c r="G44" s="315"/>
      <c r="H44" s="315">
        <f t="shared" si="5"/>
        <v>0</v>
      </c>
      <c r="I44" s="315"/>
      <c r="J44" s="315">
        <f t="shared" si="8"/>
        <v>0</v>
      </c>
      <c r="K44" s="315"/>
      <c r="L44" s="315">
        <f t="shared" si="6"/>
        <v>0</v>
      </c>
      <c r="M44" s="315"/>
      <c r="N44" s="315"/>
      <c r="O44" s="315"/>
      <c r="P44" s="315">
        <f t="shared" si="7"/>
        <v>0</v>
      </c>
      <c r="Q44" s="315"/>
      <c r="R44" s="315"/>
      <c r="S44" s="315">
        <f t="shared" si="9"/>
        <v>0</v>
      </c>
      <c r="T44" s="315">
        <f t="shared" si="10"/>
        <v>0</v>
      </c>
      <c r="U44" s="315">
        <f t="shared" si="11"/>
        <v>0</v>
      </c>
      <c r="V44" s="322">
        <f t="shared" si="12"/>
        <v>0</v>
      </c>
    </row>
    <row r="45" spans="1:22" ht="24" customHeight="1">
      <c r="A45" s="135"/>
      <c r="B45" s="111" t="s">
        <v>547</v>
      </c>
      <c r="C45" s="315">
        <f>Data!K399</f>
        <v>491.86</v>
      </c>
      <c r="D45" s="318" t="s">
        <v>1918</v>
      </c>
      <c r="E45" s="315">
        <f>'Sullage Detailed'!H17</f>
        <v>0</v>
      </c>
      <c r="F45" s="315">
        <f t="shared" si="0"/>
        <v>0</v>
      </c>
      <c r="G45" s="315">
        <v>29.5</v>
      </c>
      <c r="H45" s="845">
        <f t="shared" si="5"/>
        <v>14509.87</v>
      </c>
      <c r="I45" s="315"/>
      <c r="J45" s="315">
        <f t="shared" si="8"/>
        <v>0</v>
      </c>
      <c r="K45" s="315"/>
      <c r="L45" s="315">
        <f t="shared" si="6"/>
        <v>0</v>
      </c>
      <c r="M45" s="315"/>
      <c r="N45" s="315"/>
      <c r="O45" s="315">
        <f>'DW.Detailed for Drain'!H24</f>
        <v>50.8</v>
      </c>
      <c r="P45" s="845">
        <f t="shared" si="7"/>
        <v>24986.488000000001</v>
      </c>
      <c r="Q45" s="315"/>
      <c r="R45" s="315"/>
      <c r="S45" s="315">
        <f t="shared" si="9"/>
        <v>80.3</v>
      </c>
      <c r="T45" s="845">
        <f t="shared" si="10"/>
        <v>39496.358</v>
      </c>
      <c r="U45" s="315">
        <f t="shared" si="11"/>
        <v>80.3</v>
      </c>
      <c r="V45" s="322">
        <f t="shared" si="12"/>
        <v>39496.36</v>
      </c>
    </row>
    <row r="46" spans="1:22" ht="24" customHeight="1">
      <c r="A46" s="135"/>
      <c r="B46" s="111" t="s">
        <v>548</v>
      </c>
      <c r="C46" s="315">
        <f>Data!K401</f>
        <v>495.57</v>
      </c>
      <c r="D46" s="318" t="s">
        <v>1918</v>
      </c>
      <c r="E46" s="315" t="e">
        <f>'Sullage Detailed'!#REF!</f>
        <v>#REF!</v>
      </c>
      <c r="F46" s="315" t="e">
        <f t="shared" si="0"/>
        <v>#REF!</v>
      </c>
      <c r="G46" s="315"/>
      <c r="H46" s="315">
        <f t="shared" si="5"/>
        <v>0</v>
      </c>
      <c r="I46" s="315"/>
      <c r="J46" s="315">
        <f t="shared" si="8"/>
        <v>0</v>
      </c>
      <c r="K46" s="315"/>
      <c r="L46" s="315">
        <f t="shared" si="6"/>
        <v>0</v>
      </c>
      <c r="M46" s="315"/>
      <c r="N46" s="315"/>
      <c r="O46" s="315"/>
      <c r="P46" s="315">
        <f t="shared" si="7"/>
        <v>0</v>
      </c>
      <c r="Q46" s="315"/>
      <c r="R46" s="315"/>
      <c r="S46" s="315">
        <f t="shared" si="9"/>
        <v>0</v>
      </c>
      <c r="T46" s="315">
        <f t="shared" si="10"/>
        <v>0</v>
      </c>
      <c r="U46" s="315" t="e">
        <f t="shared" si="11"/>
        <v>#REF!</v>
      </c>
      <c r="V46" s="322" t="e">
        <f t="shared" si="12"/>
        <v>#REF!</v>
      </c>
    </row>
    <row r="47" spans="1:22" ht="24" customHeight="1">
      <c r="A47" s="135"/>
      <c r="B47" s="111" t="s">
        <v>550</v>
      </c>
      <c r="C47" s="315">
        <f>Data!K402</f>
        <v>503.01</v>
      </c>
      <c r="D47" s="318" t="s">
        <v>1918</v>
      </c>
      <c r="E47" s="315"/>
      <c r="F47" s="315">
        <f t="shared" si="0"/>
        <v>0</v>
      </c>
      <c r="G47" s="315"/>
      <c r="H47" s="315">
        <f t="shared" si="5"/>
        <v>0</v>
      </c>
      <c r="I47" s="315"/>
      <c r="J47" s="315">
        <f t="shared" si="8"/>
        <v>0</v>
      </c>
      <c r="K47" s="315"/>
      <c r="L47" s="315">
        <f t="shared" si="6"/>
        <v>0</v>
      </c>
      <c r="M47" s="315"/>
      <c r="N47" s="315"/>
      <c r="O47" s="315"/>
      <c r="P47" s="315">
        <f t="shared" si="7"/>
        <v>0</v>
      </c>
      <c r="Q47" s="315"/>
      <c r="R47" s="315"/>
      <c r="S47" s="315">
        <f t="shared" si="9"/>
        <v>0</v>
      </c>
      <c r="T47" s="315">
        <f t="shared" si="10"/>
        <v>0</v>
      </c>
      <c r="U47" s="315">
        <f t="shared" si="11"/>
        <v>0</v>
      </c>
      <c r="V47" s="322">
        <f t="shared" si="12"/>
        <v>0</v>
      </c>
    </row>
    <row r="48" spans="1:22" ht="24" customHeight="1">
      <c r="A48" s="135"/>
      <c r="B48" s="111" t="s">
        <v>1885</v>
      </c>
      <c r="C48" s="315">
        <f>Data!K403</f>
        <v>510.45</v>
      </c>
      <c r="D48" s="318" t="s">
        <v>1918</v>
      </c>
      <c r="E48" s="315"/>
      <c r="F48" s="315">
        <f t="shared" si="0"/>
        <v>0</v>
      </c>
      <c r="G48" s="315"/>
      <c r="H48" s="315">
        <f t="shared" si="5"/>
        <v>0</v>
      </c>
      <c r="I48" s="315"/>
      <c r="J48" s="315">
        <f t="shared" si="8"/>
        <v>0</v>
      </c>
      <c r="K48" s="315"/>
      <c r="L48" s="315">
        <f t="shared" si="6"/>
        <v>0</v>
      </c>
      <c r="M48" s="315"/>
      <c r="N48" s="315"/>
      <c r="O48" s="315"/>
      <c r="P48" s="315">
        <f t="shared" si="7"/>
        <v>0</v>
      </c>
      <c r="Q48" s="315"/>
      <c r="R48" s="315"/>
      <c r="S48" s="315">
        <f t="shared" si="9"/>
        <v>0</v>
      </c>
      <c r="T48" s="315">
        <f t="shared" si="10"/>
        <v>0</v>
      </c>
      <c r="U48" s="315">
        <f t="shared" si="11"/>
        <v>0</v>
      </c>
      <c r="V48" s="322">
        <f t="shared" si="12"/>
        <v>0</v>
      </c>
    </row>
    <row r="49" spans="1:22" ht="24" customHeight="1">
      <c r="A49" s="135"/>
      <c r="B49" s="111" t="s">
        <v>2294</v>
      </c>
      <c r="C49" s="315">
        <f>Data!K404</f>
        <v>517.89</v>
      </c>
      <c r="D49" s="318" t="s">
        <v>1918</v>
      </c>
      <c r="E49" s="315"/>
      <c r="F49" s="315">
        <f t="shared" si="0"/>
        <v>0</v>
      </c>
      <c r="G49" s="315"/>
      <c r="H49" s="315">
        <f t="shared" si="5"/>
        <v>0</v>
      </c>
      <c r="I49" s="315"/>
      <c r="J49" s="315">
        <f t="shared" si="8"/>
        <v>0</v>
      </c>
      <c r="K49" s="315"/>
      <c r="L49" s="315">
        <f t="shared" si="6"/>
        <v>0</v>
      </c>
      <c r="M49" s="315"/>
      <c r="N49" s="315"/>
      <c r="O49" s="315"/>
      <c r="P49" s="315">
        <f t="shared" si="7"/>
        <v>0</v>
      </c>
      <c r="Q49" s="315"/>
      <c r="R49" s="315"/>
      <c r="S49" s="315">
        <f t="shared" si="9"/>
        <v>0</v>
      </c>
      <c r="T49" s="315">
        <f t="shared" si="10"/>
        <v>0</v>
      </c>
      <c r="U49" s="315">
        <f t="shared" si="11"/>
        <v>0</v>
      </c>
      <c r="V49" s="322">
        <f t="shared" si="12"/>
        <v>0</v>
      </c>
    </row>
    <row r="50" spans="1:22" ht="24" customHeight="1">
      <c r="A50" s="309"/>
      <c r="B50" s="111" t="s">
        <v>1102</v>
      </c>
      <c r="C50" s="315">
        <f>Data!K405</f>
        <v>525.33000000000004</v>
      </c>
      <c r="D50" s="318" t="s">
        <v>1918</v>
      </c>
      <c r="E50" s="315"/>
      <c r="F50" s="315">
        <f t="shared" si="0"/>
        <v>0</v>
      </c>
      <c r="G50" s="315"/>
      <c r="H50" s="315">
        <f t="shared" si="5"/>
        <v>0</v>
      </c>
      <c r="I50" s="315"/>
      <c r="J50" s="315">
        <f t="shared" si="8"/>
        <v>0</v>
      </c>
      <c r="K50" s="315"/>
      <c r="L50" s="315">
        <f t="shared" si="6"/>
        <v>0</v>
      </c>
      <c r="M50" s="315"/>
      <c r="N50" s="315"/>
      <c r="O50" s="315"/>
      <c r="P50" s="315">
        <f t="shared" si="7"/>
        <v>0</v>
      </c>
      <c r="Q50" s="315"/>
      <c r="R50" s="315"/>
      <c r="S50" s="315">
        <f t="shared" si="9"/>
        <v>0</v>
      </c>
      <c r="T50" s="315">
        <f t="shared" si="10"/>
        <v>0</v>
      </c>
      <c r="U50" s="315">
        <f t="shared" si="11"/>
        <v>0</v>
      </c>
      <c r="V50" s="322">
        <f t="shared" si="12"/>
        <v>0</v>
      </c>
    </row>
    <row r="51" spans="1:22" ht="24.75" customHeight="1">
      <c r="A51" s="135">
        <v>13.1</v>
      </c>
      <c r="B51" s="111" t="s">
        <v>1101</v>
      </c>
      <c r="C51" s="315">
        <f>ROUND(Data!K474,2)</f>
        <v>16.96</v>
      </c>
      <c r="D51" s="318" t="s">
        <v>1245</v>
      </c>
      <c r="E51" s="315" t="e">
        <f>'Sullage Detailed'!#REF!</f>
        <v>#REF!</v>
      </c>
      <c r="F51" s="315" t="e">
        <f t="shared" si="0"/>
        <v>#REF!</v>
      </c>
      <c r="G51" s="315">
        <v>4.7</v>
      </c>
      <c r="H51" s="315">
        <f t="shared" si="5"/>
        <v>79.709999999999994</v>
      </c>
      <c r="I51" s="315"/>
      <c r="J51" s="315">
        <f t="shared" si="8"/>
        <v>0</v>
      </c>
      <c r="K51" s="315"/>
      <c r="L51" s="315">
        <f t="shared" si="6"/>
        <v>0</v>
      </c>
      <c r="M51" s="315"/>
      <c r="N51" s="315"/>
      <c r="O51" s="315"/>
      <c r="P51" s="315">
        <f t="shared" si="7"/>
        <v>0</v>
      </c>
      <c r="Q51" s="315"/>
      <c r="R51" s="315"/>
      <c r="S51" s="315">
        <f t="shared" si="9"/>
        <v>4.7</v>
      </c>
      <c r="T51" s="315">
        <f t="shared" si="10"/>
        <v>79.709999999999994</v>
      </c>
      <c r="U51" s="315" t="e">
        <f t="shared" si="11"/>
        <v>#REF!</v>
      </c>
      <c r="V51" s="322" t="e">
        <f t="shared" si="12"/>
        <v>#REF!</v>
      </c>
    </row>
    <row r="52" spans="1:22" ht="39.75" customHeight="1">
      <c r="A52" s="135">
        <v>13.2</v>
      </c>
      <c r="B52" s="111" t="s">
        <v>1800</v>
      </c>
      <c r="C52" s="315"/>
      <c r="D52" s="318" t="s">
        <v>1245</v>
      </c>
      <c r="E52" s="316"/>
      <c r="F52" s="315">
        <f t="shared" si="0"/>
        <v>0</v>
      </c>
      <c r="G52" s="315"/>
      <c r="H52" s="315">
        <f t="shared" si="5"/>
        <v>0</v>
      </c>
      <c r="I52" s="315"/>
      <c r="J52" s="315">
        <f t="shared" si="8"/>
        <v>0</v>
      </c>
      <c r="K52" s="315"/>
      <c r="L52" s="315">
        <f t="shared" si="6"/>
        <v>0</v>
      </c>
      <c r="M52" s="315"/>
      <c r="N52" s="315"/>
      <c r="O52" s="315"/>
      <c r="P52" s="315">
        <f t="shared" si="7"/>
        <v>0</v>
      </c>
      <c r="Q52" s="315"/>
      <c r="R52" s="315"/>
      <c r="S52" s="315">
        <f t="shared" si="9"/>
        <v>0</v>
      </c>
      <c r="T52" s="315">
        <f t="shared" si="10"/>
        <v>0</v>
      </c>
      <c r="U52" s="315">
        <f t="shared" si="11"/>
        <v>0</v>
      </c>
      <c r="V52" s="322">
        <f t="shared" si="12"/>
        <v>0</v>
      </c>
    </row>
    <row r="53" spans="1:22" ht="24.75" customHeight="1">
      <c r="A53" s="839" t="s">
        <v>1172</v>
      </c>
      <c r="B53" s="840" t="s">
        <v>197</v>
      </c>
      <c r="C53" s="315"/>
      <c r="D53" s="841"/>
      <c r="E53" s="316"/>
      <c r="F53" s="315">
        <f t="shared" si="0"/>
        <v>0</v>
      </c>
      <c r="G53" s="315"/>
      <c r="H53" s="315">
        <f t="shared" si="5"/>
        <v>0</v>
      </c>
      <c r="I53" s="315"/>
      <c r="J53" s="315">
        <f t="shared" si="8"/>
        <v>0</v>
      </c>
      <c r="K53" s="315"/>
      <c r="L53" s="315">
        <f t="shared" si="6"/>
        <v>0</v>
      </c>
      <c r="M53" s="315"/>
      <c r="N53" s="315"/>
      <c r="O53" s="315"/>
      <c r="P53" s="315">
        <f t="shared" si="7"/>
        <v>0</v>
      </c>
      <c r="Q53" s="315"/>
      <c r="R53" s="315"/>
      <c r="S53" s="315">
        <f t="shared" si="9"/>
        <v>0</v>
      </c>
      <c r="T53" s="315">
        <f t="shared" si="10"/>
        <v>0</v>
      </c>
      <c r="U53" s="315">
        <f t="shared" si="11"/>
        <v>0</v>
      </c>
      <c r="V53" s="322">
        <f t="shared" si="12"/>
        <v>0</v>
      </c>
    </row>
    <row r="54" spans="1:22" ht="24.75" customHeight="1">
      <c r="A54" s="842"/>
      <c r="B54" s="843" t="s">
        <v>623</v>
      </c>
      <c r="C54" s="315">
        <f>Data!K541</f>
        <v>738.29</v>
      </c>
      <c r="D54" s="841" t="s">
        <v>1918</v>
      </c>
      <c r="E54" s="316"/>
      <c r="F54" s="315">
        <f t="shared" si="0"/>
        <v>0</v>
      </c>
      <c r="G54" s="315"/>
      <c r="H54" s="315">
        <f t="shared" si="5"/>
        <v>0</v>
      </c>
      <c r="I54" s="315">
        <f>'D.W. Detailed for Septic Tank'!H71</f>
        <v>6.5</v>
      </c>
      <c r="J54" s="315">
        <f t="shared" si="8"/>
        <v>4798.8900000000003</v>
      </c>
      <c r="K54" s="315"/>
      <c r="L54" s="315">
        <f t="shared" si="6"/>
        <v>0</v>
      </c>
      <c r="M54" s="315"/>
      <c r="N54" s="315"/>
      <c r="O54" s="315"/>
      <c r="P54" s="315">
        <f t="shared" si="7"/>
        <v>0</v>
      </c>
      <c r="Q54" s="315"/>
      <c r="R54" s="315"/>
      <c r="S54" s="315">
        <f t="shared" si="9"/>
        <v>6.5</v>
      </c>
      <c r="T54" s="315">
        <f t="shared" si="10"/>
        <v>4798.8900000000003</v>
      </c>
      <c r="U54" s="315">
        <f t="shared" si="11"/>
        <v>6.5</v>
      </c>
      <c r="V54" s="322">
        <f t="shared" si="12"/>
        <v>4798.8900000000003</v>
      </c>
    </row>
    <row r="55" spans="1:22" ht="24.75" customHeight="1">
      <c r="A55" s="842"/>
      <c r="B55" s="843" t="s">
        <v>624</v>
      </c>
      <c r="C55" s="315">
        <f>Data!K543</f>
        <v>740.09</v>
      </c>
      <c r="D55" s="841" t="s">
        <v>1918</v>
      </c>
      <c r="E55" s="316"/>
      <c r="F55" s="315">
        <f t="shared" si="0"/>
        <v>0</v>
      </c>
      <c r="G55" s="315"/>
      <c r="H55" s="315">
        <f t="shared" si="5"/>
        <v>0</v>
      </c>
      <c r="I55" s="315"/>
      <c r="J55" s="315">
        <f t="shared" si="8"/>
        <v>0</v>
      </c>
      <c r="K55" s="315"/>
      <c r="L55" s="315">
        <f t="shared" si="6"/>
        <v>0</v>
      </c>
      <c r="M55" s="315"/>
      <c r="N55" s="315"/>
      <c r="O55" s="315"/>
      <c r="P55" s="315">
        <f t="shared" si="7"/>
        <v>0</v>
      </c>
      <c r="Q55" s="315"/>
      <c r="R55" s="315"/>
      <c r="S55" s="315">
        <f t="shared" si="9"/>
        <v>0</v>
      </c>
      <c r="T55" s="315">
        <f t="shared" si="10"/>
        <v>0</v>
      </c>
      <c r="U55" s="315">
        <f t="shared" si="11"/>
        <v>0</v>
      </c>
      <c r="V55" s="322">
        <f t="shared" si="12"/>
        <v>0</v>
      </c>
    </row>
    <row r="56" spans="1:22" ht="24.75" customHeight="1">
      <c r="A56" s="842"/>
      <c r="B56" s="843" t="s">
        <v>1305</v>
      </c>
      <c r="C56" s="315">
        <f>Data!K544</f>
        <v>743.68</v>
      </c>
      <c r="D56" s="841" t="s">
        <v>1918</v>
      </c>
      <c r="E56" s="316"/>
      <c r="F56" s="315">
        <f t="shared" si="0"/>
        <v>0</v>
      </c>
      <c r="G56" s="315"/>
      <c r="H56" s="315">
        <f t="shared" si="5"/>
        <v>0</v>
      </c>
      <c r="I56" s="315"/>
      <c r="J56" s="315">
        <f t="shared" si="8"/>
        <v>0</v>
      </c>
      <c r="K56" s="315"/>
      <c r="L56" s="315">
        <f t="shared" si="6"/>
        <v>0</v>
      </c>
      <c r="M56" s="315"/>
      <c r="N56" s="315"/>
      <c r="O56" s="315"/>
      <c r="P56" s="315">
        <f t="shared" si="7"/>
        <v>0</v>
      </c>
      <c r="Q56" s="315"/>
      <c r="R56" s="315"/>
      <c r="S56" s="315">
        <f t="shared" si="9"/>
        <v>0</v>
      </c>
      <c r="T56" s="315">
        <f t="shared" si="10"/>
        <v>0</v>
      </c>
      <c r="U56" s="315">
        <f t="shared" si="11"/>
        <v>0</v>
      </c>
      <c r="V56" s="322">
        <f t="shared" si="12"/>
        <v>0</v>
      </c>
    </row>
    <row r="57" spans="1:22" ht="24.75" customHeight="1">
      <c r="A57" s="842"/>
      <c r="B57" s="843" t="s">
        <v>690</v>
      </c>
      <c r="C57" s="315">
        <f>Data!K545</f>
        <v>747.27</v>
      </c>
      <c r="D57" s="841" t="s">
        <v>1918</v>
      </c>
      <c r="E57" s="316"/>
      <c r="F57" s="315">
        <f t="shared" si="0"/>
        <v>0</v>
      </c>
      <c r="G57" s="315"/>
      <c r="H57" s="315">
        <f t="shared" si="5"/>
        <v>0</v>
      </c>
      <c r="I57" s="315"/>
      <c r="J57" s="315">
        <f t="shared" si="8"/>
        <v>0</v>
      </c>
      <c r="K57" s="315"/>
      <c r="L57" s="315">
        <f t="shared" si="6"/>
        <v>0</v>
      </c>
      <c r="M57" s="315"/>
      <c r="N57" s="315"/>
      <c r="O57" s="315"/>
      <c r="P57" s="315">
        <f t="shared" si="7"/>
        <v>0</v>
      </c>
      <c r="Q57" s="315"/>
      <c r="R57" s="315"/>
      <c r="S57" s="315">
        <f t="shared" si="9"/>
        <v>0</v>
      </c>
      <c r="T57" s="315">
        <f t="shared" si="10"/>
        <v>0</v>
      </c>
      <c r="U57" s="315">
        <f t="shared" si="11"/>
        <v>0</v>
      </c>
      <c r="V57" s="322">
        <f t="shared" si="12"/>
        <v>0</v>
      </c>
    </row>
    <row r="58" spans="1:22" ht="24.75" customHeight="1">
      <c r="A58" s="842"/>
      <c r="B58" s="843" t="s">
        <v>691</v>
      </c>
      <c r="C58" s="315">
        <f>Data!K546</f>
        <v>750.86</v>
      </c>
      <c r="D58" s="841" t="s">
        <v>1918</v>
      </c>
      <c r="E58" s="316"/>
      <c r="F58" s="315">
        <f t="shared" si="0"/>
        <v>0</v>
      </c>
      <c r="G58" s="315"/>
      <c r="H58" s="315">
        <f t="shared" si="5"/>
        <v>0</v>
      </c>
      <c r="I58" s="315"/>
      <c r="J58" s="315">
        <f t="shared" si="8"/>
        <v>0</v>
      </c>
      <c r="K58" s="315"/>
      <c r="L58" s="315">
        <f t="shared" si="6"/>
        <v>0</v>
      </c>
      <c r="M58" s="315"/>
      <c r="N58" s="315"/>
      <c r="O58" s="315"/>
      <c r="P58" s="315">
        <f t="shared" si="7"/>
        <v>0</v>
      </c>
      <c r="Q58" s="315"/>
      <c r="R58" s="315"/>
      <c r="S58" s="315">
        <f t="shared" si="9"/>
        <v>0</v>
      </c>
      <c r="T58" s="315">
        <f t="shared" si="10"/>
        <v>0</v>
      </c>
      <c r="U58" s="315">
        <f t="shared" si="11"/>
        <v>0</v>
      </c>
      <c r="V58" s="322">
        <f t="shared" si="12"/>
        <v>0</v>
      </c>
    </row>
    <row r="59" spans="1:22" ht="24.75" customHeight="1">
      <c r="A59" s="310"/>
      <c r="B59" s="843" t="s">
        <v>1333</v>
      </c>
      <c r="C59" s="315">
        <f>Data!K547</f>
        <v>754.45</v>
      </c>
      <c r="D59" s="841" t="s">
        <v>1918</v>
      </c>
      <c r="E59" s="316"/>
      <c r="F59" s="315">
        <f t="shared" si="0"/>
        <v>0</v>
      </c>
      <c r="G59" s="315"/>
      <c r="H59" s="315">
        <f t="shared" si="5"/>
        <v>0</v>
      </c>
      <c r="I59" s="315"/>
      <c r="J59" s="315">
        <f t="shared" si="8"/>
        <v>0</v>
      </c>
      <c r="K59" s="315"/>
      <c r="L59" s="315">
        <f t="shared" si="6"/>
        <v>0</v>
      </c>
      <c r="M59" s="315"/>
      <c r="N59" s="315"/>
      <c r="O59" s="315"/>
      <c r="P59" s="315">
        <f t="shared" si="7"/>
        <v>0</v>
      </c>
      <c r="Q59" s="315"/>
      <c r="R59" s="315"/>
      <c r="S59" s="315">
        <f t="shared" si="9"/>
        <v>0</v>
      </c>
      <c r="T59" s="315">
        <f t="shared" si="10"/>
        <v>0</v>
      </c>
      <c r="U59" s="315">
        <f t="shared" si="11"/>
        <v>0</v>
      </c>
      <c r="V59" s="322">
        <f t="shared" si="12"/>
        <v>0</v>
      </c>
    </row>
    <row r="60" spans="1:22" ht="24.75" customHeight="1">
      <c r="A60" s="135">
        <v>23.2</v>
      </c>
      <c r="B60" s="111" t="s">
        <v>1789</v>
      </c>
      <c r="C60" s="315">
        <f>ROUND(Data!K1137,2)</f>
        <v>423</v>
      </c>
      <c r="D60" s="318" t="s">
        <v>1918</v>
      </c>
      <c r="E60" s="316"/>
      <c r="F60" s="315">
        <f t="shared" si="0"/>
        <v>0</v>
      </c>
      <c r="G60" s="315"/>
      <c r="H60" s="315">
        <f t="shared" si="5"/>
        <v>0</v>
      </c>
      <c r="I60" s="315"/>
      <c r="J60" s="315">
        <f t="shared" si="8"/>
        <v>0</v>
      </c>
      <c r="K60" s="315"/>
      <c r="L60" s="315">
        <f t="shared" si="6"/>
        <v>0</v>
      </c>
      <c r="M60" s="315"/>
      <c r="N60" s="315"/>
      <c r="O60" s="315"/>
      <c r="P60" s="315">
        <f t="shared" si="7"/>
        <v>0</v>
      </c>
      <c r="Q60" s="315"/>
      <c r="R60" s="315"/>
      <c r="S60" s="315">
        <f t="shared" si="9"/>
        <v>0</v>
      </c>
      <c r="T60" s="315">
        <f t="shared" si="10"/>
        <v>0</v>
      </c>
      <c r="U60" s="315">
        <f t="shared" si="11"/>
        <v>0</v>
      </c>
      <c r="V60" s="322">
        <f t="shared" si="12"/>
        <v>0</v>
      </c>
    </row>
    <row r="61" spans="1:22" ht="24.75" customHeight="1">
      <c r="A61" s="135">
        <v>23.3</v>
      </c>
      <c r="B61" s="113" t="s">
        <v>575</v>
      </c>
      <c r="C61" s="315">
        <v>35</v>
      </c>
      <c r="D61" s="318" t="s">
        <v>1458</v>
      </c>
      <c r="E61" s="315"/>
      <c r="F61" s="315">
        <f t="shared" si="0"/>
        <v>0</v>
      </c>
      <c r="G61" s="315"/>
      <c r="H61" s="315">
        <f t="shared" si="5"/>
        <v>0</v>
      </c>
      <c r="I61" s="315"/>
      <c r="J61" s="315">
        <f t="shared" si="8"/>
        <v>0</v>
      </c>
      <c r="K61" s="315"/>
      <c r="L61" s="315">
        <f t="shared" si="6"/>
        <v>0</v>
      </c>
      <c r="M61" s="315"/>
      <c r="N61" s="315"/>
      <c r="O61" s="315"/>
      <c r="P61" s="315">
        <f t="shared" si="7"/>
        <v>0</v>
      </c>
      <c r="Q61" s="315"/>
      <c r="R61" s="315"/>
      <c r="S61" s="315">
        <f t="shared" si="9"/>
        <v>0</v>
      </c>
      <c r="T61" s="315">
        <f t="shared" si="10"/>
        <v>0</v>
      </c>
      <c r="U61" s="315">
        <f t="shared" si="11"/>
        <v>0</v>
      </c>
      <c r="V61" s="322">
        <f t="shared" si="12"/>
        <v>0</v>
      </c>
    </row>
    <row r="62" spans="1:22" ht="26.25" customHeight="1">
      <c r="A62" s="135">
        <v>25</v>
      </c>
      <c r="B62" s="111" t="s">
        <v>181</v>
      </c>
      <c r="C62" s="315">
        <f>ROUND(Data!K1146,2)</f>
        <v>8.5</v>
      </c>
      <c r="D62" s="318" t="s">
        <v>1458</v>
      </c>
      <c r="E62" s="315"/>
      <c r="F62" s="315">
        <f t="shared" si="0"/>
        <v>0</v>
      </c>
      <c r="G62" s="315"/>
      <c r="H62" s="315">
        <f t="shared" si="5"/>
        <v>0</v>
      </c>
      <c r="I62" s="315"/>
      <c r="J62" s="315">
        <f t="shared" si="8"/>
        <v>0</v>
      </c>
      <c r="K62" s="315"/>
      <c r="L62" s="315">
        <f t="shared" si="6"/>
        <v>0</v>
      </c>
      <c r="M62" s="315"/>
      <c r="N62" s="315"/>
      <c r="O62" s="315"/>
      <c r="P62" s="315">
        <f t="shared" si="7"/>
        <v>0</v>
      </c>
      <c r="Q62" s="315"/>
      <c r="R62" s="315"/>
      <c r="S62" s="315">
        <f t="shared" si="9"/>
        <v>0</v>
      </c>
      <c r="T62" s="315">
        <f t="shared" si="10"/>
        <v>0</v>
      </c>
      <c r="U62" s="315">
        <f t="shared" si="11"/>
        <v>0</v>
      </c>
      <c r="V62" s="322">
        <f t="shared" si="12"/>
        <v>0</v>
      </c>
    </row>
    <row r="63" spans="1:22" ht="26.25" customHeight="1">
      <c r="A63" s="135">
        <v>26</v>
      </c>
      <c r="B63" s="111" t="s">
        <v>182</v>
      </c>
      <c r="C63" s="315">
        <f>ROUND(Data!K203,2)</f>
        <v>2798.38</v>
      </c>
      <c r="D63" s="318" t="s">
        <v>1245</v>
      </c>
      <c r="E63" s="315" t="e">
        <f>'Sullage Detailed'!#REF!</f>
        <v>#REF!</v>
      </c>
      <c r="F63" s="315" t="e">
        <f t="shared" si="0"/>
        <v>#REF!</v>
      </c>
      <c r="G63" s="315"/>
      <c r="H63" s="315">
        <f t="shared" si="5"/>
        <v>0</v>
      </c>
      <c r="I63" s="315"/>
      <c r="J63" s="315">
        <f t="shared" si="8"/>
        <v>0</v>
      </c>
      <c r="K63" s="315"/>
      <c r="L63" s="315">
        <f t="shared" si="6"/>
        <v>0</v>
      </c>
      <c r="M63" s="315"/>
      <c r="N63" s="315"/>
      <c r="O63" s="315"/>
      <c r="P63" s="315">
        <f t="shared" si="7"/>
        <v>0</v>
      </c>
      <c r="Q63" s="315"/>
      <c r="R63" s="315"/>
      <c r="S63" s="315">
        <f t="shared" si="9"/>
        <v>0</v>
      </c>
      <c r="T63" s="315">
        <f t="shared" si="10"/>
        <v>0</v>
      </c>
      <c r="U63" s="315" t="e">
        <f t="shared" si="11"/>
        <v>#REF!</v>
      </c>
      <c r="V63" s="322" t="e">
        <f t="shared" si="12"/>
        <v>#REF!</v>
      </c>
    </row>
    <row r="64" spans="1:22" ht="39.950000000000003" customHeight="1">
      <c r="A64" s="135">
        <v>27.1</v>
      </c>
      <c r="B64" s="111" t="s">
        <v>309</v>
      </c>
      <c r="C64" s="315">
        <f>ROUND(Data!Y366,2)</f>
        <v>2035.19</v>
      </c>
      <c r="D64" s="318" t="s">
        <v>1245</v>
      </c>
      <c r="E64" s="316"/>
      <c r="F64" s="315">
        <f t="shared" si="0"/>
        <v>0</v>
      </c>
      <c r="G64" s="315"/>
      <c r="H64" s="315">
        <f t="shared" si="5"/>
        <v>0</v>
      </c>
      <c r="I64" s="315"/>
      <c r="J64" s="315">
        <f t="shared" si="8"/>
        <v>0</v>
      </c>
      <c r="K64" s="315"/>
      <c r="L64" s="315">
        <f t="shared" si="6"/>
        <v>0</v>
      </c>
      <c r="M64" s="315"/>
      <c r="N64" s="315"/>
      <c r="O64" s="315"/>
      <c r="P64" s="315">
        <f t="shared" si="7"/>
        <v>0</v>
      </c>
      <c r="Q64" s="315"/>
      <c r="R64" s="315"/>
      <c r="S64" s="315">
        <f t="shared" si="9"/>
        <v>0</v>
      </c>
      <c r="T64" s="315">
        <f t="shared" si="10"/>
        <v>0</v>
      </c>
      <c r="U64" s="315">
        <f t="shared" si="11"/>
        <v>0</v>
      </c>
      <c r="V64" s="322">
        <f t="shared" si="12"/>
        <v>0</v>
      </c>
    </row>
    <row r="65" spans="1:22" ht="28.5" customHeight="1">
      <c r="A65" s="135">
        <v>28</v>
      </c>
      <c r="B65" s="112" t="s">
        <v>198</v>
      </c>
      <c r="C65" s="315">
        <f>ROUND(Data!K1160,2)</f>
        <v>247.91</v>
      </c>
      <c r="D65" s="318" t="s">
        <v>1918</v>
      </c>
      <c r="E65" s="315"/>
      <c r="F65" s="315">
        <f t="shared" si="0"/>
        <v>0</v>
      </c>
      <c r="G65" s="315"/>
      <c r="H65" s="315">
        <f t="shared" si="5"/>
        <v>0</v>
      </c>
      <c r="I65" s="315">
        <f>'D.W. Detailed for Septic Tank'!H45</f>
        <v>12.8</v>
      </c>
      <c r="J65" s="315">
        <f t="shared" si="8"/>
        <v>3173.25</v>
      </c>
      <c r="K65" s="315"/>
      <c r="L65" s="315">
        <f t="shared" si="6"/>
        <v>0</v>
      </c>
      <c r="M65" s="315"/>
      <c r="N65" s="315"/>
      <c r="O65" s="315">
        <f>'DW.Detailed for Drain'!H30</f>
        <v>10</v>
      </c>
      <c r="P65" s="315">
        <f t="shared" si="7"/>
        <v>2479.1</v>
      </c>
      <c r="Q65" s="315"/>
      <c r="R65" s="315"/>
      <c r="S65" s="315">
        <f t="shared" si="9"/>
        <v>22.8</v>
      </c>
      <c r="T65" s="315">
        <f t="shared" si="10"/>
        <v>5652.35</v>
      </c>
      <c r="U65" s="315">
        <f t="shared" si="11"/>
        <v>22.8</v>
      </c>
      <c r="V65" s="322">
        <f t="shared" si="12"/>
        <v>5652.35</v>
      </c>
    </row>
    <row r="66" spans="1:22" ht="28.5" customHeight="1">
      <c r="A66" s="135"/>
      <c r="B66" s="112" t="s">
        <v>4008</v>
      </c>
      <c r="C66" s="315">
        <f>Data!K3501</f>
        <v>80.45</v>
      </c>
      <c r="D66" s="318" t="s">
        <v>1918</v>
      </c>
      <c r="E66" s="315" t="e">
        <f>'Sullage Detailed'!#REF!</f>
        <v>#REF!</v>
      </c>
      <c r="F66" s="315" t="e">
        <f t="shared" si="0"/>
        <v>#REF!</v>
      </c>
      <c r="G66" s="315"/>
      <c r="H66" s="315">
        <f t="shared" si="5"/>
        <v>0</v>
      </c>
      <c r="I66" s="315">
        <f>'D.W. Detailed for Septic Tank'!H91</f>
        <v>12</v>
      </c>
      <c r="J66" s="315">
        <f t="shared" si="8"/>
        <v>965.4</v>
      </c>
      <c r="K66" s="315"/>
      <c r="L66" s="315">
        <f t="shared" si="6"/>
        <v>0</v>
      </c>
      <c r="M66" s="315"/>
      <c r="N66" s="315"/>
      <c r="O66" s="315"/>
      <c r="P66" s="315">
        <f t="shared" si="7"/>
        <v>0</v>
      </c>
      <c r="Q66" s="315"/>
      <c r="R66" s="315"/>
      <c r="S66" s="315">
        <f t="shared" si="9"/>
        <v>12</v>
      </c>
      <c r="T66" s="315">
        <f t="shared" si="10"/>
        <v>965.4</v>
      </c>
      <c r="U66" s="315" t="e">
        <f t="shared" si="11"/>
        <v>#REF!</v>
      </c>
      <c r="V66" s="322" t="e">
        <f t="shared" si="12"/>
        <v>#REF!</v>
      </c>
    </row>
    <row r="67" spans="1:22" ht="20.100000000000001" customHeight="1">
      <c r="A67" s="135">
        <v>29.1</v>
      </c>
      <c r="B67" s="112" t="s">
        <v>2202</v>
      </c>
      <c r="C67" s="315"/>
      <c r="D67" s="318" t="s">
        <v>1918</v>
      </c>
      <c r="E67" s="316"/>
      <c r="F67" s="315">
        <f t="shared" si="0"/>
        <v>0</v>
      </c>
      <c r="G67" s="315"/>
      <c r="H67" s="315">
        <f t="shared" si="5"/>
        <v>0</v>
      </c>
      <c r="I67" s="315"/>
      <c r="J67" s="315">
        <f t="shared" si="8"/>
        <v>0</v>
      </c>
      <c r="K67" s="315"/>
      <c r="L67" s="315">
        <f t="shared" si="6"/>
        <v>0</v>
      </c>
      <c r="M67" s="315"/>
      <c r="N67" s="315"/>
      <c r="O67" s="315"/>
      <c r="P67" s="315">
        <f t="shared" si="7"/>
        <v>0</v>
      </c>
      <c r="Q67" s="315"/>
      <c r="R67" s="315"/>
      <c r="S67" s="315">
        <f t="shared" si="9"/>
        <v>0</v>
      </c>
      <c r="T67" s="315">
        <f t="shared" si="10"/>
        <v>0</v>
      </c>
      <c r="U67" s="315">
        <f t="shared" si="11"/>
        <v>0</v>
      </c>
      <c r="V67" s="322">
        <f t="shared" si="12"/>
        <v>0</v>
      </c>
    </row>
    <row r="68" spans="1:22" ht="20.100000000000001" customHeight="1">
      <c r="A68" s="135">
        <v>29.2</v>
      </c>
      <c r="B68" s="112" t="s">
        <v>2203</v>
      </c>
      <c r="C68" s="315">
        <f>ROUND(Data!K1188,2)</f>
        <v>679.18</v>
      </c>
      <c r="D68" s="318" t="s">
        <v>1918</v>
      </c>
      <c r="E68" s="316"/>
      <c r="F68" s="315">
        <f t="shared" ref="F68:F131" si="13">+E68*C68</f>
        <v>0</v>
      </c>
      <c r="G68" s="315"/>
      <c r="H68" s="315">
        <f t="shared" si="5"/>
        <v>0</v>
      </c>
      <c r="I68" s="315"/>
      <c r="J68" s="315">
        <f t="shared" si="8"/>
        <v>0</v>
      </c>
      <c r="K68" s="315"/>
      <c r="L68" s="315">
        <f t="shared" si="6"/>
        <v>0</v>
      </c>
      <c r="M68" s="315"/>
      <c r="N68" s="315"/>
      <c r="O68" s="315"/>
      <c r="P68" s="315">
        <f t="shared" si="7"/>
        <v>0</v>
      </c>
      <c r="Q68" s="315"/>
      <c r="R68" s="315"/>
      <c r="S68" s="315">
        <f t="shared" si="9"/>
        <v>0</v>
      </c>
      <c r="T68" s="315">
        <f t="shared" si="10"/>
        <v>0</v>
      </c>
      <c r="U68" s="315">
        <f t="shared" si="11"/>
        <v>0</v>
      </c>
      <c r="V68" s="322">
        <f t="shared" si="12"/>
        <v>0</v>
      </c>
    </row>
    <row r="69" spans="1:22" ht="20.100000000000001" customHeight="1">
      <c r="A69" s="135">
        <v>29.3</v>
      </c>
      <c r="B69" s="111" t="s">
        <v>1781</v>
      </c>
      <c r="C69" s="315">
        <f>ROUND(Data!K1211,2)</f>
        <v>786.69</v>
      </c>
      <c r="D69" s="318" t="s">
        <v>1918</v>
      </c>
      <c r="E69" s="315" t="e">
        <f>'Sullage Detailed'!#REF!</f>
        <v>#REF!</v>
      </c>
      <c r="F69" s="315" t="e">
        <f t="shared" si="13"/>
        <v>#REF!</v>
      </c>
      <c r="G69" s="315"/>
      <c r="H69" s="315">
        <f t="shared" si="5"/>
        <v>0</v>
      </c>
      <c r="I69" s="315"/>
      <c r="J69" s="315">
        <f t="shared" si="8"/>
        <v>0</v>
      </c>
      <c r="K69" s="315"/>
      <c r="L69" s="315">
        <f t="shared" si="6"/>
        <v>0</v>
      </c>
      <c r="M69" s="315"/>
      <c r="N69" s="315"/>
      <c r="O69" s="315"/>
      <c r="P69" s="315">
        <f t="shared" si="7"/>
        <v>0</v>
      </c>
      <c r="Q69" s="315"/>
      <c r="R69" s="315"/>
      <c r="S69" s="315">
        <f t="shared" si="9"/>
        <v>0</v>
      </c>
      <c r="T69" s="315">
        <f t="shared" si="10"/>
        <v>0</v>
      </c>
      <c r="U69" s="315" t="e">
        <f t="shared" si="11"/>
        <v>#REF!</v>
      </c>
      <c r="V69" s="322" t="e">
        <f t="shared" si="12"/>
        <v>#REF!</v>
      </c>
    </row>
    <row r="70" spans="1:22" ht="20.100000000000001" customHeight="1">
      <c r="A70" s="135">
        <v>29.4</v>
      </c>
      <c r="B70" s="111" t="s">
        <v>1782</v>
      </c>
      <c r="C70" s="315">
        <f>ROUND(Data!K1225,2)</f>
        <v>858.42</v>
      </c>
      <c r="D70" s="318" t="s">
        <v>1918</v>
      </c>
      <c r="E70" s="315" t="e">
        <f>'Sullage Detailed'!#REF!</f>
        <v>#REF!</v>
      </c>
      <c r="F70" s="315" t="e">
        <f t="shared" si="13"/>
        <v>#REF!</v>
      </c>
      <c r="G70" s="315"/>
      <c r="H70" s="315">
        <f t="shared" si="5"/>
        <v>0</v>
      </c>
      <c r="I70" s="315"/>
      <c r="J70" s="315">
        <f t="shared" si="8"/>
        <v>0</v>
      </c>
      <c r="K70" s="315"/>
      <c r="L70" s="315">
        <f t="shared" si="6"/>
        <v>0</v>
      </c>
      <c r="M70" s="315"/>
      <c r="N70" s="315"/>
      <c r="O70" s="315"/>
      <c r="P70" s="315">
        <f t="shared" si="7"/>
        <v>0</v>
      </c>
      <c r="Q70" s="315"/>
      <c r="R70" s="315"/>
      <c r="S70" s="315">
        <f t="shared" si="9"/>
        <v>0</v>
      </c>
      <c r="T70" s="315">
        <f t="shared" si="10"/>
        <v>0</v>
      </c>
      <c r="U70" s="315" t="e">
        <f t="shared" si="11"/>
        <v>#REF!</v>
      </c>
      <c r="V70" s="322" t="e">
        <f t="shared" si="12"/>
        <v>#REF!</v>
      </c>
    </row>
    <row r="71" spans="1:22" ht="20.100000000000001" customHeight="1">
      <c r="A71" s="135">
        <v>29.5</v>
      </c>
      <c r="B71" s="111" t="s">
        <v>856</v>
      </c>
      <c r="C71" s="315">
        <f>C69</f>
        <v>786.69</v>
      </c>
      <c r="D71" s="318" t="s">
        <v>1918</v>
      </c>
      <c r="E71" s="315" t="e">
        <f>'Sullage Detailed'!#REF!</f>
        <v>#REF!</v>
      </c>
      <c r="F71" s="315" t="e">
        <f t="shared" si="13"/>
        <v>#REF!</v>
      </c>
      <c r="G71" s="315"/>
      <c r="H71" s="315">
        <f t="shared" ref="H71:H134" si="14">G71*C71</f>
        <v>0</v>
      </c>
      <c r="I71" s="315"/>
      <c r="J71" s="315">
        <f t="shared" si="8"/>
        <v>0</v>
      </c>
      <c r="K71" s="315"/>
      <c r="L71" s="315">
        <f t="shared" si="6"/>
        <v>0</v>
      </c>
      <c r="M71" s="315"/>
      <c r="N71" s="315"/>
      <c r="O71" s="315"/>
      <c r="P71" s="315">
        <f t="shared" si="7"/>
        <v>0</v>
      </c>
      <c r="Q71" s="315"/>
      <c r="R71" s="315"/>
      <c r="S71" s="315">
        <f t="shared" si="9"/>
        <v>0</v>
      </c>
      <c r="T71" s="315">
        <f t="shared" si="10"/>
        <v>0</v>
      </c>
      <c r="U71" s="315" t="e">
        <f t="shared" si="11"/>
        <v>#REF!</v>
      </c>
      <c r="V71" s="322" t="e">
        <f t="shared" si="12"/>
        <v>#REF!</v>
      </c>
    </row>
    <row r="72" spans="1:22" ht="20.100000000000001" customHeight="1">
      <c r="A72" s="135"/>
      <c r="B72" s="111" t="s">
        <v>3993</v>
      </c>
      <c r="C72" s="315">
        <f>Data!K3483</f>
        <v>1234.56</v>
      </c>
      <c r="D72" s="318" t="s">
        <v>1918</v>
      </c>
      <c r="E72" s="315" t="e">
        <f>'Sullage Detailed'!#REF!</f>
        <v>#REF!</v>
      </c>
      <c r="F72" s="315" t="e">
        <f t="shared" si="13"/>
        <v>#REF!</v>
      </c>
      <c r="G72" s="315"/>
      <c r="H72" s="315">
        <f t="shared" si="14"/>
        <v>0</v>
      </c>
      <c r="I72" s="315"/>
      <c r="J72" s="315">
        <f t="shared" si="8"/>
        <v>0</v>
      </c>
      <c r="K72" s="315"/>
      <c r="L72" s="315">
        <f t="shared" si="6"/>
        <v>0</v>
      </c>
      <c r="M72" s="315"/>
      <c r="N72" s="315"/>
      <c r="O72" s="315"/>
      <c r="P72" s="315">
        <f t="shared" si="7"/>
        <v>0</v>
      </c>
      <c r="Q72" s="315"/>
      <c r="R72" s="315"/>
      <c r="S72" s="315">
        <f t="shared" si="9"/>
        <v>0</v>
      </c>
      <c r="T72" s="315">
        <f t="shared" si="10"/>
        <v>0</v>
      </c>
      <c r="U72" s="315" t="e">
        <f t="shared" si="11"/>
        <v>#REF!</v>
      </c>
      <c r="V72" s="322" t="e">
        <f t="shared" si="12"/>
        <v>#REF!</v>
      </c>
    </row>
    <row r="73" spans="1:22" ht="28.5" customHeight="1">
      <c r="A73" s="135">
        <v>30</v>
      </c>
      <c r="B73" s="111" t="s">
        <v>1783</v>
      </c>
      <c r="C73" s="315">
        <f>ROUND(Data!K1241,2)</f>
        <v>238.91</v>
      </c>
      <c r="D73" s="318" t="s">
        <v>1918</v>
      </c>
      <c r="E73" s="315"/>
      <c r="F73" s="315">
        <f t="shared" si="13"/>
        <v>0</v>
      </c>
      <c r="G73" s="315"/>
      <c r="H73" s="315">
        <f t="shared" si="14"/>
        <v>0</v>
      </c>
      <c r="I73" s="315"/>
      <c r="J73" s="315">
        <f t="shared" si="8"/>
        <v>0</v>
      </c>
      <c r="K73" s="315"/>
      <c r="L73" s="315">
        <f t="shared" si="6"/>
        <v>0</v>
      </c>
      <c r="M73" s="315"/>
      <c r="N73" s="315"/>
      <c r="O73" s="315"/>
      <c r="P73" s="315">
        <f t="shared" si="7"/>
        <v>0</v>
      </c>
      <c r="Q73" s="315"/>
      <c r="R73" s="315"/>
      <c r="S73" s="315">
        <f t="shared" si="9"/>
        <v>0</v>
      </c>
      <c r="T73" s="315">
        <f t="shared" si="10"/>
        <v>0</v>
      </c>
      <c r="U73" s="315">
        <f t="shared" si="11"/>
        <v>0</v>
      </c>
      <c r="V73" s="322">
        <f t="shared" si="12"/>
        <v>0</v>
      </c>
    </row>
    <row r="74" spans="1:22" ht="28.5" customHeight="1">
      <c r="A74" s="135">
        <v>31</v>
      </c>
      <c r="B74" s="111" t="s">
        <v>1784</v>
      </c>
      <c r="C74" s="315">
        <f>ROUND(Data!K1259,2)</f>
        <v>2273.9299999999998</v>
      </c>
      <c r="D74" s="318" t="s">
        <v>1245</v>
      </c>
      <c r="E74" s="315" t="e">
        <f>'Sullage Detailed'!#REF!</f>
        <v>#REF!</v>
      </c>
      <c r="F74" s="315" t="e">
        <f t="shared" si="13"/>
        <v>#REF!</v>
      </c>
      <c r="G74" s="315"/>
      <c r="H74" s="315">
        <f t="shared" si="14"/>
        <v>0</v>
      </c>
      <c r="I74" s="315"/>
      <c r="J74" s="315">
        <f t="shared" si="8"/>
        <v>0</v>
      </c>
      <c r="K74" s="315"/>
      <c r="L74" s="315">
        <f t="shared" ref="L74:L137" si="15">K74*C74</f>
        <v>0</v>
      </c>
      <c r="M74" s="315"/>
      <c r="N74" s="315"/>
      <c r="O74" s="315"/>
      <c r="P74" s="315">
        <f t="shared" ref="P74:P137" si="16">O74*C74</f>
        <v>0</v>
      </c>
      <c r="Q74" s="315"/>
      <c r="R74" s="315"/>
      <c r="S74" s="315">
        <f t="shared" si="9"/>
        <v>0</v>
      </c>
      <c r="T74" s="315">
        <f t="shared" si="10"/>
        <v>0</v>
      </c>
      <c r="U74" s="315" t="e">
        <f t="shared" si="11"/>
        <v>#REF!</v>
      </c>
      <c r="V74" s="322" t="e">
        <f t="shared" si="12"/>
        <v>#REF!</v>
      </c>
    </row>
    <row r="75" spans="1:22" ht="42" customHeight="1">
      <c r="A75" s="135">
        <v>32.1</v>
      </c>
      <c r="B75" s="111" t="s">
        <v>869</v>
      </c>
      <c r="C75" s="315">
        <f>ROUND(Data!K1294,2)</f>
        <v>650.66</v>
      </c>
      <c r="D75" s="318" t="s">
        <v>1918</v>
      </c>
      <c r="E75" s="315" t="e">
        <f>'Sullage Detailed'!#REF!</f>
        <v>#REF!</v>
      </c>
      <c r="F75" s="315" t="e">
        <f t="shared" si="13"/>
        <v>#REF!</v>
      </c>
      <c r="G75" s="315"/>
      <c r="H75" s="315">
        <f t="shared" si="14"/>
        <v>0</v>
      </c>
      <c r="I75" s="315"/>
      <c r="J75" s="315">
        <f t="shared" si="8"/>
        <v>0</v>
      </c>
      <c r="K75" s="315"/>
      <c r="L75" s="315">
        <f t="shared" si="15"/>
        <v>0</v>
      </c>
      <c r="M75" s="315"/>
      <c r="N75" s="315"/>
      <c r="O75" s="315"/>
      <c r="P75" s="315">
        <f t="shared" si="16"/>
        <v>0</v>
      </c>
      <c r="Q75" s="315"/>
      <c r="R75" s="315"/>
      <c r="S75" s="315">
        <f t="shared" si="9"/>
        <v>0</v>
      </c>
      <c r="T75" s="315">
        <f t="shared" si="10"/>
        <v>0</v>
      </c>
      <c r="U75" s="315" t="e">
        <f t="shared" si="11"/>
        <v>#REF!</v>
      </c>
      <c r="V75" s="322" t="e">
        <f t="shared" si="12"/>
        <v>#REF!</v>
      </c>
    </row>
    <row r="76" spans="1:22" ht="25.5" customHeight="1">
      <c r="A76" s="135">
        <v>33</v>
      </c>
      <c r="B76" s="111" t="s">
        <v>1027</v>
      </c>
      <c r="C76" s="315">
        <f>ROUND(Data!K1329,2)</f>
        <v>121.3</v>
      </c>
      <c r="D76" s="318" t="s">
        <v>1918</v>
      </c>
      <c r="E76" s="315" t="e">
        <f>'Sullage Detailed'!#REF!</f>
        <v>#REF!</v>
      </c>
      <c r="F76" s="315" t="e">
        <f t="shared" si="13"/>
        <v>#REF!</v>
      </c>
      <c r="G76" s="315">
        <v>17.7</v>
      </c>
      <c r="H76" s="315">
        <f t="shared" si="14"/>
        <v>2147.0100000000002</v>
      </c>
      <c r="I76" s="315">
        <f>'D.W. Detailed for Septic Tank'!H78</f>
        <v>23</v>
      </c>
      <c r="J76" s="315">
        <f t="shared" si="8"/>
        <v>2789.9</v>
      </c>
      <c r="K76" s="315"/>
      <c r="L76" s="315">
        <f t="shared" si="15"/>
        <v>0</v>
      </c>
      <c r="M76" s="315"/>
      <c r="N76" s="315"/>
      <c r="O76" s="315">
        <f>'DW.Detailed for Drain'!H42</f>
        <v>47</v>
      </c>
      <c r="P76" s="315">
        <f t="shared" si="16"/>
        <v>5701.1</v>
      </c>
      <c r="Q76" s="315"/>
      <c r="R76" s="315"/>
      <c r="S76" s="315">
        <f t="shared" si="9"/>
        <v>87.7</v>
      </c>
      <c r="T76" s="315">
        <f t="shared" si="10"/>
        <v>10638.01</v>
      </c>
      <c r="U76" s="315" t="e">
        <f t="shared" si="11"/>
        <v>#REF!</v>
      </c>
      <c r="V76" s="322" t="e">
        <f t="shared" si="12"/>
        <v>#REF!</v>
      </c>
    </row>
    <row r="77" spans="1:22" ht="25.5" customHeight="1">
      <c r="A77" s="135"/>
      <c r="B77" s="111" t="s">
        <v>3992</v>
      </c>
      <c r="C77" s="315">
        <f>Data!K3466</f>
        <v>243.39</v>
      </c>
      <c r="D77" s="318" t="s">
        <v>1918</v>
      </c>
      <c r="E77" s="315" t="e">
        <f>'Sullage Detailed'!#REF!</f>
        <v>#REF!</v>
      </c>
      <c r="F77" s="315" t="e">
        <f t="shared" si="13"/>
        <v>#REF!</v>
      </c>
      <c r="G77" s="315"/>
      <c r="H77" s="315">
        <f t="shared" si="14"/>
        <v>0</v>
      </c>
      <c r="I77" s="315"/>
      <c r="J77" s="315">
        <f t="shared" ref="J77:J140" si="17">+I77*C77</f>
        <v>0</v>
      </c>
      <c r="K77" s="315"/>
      <c r="L77" s="315">
        <f t="shared" si="15"/>
        <v>0</v>
      </c>
      <c r="M77" s="315"/>
      <c r="N77" s="315"/>
      <c r="O77" s="315"/>
      <c r="P77" s="315">
        <f t="shared" si="16"/>
        <v>0</v>
      </c>
      <c r="Q77" s="315"/>
      <c r="R77" s="315"/>
      <c r="S77" s="315">
        <f t="shared" si="9"/>
        <v>0</v>
      </c>
      <c r="T77" s="315">
        <f t="shared" si="10"/>
        <v>0</v>
      </c>
      <c r="U77" s="315" t="e">
        <f t="shared" si="11"/>
        <v>#REF!</v>
      </c>
      <c r="V77" s="322" t="e">
        <f t="shared" si="12"/>
        <v>#REF!</v>
      </c>
    </row>
    <row r="78" spans="1:22" ht="25.5" customHeight="1">
      <c r="A78" s="135">
        <v>34</v>
      </c>
      <c r="B78" s="111" t="s">
        <v>1028</v>
      </c>
      <c r="C78" s="315">
        <f>ROUND(Data!K1343,2)</f>
        <v>126.94</v>
      </c>
      <c r="D78" s="318" t="s">
        <v>1918</v>
      </c>
      <c r="E78" s="315"/>
      <c r="F78" s="315">
        <f t="shared" si="13"/>
        <v>0</v>
      </c>
      <c r="G78" s="315">
        <v>11.8</v>
      </c>
      <c r="H78" s="315">
        <f t="shared" si="14"/>
        <v>1497.89</v>
      </c>
      <c r="I78" s="315"/>
      <c r="J78" s="315">
        <f t="shared" si="17"/>
        <v>0</v>
      </c>
      <c r="K78" s="315"/>
      <c r="L78" s="315">
        <f t="shared" si="15"/>
        <v>0</v>
      </c>
      <c r="M78" s="315"/>
      <c r="N78" s="315"/>
      <c r="O78" s="315">
        <f>'DW.Detailed for Drain'!H34</f>
        <v>25</v>
      </c>
      <c r="P78" s="315">
        <f t="shared" si="16"/>
        <v>3173.5</v>
      </c>
      <c r="Q78" s="315"/>
      <c r="R78" s="315"/>
      <c r="S78" s="315">
        <f t="shared" si="9"/>
        <v>36.799999999999997</v>
      </c>
      <c r="T78" s="315">
        <f t="shared" si="10"/>
        <v>4671.3900000000003</v>
      </c>
      <c r="U78" s="315">
        <f t="shared" si="11"/>
        <v>36.799999999999997</v>
      </c>
      <c r="V78" s="322">
        <f t="shared" si="12"/>
        <v>4671.3900000000003</v>
      </c>
    </row>
    <row r="79" spans="1:22" ht="39" customHeight="1">
      <c r="A79" s="135">
        <v>35</v>
      </c>
      <c r="B79" s="111" t="s">
        <v>951</v>
      </c>
      <c r="C79" s="315">
        <f>ROUND(Data!K1355,2)</f>
        <v>138.63</v>
      </c>
      <c r="D79" s="318" t="s">
        <v>1918</v>
      </c>
      <c r="E79" s="315" t="e">
        <f>'Sullage Detailed'!#REF!</f>
        <v>#REF!</v>
      </c>
      <c r="F79" s="315" t="e">
        <f t="shared" si="13"/>
        <v>#REF!</v>
      </c>
      <c r="G79" s="315"/>
      <c r="H79" s="315">
        <f t="shared" si="14"/>
        <v>0</v>
      </c>
      <c r="I79" s="315"/>
      <c r="J79" s="315">
        <f t="shared" si="17"/>
        <v>0</v>
      </c>
      <c r="K79" s="315"/>
      <c r="L79" s="315">
        <f t="shared" si="15"/>
        <v>0</v>
      </c>
      <c r="M79" s="315"/>
      <c r="N79" s="315"/>
      <c r="O79" s="315"/>
      <c r="P79" s="315">
        <f t="shared" si="16"/>
        <v>0</v>
      </c>
      <c r="Q79" s="315"/>
      <c r="R79" s="315"/>
      <c r="S79" s="315">
        <f t="shared" si="9"/>
        <v>0</v>
      </c>
      <c r="T79" s="315">
        <f t="shared" si="10"/>
        <v>0</v>
      </c>
      <c r="U79" s="315" t="e">
        <f t="shared" si="11"/>
        <v>#REF!</v>
      </c>
      <c r="V79" s="322" t="e">
        <f t="shared" si="12"/>
        <v>#REF!</v>
      </c>
    </row>
    <row r="80" spans="1:22" ht="39" customHeight="1">
      <c r="A80" s="135"/>
      <c r="B80" s="111" t="s">
        <v>3991</v>
      </c>
      <c r="C80" s="315">
        <f>Data!K1371</f>
        <v>136.35</v>
      </c>
      <c r="D80" s="318" t="s">
        <v>1918</v>
      </c>
      <c r="E80" s="315" t="e">
        <f>'Sullage Detailed'!#REF!</f>
        <v>#REF!</v>
      </c>
      <c r="F80" s="315" t="e">
        <f t="shared" si="13"/>
        <v>#REF!</v>
      </c>
      <c r="G80" s="315"/>
      <c r="H80" s="315">
        <f t="shared" si="14"/>
        <v>0</v>
      </c>
      <c r="I80" s="315"/>
      <c r="J80" s="315">
        <f t="shared" si="17"/>
        <v>0</v>
      </c>
      <c r="K80" s="315"/>
      <c r="L80" s="315">
        <f t="shared" si="15"/>
        <v>0</v>
      </c>
      <c r="M80" s="315"/>
      <c r="N80" s="315"/>
      <c r="O80" s="315"/>
      <c r="P80" s="315">
        <f t="shared" si="16"/>
        <v>0</v>
      </c>
      <c r="Q80" s="315"/>
      <c r="R80" s="315"/>
      <c r="S80" s="315">
        <f t="shared" si="9"/>
        <v>0</v>
      </c>
      <c r="T80" s="315">
        <f t="shared" si="10"/>
        <v>0</v>
      </c>
      <c r="U80" s="315" t="e">
        <f t="shared" si="11"/>
        <v>#REF!</v>
      </c>
      <c r="V80" s="322" t="e">
        <f t="shared" si="12"/>
        <v>#REF!</v>
      </c>
    </row>
    <row r="81" spans="1:22" ht="28.5" customHeight="1">
      <c r="A81" s="135">
        <v>36</v>
      </c>
      <c r="B81" s="112" t="s">
        <v>1806</v>
      </c>
      <c r="C81" s="315"/>
      <c r="D81" s="318"/>
      <c r="E81" s="316"/>
      <c r="F81" s="315">
        <f t="shared" si="13"/>
        <v>0</v>
      </c>
      <c r="G81" s="315"/>
      <c r="H81" s="315">
        <f t="shared" si="14"/>
        <v>0</v>
      </c>
      <c r="I81" s="315"/>
      <c r="J81" s="315">
        <f t="shared" si="17"/>
        <v>0</v>
      </c>
      <c r="K81" s="315"/>
      <c r="L81" s="315">
        <f t="shared" si="15"/>
        <v>0</v>
      </c>
      <c r="M81" s="315"/>
      <c r="N81" s="315"/>
      <c r="O81" s="315"/>
      <c r="P81" s="315">
        <f t="shared" si="16"/>
        <v>0</v>
      </c>
      <c r="Q81" s="315"/>
      <c r="R81" s="315"/>
      <c r="S81" s="315">
        <f t="shared" si="9"/>
        <v>0</v>
      </c>
      <c r="T81" s="315">
        <f t="shared" si="10"/>
        <v>0</v>
      </c>
      <c r="U81" s="315">
        <f t="shared" si="11"/>
        <v>0</v>
      </c>
      <c r="V81" s="322">
        <f t="shared" si="12"/>
        <v>0</v>
      </c>
    </row>
    <row r="82" spans="1:22" ht="28.5" customHeight="1">
      <c r="A82" s="134" t="s">
        <v>995</v>
      </c>
      <c r="B82" s="111" t="s">
        <v>1525</v>
      </c>
      <c r="C82" s="315">
        <f>ROUND(Data!K1389,2)</f>
        <v>36.01</v>
      </c>
      <c r="D82" s="318" t="s">
        <v>840</v>
      </c>
      <c r="E82" s="315" t="e">
        <f>'Sullage Detailed'!#REF!</f>
        <v>#REF!</v>
      </c>
      <c r="F82" s="315" t="e">
        <f t="shared" si="13"/>
        <v>#REF!</v>
      </c>
      <c r="G82" s="315"/>
      <c r="H82" s="315">
        <f t="shared" si="14"/>
        <v>0</v>
      </c>
      <c r="I82" s="315"/>
      <c r="J82" s="315">
        <f t="shared" si="17"/>
        <v>0</v>
      </c>
      <c r="K82" s="315"/>
      <c r="L82" s="315">
        <f t="shared" si="15"/>
        <v>0</v>
      </c>
      <c r="M82" s="315"/>
      <c r="N82" s="315"/>
      <c r="O82" s="315"/>
      <c r="P82" s="315">
        <f t="shared" si="16"/>
        <v>0</v>
      </c>
      <c r="Q82" s="315"/>
      <c r="R82" s="315"/>
      <c r="S82" s="315">
        <f t="shared" si="9"/>
        <v>0</v>
      </c>
      <c r="T82" s="315">
        <f t="shared" si="10"/>
        <v>0</v>
      </c>
      <c r="U82" s="315" t="e">
        <f t="shared" si="11"/>
        <v>#REF!</v>
      </c>
      <c r="V82" s="322" t="e">
        <f t="shared" si="12"/>
        <v>#REF!</v>
      </c>
    </row>
    <row r="83" spans="1:22" ht="28.5" customHeight="1">
      <c r="A83" s="134"/>
      <c r="B83" s="111" t="s">
        <v>2020</v>
      </c>
      <c r="C83" s="315">
        <f>ROUND(Data!K1401,2)</f>
        <v>23.18</v>
      </c>
      <c r="D83" s="318" t="s">
        <v>840</v>
      </c>
      <c r="E83" s="315" t="e">
        <f>'Sullage Detailed'!#REF!</f>
        <v>#REF!</v>
      </c>
      <c r="F83" s="315" t="e">
        <f t="shared" si="13"/>
        <v>#REF!</v>
      </c>
      <c r="G83" s="315"/>
      <c r="H83" s="315">
        <f t="shared" si="14"/>
        <v>0</v>
      </c>
      <c r="I83" s="315"/>
      <c r="J83" s="315">
        <f t="shared" si="17"/>
        <v>0</v>
      </c>
      <c r="K83" s="315"/>
      <c r="L83" s="315">
        <f t="shared" si="15"/>
        <v>0</v>
      </c>
      <c r="M83" s="315"/>
      <c r="N83" s="315"/>
      <c r="O83" s="315"/>
      <c r="P83" s="315">
        <f t="shared" si="16"/>
        <v>0</v>
      </c>
      <c r="Q83" s="315"/>
      <c r="R83" s="315"/>
      <c r="S83" s="315">
        <f t="shared" si="9"/>
        <v>0</v>
      </c>
      <c r="T83" s="315">
        <f t="shared" si="10"/>
        <v>0</v>
      </c>
      <c r="U83" s="315" t="e">
        <f t="shared" si="11"/>
        <v>#REF!</v>
      </c>
      <c r="V83" s="322" t="e">
        <f t="shared" si="12"/>
        <v>#REF!</v>
      </c>
    </row>
    <row r="84" spans="1:22" ht="28.5" customHeight="1">
      <c r="A84" s="310"/>
      <c r="B84" s="111" t="s">
        <v>2021</v>
      </c>
      <c r="C84" s="315">
        <f>ROUND(Data!K1414,2)</f>
        <v>17.190000000000001</v>
      </c>
      <c r="D84" s="318" t="s">
        <v>840</v>
      </c>
      <c r="E84" s="315" t="e">
        <f>'Sullage Detailed'!#REF!</f>
        <v>#REF!</v>
      </c>
      <c r="F84" s="315" t="e">
        <f t="shared" si="13"/>
        <v>#REF!</v>
      </c>
      <c r="G84" s="315"/>
      <c r="H84" s="315">
        <f t="shared" si="14"/>
        <v>0</v>
      </c>
      <c r="I84" s="315"/>
      <c r="J84" s="315">
        <f t="shared" si="17"/>
        <v>0</v>
      </c>
      <c r="K84" s="315"/>
      <c r="L84" s="315">
        <f t="shared" si="15"/>
        <v>0</v>
      </c>
      <c r="M84" s="315"/>
      <c r="N84" s="315"/>
      <c r="O84" s="315"/>
      <c r="P84" s="315">
        <f t="shared" si="16"/>
        <v>0</v>
      </c>
      <c r="Q84" s="315"/>
      <c r="R84" s="315"/>
      <c r="S84" s="315">
        <f t="shared" si="9"/>
        <v>0</v>
      </c>
      <c r="T84" s="315">
        <f t="shared" si="10"/>
        <v>0</v>
      </c>
      <c r="U84" s="315" t="e">
        <f t="shared" si="11"/>
        <v>#REF!</v>
      </c>
      <c r="V84" s="322" t="e">
        <f t="shared" si="12"/>
        <v>#REF!</v>
      </c>
    </row>
    <row r="85" spans="1:22" ht="28.5" customHeight="1">
      <c r="A85" s="135">
        <v>37.1</v>
      </c>
      <c r="B85" s="111" t="s">
        <v>1920</v>
      </c>
      <c r="C85" s="315">
        <f>ROUND(Data!K1427,2)</f>
        <v>20.2</v>
      </c>
      <c r="D85" s="318" t="s">
        <v>1918</v>
      </c>
      <c r="E85" s="315" t="e">
        <f>'Sullage Detailed'!#REF!</f>
        <v>#REF!</v>
      </c>
      <c r="F85" s="315" t="e">
        <f t="shared" si="13"/>
        <v>#REF!</v>
      </c>
      <c r="G85" s="315"/>
      <c r="H85" s="315">
        <f t="shared" si="14"/>
        <v>0</v>
      </c>
      <c r="I85" s="315"/>
      <c r="J85" s="315">
        <f t="shared" si="17"/>
        <v>0</v>
      </c>
      <c r="K85" s="315"/>
      <c r="L85" s="315">
        <f t="shared" si="15"/>
        <v>0</v>
      </c>
      <c r="M85" s="315"/>
      <c r="N85" s="315"/>
      <c r="O85" s="315"/>
      <c r="P85" s="315">
        <f t="shared" si="16"/>
        <v>0</v>
      </c>
      <c r="Q85" s="315"/>
      <c r="R85" s="315"/>
      <c r="S85" s="315">
        <f t="shared" si="9"/>
        <v>0</v>
      </c>
      <c r="T85" s="315">
        <f t="shared" si="10"/>
        <v>0</v>
      </c>
      <c r="U85" s="315" t="e">
        <f t="shared" si="11"/>
        <v>#REF!</v>
      </c>
      <c r="V85" s="322" t="e">
        <f t="shared" si="12"/>
        <v>#REF!</v>
      </c>
    </row>
    <row r="86" spans="1:22" ht="26.25" customHeight="1">
      <c r="A86" s="135">
        <v>37.200000000000003</v>
      </c>
      <c r="B86" s="111" t="s">
        <v>3987</v>
      </c>
      <c r="C86" s="315">
        <f>Data!K2637</f>
        <v>29.32</v>
      </c>
      <c r="D86" s="318" t="s">
        <v>1918</v>
      </c>
      <c r="E86" s="315" t="e">
        <f>'Sullage Detailed'!#REF!</f>
        <v>#REF!</v>
      </c>
      <c r="F86" s="315" t="e">
        <f t="shared" si="13"/>
        <v>#REF!</v>
      </c>
      <c r="G86" s="315"/>
      <c r="H86" s="315">
        <f t="shared" si="14"/>
        <v>0</v>
      </c>
      <c r="I86" s="315"/>
      <c r="J86" s="315">
        <f t="shared" si="17"/>
        <v>0</v>
      </c>
      <c r="K86" s="315"/>
      <c r="L86" s="315">
        <f t="shared" si="15"/>
        <v>0</v>
      </c>
      <c r="M86" s="315"/>
      <c r="N86" s="315"/>
      <c r="O86" s="315"/>
      <c r="P86" s="315">
        <f t="shared" si="16"/>
        <v>0</v>
      </c>
      <c r="Q86" s="315"/>
      <c r="R86" s="315"/>
      <c r="S86" s="315">
        <f t="shared" si="9"/>
        <v>0</v>
      </c>
      <c r="T86" s="315">
        <f t="shared" si="10"/>
        <v>0</v>
      </c>
      <c r="U86" s="315" t="e">
        <f t="shared" si="11"/>
        <v>#REF!</v>
      </c>
      <c r="V86" s="322" t="e">
        <f t="shared" si="12"/>
        <v>#REF!</v>
      </c>
    </row>
    <row r="87" spans="1:22" ht="28.5" customHeight="1">
      <c r="A87" s="135">
        <v>38.1</v>
      </c>
      <c r="B87" s="111" t="s">
        <v>2022</v>
      </c>
      <c r="C87" s="315">
        <f>ROUND(Data!K1442,2)</f>
        <v>101.18</v>
      </c>
      <c r="D87" s="318" t="s">
        <v>1918</v>
      </c>
      <c r="E87" s="316"/>
      <c r="F87" s="315">
        <f t="shared" si="13"/>
        <v>0</v>
      </c>
      <c r="G87" s="315"/>
      <c r="H87" s="315">
        <f t="shared" si="14"/>
        <v>0</v>
      </c>
      <c r="I87" s="315"/>
      <c r="J87" s="315">
        <f t="shared" si="17"/>
        <v>0</v>
      </c>
      <c r="K87" s="315"/>
      <c r="L87" s="315">
        <f t="shared" si="15"/>
        <v>0</v>
      </c>
      <c r="M87" s="315"/>
      <c r="N87" s="315"/>
      <c r="O87" s="315"/>
      <c r="P87" s="315">
        <f t="shared" si="16"/>
        <v>0</v>
      </c>
      <c r="Q87" s="315"/>
      <c r="R87" s="315"/>
      <c r="S87" s="315">
        <f t="shared" si="9"/>
        <v>0</v>
      </c>
      <c r="T87" s="315">
        <f t="shared" si="10"/>
        <v>0</v>
      </c>
      <c r="U87" s="315">
        <f t="shared" si="11"/>
        <v>0</v>
      </c>
      <c r="V87" s="322">
        <f t="shared" si="12"/>
        <v>0</v>
      </c>
    </row>
    <row r="88" spans="1:22" ht="20.100000000000001" customHeight="1">
      <c r="A88" s="135">
        <v>38.200000000000003</v>
      </c>
      <c r="B88" s="111" t="s">
        <v>37</v>
      </c>
      <c r="C88" s="315">
        <f>ROUND(Data!K1455,2)</f>
        <v>102.56</v>
      </c>
      <c r="D88" s="318" t="s">
        <v>1918</v>
      </c>
      <c r="E88" s="315" t="e">
        <f>'Sullage Detailed'!#REF!</f>
        <v>#REF!</v>
      </c>
      <c r="F88" s="315" t="e">
        <f t="shared" si="13"/>
        <v>#REF!</v>
      </c>
      <c r="G88" s="315"/>
      <c r="H88" s="315">
        <f t="shared" si="14"/>
        <v>0</v>
      </c>
      <c r="I88" s="315"/>
      <c r="J88" s="315">
        <f t="shared" si="17"/>
        <v>0</v>
      </c>
      <c r="K88" s="315"/>
      <c r="L88" s="315">
        <f t="shared" si="15"/>
        <v>0</v>
      </c>
      <c r="M88" s="315"/>
      <c r="N88" s="315"/>
      <c r="O88" s="315"/>
      <c r="P88" s="315">
        <f t="shared" si="16"/>
        <v>0</v>
      </c>
      <c r="Q88" s="315"/>
      <c r="R88" s="315"/>
      <c r="S88" s="315">
        <f t="shared" si="9"/>
        <v>0</v>
      </c>
      <c r="T88" s="315">
        <f t="shared" si="10"/>
        <v>0</v>
      </c>
      <c r="U88" s="315" t="e">
        <f t="shared" si="11"/>
        <v>#REF!</v>
      </c>
      <c r="V88" s="322" t="e">
        <f t="shared" si="12"/>
        <v>#REF!</v>
      </c>
    </row>
    <row r="89" spans="1:22" ht="20.100000000000001" customHeight="1">
      <c r="A89" s="135"/>
      <c r="B89" s="111" t="s">
        <v>4009</v>
      </c>
      <c r="C89" s="315">
        <f>Data!K3512</f>
        <v>137.88999999999999</v>
      </c>
      <c r="D89" s="318" t="s">
        <v>1918</v>
      </c>
      <c r="E89" s="315" t="e">
        <f>'Sullage Detailed'!#REF!</f>
        <v>#REF!</v>
      </c>
      <c r="F89" s="315" t="e">
        <f t="shared" si="13"/>
        <v>#REF!</v>
      </c>
      <c r="G89" s="315"/>
      <c r="H89" s="315">
        <f t="shared" si="14"/>
        <v>0</v>
      </c>
      <c r="I89" s="315"/>
      <c r="J89" s="315">
        <f t="shared" si="17"/>
        <v>0</v>
      </c>
      <c r="K89" s="315"/>
      <c r="L89" s="315">
        <f t="shared" si="15"/>
        <v>0</v>
      </c>
      <c r="M89" s="315"/>
      <c r="N89" s="315"/>
      <c r="O89" s="315"/>
      <c r="P89" s="315">
        <f t="shared" si="16"/>
        <v>0</v>
      </c>
      <c r="Q89" s="315"/>
      <c r="R89" s="315"/>
      <c r="S89" s="315">
        <f t="shared" si="9"/>
        <v>0</v>
      </c>
      <c r="T89" s="315">
        <f t="shared" si="10"/>
        <v>0</v>
      </c>
      <c r="U89" s="315" t="e">
        <f t="shared" si="11"/>
        <v>#REF!</v>
      </c>
      <c r="V89" s="322" t="e">
        <f t="shared" si="12"/>
        <v>#REF!</v>
      </c>
    </row>
    <row r="90" spans="1:22" ht="20.100000000000001" customHeight="1">
      <c r="A90" s="135"/>
      <c r="B90" s="111" t="s">
        <v>4010</v>
      </c>
      <c r="C90" s="315">
        <f>Data!K3525</f>
        <v>66.36</v>
      </c>
      <c r="D90" s="318" t="s">
        <v>1918</v>
      </c>
      <c r="E90" s="315" t="e">
        <f>'Sullage Detailed'!#REF!</f>
        <v>#REF!</v>
      </c>
      <c r="F90" s="315" t="e">
        <f t="shared" si="13"/>
        <v>#REF!</v>
      </c>
      <c r="G90" s="315"/>
      <c r="H90" s="315">
        <f t="shared" si="14"/>
        <v>0</v>
      </c>
      <c r="I90" s="315"/>
      <c r="J90" s="315">
        <f t="shared" si="17"/>
        <v>0</v>
      </c>
      <c r="K90" s="315"/>
      <c r="L90" s="315">
        <f t="shared" si="15"/>
        <v>0</v>
      </c>
      <c r="M90" s="315"/>
      <c r="N90" s="315"/>
      <c r="O90" s="315"/>
      <c r="P90" s="315">
        <f t="shared" si="16"/>
        <v>0</v>
      </c>
      <c r="Q90" s="315"/>
      <c r="R90" s="315"/>
      <c r="S90" s="315">
        <f t="shared" si="9"/>
        <v>0</v>
      </c>
      <c r="T90" s="315">
        <f t="shared" si="10"/>
        <v>0</v>
      </c>
      <c r="U90" s="315" t="e">
        <f t="shared" si="11"/>
        <v>#REF!</v>
      </c>
      <c r="V90" s="322" t="e">
        <f t="shared" si="12"/>
        <v>#REF!</v>
      </c>
    </row>
    <row r="91" spans="1:22" ht="28.5" customHeight="1">
      <c r="A91" s="135">
        <v>39</v>
      </c>
      <c r="B91" s="111" t="s">
        <v>2023</v>
      </c>
      <c r="C91" s="315">
        <f>Data!K1145</f>
        <v>63.3</v>
      </c>
      <c r="D91" s="318" t="s">
        <v>267</v>
      </c>
      <c r="E91" s="315"/>
      <c r="F91" s="315">
        <f t="shared" si="13"/>
        <v>0</v>
      </c>
      <c r="G91" s="315"/>
      <c r="H91" s="315">
        <f t="shared" si="14"/>
        <v>0</v>
      </c>
      <c r="I91" s="315"/>
      <c r="J91" s="315">
        <f t="shared" si="17"/>
        <v>0</v>
      </c>
      <c r="K91" s="315"/>
      <c r="L91" s="315">
        <f t="shared" si="15"/>
        <v>0</v>
      </c>
      <c r="M91" s="315"/>
      <c r="N91" s="315"/>
      <c r="O91" s="315"/>
      <c r="P91" s="315">
        <f t="shared" si="16"/>
        <v>0</v>
      </c>
      <c r="Q91" s="315"/>
      <c r="R91" s="315"/>
      <c r="S91" s="315">
        <f t="shared" si="9"/>
        <v>0</v>
      </c>
      <c r="T91" s="315">
        <f t="shared" si="10"/>
        <v>0</v>
      </c>
      <c r="U91" s="315">
        <f t="shared" si="11"/>
        <v>0</v>
      </c>
      <c r="V91" s="322">
        <f t="shared" si="12"/>
        <v>0</v>
      </c>
    </row>
    <row r="92" spans="1:22" ht="28.5" customHeight="1">
      <c r="A92" s="135">
        <v>40</v>
      </c>
      <c r="B92" s="111" t="s">
        <v>2116</v>
      </c>
      <c r="C92" s="315">
        <f>ROUND(Data!K1469,2)</f>
        <v>153.55000000000001</v>
      </c>
      <c r="D92" s="318" t="s">
        <v>1918</v>
      </c>
      <c r="E92" s="315" t="e">
        <f>'Sullage Detailed'!#REF!</f>
        <v>#REF!</v>
      </c>
      <c r="F92" s="315" t="e">
        <f t="shared" si="13"/>
        <v>#REF!</v>
      </c>
      <c r="G92" s="315"/>
      <c r="H92" s="315">
        <f t="shared" si="14"/>
        <v>0</v>
      </c>
      <c r="I92" s="315"/>
      <c r="J92" s="315">
        <f t="shared" si="17"/>
        <v>0</v>
      </c>
      <c r="K92" s="315"/>
      <c r="L92" s="315">
        <f t="shared" si="15"/>
        <v>0</v>
      </c>
      <c r="M92" s="315"/>
      <c r="N92" s="315"/>
      <c r="O92" s="315"/>
      <c r="P92" s="315">
        <f t="shared" si="16"/>
        <v>0</v>
      </c>
      <c r="Q92" s="315"/>
      <c r="R92" s="315"/>
      <c r="S92" s="315">
        <f t="shared" si="9"/>
        <v>0</v>
      </c>
      <c r="T92" s="315">
        <f t="shared" si="10"/>
        <v>0</v>
      </c>
      <c r="U92" s="315" t="e">
        <f t="shared" si="11"/>
        <v>#REF!</v>
      </c>
      <c r="V92" s="322" t="e">
        <f t="shared" si="12"/>
        <v>#REF!</v>
      </c>
    </row>
    <row r="93" spans="1:22" ht="28.5" customHeight="1">
      <c r="A93" s="135"/>
      <c r="B93" s="111" t="s">
        <v>3055</v>
      </c>
      <c r="C93" s="315">
        <f>Data!K3152</f>
        <v>102.42</v>
      </c>
      <c r="D93" s="318" t="s">
        <v>1918</v>
      </c>
      <c r="E93" s="315" t="e">
        <f>'Sullage Detailed'!#REF!</f>
        <v>#REF!</v>
      </c>
      <c r="F93" s="315" t="e">
        <f t="shared" si="13"/>
        <v>#REF!</v>
      </c>
      <c r="G93" s="315"/>
      <c r="H93" s="315">
        <f t="shared" si="14"/>
        <v>0</v>
      </c>
      <c r="I93" s="315"/>
      <c r="J93" s="315">
        <f t="shared" si="17"/>
        <v>0</v>
      </c>
      <c r="K93" s="315"/>
      <c r="L93" s="315">
        <f t="shared" si="15"/>
        <v>0</v>
      </c>
      <c r="M93" s="315"/>
      <c r="N93" s="315"/>
      <c r="O93" s="315"/>
      <c r="P93" s="315">
        <f t="shared" si="16"/>
        <v>0</v>
      </c>
      <c r="Q93" s="315"/>
      <c r="R93" s="315"/>
      <c r="S93" s="315">
        <f t="shared" si="9"/>
        <v>0</v>
      </c>
      <c r="T93" s="315">
        <f t="shared" si="10"/>
        <v>0</v>
      </c>
      <c r="U93" s="315" t="e">
        <f t="shared" si="11"/>
        <v>#REF!</v>
      </c>
      <c r="V93" s="322" t="e">
        <f t="shared" si="12"/>
        <v>#REF!</v>
      </c>
    </row>
    <row r="94" spans="1:22" ht="28.5" customHeight="1">
      <c r="A94" s="135">
        <v>41</v>
      </c>
      <c r="B94" s="111" t="s">
        <v>2024</v>
      </c>
      <c r="C94" s="315">
        <f>ROUND(Data!K1482,2)</f>
        <v>92.23</v>
      </c>
      <c r="D94" s="318" t="s">
        <v>1918</v>
      </c>
      <c r="E94" s="315" t="e">
        <f>'Sullage Detailed'!#REF!</f>
        <v>#REF!</v>
      </c>
      <c r="F94" s="315" t="e">
        <f t="shared" si="13"/>
        <v>#REF!</v>
      </c>
      <c r="G94" s="315"/>
      <c r="H94" s="315">
        <f t="shared" si="14"/>
        <v>0</v>
      </c>
      <c r="I94" s="315"/>
      <c r="J94" s="315">
        <f t="shared" si="17"/>
        <v>0</v>
      </c>
      <c r="K94" s="315">
        <f>'D.W.Detailed for CC road'!H29</f>
        <v>16</v>
      </c>
      <c r="L94" s="315">
        <f t="shared" si="15"/>
        <v>1475.68</v>
      </c>
      <c r="M94" s="315"/>
      <c r="N94" s="315"/>
      <c r="O94" s="315"/>
      <c r="P94" s="315">
        <f t="shared" si="16"/>
        <v>0</v>
      </c>
      <c r="Q94" s="315"/>
      <c r="R94" s="315"/>
      <c r="S94" s="315">
        <f t="shared" si="9"/>
        <v>16</v>
      </c>
      <c r="T94" s="315">
        <f t="shared" si="10"/>
        <v>1475.68</v>
      </c>
      <c r="U94" s="315" t="e">
        <f t="shared" si="11"/>
        <v>#REF!</v>
      </c>
      <c r="V94" s="322" t="e">
        <f t="shared" si="12"/>
        <v>#REF!</v>
      </c>
    </row>
    <row r="95" spans="1:22" ht="38.25" customHeight="1">
      <c r="A95" s="135"/>
      <c r="B95" s="111" t="s">
        <v>3990</v>
      </c>
      <c r="C95" s="315">
        <f>Data!K3453</f>
        <v>77.599999999999994</v>
      </c>
      <c r="D95" s="318" t="s">
        <v>267</v>
      </c>
      <c r="E95" s="315" t="e">
        <f>'Sullage Detailed'!#REF!</f>
        <v>#REF!</v>
      </c>
      <c r="F95" s="315" t="e">
        <f t="shared" si="13"/>
        <v>#REF!</v>
      </c>
      <c r="G95" s="315"/>
      <c r="H95" s="315">
        <f t="shared" si="14"/>
        <v>0</v>
      </c>
      <c r="I95" s="315"/>
      <c r="J95" s="315">
        <f t="shared" si="17"/>
        <v>0</v>
      </c>
      <c r="K95" s="315"/>
      <c r="L95" s="315">
        <f t="shared" si="15"/>
        <v>0</v>
      </c>
      <c r="M95" s="315"/>
      <c r="N95" s="315"/>
      <c r="O95" s="315"/>
      <c r="P95" s="315">
        <f t="shared" si="16"/>
        <v>0</v>
      </c>
      <c r="Q95" s="315"/>
      <c r="R95" s="315"/>
      <c r="S95" s="315">
        <f t="shared" si="9"/>
        <v>0</v>
      </c>
      <c r="T95" s="315">
        <f t="shared" si="10"/>
        <v>0</v>
      </c>
      <c r="U95" s="315" t="e">
        <f t="shared" si="11"/>
        <v>#REF!</v>
      </c>
      <c r="V95" s="322" t="e">
        <f t="shared" si="12"/>
        <v>#REF!</v>
      </c>
    </row>
    <row r="96" spans="1:22" ht="44.25" customHeight="1">
      <c r="A96" s="135">
        <v>42</v>
      </c>
      <c r="B96" s="111" t="s">
        <v>292</v>
      </c>
      <c r="C96" s="315"/>
      <c r="D96" s="318"/>
      <c r="E96" s="316"/>
      <c r="F96" s="315">
        <f t="shared" si="13"/>
        <v>0</v>
      </c>
      <c r="G96" s="315"/>
      <c r="H96" s="315">
        <f t="shared" si="14"/>
        <v>0</v>
      </c>
      <c r="I96" s="315"/>
      <c r="J96" s="315">
        <f t="shared" si="17"/>
        <v>0</v>
      </c>
      <c r="K96" s="315"/>
      <c r="L96" s="315">
        <f t="shared" si="15"/>
        <v>0</v>
      </c>
      <c r="M96" s="315"/>
      <c r="N96" s="315"/>
      <c r="O96" s="315"/>
      <c r="P96" s="315">
        <f t="shared" si="16"/>
        <v>0</v>
      </c>
      <c r="Q96" s="315"/>
      <c r="R96" s="315"/>
      <c r="S96" s="315">
        <f t="shared" si="9"/>
        <v>0</v>
      </c>
      <c r="T96" s="315">
        <f t="shared" si="10"/>
        <v>0</v>
      </c>
      <c r="U96" s="315">
        <f t="shared" si="11"/>
        <v>0</v>
      </c>
      <c r="V96" s="322">
        <f t="shared" si="12"/>
        <v>0</v>
      </c>
    </row>
    <row r="97" spans="1:22" ht="35.1" customHeight="1">
      <c r="A97" s="134"/>
      <c r="B97" s="111" t="s">
        <v>2132</v>
      </c>
      <c r="C97" s="315">
        <f>ROUND(Data!K1511,2)</f>
        <v>62475.9</v>
      </c>
      <c r="D97" s="318" t="s">
        <v>528</v>
      </c>
      <c r="E97" s="315" t="e">
        <f>'Sullage Detailed'!#REF!</f>
        <v>#REF!</v>
      </c>
      <c r="F97" s="845" t="e">
        <f t="shared" si="13"/>
        <v>#REF!</v>
      </c>
      <c r="G97" s="315">
        <v>0.45</v>
      </c>
      <c r="H97" s="845">
        <f t="shared" si="14"/>
        <v>28114.154999999999</v>
      </c>
      <c r="I97" s="315">
        <f>'D.W. Detailed for Septic Tank'!H85</f>
        <v>0.22</v>
      </c>
      <c r="J97" s="845">
        <f t="shared" si="17"/>
        <v>13744.698</v>
      </c>
      <c r="K97" s="315"/>
      <c r="L97" s="315">
        <f t="shared" si="15"/>
        <v>0</v>
      </c>
      <c r="M97" s="315"/>
      <c r="N97" s="315"/>
      <c r="O97" s="315"/>
      <c r="P97" s="315">
        <f t="shared" si="16"/>
        <v>0</v>
      </c>
      <c r="Q97" s="315"/>
      <c r="R97" s="315"/>
      <c r="S97" s="315">
        <f t="shared" si="9"/>
        <v>0.67</v>
      </c>
      <c r="T97" s="845">
        <f t="shared" si="10"/>
        <v>41858.853000000003</v>
      </c>
      <c r="U97" s="315" t="e">
        <f t="shared" si="11"/>
        <v>#REF!</v>
      </c>
      <c r="V97" s="322" t="e">
        <f t="shared" si="12"/>
        <v>#REF!</v>
      </c>
    </row>
    <row r="98" spans="1:22" ht="20.100000000000001" customHeight="1">
      <c r="A98" s="310"/>
      <c r="B98" s="111" t="s">
        <v>2133</v>
      </c>
      <c r="C98" s="315">
        <f>ROUND(Data!K1524,2)</f>
        <v>62475.9</v>
      </c>
      <c r="D98" s="318" t="s">
        <v>528</v>
      </c>
      <c r="E98" s="315"/>
      <c r="F98" s="315">
        <f t="shared" si="13"/>
        <v>0</v>
      </c>
      <c r="G98" s="315"/>
      <c r="H98" s="315">
        <f t="shared" si="14"/>
        <v>0</v>
      </c>
      <c r="I98" s="315"/>
      <c r="J98" s="315">
        <f t="shared" si="17"/>
        <v>0</v>
      </c>
      <c r="K98" s="315"/>
      <c r="L98" s="315">
        <f t="shared" si="15"/>
        <v>0</v>
      </c>
      <c r="M98" s="315"/>
      <c r="N98" s="315"/>
      <c r="O98" s="315"/>
      <c r="P98" s="315">
        <f t="shared" si="16"/>
        <v>0</v>
      </c>
      <c r="Q98" s="315"/>
      <c r="R98" s="315"/>
      <c r="S98" s="315">
        <f t="shared" ref="S98:S160" si="18">O98+K98+I98+G98</f>
        <v>0</v>
      </c>
      <c r="T98" s="315">
        <f t="shared" ref="T98:T160" si="19">P98+L98+J98+H98</f>
        <v>0</v>
      </c>
      <c r="U98" s="315">
        <f t="shared" ref="U98:U160" si="20">S98+E98</f>
        <v>0</v>
      </c>
      <c r="V98" s="322">
        <f t="shared" ref="V98:V160" si="21">T98+F98</f>
        <v>0</v>
      </c>
    </row>
    <row r="99" spans="1:22" ht="33">
      <c r="A99" s="135">
        <v>43</v>
      </c>
      <c r="B99" s="111" t="s">
        <v>2304</v>
      </c>
      <c r="C99" s="315"/>
      <c r="D99" s="318"/>
      <c r="E99" s="316"/>
      <c r="F99" s="315">
        <f t="shared" si="13"/>
        <v>0</v>
      </c>
      <c r="G99" s="315"/>
      <c r="H99" s="315">
        <f t="shared" si="14"/>
        <v>0</v>
      </c>
      <c r="I99" s="315"/>
      <c r="J99" s="315">
        <f t="shared" si="17"/>
        <v>0</v>
      </c>
      <c r="K99" s="315"/>
      <c r="L99" s="315">
        <f t="shared" si="15"/>
        <v>0</v>
      </c>
      <c r="M99" s="315"/>
      <c r="N99" s="315"/>
      <c r="O99" s="315"/>
      <c r="P99" s="315">
        <f t="shared" si="16"/>
        <v>0</v>
      </c>
      <c r="Q99" s="315"/>
      <c r="R99" s="315"/>
      <c r="S99" s="315">
        <f t="shared" si="18"/>
        <v>0</v>
      </c>
      <c r="T99" s="315">
        <f t="shared" si="19"/>
        <v>0</v>
      </c>
      <c r="U99" s="315">
        <f t="shared" si="20"/>
        <v>0</v>
      </c>
      <c r="V99" s="322">
        <f t="shared" si="21"/>
        <v>0</v>
      </c>
    </row>
    <row r="100" spans="1:22" ht="20.100000000000001" customHeight="1">
      <c r="A100" s="134"/>
      <c r="B100" s="111" t="s">
        <v>2132</v>
      </c>
      <c r="C100" s="315">
        <f>ROUND(Data!K1537,2)</f>
        <v>61599.8</v>
      </c>
      <c r="D100" s="318" t="s">
        <v>528</v>
      </c>
      <c r="E100" s="316"/>
      <c r="F100" s="315">
        <f t="shared" si="13"/>
        <v>0</v>
      </c>
      <c r="G100" s="315"/>
      <c r="H100" s="315">
        <f t="shared" si="14"/>
        <v>0</v>
      </c>
      <c r="I100" s="315"/>
      <c r="J100" s="315">
        <f t="shared" si="17"/>
        <v>0</v>
      </c>
      <c r="K100" s="315"/>
      <c r="L100" s="315">
        <f t="shared" si="15"/>
        <v>0</v>
      </c>
      <c r="M100" s="315"/>
      <c r="N100" s="315"/>
      <c r="O100" s="315"/>
      <c r="P100" s="315">
        <f t="shared" si="16"/>
        <v>0</v>
      </c>
      <c r="Q100" s="315"/>
      <c r="R100" s="315"/>
      <c r="S100" s="315">
        <f t="shared" si="18"/>
        <v>0</v>
      </c>
      <c r="T100" s="315">
        <f t="shared" si="19"/>
        <v>0</v>
      </c>
      <c r="U100" s="315">
        <f t="shared" si="20"/>
        <v>0</v>
      </c>
      <c r="V100" s="322">
        <f t="shared" si="21"/>
        <v>0</v>
      </c>
    </row>
    <row r="101" spans="1:22" ht="20.100000000000001" customHeight="1">
      <c r="A101" s="310"/>
      <c r="B101" s="111" t="s">
        <v>2133</v>
      </c>
      <c r="C101" s="315">
        <f>ROUND(Data!K1549,2)</f>
        <v>61599.8</v>
      </c>
      <c r="D101" s="318" t="s">
        <v>528</v>
      </c>
      <c r="E101" s="316"/>
      <c r="F101" s="315">
        <f t="shared" si="13"/>
        <v>0</v>
      </c>
      <c r="G101" s="315"/>
      <c r="H101" s="315">
        <f t="shared" si="14"/>
        <v>0</v>
      </c>
      <c r="I101" s="315"/>
      <c r="J101" s="315">
        <f t="shared" si="17"/>
        <v>0</v>
      </c>
      <c r="K101" s="315"/>
      <c r="L101" s="315">
        <f t="shared" si="15"/>
        <v>0</v>
      </c>
      <c r="M101" s="315"/>
      <c r="N101" s="315"/>
      <c r="O101" s="315"/>
      <c r="P101" s="315">
        <f t="shared" si="16"/>
        <v>0</v>
      </c>
      <c r="Q101" s="315"/>
      <c r="R101" s="315"/>
      <c r="S101" s="315">
        <f t="shared" si="18"/>
        <v>0</v>
      </c>
      <c r="T101" s="315">
        <f t="shared" si="19"/>
        <v>0</v>
      </c>
      <c r="U101" s="315">
        <f t="shared" si="20"/>
        <v>0</v>
      </c>
      <c r="V101" s="322">
        <f t="shared" si="21"/>
        <v>0</v>
      </c>
    </row>
    <row r="102" spans="1:22" ht="28.5" customHeight="1">
      <c r="A102" s="135">
        <v>49</v>
      </c>
      <c r="B102" s="111" t="s">
        <v>1916</v>
      </c>
      <c r="C102" s="315">
        <f>ROUND(Data!K1626,2)</f>
        <v>2.5</v>
      </c>
      <c r="D102" s="318" t="s">
        <v>1458</v>
      </c>
      <c r="E102" s="315" t="e">
        <f>'Sullage Detailed'!#REF!</f>
        <v>#REF!</v>
      </c>
      <c r="F102" s="315" t="e">
        <f t="shared" si="13"/>
        <v>#REF!</v>
      </c>
      <c r="G102" s="315"/>
      <c r="H102" s="315">
        <f t="shared" si="14"/>
        <v>0</v>
      </c>
      <c r="I102" s="315"/>
      <c r="J102" s="315">
        <f t="shared" si="17"/>
        <v>0</v>
      </c>
      <c r="K102" s="315"/>
      <c r="L102" s="315">
        <f t="shared" si="15"/>
        <v>0</v>
      </c>
      <c r="M102" s="315"/>
      <c r="N102" s="315"/>
      <c r="O102" s="315"/>
      <c r="P102" s="315">
        <f t="shared" si="16"/>
        <v>0</v>
      </c>
      <c r="Q102" s="315"/>
      <c r="R102" s="315"/>
      <c r="S102" s="315">
        <f t="shared" si="18"/>
        <v>0</v>
      </c>
      <c r="T102" s="315">
        <f t="shared" si="19"/>
        <v>0</v>
      </c>
      <c r="U102" s="315" t="e">
        <f t="shared" si="20"/>
        <v>#REF!</v>
      </c>
      <c r="V102" s="322" t="e">
        <f t="shared" si="21"/>
        <v>#REF!</v>
      </c>
    </row>
    <row r="103" spans="1:22" ht="27.75" customHeight="1">
      <c r="A103" s="135">
        <v>50.1</v>
      </c>
      <c r="B103" s="111" t="s">
        <v>1917</v>
      </c>
      <c r="C103" s="315"/>
      <c r="D103" s="318" t="s">
        <v>1918</v>
      </c>
      <c r="E103" s="316"/>
      <c r="F103" s="315">
        <f t="shared" si="13"/>
        <v>0</v>
      </c>
      <c r="G103" s="315"/>
      <c r="H103" s="315">
        <f t="shared" si="14"/>
        <v>0</v>
      </c>
      <c r="I103" s="315"/>
      <c r="J103" s="315">
        <f t="shared" si="17"/>
        <v>0</v>
      </c>
      <c r="K103" s="315"/>
      <c r="L103" s="315">
        <f t="shared" si="15"/>
        <v>0</v>
      </c>
      <c r="M103" s="315"/>
      <c r="N103" s="315"/>
      <c r="O103" s="315"/>
      <c r="P103" s="315">
        <f t="shared" si="16"/>
        <v>0</v>
      </c>
      <c r="Q103" s="315"/>
      <c r="R103" s="315"/>
      <c r="S103" s="315">
        <f t="shared" si="18"/>
        <v>0</v>
      </c>
      <c r="T103" s="315">
        <f t="shared" si="19"/>
        <v>0</v>
      </c>
      <c r="U103" s="315">
        <f t="shared" si="20"/>
        <v>0</v>
      </c>
      <c r="V103" s="322">
        <f t="shared" si="21"/>
        <v>0</v>
      </c>
    </row>
    <row r="104" spans="1:22" ht="39.75" customHeight="1">
      <c r="A104" s="135">
        <v>50.2</v>
      </c>
      <c r="B104" s="111" t="s">
        <v>293</v>
      </c>
      <c r="C104" s="315">
        <f>ROUND(Data!K1675,2)</f>
        <v>166.01</v>
      </c>
      <c r="D104" s="318" t="s">
        <v>840</v>
      </c>
      <c r="E104" s="316"/>
      <c r="F104" s="315">
        <f t="shared" si="13"/>
        <v>0</v>
      </c>
      <c r="G104" s="315"/>
      <c r="H104" s="315">
        <f t="shared" si="14"/>
        <v>0</v>
      </c>
      <c r="I104" s="315"/>
      <c r="J104" s="315">
        <f t="shared" si="17"/>
        <v>0</v>
      </c>
      <c r="K104" s="315">
        <f>'D.W.Detailed for CC road'!H25</f>
        <v>40</v>
      </c>
      <c r="L104" s="315">
        <f t="shared" si="15"/>
        <v>6640.4</v>
      </c>
      <c r="M104" s="315"/>
      <c r="N104" s="315"/>
      <c r="O104" s="315"/>
      <c r="P104" s="315">
        <f t="shared" si="16"/>
        <v>0</v>
      </c>
      <c r="Q104" s="315"/>
      <c r="R104" s="315"/>
      <c r="S104" s="315">
        <f t="shared" si="18"/>
        <v>40</v>
      </c>
      <c r="T104" s="315">
        <f t="shared" si="19"/>
        <v>6640.4</v>
      </c>
      <c r="U104" s="315">
        <f t="shared" si="20"/>
        <v>40</v>
      </c>
      <c r="V104" s="322">
        <f t="shared" si="21"/>
        <v>6640.4</v>
      </c>
    </row>
    <row r="105" spans="1:22" ht="28.5" customHeight="1">
      <c r="A105" s="135">
        <v>50.3</v>
      </c>
      <c r="B105" s="111" t="s">
        <v>2269</v>
      </c>
      <c r="C105" s="315">
        <f>ROUND(Data!K1691,2)</f>
        <v>267.67</v>
      </c>
      <c r="D105" s="318" t="s">
        <v>1458</v>
      </c>
      <c r="E105" s="315" t="e">
        <f>'Sullage Detailed'!#REF!</f>
        <v>#REF!</v>
      </c>
      <c r="F105" s="315" t="e">
        <f t="shared" si="13"/>
        <v>#REF!</v>
      </c>
      <c r="G105" s="315"/>
      <c r="H105" s="315">
        <f t="shared" si="14"/>
        <v>0</v>
      </c>
      <c r="I105" s="315"/>
      <c r="J105" s="315">
        <f t="shared" si="17"/>
        <v>0</v>
      </c>
      <c r="K105" s="315"/>
      <c r="L105" s="315">
        <f t="shared" si="15"/>
        <v>0</v>
      </c>
      <c r="M105" s="315"/>
      <c r="N105" s="315"/>
      <c r="O105" s="315"/>
      <c r="P105" s="315">
        <f t="shared" si="16"/>
        <v>0</v>
      </c>
      <c r="Q105" s="315"/>
      <c r="R105" s="315"/>
      <c r="S105" s="315">
        <f t="shared" si="18"/>
        <v>0</v>
      </c>
      <c r="T105" s="315">
        <f t="shared" si="19"/>
        <v>0</v>
      </c>
      <c r="U105" s="315" t="e">
        <f t="shared" si="20"/>
        <v>#REF!</v>
      </c>
      <c r="V105" s="322" t="e">
        <f t="shared" si="21"/>
        <v>#REF!</v>
      </c>
    </row>
    <row r="106" spans="1:22" ht="28.5" customHeight="1">
      <c r="A106" s="135">
        <v>50.4</v>
      </c>
      <c r="B106" s="111" t="s">
        <v>2270</v>
      </c>
      <c r="C106" s="315">
        <f>ROUND(Data!K1704,2)</f>
        <v>561.44000000000005</v>
      </c>
      <c r="D106" s="318" t="s">
        <v>1458</v>
      </c>
      <c r="E106" s="315" t="e">
        <f>'Sullage Detailed'!#REF!</f>
        <v>#REF!</v>
      </c>
      <c r="F106" s="315" t="e">
        <f t="shared" si="13"/>
        <v>#REF!</v>
      </c>
      <c r="G106" s="315"/>
      <c r="H106" s="315">
        <f t="shared" si="14"/>
        <v>0</v>
      </c>
      <c r="I106" s="315"/>
      <c r="J106" s="315">
        <f t="shared" si="17"/>
        <v>0</v>
      </c>
      <c r="K106" s="315"/>
      <c r="L106" s="315">
        <f t="shared" si="15"/>
        <v>0</v>
      </c>
      <c r="M106" s="315"/>
      <c r="N106" s="315"/>
      <c r="O106" s="315"/>
      <c r="P106" s="315">
        <f t="shared" si="16"/>
        <v>0</v>
      </c>
      <c r="Q106" s="315"/>
      <c r="R106" s="315"/>
      <c r="S106" s="315">
        <f t="shared" si="18"/>
        <v>0</v>
      </c>
      <c r="T106" s="315">
        <f t="shared" si="19"/>
        <v>0</v>
      </c>
      <c r="U106" s="315" t="e">
        <f t="shared" si="20"/>
        <v>#REF!</v>
      </c>
      <c r="V106" s="322" t="e">
        <f t="shared" si="21"/>
        <v>#REF!</v>
      </c>
    </row>
    <row r="107" spans="1:22" ht="27.75" customHeight="1">
      <c r="A107" s="135">
        <v>51</v>
      </c>
      <c r="B107" s="111" t="s">
        <v>241</v>
      </c>
      <c r="C107" s="315">
        <f>ROUND(Data!K1725,2)</f>
        <v>6300</v>
      </c>
      <c r="D107" s="318" t="s">
        <v>1458</v>
      </c>
      <c r="E107" s="315"/>
      <c r="F107" s="315">
        <f t="shared" si="13"/>
        <v>0</v>
      </c>
      <c r="G107" s="315"/>
      <c r="H107" s="315">
        <f t="shared" si="14"/>
        <v>0</v>
      </c>
      <c r="I107" s="315"/>
      <c r="J107" s="315">
        <f t="shared" si="17"/>
        <v>0</v>
      </c>
      <c r="K107" s="315"/>
      <c r="L107" s="315">
        <f t="shared" si="15"/>
        <v>0</v>
      </c>
      <c r="M107" s="315"/>
      <c r="N107" s="315"/>
      <c r="O107" s="315"/>
      <c r="P107" s="315">
        <f t="shared" si="16"/>
        <v>0</v>
      </c>
      <c r="Q107" s="315"/>
      <c r="R107" s="315"/>
      <c r="S107" s="315">
        <f t="shared" si="18"/>
        <v>0</v>
      </c>
      <c r="T107" s="315">
        <f t="shared" si="19"/>
        <v>0</v>
      </c>
      <c r="U107" s="315">
        <f t="shared" si="20"/>
        <v>0</v>
      </c>
      <c r="V107" s="322">
        <f t="shared" si="21"/>
        <v>0</v>
      </c>
    </row>
    <row r="108" spans="1:22" ht="27.75" customHeight="1">
      <c r="A108" s="135"/>
      <c r="B108" s="111" t="s">
        <v>600</v>
      </c>
      <c r="C108" s="315">
        <f>Data!K1724*1500</f>
        <v>13500</v>
      </c>
      <c r="D108" s="318" t="s">
        <v>1458</v>
      </c>
      <c r="E108" s="315" t="e">
        <f>'Sullage Detailed'!#REF!</f>
        <v>#REF!</v>
      </c>
      <c r="F108" s="315" t="e">
        <f t="shared" si="13"/>
        <v>#REF!</v>
      </c>
      <c r="G108" s="315"/>
      <c r="H108" s="315">
        <f t="shared" si="14"/>
        <v>0</v>
      </c>
      <c r="I108" s="315"/>
      <c r="J108" s="315">
        <f t="shared" si="17"/>
        <v>0</v>
      </c>
      <c r="K108" s="315"/>
      <c r="L108" s="315">
        <f t="shared" si="15"/>
        <v>0</v>
      </c>
      <c r="M108" s="315"/>
      <c r="N108" s="315"/>
      <c r="O108" s="315"/>
      <c r="P108" s="315">
        <f t="shared" si="16"/>
        <v>0</v>
      </c>
      <c r="Q108" s="315"/>
      <c r="R108" s="315"/>
      <c r="S108" s="315">
        <f t="shared" si="18"/>
        <v>0</v>
      </c>
      <c r="T108" s="315">
        <f t="shared" si="19"/>
        <v>0</v>
      </c>
      <c r="U108" s="315" t="e">
        <f t="shared" si="20"/>
        <v>#REF!</v>
      </c>
      <c r="V108" s="322" t="e">
        <f t="shared" si="21"/>
        <v>#REF!</v>
      </c>
    </row>
    <row r="109" spans="1:22" ht="27.75" customHeight="1">
      <c r="A109" s="135">
        <v>52</v>
      </c>
      <c r="B109" s="112" t="s">
        <v>242</v>
      </c>
      <c r="C109" s="315"/>
      <c r="D109" s="318"/>
      <c r="E109" s="316"/>
      <c r="F109" s="315">
        <f t="shared" si="13"/>
        <v>0</v>
      </c>
      <c r="G109" s="315"/>
      <c r="H109" s="315">
        <f t="shared" si="14"/>
        <v>0</v>
      </c>
      <c r="I109" s="315"/>
      <c r="J109" s="315">
        <f t="shared" si="17"/>
        <v>0</v>
      </c>
      <c r="K109" s="315"/>
      <c r="L109" s="315">
        <f t="shared" si="15"/>
        <v>0</v>
      </c>
      <c r="M109" s="315"/>
      <c r="N109" s="315"/>
      <c r="O109" s="315"/>
      <c r="P109" s="315">
        <f t="shared" si="16"/>
        <v>0</v>
      </c>
      <c r="Q109" s="315"/>
      <c r="R109" s="315"/>
      <c r="S109" s="315">
        <f t="shared" si="18"/>
        <v>0</v>
      </c>
      <c r="T109" s="315">
        <f t="shared" si="19"/>
        <v>0</v>
      </c>
      <c r="U109" s="315">
        <f t="shared" si="20"/>
        <v>0</v>
      </c>
      <c r="V109" s="322">
        <f t="shared" si="21"/>
        <v>0</v>
      </c>
    </row>
    <row r="110" spans="1:22" ht="27.75" customHeight="1">
      <c r="A110" s="134"/>
      <c r="B110" s="111" t="s">
        <v>52</v>
      </c>
      <c r="C110" s="315">
        <f>ROUND(Data!K1819,2)</f>
        <v>168.87</v>
      </c>
      <c r="D110" s="318" t="s">
        <v>840</v>
      </c>
      <c r="E110" s="315" t="e">
        <f>'Sullage Detailed'!#REF!</f>
        <v>#REF!</v>
      </c>
      <c r="F110" s="315" t="e">
        <f t="shared" si="13"/>
        <v>#REF!</v>
      </c>
      <c r="G110" s="315"/>
      <c r="H110" s="315">
        <f t="shared" si="14"/>
        <v>0</v>
      </c>
      <c r="I110" s="315"/>
      <c r="J110" s="315">
        <f t="shared" si="17"/>
        <v>0</v>
      </c>
      <c r="K110" s="315"/>
      <c r="L110" s="315">
        <f t="shared" si="15"/>
        <v>0</v>
      </c>
      <c r="M110" s="315"/>
      <c r="N110" s="315"/>
      <c r="O110" s="315"/>
      <c r="P110" s="315">
        <f t="shared" si="16"/>
        <v>0</v>
      </c>
      <c r="Q110" s="315"/>
      <c r="R110" s="315"/>
      <c r="S110" s="315">
        <f t="shared" si="18"/>
        <v>0</v>
      </c>
      <c r="T110" s="315">
        <f t="shared" si="19"/>
        <v>0</v>
      </c>
      <c r="U110" s="315" t="e">
        <f t="shared" si="20"/>
        <v>#REF!</v>
      </c>
      <c r="V110" s="322" t="e">
        <f t="shared" si="21"/>
        <v>#REF!</v>
      </c>
    </row>
    <row r="111" spans="1:22" ht="27.75" customHeight="1">
      <c r="A111" s="134"/>
      <c r="B111" s="111" t="s">
        <v>53</v>
      </c>
      <c r="C111" s="315">
        <f>ROUND(Data!K1811,2)</f>
        <v>155.63999999999999</v>
      </c>
      <c r="D111" s="318" t="s">
        <v>840</v>
      </c>
      <c r="E111" s="315" t="e">
        <f>'Sullage Detailed'!#REF!</f>
        <v>#REF!</v>
      </c>
      <c r="F111" s="315" t="e">
        <f t="shared" si="13"/>
        <v>#REF!</v>
      </c>
      <c r="G111" s="315"/>
      <c r="H111" s="315">
        <f t="shared" si="14"/>
        <v>0</v>
      </c>
      <c r="I111" s="315"/>
      <c r="J111" s="315">
        <f t="shared" si="17"/>
        <v>0</v>
      </c>
      <c r="K111" s="315"/>
      <c r="L111" s="315">
        <f t="shared" si="15"/>
        <v>0</v>
      </c>
      <c r="M111" s="315"/>
      <c r="N111" s="315"/>
      <c r="O111" s="315"/>
      <c r="P111" s="315">
        <f t="shared" si="16"/>
        <v>0</v>
      </c>
      <c r="Q111" s="315"/>
      <c r="R111" s="315"/>
      <c r="S111" s="315">
        <f t="shared" si="18"/>
        <v>0</v>
      </c>
      <c r="T111" s="315">
        <f t="shared" si="19"/>
        <v>0</v>
      </c>
      <c r="U111" s="315" t="e">
        <f t="shared" si="20"/>
        <v>#REF!</v>
      </c>
      <c r="V111" s="322" t="e">
        <f t="shared" si="21"/>
        <v>#REF!</v>
      </c>
    </row>
    <row r="112" spans="1:22" ht="20.100000000000001" customHeight="1">
      <c r="A112" s="310"/>
      <c r="B112" s="111" t="s">
        <v>54</v>
      </c>
      <c r="C112" s="315">
        <f>ROUND(Data!K1803,2)</f>
        <v>149.51</v>
      </c>
      <c r="D112" s="318" t="s">
        <v>840</v>
      </c>
      <c r="E112" s="315" t="e">
        <f>'Sullage Detailed'!#REF!</f>
        <v>#REF!</v>
      </c>
      <c r="F112" s="315" t="e">
        <f t="shared" si="13"/>
        <v>#REF!</v>
      </c>
      <c r="G112" s="315"/>
      <c r="H112" s="315">
        <f t="shared" si="14"/>
        <v>0</v>
      </c>
      <c r="I112" s="315"/>
      <c r="J112" s="315">
        <f t="shared" si="17"/>
        <v>0</v>
      </c>
      <c r="K112" s="315"/>
      <c r="L112" s="315">
        <f t="shared" si="15"/>
        <v>0</v>
      </c>
      <c r="M112" s="315"/>
      <c r="N112" s="315"/>
      <c r="O112" s="315"/>
      <c r="P112" s="315">
        <f t="shared" si="16"/>
        <v>0</v>
      </c>
      <c r="Q112" s="315"/>
      <c r="R112" s="315"/>
      <c r="S112" s="315">
        <f t="shared" si="18"/>
        <v>0</v>
      </c>
      <c r="T112" s="315">
        <f t="shared" si="19"/>
        <v>0</v>
      </c>
      <c r="U112" s="315" t="e">
        <f t="shared" si="20"/>
        <v>#REF!</v>
      </c>
      <c r="V112" s="322" t="e">
        <f t="shared" si="21"/>
        <v>#REF!</v>
      </c>
    </row>
    <row r="113" spans="1:22" ht="39.950000000000003" customHeight="1">
      <c r="A113" s="135">
        <v>52.1</v>
      </c>
      <c r="B113" s="114" t="s">
        <v>1582</v>
      </c>
      <c r="C113" s="315">
        <f>ROUND(Data!K1847,2)</f>
        <v>206.06</v>
      </c>
      <c r="D113" s="323" t="s">
        <v>840</v>
      </c>
      <c r="E113" s="315"/>
      <c r="F113" s="315">
        <f t="shared" si="13"/>
        <v>0</v>
      </c>
      <c r="G113" s="315"/>
      <c r="H113" s="315">
        <f t="shared" si="14"/>
        <v>0</v>
      </c>
      <c r="I113" s="315"/>
      <c r="J113" s="315">
        <f t="shared" si="17"/>
        <v>0</v>
      </c>
      <c r="K113" s="315"/>
      <c r="L113" s="315">
        <f t="shared" si="15"/>
        <v>0</v>
      </c>
      <c r="M113" s="315"/>
      <c r="N113" s="315"/>
      <c r="O113" s="315"/>
      <c r="P113" s="315">
        <f t="shared" si="16"/>
        <v>0</v>
      </c>
      <c r="Q113" s="315"/>
      <c r="R113" s="315"/>
      <c r="S113" s="315">
        <f t="shared" si="18"/>
        <v>0</v>
      </c>
      <c r="T113" s="315">
        <f t="shared" si="19"/>
        <v>0</v>
      </c>
      <c r="U113" s="315">
        <f t="shared" si="20"/>
        <v>0</v>
      </c>
      <c r="V113" s="322">
        <f t="shared" si="21"/>
        <v>0</v>
      </c>
    </row>
    <row r="114" spans="1:22" ht="20.100000000000001" customHeight="1">
      <c r="A114" s="135">
        <v>53.1</v>
      </c>
      <c r="B114" s="111" t="s">
        <v>55</v>
      </c>
      <c r="C114" s="315">
        <f>ROUND(Data!K1868,2)</f>
        <v>2240.2800000000002</v>
      </c>
      <c r="D114" s="318" t="s">
        <v>1458</v>
      </c>
      <c r="E114" s="315" t="e">
        <f>'Sullage Detailed'!#REF!</f>
        <v>#REF!</v>
      </c>
      <c r="F114" s="315" t="e">
        <f t="shared" si="13"/>
        <v>#REF!</v>
      </c>
      <c r="G114" s="315"/>
      <c r="H114" s="315">
        <f t="shared" si="14"/>
        <v>0</v>
      </c>
      <c r="I114" s="315"/>
      <c r="J114" s="315">
        <f t="shared" si="17"/>
        <v>0</v>
      </c>
      <c r="K114" s="315"/>
      <c r="L114" s="315">
        <f t="shared" si="15"/>
        <v>0</v>
      </c>
      <c r="M114" s="315"/>
      <c r="N114" s="315"/>
      <c r="O114" s="315"/>
      <c r="P114" s="315">
        <f t="shared" si="16"/>
        <v>0</v>
      </c>
      <c r="Q114" s="315"/>
      <c r="R114" s="315"/>
      <c r="S114" s="315">
        <f t="shared" si="18"/>
        <v>0</v>
      </c>
      <c r="T114" s="315">
        <f t="shared" si="19"/>
        <v>0</v>
      </c>
      <c r="U114" s="315" t="e">
        <f t="shared" si="20"/>
        <v>#REF!</v>
      </c>
      <c r="V114" s="322" t="e">
        <f t="shared" si="21"/>
        <v>#REF!</v>
      </c>
    </row>
    <row r="115" spans="1:22" ht="39.950000000000003" customHeight="1">
      <c r="A115" s="135">
        <v>53.2</v>
      </c>
      <c r="B115" s="111" t="s">
        <v>4032</v>
      </c>
      <c r="C115" s="315">
        <f>Data!K1871</f>
        <v>2079</v>
      </c>
      <c r="D115" s="318" t="s">
        <v>1458</v>
      </c>
      <c r="E115" s="316"/>
      <c r="F115" s="315">
        <f t="shared" si="13"/>
        <v>0</v>
      </c>
      <c r="G115" s="315">
        <v>2</v>
      </c>
      <c r="H115" s="315">
        <f t="shared" si="14"/>
        <v>4158</v>
      </c>
      <c r="I115" s="315"/>
      <c r="J115" s="315">
        <f t="shared" si="17"/>
        <v>0</v>
      </c>
      <c r="K115" s="315"/>
      <c r="L115" s="315">
        <f t="shared" si="15"/>
        <v>0</v>
      </c>
      <c r="M115" s="315"/>
      <c r="N115" s="315"/>
      <c r="O115" s="315"/>
      <c r="P115" s="315">
        <f t="shared" si="16"/>
        <v>0</v>
      </c>
      <c r="Q115" s="315"/>
      <c r="R115" s="315"/>
      <c r="S115" s="315">
        <f t="shared" si="18"/>
        <v>2</v>
      </c>
      <c r="T115" s="315">
        <f t="shared" si="19"/>
        <v>4158</v>
      </c>
      <c r="U115" s="315">
        <f t="shared" si="20"/>
        <v>2</v>
      </c>
      <c r="V115" s="322">
        <f t="shared" si="21"/>
        <v>4158</v>
      </c>
    </row>
    <row r="116" spans="1:22" ht="26.25" customHeight="1">
      <c r="A116" s="135">
        <v>53.3</v>
      </c>
      <c r="B116" s="111" t="s">
        <v>56</v>
      </c>
      <c r="C116" s="315">
        <f>ROUND(Data!K1872,2)</f>
        <v>60</v>
      </c>
      <c r="D116" s="318" t="s">
        <v>1458</v>
      </c>
      <c r="E116" s="316"/>
      <c r="F116" s="315">
        <f t="shared" si="13"/>
        <v>0</v>
      </c>
      <c r="G116" s="315">
        <v>13</v>
      </c>
      <c r="H116" s="315">
        <f t="shared" si="14"/>
        <v>780</v>
      </c>
      <c r="I116" s="315"/>
      <c r="J116" s="315">
        <f t="shared" si="17"/>
        <v>0</v>
      </c>
      <c r="K116" s="315"/>
      <c r="L116" s="315">
        <f t="shared" si="15"/>
        <v>0</v>
      </c>
      <c r="M116" s="315"/>
      <c r="N116" s="315"/>
      <c r="O116" s="315"/>
      <c r="P116" s="315">
        <f t="shared" si="16"/>
        <v>0</v>
      </c>
      <c r="Q116" s="315"/>
      <c r="R116" s="315"/>
      <c r="S116" s="315">
        <f t="shared" si="18"/>
        <v>13</v>
      </c>
      <c r="T116" s="315">
        <f t="shared" si="19"/>
        <v>780</v>
      </c>
      <c r="U116" s="315">
        <f t="shared" si="20"/>
        <v>13</v>
      </c>
      <c r="V116" s="322">
        <f t="shared" si="21"/>
        <v>780</v>
      </c>
    </row>
    <row r="117" spans="1:22" ht="20.100000000000001" customHeight="1">
      <c r="A117" s="136">
        <v>54</v>
      </c>
      <c r="B117" s="111" t="s">
        <v>996</v>
      </c>
      <c r="C117" s="315">
        <f>ROUND(Data!K1874,2)</f>
        <v>211</v>
      </c>
      <c r="D117" s="318" t="s">
        <v>1458</v>
      </c>
      <c r="E117" s="316"/>
      <c r="F117" s="315">
        <f t="shared" si="13"/>
        <v>0</v>
      </c>
      <c r="G117" s="315"/>
      <c r="H117" s="315">
        <f t="shared" si="14"/>
        <v>0</v>
      </c>
      <c r="I117" s="315"/>
      <c r="J117" s="315">
        <f t="shared" si="17"/>
        <v>0</v>
      </c>
      <c r="K117" s="315"/>
      <c r="L117" s="315">
        <f t="shared" si="15"/>
        <v>0</v>
      </c>
      <c r="M117" s="315"/>
      <c r="N117" s="315"/>
      <c r="O117" s="315"/>
      <c r="P117" s="315">
        <f t="shared" si="16"/>
        <v>0</v>
      </c>
      <c r="Q117" s="315"/>
      <c r="R117" s="315"/>
      <c r="S117" s="315">
        <f t="shared" si="18"/>
        <v>0</v>
      </c>
      <c r="T117" s="315">
        <f t="shared" si="19"/>
        <v>0</v>
      </c>
      <c r="U117" s="315">
        <f t="shared" si="20"/>
        <v>0</v>
      </c>
      <c r="V117" s="322">
        <f t="shared" si="21"/>
        <v>0</v>
      </c>
    </row>
    <row r="118" spans="1:22" ht="26.25" customHeight="1">
      <c r="A118" s="135">
        <v>54.1</v>
      </c>
      <c r="B118" s="111" t="s">
        <v>1233</v>
      </c>
      <c r="C118" s="315">
        <f>ROUND(Data!K1877,2)</f>
        <v>270</v>
      </c>
      <c r="D118" s="318" t="s">
        <v>1458</v>
      </c>
      <c r="E118" s="315" t="e">
        <f>'Sullage Detailed'!#REF!</f>
        <v>#REF!</v>
      </c>
      <c r="F118" s="315" t="e">
        <f t="shared" si="13"/>
        <v>#REF!</v>
      </c>
      <c r="G118" s="315"/>
      <c r="H118" s="315">
        <f t="shared" si="14"/>
        <v>0</v>
      </c>
      <c r="I118" s="315"/>
      <c r="J118" s="315">
        <f t="shared" si="17"/>
        <v>0</v>
      </c>
      <c r="K118" s="315"/>
      <c r="L118" s="315">
        <f t="shared" si="15"/>
        <v>0</v>
      </c>
      <c r="M118" s="315"/>
      <c r="N118" s="315"/>
      <c r="O118" s="315"/>
      <c r="P118" s="315">
        <f t="shared" si="16"/>
        <v>0</v>
      </c>
      <c r="Q118" s="315"/>
      <c r="R118" s="315"/>
      <c r="S118" s="315">
        <f t="shared" si="18"/>
        <v>0</v>
      </c>
      <c r="T118" s="315">
        <f t="shared" si="19"/>
        <v>0</v>
      </c>
      <c r="U118" s="315" t="e">
        <f t="shared" si="20"/>
        <v>#REF!</v>
      </c>
      <c r="V118" s="322" t="e">
        <f t="shared" si="21"/>
        <v>#REF!</v>
      </c>
    </row>
    <row r="119" spans="1:22" ht="26.25" customHeight="1">
      <c r="A119" s="135">
        <v>54.2</v>
      </c>
      <c r="B119" s="111" t="s">
        <v>1234</v>
      </c>
      <c r="C119" s="315">
        <f>ROUND(Data!K1880,2)</f>
        <v>245</v>
      </c>
      <c r="D119" s="318" t="s">
        <v>1458</v>
      </c>
      <c r="E119" s="315"/>
      <c r="F119" s="315">
        <f t="shared" si="13"/>
        <v>0</v>
      </c>
      <c r="G119" s="315"/>
      <c r="H119" s="315">
        <f t="shared" si="14"/>
        <v>0</v>
      </c>
      <c r="I119" s="315"/>
      <c r="J119" s="315">
        <f t="shared" si="17"/>
        <v>0</v>
      </c>
      <c r="K119" s="315"/>
      <c r="L119" s="315">
        <f t="shared" si="15"/>
        <v>0</v>
      </c>
      <c r="M119" s="315"/>
      <c r="N119" s="315"/>
      <c r="O119" s="315"/>
      <c r="P119" s="315">
        <f t="shared" si="16"/>
        <v>0</v>
      </c>
      <c r="Q119" s="315"/>
      <c r="R119" s="315"/>
      <c r="S119" s="315">
        <f t="shared" si="18"/>
        <v>0</v>
      </c>
      <c r="T119" s="315">
        <f t="shared" si="19"/>
        <v>0</v>
      </c>
      <c r="U119" s="315">
        <f t="shared" si="20"/>
        <v>0</v>
      </c>
      <c r="V119" s="322">
        <f t="shared" si="21"/>
        <v>0</v>
      </c>
    </row>
    <row r="120" spans="1:22" ht="20.100000000000001" customHeight="1">
      <c r="A120" s="135">
        <v>55.1</v>
      </c>
      <c r="B120" s="111" t="s">
        <v>1276</v>
      </c>
      <c r="C120" s="315">
        <f>Data!K2324</f>
        <v>645.19000000000005</v>
      </c>
      <c r="D120" s="318" t="s">
        <v>1458</v>
      </c>
      <c r="E120" s="316"/>
      <c r="F120" s="315">
        <f t="shared" si="13"/>
        <v>0</v>
      </c>
      <c r="G120" s="315"/>
      <c r="H120" s="315">
        <f t="shared" si="14"/>
        <v>0</v>
      </c>
      <c r="I120" s="315"/>
      <c r="J120" s="315">
        <f t="shared" si="17"/>
        <v>0</v>
      </c>
      <c r="K120" s="315"/>
      <c r="L120" s="315">
        <f t="shared" si="15"/>
        <v>0</v>
      </c>
      <c r="M120" s="315"/>
      <c r="N120" s="315"/>
      <c r="O120" s="315"/>
      <c r="P120" s="315">
        <f t="shared" si="16"/>
        <v>0</v>
      </c>
      <c r="Q120" s="315"/>
      <c r="R120" s="315"/>
      <c r="S120" s="315">
        <f t="shared" si="18"/>
        <v>0</v>
      </c>
      <c r="T120" s="315">
        <f t="shared" si="19"/>
        <v>0</v>
      </c>
      <c r="U120" s="315">
        <f t="shared" si="20"/>
        <v>0</v>
      </c>
      <c r="V120" s="322">
        <f t="shared" si="21"/>
        <v>0</v>
      </c>
    </row>
    <row r="121" spans="1:22" ht="20.100000000000001" customHeight="1">
      <c r="A121" s="135">
        <v>55.2</v>
      </c>
      <c r="B121" s="111" t="s">
        <v>1277</v>
      </c>
      <c r="C121" s="315">
        <f>Data!K2336</f>
        <v>1384.86</v>
      </c>
      <c r="D121" s="318" t="s">
        <v>1458</v>
      </c>
      <c r="E121" s="316"/>
      <c r="F121" s="315">
        <f t="shared" si="13"/>
        <v>0</v>
      </c>
      <c r="G121" s="315"/>
      <c r="H121" s="315">
        <f t="shared" si="14"/>
        <v>0</v>
      </c>
      <c r="I121" s="315"/>
      <c r="J121" s="315">
        <f t="shared" si="17"/>
        <v>0</v>
      </c>
      <c r="K121" s="315"/>
      <c r="L121" s="315">
        <f t="shared" si="15"/>
        <v>0</v>
      </c>
      <c r="M121" s="315"/>
      <c r="N121" s="315"/>
      <c r="O121" s="315"/>
      <c r="P121" s="315">
        <f t="shared" si="16"/>
        <v>0</v>
      </c>
      <c r="Q121" s="315"/>
      <c r="R121" s="315"/>
      <c r="S121" s="315">
        <f t="shared" si="18"/>
        <v>0</v>
      </c>
      <c r="T121" s="315">
        <f t="shared" si="19"/>
        <v>0</v>
      </c>
      <c r="U121" s="315">
        <f t="shared" si="20"/>
        <v>0</v>
      </c>
      <c r="V121" s="322">
        <f t="shared" si="21"/>
        <v>0</v>
      </c>
    </row>
    <row r="122" spans="1:22" ht="24.75" customHeight="1">
      <c r="A122" s="135">
        <v>56.1</v>
      </c>
      <c r="B122" s="111" t="s">
        <v>1278</v>
      </c>
      <c r="C122" s="315">
        <f>ROUND(Data!K1897,2)</f>
        <v>2047.39</v>
      </c>
      <c r="D122" s="318" t="s">
        <v>1458</v>
      </c>
      <c r="E122" s="315" t="e">
        <f>'Sullage Detailed'!#REF!</f>
        <v>#REF!</v>
      </c>
      <c r="F122" s="315" t="e">
        <f t="shared" si="13"/>
        <v>#REF!</v>
      </c>
      <c r="G122" s="315"/>
      <c r="H122" s="315">
        <f t="shared" si="14"/>
        <v>0</v>
      </c>
      <c r="I122" s="315"/>
      <c r="J122" s="315">
        <f t="shared" si="17"/>
        <v>0</v>
      </c>
      <c r="K122" s="315"/>
      <c r="L122" s="315">
        <f t="shared" si="15"/>
        <v>0</v>
      </c>
      <c r="M122" s="315"/>
      <c r="N122" s="315"/>
      <c r="O122" s="315"/>
      <c r="P122" s="315">
        <f t="shared" si="16"/>
        <v>0</v>
      </c>
      <c r="Q122" s="315"/>
      <c r="R122" s="315"/>
      <c r="S122" s="315">
        <f t="shared" si="18"/>
        <v>0</v>
      </c>
      <c r="T122" s="315">
        <f t="shared" si="19"/>
        <v>0</v>
      </c>
      <c r="U122" s="315" t="e">
        <f t="shared" si="20"/>
        <v>#REF!</v>
      </c>
      <c r="V122" s="322" t="e">
        <f t="shared" si="21"/>
        <v>#REF!</v>
      </c>
    </row>
    <row r="123" spans="1:22" ht="20.100000000000001" customHeight="1">
      <c r="A123" s="135">
        <v>56.2</v>
      </c>
      <c r="B123" s="111" t="s">
        <v>2377</v>
      </c>
      <c r="C123" s="315">
        <f>ROUND(Data!K1918,2)</f>
        <v>3153.42</v>
      </c>
      <c r="D123" s="318" t="s">
        <v>1458</v>
      </c>
      <c r="E123" s="316"/>
      <c r="F123" s="315">
        <f t="shared" si="13"/>
        <v>0</v>
      </c>
      <c r="G123" s="315"/>
      <c r="H123" s="315">
        <f t="shared" si="14"/>
        <v>0</v>
      </c>
      <c r="I123" s="315"/>
      <c r="J123" s="315">
        <f t="shared" si="17"/>
        <v>0</v>
      </c>
      <c r="K123" s="315"/>
      <c r="L123" s="315">
        <f t="shared" si="15"/>
        <v>0</v>
      </c>
      <c r="M123" s="315"/>
      <c r="N123" s="315"/>
      <c r="O123" s="315"/>
      <c r="P123" s="315">
        <f t="shared" si="16"/>
        <v>0</v>
      </c>
      <c r="Q123" s="315"/>
      <c r="R123" s="315"/>
      <c r="S123" s="315">
        <f t="shared" si="18"/>
        <v>0</v>
      </c>
      <c r="T123" s="315">
        <f t="shared" si="19"/>
        <v>0</v>
      </c>
      <c r="U123" s="315">
        <f t="shared" si="20"/>
        <v>0</v>
      </c>
      <c r="V123" s="322">
        <f t="shared" si="21"/>
        <v>0</v>
      </c>
    </row>
    <row r="124" spans="1:22" ht="26.25" customHeight="1">
      <c r="A124" s="136">
        <v>57</v>
      </c>
      <c r="B124" s="111" t="s">
        <v>392</v>
      </c>
      <c r="C124" s="315">
        <f>ROUND(Data!K1936,2)</f>
        <v>4531.8599999999997</v>
      </c>
      <c r="D124" s="318" t="s">
        <v>1458</v>
      </c>
      <c r="E124" s="315" t="e">
        <f>'Sullage Detailed'!#REF!</f>
        <v>#REF!</v>
      </c>
      <c r="F124" s="315" t="e">
        <f t="shared" si="13"/>
        <v>#REF!</v>
      </c>
      <c r="G124" s="315"/>
      <c r="H124" s="315">
        <f t="shared" si="14"/>
        <v>0</v>
      </c>
      <c r="I124" s="315"/>
      <c r="J124" s="315">
        <f t="shared" si="17"/>
        <v>0</v>
      </c>
      <c r="K124" s="315"/>
      <c r="L124" s="315">
        <f t="shared" si="15"/>
        <v>0</v>
      </c>
      <c r="M124" s="315"/>
      <c r="N124" s="315"/>
      <c r="O124" s="315"/>
      <c r="P124" s="315">
        <f t="shared" si="16"/>
        <v>0</v>
      </c>
      <c r="Q124" s="315"/>
      <c r="R124" s="315"/>
      <c r="S124" s="315">
        <f t="shared" si="18"/>
        <v>0</v>
      </c>
      <c r="T124" s="315">
        <f t="shared" si="19"/>
        <v>0</v>
      </c>
      <c r="U124" s="315" t="e">
        <f t="shared" si="20"/>
        <v>#REF!</v>
      </c>
      <c r="V124" s="322" t="e">
        <f t="shared" si="21"/>
        <v>#REF!</v>
      </c>
    </row>
    <row r="125" spans="1:22" ht="20.100000000000001" customHeight="1">
      <c r="A125" s="135">
        <v>57.1</v>
      </c>
      <c r="B125" s="111" t="s">
        <v>393</v>
      </c>
      <c r="C125" s="315">
        <f>ROUND(Data!K1955,2)</f>
        <v>4896.8599999999997</v>
      </c>
      <c r="D125" s="318" t="s">
        <v>1458</v>
      </c>
      <c r="E125" s="316"/>
      <c r="F125" s="315">
        <f t="shared" si="13"/>
        <v>0</v>
      </c>
      <c r="G125" s="315"/>
      <c r="H125" s="315">
        <f t="shared" si="14"/>
        <v>0</v>
      </c>
      <c r="I125" s="315"/>
      <c r="J125" s="315">
        <f t="shared" si="17"/>
        <v>0</v>
      </c>
      <c r="K125" s="315"/>
      <c r="L125" s="315">
        <f t="shared" si="15"/>
        <v>0</v>
      </c>
      <c r="M125" s="315"/>
      <c r="N125" s="315"/>
      <c r="O125" s="315"/>
      <c r="P125" s="315">
        <f t="shared" si="16"/>
        <v>0</v>
      </c>
      <c r="Q125" s="315"/>
      <c r="R125" s="315"/>
      <c r="S125" s="315">
        <f t="shared" si="18"/>
        <v>0</v>
      </c>
      <c r="T125" s="315">
        <f t="shared" si="19"/>
        <v>0</v>
      </c>
      <c r="U125" s="315">
        <f t="shared" si="20"/>
        <v>0</v>
      </c>
      <c r="V125" s="322">
        <f t="shared" si="21"/>
        <v>0</v>
      </c>
    </row>
    <row r="126" spans="1:22" ht="20.100000000000001" customHeight="1">
      <c r="A126" s="135">
        <v>58.2</v>
      </c>
      <c r="B126" s="111" t="s">
        <v>43</v>
      </c>
      <c r="C126" s="319">
        <f>ROUND(Data!K2019,2)</f>
        <v>617.08000000000004</v>
      </c>
      <c r="D126" s="318" t="s">
        <v>1458</v>
      </c>
      <c r="E126" s="316"/>
      <c r="F126" s="315">
        <f t="shared" si="13"/>
        <v>0</v>
      </c>
      <c r="G126" s="315"/>
      <c r="H126" s="315">
        <f t="shared" si="14"/>
        <v>0</v>
      </c>
      <c r="I126" s="315"/>
      <c r="J126" s="315">
        <f t="shared" si="17"/>
        <v>0</v>
      </c>
      <c r="K126" s="315"/>
      <c r="L126" s="315">
        <f t="shared" si="15"/>
        <v>0</v>
      </c>
      <c r="M126" s="315"/>
      <c r="N126" s="315"/>
      <c r="O126" s="315"/>
      <c r="P126" s="315">
        <f t="shared" si="16"/>
        <v>0</v>
      </c>
      <c r="Q126" s="315"/>
      <c r="R126" s="315"/>
      <c r="S126" s="315">
        <f t="shared" si="18"/>
        <v>0</v>
      </c>
      <c r="T126" s="315">
        <f t="shared" si="19"/>
        <v>0</v>
      </c>
      <c r="U126" s="315">
        <f t="shared" si="20"/>
        <v>0</v>
      </c>
      <c r="V126" s="322">
        <f t="shared" si="21"/>
        <v>0</v>
      </c>
    </row>
    <row r="127" spans="1:22" ht="39" customHeight="1">
      <c r="A127" s="135">
        <v>59.2</v>
      </c>
      <c r="B127" s="111" t="s">
        <v>39</v>
      </c>
      <c r="C127" s="315">
        <f>ROUND(Data!K2032,2)</f>
        <v>983.08</v>
      </c>
      <c r="D127" s="318" t="s">
        <v>1458</v>
      </c>
      <c r="E127" s="315" t="e">
        <f>'Sullage Detailed'!#REF!</f>
        <v>#REF!</v>
      </c>
      <c r="F127" s="315" t="e">
        <f t="shared" si="13"/>
        <v>#REF!</v>
      </c>
      <c r="G127" s="315"/>
      <c r="H127" s="315">
        <f t="shared" si="14"/>
        <v>0</v>
      </c>
      <c r="I127" s="315"/>
      <c r="J127" s="315">
        <f t="shared" si="17"/>
        <v>0</v>
      </c>
      <c r="K127" s="315"/>
      <c r="L127" s="315">
        <f t="shared" si="15"/>
        <v>0</v>
      </c>
      <c r="M127" s="315"/>
      <c r="N127" s="315"/>
      <c r="O127" s="315"/>
      <c r="P127" s="315">
        <f t="shared" si="16"/>
        <v>0</v>
      </c>
      <c r="Q127" s="315"/>
      <c r="R127" s="315"/>
      <c r="S127" s="315">
        <f t="shared" si="18"/>
        <v>0</v>
      </c>
      <c r="T127" s="315">
        <f t="shared" si="19"/>
        <v>0</v>
      </c>
      <c r="U127" s="315" t="e">
        <f t="shared" si="20"/>
        <v>#REF!</v>
      </c>
      <c r="V127" s="322" t="e">
        <f t="shared" si="21"/>
        <v>#REF!</v>
      </c>
    </row>
    <row r="128" spans="1:22" ht="27.75" customHeight="1">
      <c r="A128" s="135">
        <v>60</v>
      </c>
      <c r="B128" s="111" t="s">
        <v>1588</v>
      </c>
      <c r="C128" s="315">
        <f>ROUND(Data!K2040,2)</f>
        <v>136</v>
      </c>
      <c r="D128" s="318" t="s">
        <v>1458</v>
      </c>
      <c r="E128" s="315" t="e">
        <f>'Sullage Detailed'!#REF!</f>
        <v>#REF!</v>
      </c>
      <c r="F128" s="315" t="e">
        <f t="shared" si="13"/>
        <v>#REF!</v>
      </c>
      <c r="G128" s="315"/>
      <c r="H128" s="315">
        <f t="shared" si="14"/>
        <v>0</v>
      </c>
      <c r="I128" s="315"/>
      <c r="J128" s="315">
        <f t="shared" si="17"/>
        <v>0</v>
      </c>
      <c r="K128" s="315"/>
      <c r="L128" s="315">
        <f t="shared" si="15"/>
        <v>0</v>
      </c>
      <c r="M128" s="315"/>
      <c r="N128" s="315"/>
      <c r="O128" s="315"/>
      <c r="P128" s="315">
        <f t="shared" si="16"/>
        <v>0</v>
      </c>
      <c r="Q128" s="315"/>
      <c r="R128" s="315"/>
      <c r="S128" s="315">
        <f t="shared" si="18"/>
        <v>0</v>
      </c>
      <c r="T128" s="315">
        <f t="shared" si="19"/>
        <v>0</v>
      </c>
      <c r="U128" s="315" t="e">
        <f t="shared" si="20"/>
        <v>#REF!</v>
      </c>
      <c r="V128" s="322" t="e">
        <f t="shared" si="21"/>
        <v>#REF!</v>
      </c>
    </row>
    <row r="129" spans="1:22" ht="27.75" customHeight="1">
      <c r="A129" s="135">
        <v>61.1</v>
      </c>
      <c r="B129" s="111" t="s">
        <v>1365</v>
      </c>
      <c r="C129" s="315"/>
      <c r="D129" s="318"/>
      <c r="E129" s="316"/>
      <c r="F129" s="315">
        <f t="shared" si="13"/>
        <v>0</v>
      </c>
      <c r="G129" s="315"/>
      <c r="H129" s="315">
        <f t="shared" si="14"/>
        <v>0</v>
      </c>
      <c r="I129" s="315"/>
      <c r="J129" s="315">
        <f t="shared" si="17"/>
        <v>0</v>
      </c>
      <c r="K129" s="315"/>
      <c r="L129" s="315">
        <f t="shared" si="15"/>
        <v>0</v>
      </c>
      <c r="M129" s="315"/>
      <c r="N129" s="315"/>
      <c r="O129" s="315"/>
      <c r="P129" s="315">
        <f t="shared" si="16"/>
        <v>0</v>
      </c>
      <c r="Q129" s="315"/>
      <c r="R129" s="315"/>
      <c r="S129" s="315">
        <f t="shared" si="18"/>
        <v>0</v>
      </c>
      <c r="T129" s="315">
        <f t="shared" si="19"/>
        <v>0</v>
      </c>
      <c r="U129" s="315">
        <f t="shared" si="20"/>
        <v>0</v>
      </c>
      <c r="V129" s="322">
        <f t="shared" si="21"/>
        <v>0</v>
      </c>
    </row>
    <row r="130" spans="1:22" ht="27.75" customHeight="1">
      <c r="A130" s="134"/>
      <c r="B130" s="111" t="s">
        <v>1085</v>
      </c>
      <c r="C130" s="315">
        <f>ROUND(Data!K2059,2)</f>
        <v>304.36</v>
      </c>
      <c r="D130" s="318" t="s">
        <v>840</v>
      </c>
      <c r="E130" s="315" t="e">
        <f>'Sullage Detailed'!#REF!</f>
        <v>#REF!</v>
      </c>
      <c r="F130" s="315" t="e">
        <f t="shared" si="13"/>
        <v>#REF!</v>
      </c>
      <c r="G130" s="315"/>
      <c r="H130" s="315">
        <f t="shared" si="14"/>
        <v>0</v>
      </c>
      <c r="I130" s="315"/>
      <c r="J130" s="315">
        <f t="shared" si="17"/>
        <v>0</v>
      </c>
      <c r="K130" s="315"/>
      <c r="L130" s="315">
        <f t="shared" si="15"/>
        <v>0</v>
      </c>
      <c r="M130" s="315"/>
      <c r="N130" s="315"/>
      <c r="O130" s="315"/>
      <c r="P130" s="315">
        <f t="shared" si="16"/>
        <v>0</v>
      </c>
      <c r="Q130" s="315"/>
      <c r="R130" s="315"/>
      <c r="S130" s="315">
        <f t="shared" si="18"/>
        <v>0</v>
      </c>
      <c r="T130" s="315">
        <f t="shared" si="19"/>
        <v>0</v>
      </c>
      <c r="U130" s="315" t="e">
        <f t="shared" si="20"/>
        <v>#REF!</v>
      </c>
      <c r="V130" s="322" t="e">
        <f t="shared" si="21"/>
        <v>#REF!</v>
      </c>
    </row>
    <row r="131" spans="1:22" ht="27.75" customHeight="1">
      <c r="A131" s="310"/>
      <c r="B131" s="111" t="s">
        <v>1086</v>
      </c>
      <c r="C131" s="315">
        <f>ROUND(Data!K2079,2)</f>
        <v>418.15</v>
      </c>
      <c r="D131" s="318" t="s">
        <v>840</v>
      </c>
      <c r="E131" s="315"/>
      <c r="F131" s="315">
        <f t="shared" si="13"/>
        <v>0</v>
      </c>
      <c r="G131" s="315"/>
      <c r="H131" s="315">
        <f t="shared" si="14"/>
        <v>0</v>
      </c>
      <c r="I131" s="315"/>
      <c r="J131" s="315">
        <f t="shared" si="17"/>
        <v>0</v>
      </c>
      <c r="K131" s="315"/>
      <c r="L131" s="315">
        <f t="shared" si="15"/>
        <v>0</v>
      </c>
      <c r="M131" s="315"/>
      <c r="N131" s="315"/>
      <c r="O131" s="315"/>
      <c r="P131" s="315">
        <f t="shared" si="16"/>
        <v>0</v>
      </c>
      <c r="Q131" s="315"/>
      <c r="R131" s="315"/>
      <c r="S131" s="315">
        <f t="shared" si="18"/>
        <v>0</v>
      </c>
      <c r="T131" s="315">
        <f t="shared" si="19"/>
        <v>0</v>
      </c>
      <c r="U131" s="315">
        <f t="shared" si="20"/>
        <v>0</v>
      </c>
      <c r="V131" s="322">
        <f t="shared" si="21"/>
        <v>0</v>
      </c>
    </row>
    <row r="132" spans="1:22" ht="27.75" customHeight="1">
      <c r="A132" s="135">
        <v>61.2</v>
      </c>
      <c r="B132" s="111" t="s">
        <v>1087</v>
      </c>
      <c r="C132" s="315"/>
      <c r="D132" s="318"/>
      <c r="E132" s="316"/>
      <c r="F132" s="315">
        <f t="shared" ref="F132:F195" si="22">+E132*C132</f>
        <v>0</v>
      </c>
      <c r="G132" s="315"/>
      <c r="H132" s="315">
        <f t="shared" si="14"/>
        <v>0</v>
      </c>
      <c r="I132" s="315"/>
      <c r="J132" s="315">
        <f t="shared" si="17"/>
        <v>0</v>
      </c>
      <c r="K132" s="315"/>
      <c r="L132" s="315">
        <f t="shared" si="15"/>
        <v>0</v>
      </c>
      <c r="M132" s="315"/>
      <c r="N132" s="315"/>
      <c r="O132" s="315"/>
      <c r="P132" s="315">
        <f t="shared" si="16"/>
        <v>0</v>
      </c>
      <c r="Q132" s="315"/>
      <c r="R132" s="315"/>
      <c r="S132" s="315">
        <f t="shared" si="18"/>
        <v>0</v>
      </c>
      <c r="T132" s="315">
        <f t="shared" si="19"/>
        <v>0</v>
      </c>
      <c r="U132" s="315">
        <f t="shared" si="20"/>
        <v>0</v>
      </c>
      <c r="V132" s="322">
        <f t="shared" si="21"/>
        <v>0</v>
      </c>
    </row>
    <row r="133" spans="1:22" ht="27.75" customHeight="1">
      <c r="A133" s="134"/>
      <c r="B133" s="111" t="s">
        <v>1088</v>
      </c>
      <c r="C133" s="315">
        <f>ROUND(Data!K2090,2)</f>
        <v>156.62</v>
      </c>
      <c r="D133" s="318" t="s">
        <v>840</v>
      </c>
      <c r="E133" s="315" t="e">
        <f>'Sullage Detailed'!#REF!</f>
        <v>#REF!</v>
      </c>
      <c r="F133" s="315" t="e">
        <f t="shared" si="22"/>
        <v>#REF!</v>
      </c>
      <c r="G133" s="315"/>
      <c r="H133" s="315">
        <f t="shared" si="14"/>
        <v>0</v>
      </c>
      <c r="I133" s="315"/>
      <c r="J133" s="315">
        <f t="shared" si="17"/>
        <v>0</v>
      </c>
      <c r="K133" s="315"/>
      <c r="L133" s="315">
        <f t="shared" si="15"/>
        <v>0</v>
      </c>
      <c r="M133" s="315"/>
      <c r="N133" s="315"/>
      <c r="O133" s="315"/>
      <c r="P133" s="315">
        <f t="shared" si="16"/>
        <v>0</v>
      </c>
      <c r="Q133" s="315"/>
      <c r="R133" s="315"/>
      <c r="S133" s="315">
        <f t="shared" si="18"/>
        <v>0</v>
      </c>
      <c r="T133" s="315">
        <f t="shared" si="19"/>
        <v>0</v>
      </c>
      <c r="U133" s="315" t="e">
        <f t="shared" si="20"/>
        <v>#REF!</v>
      </c>
      <c r="V133" s="322" t="e">
        <f t="shared" si="21"/>
        <v>#REF!</v>
      </c>
    </row>
    <row r="134" spans="1:22" ht="20.100000000000001" customHeight="1">
      <c r="A134" s="310"/>
      <c r="B134" s="111" t="s">
        <v>1089</v>
      </c>
      <c r="C134" s="315">
        <f>ROUND(Data!K2105,2)</f>
        <v>237.99</v>
      </c>
      <c r="D134" s="318" t="s">
        <v>840</v>
      </c>
      <c r="E134" s="316"/>
      <c r="F134" s="315">
        <f t="shared" si="22"/>
        <v>0</v>
      </c>
      <c r="G134" s="315"/>
      <c r="H134" s="315">
        <f t="shared" si="14"/>
        <v>0</v>
      </c>
      <c r="I134" s="315"/>
      <c r="J134" s="315">
        <f t="shared" si="17"/>
        <v>0</v>
      </c>
      <c r="K134" s="315"/>
      <c r="L134" s="315">
        <f t="shared" si="15"/>
        <v>0</v>
      </c>
      <c r="M134" s="315"/>
      <c r="N134" s="315"/>
      <c r="O134" s="315"/>
      <c r="P134" s="315">
        <f t="shared" si="16"/>
        <v>0</v>
      </c>
      <c r="Q134" s="315"/>
      <c r="R134" s="315"/>
      <c r="S134" s="315">
        <f t="shared" si="18"/>
        <v>0</v>
      </c>
      <c r="T134" s="315">
        <f t="shared" si="19"/>
        <v>0</v>
      </c>
      <c r="U134" s="315">
        <f t="shared" si="20"/>
        <v>0</v>
      </c>
      <c r="V134" s="322">
        <f t="shared" si="21"/>
        <v>0</v>
      </c>
    </row>
    <row r="135" spans="1:22" ht="31.5" customHeight="1">
      <c r="A135" s="135">
        <v>63</v>
      </c>
      <c r="B135" s="111" t="s">
        <v>2214</v>
      </c>
      <c r="C135" s="315">
        <f>ROUND(Data!K2146,2)</f>
        <v>52.5</v>
      </c>
      <c r="D135" s="318" t="s">
        <v>1458</v>
      </c>
      <c r="E135" s="316"/>
      <c r="F135" s="315">
        <f t="shared" si="22"/>
        <v>0</v>
      </c>
      <c r="G135" s="315"/>
      <c r="H135" s="315">
        <f t="shared" ref="H135:H198" si="23">G135*C135</f>
        <v>0</v>
      </c>
      <c r="I135" s="315"/>
      <c r="J135" s="315">
        <f t="shared" si="17"/>
        <v>0</v>
      </c>
      <c r="K135" s="315"/>
      <c r="L135" s="315">
        <f t="shared" si="15"/>
        <v>0</v>
      </c>
      <c r="M135" s="315"/>
      <c r="N135" s="315"/>
      <c r="O135" s="315"/>
      <c r="P135" s="315">
        <f t="shared" si="16"/>
        <v>0</v>
      </c>
      <c r="Q135" s="315"/>
      <c r="R135" s="315"/>
      <c r="S135" s="315">
        <f t="shared" si="18"/>
        <v>0</v>
      </c>
      <c r="T135" s="315">
        <f t="shared" si="19"/>
        <v>0</v>
      </c>
      <c r="U135" s="315">
        <f t="shared" si="20"/>
        <v>0</v>
      </c>
      <c r="V135" s="322">
        <f t="shared" si="21"/>
        <v>0</v>
      </c>
    </row>
    <row r="136" spans="1:22" ht="27.75" customHeight="1">
      <c r="A136" s="135"/>
      <c r="B136" s="112" t="s">
        <v>2215</v>
      </c>
      <c r="C136" s="315"/>
      <c r="D136" s="318"/>
      <c r="E136" s="316"/>
      <c r="F136" s="315">
        <f t="shared" si="22"/>
        <v>0</v>
      </c>
      <c r="G136" s="315"/>
      <c r="H136" s="315">
        <f t="shared" si="23"/>
        <v>0</v>
      </c>
      <c r="I136" s="315"/>
      <c r="J136" s="315">
        <f t="shared" si="17"/>
        <v>0</v>
      </c>
      <c r="K136" s="315"/>
      <c r="L136" s="315">
        <f t="shared" si="15"/>
        <v>0</v>
      </c>
      <c r="M136" s="315"/>
      <c r="N136" s="315"/>
      <c r="O136" s="315"/>
      <c r="P136" s="315">
        <f t="shared" si="16"/>
        <v>0</v>
      </c>
      <c r="Q136" s="315"/>
      <c r="R136" s="315"/>
      <c r="S136" s="315">
        <f t="shared" si="18"/>
        <v>0</v>
      </c>
      <c r="T136" s="315">
        <f t="shared" si="19"/>
        <v>0</v>
      </c>
      <c r="U136" s="315">
        <f t="shared" si="20"/>
        <v>0</v>
      </c>
      <c r="V136" s="322">
        <f t="shared" si="21"/>
        <v>0</v>
      </c>
    </row>
    <row r="137" spans="1:22" ht="20.100000000000001" customHeight="1">
      <c r="A137" s="135">
        <v>64</v>
      </c>
      <c r="B137" s="111" t="s">
        <v>2216</v>
      </c>
      <c r="C137" s="315">
        <f>Data!K2182</f>
        <v>882</v>
      </c>
      <c r="D137" s="318" t="s">
        <v>1458</v>
      </c>
      <c r="E137" s="315" t="e">
        <f>'Sullage Detailed'!#REF!</f>
        <v>#REF!</v>
      </c>
      <c r="F137" s="315" t="e">
        <f t="shared" si="22"/>
        <v>#REF!</v>
      </c>
      <c r="G137" s="315"/>
      <c r="H137" s="315">
        <f t="shared" si="23"/>
        <v>0</v>
      </c>
      <c r="I137" s="315"/>
      <c r="J137" s="315">
        <f t="shared" si="17"/>
        <v>0</v>
      </c>
      <c r="K137" s="315"/>
      <c r="L137" s="315">
        <f t="shared" si="15"/>
        <v>0</v>
      </c>
      <c r="M137" s="315"/>
      <c r="N137" s="315"/>
      <c r="O137" s="315"/>
      <c r="P137" s="315">
        <f t="shared" si="16"/>
        <v>0</v>
      </c>
      <c r="Q137" s="315"/>
      <c r="R137" s="315"/>
      <c r="S137" s="315">
        <f t="shared" si="18"/>
        <v>0</v>
      </c>
      <c r="T137" s="315">
        <f t="shared" si="19"/>
        <v>0</v>
      </c>
      <c r="U137" s="315" t="e">
        <f t="shared" si="20"/>
        <v>#REF!</v>
      </c>
      <c r="V137" s="322" t="e">
        <f t="shared" si="21"/>
        <v>#REF!</v>
      </c>
    </row>
    <row r="138" spans="1:22" ht="20.100000000000001" customHeight="1">
      <c r="A138" s="134"/>
      <c r="B138" s="111" t="s">
        <v>1330</v>
      </c>
      <c r="C138" s="315">
        <f>Data!K2183</f>
        <v>885</v>
      </c>
      <c r="D138" s="318" t="s">
        <v>1458</v>
      </c>
      <c r="E138" s="315" t="e">
        <f>'Sullage Detailed'!#REF!</f>
        <v>#REF!</v>
      </c>
      <c r="F138" s="315" t="e">
        <f t="shared" si="22"/>
        <v>#REF!</v>
      </c>
      <c r="G138" s="315"/>
      <c r="H138" s="315">
        <f t="shared" si="23"/>
        <v>0</v>
      </c>
      <c r="I138" s="315"/>
      <c r="J138" s="315">
        <f t="shared" si="17"/>
        <v>0</v>
      </c>
      <c r="K138" s="315"/>
      <c r="L138" s="315">
        <f t="shared" ref="L138:L201" si="24">K138*C138</f>
        <v>0</v>
      </c>
      <c r="M138" s="315"/>
      <c r="N138" s="315"/>
      <c r="O138" s="315"/>
      <c r="P138" s="315">
        <f t="shared" ref="P138:P201" si="25">O138*C138</f>
        <v>0</v>
      </c>
      <c r="Q138" s="315"/>
      <c r="R138" s="315"/>
      <c r="S138" s="315">
        <f t="shared" si="18"/>
        <v>0</v>
      </c>
      <c r="T138" s="315">
        <f t="shared" si="19"/>
        <v>0</v>
      </c>
      <c r="U138" s="315" t="e">
        <f t="shared" si="20"/>
        <v>#REF!</v>
      </c>
      <c r="V138" s="322" t="e">
        <f t="shared" si="21"/>
        <v>#REF!</v>
      </c>
    </row>
    <row r="139" spans="1:22" ht="20.100000000000001" customHeight="1">
      <c r="A139" s="310"/>
      <c r="B139" s="111" t="s">
        <v>303</v>
      </c>
      <c r="C139" s="315">
        <f>Data!K2184</f>
        <v>922</v>
      </c>
      <c r="D139" s="318" t="s">
        <v>1458</v>
      </c>
      <c r="E139" s="315" t="e">
        <f>'Sullage Detailed'!#REF!</f>
        <v>#REF!</v>
      </c>
      <c r="F139" s="315" t="e">
        <f t="shared" si="22"/>
        <v>#REF!</v>
      </c>
      <c r="G139" s="315"/>
      <c r="H139" s="315">
        <f t="shared" si="23"/>
        <v>0</v>
      </c>
      <c r="I139" s="315"/>
      <c r="J139" s="315">
        <f t="shared" si="17"/>
        <v>0</v>
      </c>
      <c r="K139" s="315"/>
      <c r="L139" s="315">
        <f t="shared" si="24"/>
        <v>0</v>
      </c>
      <c r="M139" s="315"/>
      <c r="N139" s="315"/>
      <c r="O139" s="315"/>
      <c r="P139" s="315">
        <f t="shared" si="25"/>
        <v>0</v>
      </c>
      <c r="Q139" s="315"/>
      <c r="R139" s="315"/>
      <c r="S139" s="315">
        <f t="shared" si="18"/>
        <v>0</v>
      </c>
      <c r="T139" s="315">
        <f t="shared" si="19"/>
        <v>0</v>
      </c>
      <c r="U139" s="315" t="e">
        <f t="shared" si="20"/>
        <v>#REF!</v>
      </c>
      <c r="V139" s="322" t="e">
        <f t="shared" si="21"/>
        <v>#REF!</v>
      </c>
    </row>
    <row r="140" spans="1:22" ht="20.100000000000001" customHeight="1">
      <c r="A140" s="135">
        <v>65</v>
      </c>
      <c r="B140" s="111" t="s">
        <v>304</v>
      </c>
      <c r="C140" s="315">
        <f>Data!K2185</f>
        <v>953</v>
      </c>
      <c r="D140" s="318" t="s">
        <v>1458</v>
      </c>
      <c r="E140" s="315" t="e">
        <f>'Sullage Detailed'!#REF!</f>
        <v>#REF!</v>
      </c>
      <c r="F140" s="315" t="e">
        <f t="shared" si="22"/>
        <v>#REF!</v>
      </c>
      <c r="G140" s="315"/>
      <c r="H140" s="315">
        <f t="shared" si="23"/>
        <v>0</v>
      </c>
      <c r="I140" s="315"/>
      <c r="J140" s="315">
        <f t="shared" si="17"/>
        <v>0</v>
      </c>
      <c r="K140" s="315"/>
      <c r="L140" s="315">
        <f t="shared" si="24"/>
        <v>0</v>
      </c>
      <c r="M140" s="315"/>
      <c r="N140" s="315"/>
      <c r="O140" s="315"/>
      <c r="P140" s="315">
        <f t="shared" si="25"/>
        <v>0</v>
      </c>
      <c r="Q140" s="315"/>
      <c r="R140" s="315"/>
      <c r="S140" s="315">
        <f t="shared" si="18"/>
        <v>0</v>
      </c>
      <c r="T140" s="315">
        <f t="shared" si="19"/>
        <v>0</v>
      </c>
      <c r="U140" s="315" t="e">
        <f t="shared" si="20"/>
        <v>#REF!</v>
      </c>
      <c r="V140" s="322" t="e">
        <f t="shared" si="21"/>
        <v>#REF!</v>
      </c>
    </row>
    <row r="141" spans="1:22" ht="20.100000000000001" customHeight="1">
      <c r="A141" s="135">
        <v>66</v>
      </c>
      <c r="B141" s="111" t="s">
        <v>305</v>
      </c>
      <c r="C141" s="315">
        <f>Data!K2186</f>
        <v>1562</v>
      </c>
      <c r="D141" s="318" t="s">
        <v>1458</v>
      </c>
      <c r="E141" s="315"/>
      <c r="F141" s="315">
        <f t="shared" si="22"/>
        <v>0</v>
      </c>
      <c r="G141" s="315"/>
      <c r="H141" s="315">
        <f t="shared" si="23"/>
        <v>0</v>
      </c>
      <c r="I141" s="315"/>
      <c r="J141" s="315">
        <f t="shared" ref="J141:J204" si="26">+I141*C141</f>
        <v>0</v>
      </c>
      <c r="K141" s="315"/>
      <c r="L141" s="315">
        <f t="shared" si="24"/>
        <v>0</v>
      </c>
      <c r="M141" s="315"/>
      <c r="N141" s="315"/>
      <c r="O141" s="315"/>
      <c r="P141" s="315">
        <f t="shared" si="25"/>
        <v>0</v>
      </c>
      <c r="Q141" s="315"/>
      <c r="R141" s="315"/>
      <c r="S141" s="315">
        <f t="shared" si="18"/>
        <v>0</v>
      </c>
      <c r="T141" s="315">
        <f t="shared" si="19"/>
        <v>0</v>
      </c>
      <c r="U141" s="315">
        <f t="shared" si="20"/>
        <v>0</v>
      </c>
      <c r="V141" s="322">
        <f t="shared" si="21"/>
        <v>0</v>
      </c>
    </row>
    <row r="142" spans="1:22" ht="20.100000000000001" customHeight="1">
      <c r="A142" s="135">
        <v>67</v>
      </c>
      <c r="B142" s="111" t="s">
        <v>1866</v>
      </c>
      <c r="C142" s="315">
        <f>Data!K2187</f>
        <v>424</v>
      </c>
      <c r="D142" s="318" t="s">
        <v>1458</v>
      </c>
      <c r="E142" s="315" t="e">
        <f>'Sullage Detailed'!#REF!</f>
        <v>#REF!</v>
      </c>
      <c r="F142" s="315" t="e">
        <f t="shared" si="22"/>
        <v>#REF!</v>
      </c>
      <c r="G142" s="315"/>
      <c r="H142" s="315">
        <f t="shared" si="23"/>
        <v>0</v>
      </c>
      <c r="I142" s="315"/>
      <c r="J142" s="315">
        <f t="shared" si="26"/>
        <v>0</v>
      </c>
      <c r="K142" s="315"/>
      <c r="L142" s="315">
        <f t="shared" si="24"/>
        <v>0</v>
      </c>
      <c r="M142" s="315"/>
      <c r="N142" s="315"/>
      <c r="O142" s="315"/>
      <c r="P142" s="315">
        <f t="shared" si="25"/>
        <v>0</v>
      </c>
      <c r="Q142" s="315"/>
      <c r="R142" s="315"/>
      <c r="S142" s="315">
        <f t="shared" si="18"/>
        <v>0</v>
      </c>
      <c r="T142" s="315">
        <f t="shared" si="19"/>
        <v>0</v>
      </c>
      <c r="U142" s="315" t="e">
        <f t="shared" si="20"/>
        <v>#REF!</v>
      </c>
      <c r="V142" s="322" t="e">
        <f t="shared" si="21"/>
        <v>#REF!</v>
      </c>
    </row>
    <row r="143" spans="1:22" ht="20.100000000000001" customHeight="1">
      <c r="A143" s="135">
        <v>68</v>
      </c>
      <c r="B143" s="111" t="s">
        <v>1867</v>
      </c>
      <c r="C143" s="315">
        <f>Data!K2188</f>
        <v>633</v>
      </c>
      <c r="D143" s="318" t="s">
        <v>1458</v>
      </c>
      <c r="E143" s="315" t="e">
        <f>'Sullage Detailed'!#REF!</f>
        <v>#REF!</v>
      </c>
      <c r="F143" s="315" t="e">
        <f t="shared" si="22"/>
        <v>#REF!</v>
      </c>
      <c r="G143" s="315"/>
      <c r="H143" s="315">
        <f t="shared" si="23"/>
        <v>0</v>
      </c>
      <c r="I143" s="315"/>
      <c r="J143" s="315">
        <f t="shared" si="26"/>
        <v>0</v>
      </c>
      <c r="K143" s="315"/>
      <c r="L143" s="315">
        <f t="shared" si="24"/>
        <v>0</v>
      </c>
      <c r="M143" s="315"/>
      <c r="N143" s="315"/>
      <c r="O143" s="315"/>
      <c r="P143" s="315">
        <f t="shared" si="25"/>
        <v>0</v>
      </c>
      <c r="Q143" s="315"/>
      <c r="R143" s="315"/>
      <c r="S143" s="315">
        <f t="shared" si="18"/>
        <v>0</v>
      </c>
      <c r="T143" s="315">
        <f t="shared" si="19"/>
        <v>0</v>
      </c>
      <c r="U143" s="315" t="e">
        <f t="shared" si="20"/>
        <v>#REF!</v>
      </c>
      <c r="V143" s="322" t="e">
        <f t="shared" si="21"/>
        <v>#REF!</v>
      </c>
    </row>
    <row r="144" spans="1:22" ht="30" customHeight="1">
      <c r="A144" s="135">
        <v>69</v>
      </c>
      <c r="B144" s="111" t="s">
        <v>1868</v>
      </c>
      <c r="C144" s="315">
        <f>Data!K2189</f>
        <v>150</v>
      </c>
      <c r="D144" s="318" t="s">
        <v>1458</v>
      </c>
      <c r="E144" s="315" t="e">
        <f>'Sullage Detailed'!#REF!</f>
        <v>#REF!</v>
      </c>
      <c r="F144" s="315" t="e">
        <f t="shared" si="22"/>
        <v>#REF!</v>
      </c>
      <c r="G144" s="315"/>
      <c r="H144" s="315">
        <f t="shared" si="23"/>
        <v>0</v>
      </c>
      <c r="I144" s="315"/>
      <c r="J144" s="315">
        <f t="shared" si="26"/>
        <v>0</v>
      </c>
      <c r="K144" s="315"/>
      <c r="L144" s="315">
        <f t="shared" si="24"/>
        <v>0</v>
      </c>
      <c r="M144" s="315"/>
      <c r="N144" s="315"/>
      <c r="O144" s="315"/>
      <c r="P144" s="315">
        <f t="shared" si="25"/>
        <v>0</v>
      </c>
      <c r="Q144" s="315"/>
      <c r="R144" s="315"/>
      <c r="S144" s="315">
        <f t="shared" si="18"/>
        <v>0</v>
      </c>
      <c r="T144" s="315">
        <f t="shared" si="19"/>
        <v>0</v>
      </c>
      <c r="U144" s="315" t="e">
        <f t="shared" si="20"/>
        <v>#REF!</v>
      </c>
      <c r="V144" s="322" t="e">
        <f t="shared" si="21"/>
        <v>#REF!</v>
      </c>
    </row>
    <row r="145" spans="1:22" ht="20.100000000000001" customHeight="1">
      <c r="A145" s="135">
        <v>70.099999999999994</v>
      </c>
      <c r="B145" s="111" t="s">
        <v>1869</v>
      </c>
      <c r="C145" s="315">
        <f>Data!K2190</f>
        <v>417</v>
      </c>
      <c r="D145" s="318" t="s">
        <v>1458</v>
      </c>
      <c r="E145" s="315" t="e">
        <f>'Sullage Detailed'!#REF!</f>
        <v>#REF!</v>
      </c>
      <c r="F145" s="315" t="e">
        <f t="shared" si="22"/>
        <v>#REF!</v>
      </c>
      <c r="G145" s="315"/>
      <c r="H145" s="315">
        <f t="shared" si="23"/>
        <v>0</v>
      </c>
      <c r="I145" s="315"/>
      <c r="J145" s="315">
        <f t="shared" si="26"/>
        <v>0</v>
      </c>
      <c r="K145" s="315"/>
      <c r="L145" s="315">
        <f t="shared" si="24"/>
        <v>0</v>
      </c>
      <c r="M145" s="315"/>
      <c r="N145" s="315"/>
      <c r="O145" s="315"/>
      <c r="P145" s="315">
        <f t="shared" si="25"/>
        <v>0</v>
      </c>
      <c r="Q145" s="315"/>
      <c r="R145" s="315"/>
      <c r="S145" s="315">
        <f t="shared" si="18"/>
        <v>0</v>
      </c>
      <c r="T145" s="315">
        <f t="shared" si="19"/>
        <v>0</v>
      </c>
      <c r="U145" s="315" t="e">
        <f t="shared" si="20"/>
        <v>#REF!</v>
      </c>
      <c r="V145" s="322" t="e">
        <f t="shared" si="21"/>
        <v>#REF!</v>
      </c>
    </row>
    <row r="146" spans="1:22" ht="20.100000000000001" customHeight="1">
      <c r="A146" s="135">
        <v>70.2</v>
      </c>
      <c r="B146" s="111" t="s">
        <v>1870</v>
      </c>
      <c r="C146" s="315"/>
      <c r="D146" s="318" t="s">
        <v>1458</v>
      </c>
      <c r="E146" s="315"/>
      <c r="F146" s="315">
        <f t="shared" si="22"/>
        <v>0</v>
      </c>
      <c r="G146" s="315"/>
      <c r="H146" s="315">
        <f t="shared" si="23"/>
        <v>0</v>
      </c>
      <c r="I146" s="315"/>
      <c r="J146" s="315">
        <f t="shared" si="26"/>
        <v>0</v>
      </c>
      <c r="K146" s="315"/>
      <c r="L146" s="315">
        <f t="shared" si="24"/>
        <v>0</v>
      </c>
      <c r="M146" s="315"/>
      <c r="N146" s="315"/>
      <c r="O146" s="315"/>
      <c r="P146" s="315">
        <f t="shared" si="25"/>
        <v>0</v>
      </c>
      <c r="Q146" s="315"/>
      <c r="R146" s="315"/>
      <c r="S146" s="315">
        <f t="shared" si="18"/>
        <v>0</v>
      </c>
      <c r="T146" s="315">
        <f t="shared" si="19"/>
        <v>0</v>
      </c>
      <c r="U146" s="315">
        <f t="shared" si="20"/>
        <v>0</v>
      </c>
      <c r="V146" s="322">
        <f t="shared" si="21"/>
        <v>0</v>
      </c>
    </row>
    <row r="147" spans="1:22" ht="20.100000000000001" customHeight="1">
      <c r="A147" s="135">
        <v>70.3</v>
      </c>
      <c r="B147" s="111" t="s">
        <v>1871</v>
      </c>
      <c r="C147" s="315">
        <f>Data!K2192</f>
        <v>10</v>
      </c>
      <c r="D147" s="318" t="s">
        <v>1458</v>
      </c>
      <c r="E147" s="315"/>
      <c r="F147" s="315">
        <f t="shared" si="22"/>
        <v>0</v>
      </c>
      <c r="G147" s="315"/>
      <c r="H147" s="315">
        <f t="shared" si="23"/>
        <v>0</v>
      </c>
      <c r="I147" s="315"/>
      <c r="J147" s="315">
        <f t="shared" si="26"/>
        <v>0</v>
      </c>
      <c r="K147" s="315"/>
      <c r="L147" s="315">
        <f t="shared" si="24"/>
        <v>0</v>
      </c>
      <c r="M147" s="315"/>
      <c r="N147" s="315"/>
      <c r="O147" s="315"/>
      <c r="P147" s="315">
        <f t="shared" si="25"/>
        <v>0</v>
      </c>
      <c r="Q147" s="315"/>
      <c r="R147" s="315"/>
      <c r="S147" s="315">
        <f t="shared" si="18"/>
        <v>0</v>
      </c>
      <c r="T147" s="315">
        <f t="shared" si="19"/>
        <v>0</v>
      </c>
      <c r="U147" s="315">
        <f t="shared" si="20"/>
        <v>0</v>
      </c>
      <c r="V147" s="322">
        <f t="shared" si="21"/>
        <v>0</v>
      </c>
    </row>
    <row r="148" spans="1:22" ht="20.100000000000001" customHeight="1">
      <c r="A148" s="135">
        <v>70.400000000000006</v>
      </c>
      <c r="B148" s="111" t="s">
        <v>1447</v>
      </c>
      <c r="C148" s="315">
        <f>Data!K2193</f>
        <v>8</v>
      </c>
      <c r="D148" s="318" t="s">
        <v>1458</v>
      </c>
      <c r="E148" s="315"/>
      <c r="F148" s="315">
        <f t="shared" si="22"/>
        <v>0</v>
      </c>
      <c r="G148" s="315"/>
      <c r="H148" s="315">
        <f t="shared" si="23"/>
        <v>0</v>
      </c>
      <c r="I148" s="315"/>
      <c r="J148" s="315">
        <f t="shared" si="26"/>
        <v>0</v>
      </c>
      <c r="K148" s="315"/>
      <c r="L148" s="315">
        <f t="shared" si="24"/>
        <v>0</v>
      </c>
      <c r="M148" s="315"/>
      <c r="N148" s="315"/>
      <c r="O148" s="315"/>
      <c r="P148" s="315">
        <f t="shared" si="25"/>
        <v>0</v>
      </c>
      <c r="Q148" s="315"/>
      <c r="R148" s="315"/>
      <c r="S148" s="315">
        <f t="shared" si="18"/>
        <v>0</v>
      </c>
      <c r="T148" s="315">
        <f t="shared" si="19"/>
        <v>0</v>
      </c>
      <c r="U148" s="315">
        <f t="shared" si="20"/>
        <v>0</v>
      </c>
      <c r="V148" s="322">
        <f t="shared" si="21"/>
        <v>0</v>
      </c>
    </row>
    <row r="149" spans="1:22" ht="20.100000000000001" customHeight="1">
      <c r="A149" s="135"/>
      <c r="B149" s="111" t="s">
        <v>3251</v>
      </c>
      <c r="C149" s="315">
        <f>Elec.Data!K3547</f>
        <v>170.5</v>
      </c>
      <c r="D149" s="318" t="s">
        <v>840</v>
      </c>
      <c r="E149" s="315" t="e">
        <f>'Sullage Detailed'!#REF!</f>
        <v>#REF!</v>
      </c>
      <c r="F149" s="315" t="e">
        <f t="shared" si="22"/>
        <v>#REF!</v>
      </c>
      <c r="G149" s="315"/>
      <c r="H149" s="315">
        <f t="shared" si="23"/>
        <v>0</v>
      </c>
      <c r="I149" s="315"/>
      <c r="J149" s="315">
        <f t="shared" si="26"/>
        <v>0</v>
      </c>
      <c r="K149" s="315"/>
      <c r="L149" s="315">
        <f t="shared" si="24"/>
        <v>0</v>
      </c>
      <c r="M149" s="315"/>
      <c r="N149" s="315"/>
      <c r="O149" s="315"/>
      <c r="P149" s="315">
        <f t="shared" si="25"/>
        <v>0</v>
      </c>
      <c r="Q149" s="315"/>
      <c r="R149" s="315"/>
      <c r="S149" s="315">
        <f t="shared" si="18"/>
        <v>0</v>
      </c>
      <c r="T149" s="315">
        <f t="shared" si="19"/>
        <v>0</v>
      </c>
      <c r="U149" s="315" t="e">
        <f t="shared" si="20"/>
        <v>#REF!</v>
      </c>
      <c r="V149" s="322" t="e">
        <f t="shared" si="21"/>
        <v>#REF!</v>
      </c>
    </row>
    <row r="150" spans="1:22" ht="30" customHeight="1">
      <c r="A150" s="135">
        <v>71</v>
      </c>
      <c r="B150" s="111" t="s">
        <v>1448</v>
      </c>
      <c r="C150" s="315">
        <f>Data!K2194</f>
        <v>480</v>
      </c>
      <c r="D150" s="318" t="s">
        <v>1458</v>
      </c>
      <c r="E150" s="315"/>
      <c r="F150" s="315">
        <f t="shared" si="22"/>
        <v>0</v>
      </c>
      <c r="G150" s="315"/>
      <c r="H150" s="315">
        <f t="shared" si="23"/>
        <v>0</v>
      </c>
      <c r="I150" s="315"/>
      <c r="J150" s="315">
        <f t="shared" si="26"/>
        <v>0</v>
      </c>
      <c r="K150" s="315"/>
      <c r="L150" s="315">
        <f t="shared" si="24"/>
        <v>0</v>
      </c>
      <c r="M150" s="315"/>
      <c r="N150" s="315"/>
      <c r="O150" s="315"/>
      <c r="P150" s="315">
        <f t="shared" si="25"/>
        <v>0</v>
      </c>
      <c r="Q150" s="315"/>
      <c r="R150" s="315"/>
      <c r="S150" s="315">
        <f t="shared" si="18"/>
        <v>0</v>
      </c>
      <c r="T150" s="315">
        <f t="shared" si="19"/>
        <v>0</v>
      </c>
      <c r="U150" s="315">
        <f t="shared" si="20"/>
        <v>0</v>
      </c>
      <c r="V150" s="322">
        <f t="shared" si="21"/>
        <v>0</v>
      </c>
    </row>
    <row r="151" spans="1:22" ht="30" customHeight="1">
      <c r="A151" s="135">
        <v>72</v>
      </c>
      <c r="B151" s="111" t="s">
        <v>920</v>
      </c>
      <c r="C151" s="315">
        <f>Data!K2195</f>
        <v>31</v>
      </c>
      <c r="D151" s="318" t="s">
        <v>1458</v>
      </c>
      <c r="E151" s="315" t="e">
        <f>'Sullage Detailed'!#REF!</f>
        <v>#REF!</v>
      </c>
      <c r="F151" s="315" t="e">
        <f t="shared" si="22"/>
        <v>#REF!</v>
      </c>
      <c r="G151" s="315"/>
      <c r="H151" s="315">
        <f t="shared" si="23"/>
        <v>0</v>
      </c>
      <c r="I151" s="315"/>
      <c r="J151" s="315">
        <f t="shared" si="26"/>
        <v>0</v>
      </c>
      <c r="K151" s="315"/>
      <c r="L151" s="315">
        <f t="shared" si="24"/>
        <v>0</v>
      </c>
      <c r="M151" s="315"/>
      <c r="N151" s="315"/>
      <c r="O151" s="315"/>
      <c r="P151" s="315">
        <f t="shared" si="25"/>
        <v>0</v>
      </c>
      <c r="Q151" s="315"/>
      <c r="R151" s="315"/>
      <c r="S151" s="315">
        <f t="shared" si="18"/>
        <v>0</v>
      </c>
      <c r="T151" s="315">
        <f t="shared" si="19"/>
        <v>0</v>
      </c>
      <c r="U151" s="315" t="e">
        <f t="shared" si="20"/>
        <v>#REF!</v>
      </c>
      <c r="V151" s="322" t="e">
        <f t="shared" si="21"/>
        <v>#REF!</v>
      </c>
    </row>
    <row r="152" spans="1:22" ht="30" customHeight="1">
      <c r="A152" s="135">
        <v>74</v>
      </c>
      <c r="B152" s="111" t="s">
        <v>921</v>
      </c>
      <c r="C152" s="315">
        <f>Data!K2198</f>
        <v>225</v>
      </c>
      <c r="D152" s="318" t="s">
        <v>1458</v>
      </c>
      <c r="E152" s="315" t="e">
        <f>'Sullage Detailed'!#REF!</f>
        <v>#REF!</v>
      </c>
      <c r="F152" s="315" t="e">
        <f t="shared" si="22"/>
        <v>#REF!</v>
      </c>
      <c r="G152" s="315"/>
      <c r="H152" s="315">
        <f t="shared" si="23"/>
        <v>0</v>
      </c>
      <c r="I152" s="315"/>
      <c r="J152" s="315">
        <f t="shared" si="26"/>
        <v>0</v>
      </c>
      <c r="K152" s="315"/>
      <c r="L152" s="315">
        <f t="shared" si="24"/>
        <v>0</v>
      </c>
      <c r="M152" s="315"/>
      <c r="N152" s="315"/>
      <c r="O152" s="315"/>
      <c r="P152" s="315">
        <f t="shared" si="25"/>
        <v>0</v>
      </c>
      <c r="Q152" s="315"/>
      <c r="R152" s="315"/>
      <c r="S152" s="315">
        <f t="shared" si="18"/>
        <v>0</v>
      </c>
      <c r="T152" s="315">
        <f t="shared" si="19"/>
        <v>0</v>
      </c>
      <c r="U152" s="315" t="e">
        <f t="shared" si="20"/>
        <v>#REF!</v>
      </c>
      <c r="V152" s="322" t="e">
        <f t="shared" si="21"/>
        <v>#REF!</v>
      </c>
    </row>
    <row r="153" spans="1:22" ht="20.100000000000001" customHeight="1">
      <c r="A153" s="135">
        <v>75</v>
      </c>
      <c r="B153" s="112" t="s">
        <v>922</v>
      </c>
      <c r="C153" s="315"/>
      <c r="D153" s="318"/>
      <c r="E153" s="316"/>
      <c r="F153" s="315">
        <f t="shared" si="22"/>
        <v>0</v>
      </c>
      <c r="G153" s="315"/>
      <c r="H153" s="315">
        <f t="shared" si="23"/>
        <v>0</v>
      </c>
      <c r="I153" s="315"/>
      <c r="J153" s="315">
        <f t="shared" si="26"/>
        <v>0</v>
      </c>
      <c r="K153" s="315"/>
      <c r="L153" s="315">
        <f t="shared" si="24"/>
        <v>0</v>
      </c>
      <c r="M153" s="315"/>
      <c r="N153" s="315"/>
      <c r="O153" s="315"/>
      <c r="P153" s="315">
        <f t="shared" si="25"/>
        <v>0</v>
      </c>
      <c r="Q153" s="315"/>
      <c r="R153" s="315"/>
      <c r="S153" s="315">
        <f t="shared" si="18"/>
        <v>0</v>
      </c>
      <c r="T153" s="315">
        <f t="shared" si="19"/>
        <v>0</v>
      </c>
      <c r="U153" s="315">
        <f t="shared" si="20"/>
        <v>0</v>
      </c>
      <c r="V153" s="322">
        <f t="shared" si="21"/>
        <v>0</v>
      </c>
    </row>
    <row r="154" spans="1:22" ht="20.100000000000001" customHeight="1">
      <c r="A154" s="134"/>
      <c r="B154" s="111" t="s">
        <v>923</v>
      </c>
      <c r="C154" s="315"/>
      <c r="D154" s="318" t="s">
        <v>1458</v>
      </c>
      <c r="E154" s="316"/>
      <c r="F154" s="315">
        <f t="shared" si="22"/>
        <v>0</v>
      </c>
      <c r="G154" s="315"/>
      <c r="H154" s="315">
        <f t="shared" si="23"/>
        <v>0</v>
      </c>
      <c r="I154" s="315"/>
      <c r="J154" s="315">
        <f t="shared" si="26"/>
        <v>0</v>
      </c>
      <c r="K154" s="315"/>
      <c r="L154" s="315">
        <f t="shared" si="24"/>
        <v>0</v>
      </c>
      <c r="M154" s="315"/>
      <c r="N154" s="315"/>
      <c r="O154" s="315"/>
      <c r="P154" s="315">
        <f t="shared" si="25"/>
        <v>0</v>
      </c>
      <c r="Q154" s="315"/>
      <c r="R154" s="315"/>
      <c r="S154" s="315">
        <f t="shared" si="18"/>
        <v>0</v>
      </c>
      <c r="T154" s="315">
        <f t="shared" si="19"/>
        <v>0</v>
      </c>
      <c r="U154" s="315">
        <f t="shared" si="20"/>
        <v>0</v>
      </c>
      <c r="V154" s="322">
        <f t="shared" si="21"/>
        <v>0</v>
      </c>
    </row>
    <row r="155" spans="1:22" ht="20.100000000000001" customHeight="1">
      <c r="A155" s="310"/>
      <c r="B155" s="111" t="s">
        <v>924</v>
      </c>
      <c r="C155" s="315"/>
      <c r="D155" s="318" t="s">
        <v>1458</v>
      </c>
      <c r="E155" s="316"/>
      <c r="F155" s="315">
        <f t="shared" si="22"/>
        <v>0</v>
      </c>
      <c r="G155" s="315"/>
      <c r="H155" s="315">
        <f t="shared" si="23"/>
        <v>0</v>
      </c>
      <c r="I155" s="315"/>
      <c r="J155" s="315">
        <f t="shared" si="26"/>
        <v>0</v>
      </c>
      <c r="K155" s="315"/>
      <c r="L155" s="315">
        <f t="shared" si="24"/>
        <v>0</v>
      </c>
      <c r="M155" s="315"/>
      <c r="N155" s="315"/>
      <c r="O155" s="315"/>
      <c r="P155" s="315">
        <f t="shared" si="25"/>
        <v>0</v>
      </c>
      <c r="Q155" s="315"/>
      <c r="R155" s="315"/>
      <c r="S155" s="315">
        <f t="shared" si="18"/>
        <v>0</v>
      </c>
      <c r="T155" s="315">
        <f t="shared" si="19"/>
        <v>0</v>
      </c>
      <c r="U155" s="315">
        <f t="shared" si="20"/>
        <v>0</v>
      </c>
      <c r="V155" s="322">
        <f t="shared" si="21"/>
        <v>0</v>
      </c>
    </row>
    <row r="156" spans="1:22" ht="30" customHeight="1">
      <c r="A156" s="135">
        <v>76</v>
      </c>
      <c r="B156" s="111" t="s">
        <v>925</v>
      </c>
      <c r="C156" s="315">
        <f>Data!K2202</f>
        <v>15.5</v>
      </c>
      <c r="D156" s="318" t="s">
        <v>840</v>
      </c>
      <c r="E156" s="315" t="e">
        <f>'Sullage Detailed'!#REF!</f>
        <v>#REF!</v>
      </c>
      <c r="F156" s="315" t="e">
        <f t="shared" si="22"/>
        <v>#REF!</v>
      </c>
      <c r="G156" s="315"/>
      <c r="H156" s="315">
        <f t="shared" si="23"/>
        <v>0</v>
      </c>
      <c r="I156" s="315"/>
      <c r="J156" s="315">
        <f t="shared" si="26"/>
        <v>0</v>
      </c>
      <c r="K156" s="315"/>
      <c r="L156" s="315">
        <f t="shared" si="24"/>
        <v>0</v>
      </c>
      <c r="M156" s="315"/>
      <c r="N156" s="315"/>
      <c r="O156" s="315"/>
      <c r="P156" s="315">
        <f t="shared" si="25"/>
        <v>0</v>
      </c>
      <c r="Q156" s="315"/>
      <c r="R156" s="315"/>
      <c r="S156" s="315">
        <f t="shared" si="18"/>
        <v>0</v>
      </c>
      <c r="T156" s="315">
        <f t="shared" si="19"/>
        <v>0</v>
      </c>
      <c r="U156" s="315" t="e">
        <f t="shared" si="20"/>
        <v>#REF!</v>
      </c>
      <c r="V156" s="322" t="e">
        <f t="shared" si="21"/>
        <v>#REF!</v>
      </c>
    </row>
    <row r="157" spans="1:22" ht="20.100000000000001" customHeight="1">
      <c r="A157" s="135">
        <v>77</v>
      </c>
      <c r="B157" s="111" t="s">
        <v>926</v>
      </c>
      <c r="C157" s="315">
        <f>ROUND(Data!K2203,2)</f>
        <v>120</v>
      </c>
      <c r="D157" s="318" t="s">
        <v>840</v>
      </c>
      <c r="E157" s="316"/>
      <c r="F157" s="315">
        <f t="shared" si="22"/>
        <v>0</v>
      </c>
      <c r="G157" s="315"/>
      <c r="H157" s="315">
        <f t="shared" si="23"/>
        <v>0</v>
      </c>
      <c r="I157" s="315"/>
      <c r="J157" s="315">
        <f t="shared" si="26"/>
        <v>0</v>
      </c>
      <c r="K157" s="315"/>
      <c r="L157" s="315">
        <f t="shared" si="24"/>
        <v>0</v>
      </c>
      <c r="M157" s="315"/>
      <c r="N157" s="315"/>
      <c r="O157" s="315"/>
      <c r="P157" s="315">
        <f t="shared" si="25"/>
        <v>0</v>
      </c>
      <c r="Q157" s="315"/>
      <c r="R157" s="315"/>
      <c r="S157" s="315">
        <f t="shared" si="18"/>
        <v>0</v>
      </c>
      <c r="T157" s="315">
        <f t="shared" si="19"/>
        <v>0</v>
      </c>
      <c r="U157" s="315">
        <f t="shared" si="20"/>
        <v>0</v>
      </c>
      <c r="V157" s="322">
        <f t="shared" si="21"/>
        <v>0</v>
      </c>
    </row>
    <row r="158" spans="1:22" ht="39.950000000000003" customHeight="1">
      <c r="A158" s="135">
        <v>77.099999999999994</v>
      </c>
      <c r="B158" s="114" t="s">
        <v>1999</v>
      </c>
      <c r="C158" s="315">
        <f>ROUND(Data!K2204,2)</f>
        <v>168.9</v>
      </c>
      <c r="D158" s="323" t="s">
        <v>840</v>
      </c>
      <c r="E158" s="316"/>
      <c r="F158" s="315">
        <f t="shared" si="22"/>
        <v>0</v>
      </c>
      <c r="G158" s="315"/>
      <c r="H158" s="315">
        <f t="shared" si="23"/>
        <v>0</v>
      </c>
      <c r="I158" s="315"/>
      <c r="J158" s="315">
        <f t="shared" si="26"/>
        <v>0</v>
      </c>
      <c r="K158" s="315"/>
      <c r="L158" s="315">
        <f t="shared" si="24"/>
        <v>0</v>
      </c>
      <c r="M158" s="315"/>
      <c r="N158" s="315"/>
      <c r="O158" s="315"/>
      <c r="P158" s="315">
        <f t="shared" si="25"/>
        <v>0</v>
      </c>
      <c r="Q158" s="315"/>
      <c r="R158" s="315"/>
      <c r="S158" s="315">
        <f t="shared" si="18"/>
        <v>0</v>
      </c>
      <c r="T158" s="315">
        <f t="shared" si="19"/>
        <v>0</v>
      </c>
      <c r="U158" s="315">
        <f t="shared" si="20"/>
        <v>0</v>
      </c>
      <c r="V158" s="322">
        <f t="shared" si="21"/>
        <v>0</v>
      </c>
    </row>
    <row r="159" spans="1:22" ht="27.75" customHeight="1">
      <c r="A159" s="135"/>
      <c r="B159" s="114" t="s">
        <v>4022</v>
      </c>
      <c r="C159" s="315">
        <v>168.4</v>
      </c>
      <c r="D159" s="323" t="s">
        <v>840</v>
      </c>
      <c r="E159" s="315" t="e">
        <f>'Sullage Detailed'!#REF!</f>
        <v>#REF!</v>
      </c>
      <c r="F159" s="315" t="e">
        <f t="shared" si="22"/>
        <v>#REF!</v>
      </c>
      <c r="G159" s="315"/>
      <c r="H159" s="315">
        <f t="shared" si="23"/>
        <v>0</v>
      </c>
      <c r="I159" s="315"/>
      <c r="J159" s="315">
        <f t="shared" si="26"/>
        <v>0</v>
      </c>
      <c r="K159" s="315"/>
      <c r="L159" s="315">
        <f t="shared" si="24"/>
        <v>0</v>
      </c>
      <c r="M159" s="315"/>
      <c r="N159" s="315"/>
      <c r="O159" s="315"/>
      <c r="P159" s="315">
        <f t="shared" si="25"/>
        <v>0</v>
      </c>
      <c r="Q159" s="315"/>
      <c r="R159" s="315"/>
      <c r="S159" s="315">
        <f t="shared" si="18"/>
        <v>0</v>
      </c>
      <c r="T159" s="315">
        <f t="shared" si="19"/>
        <v>0</v>
      </c>
      <c r="U159" s="315" t="e">
        <f t="shared" si="20"/>
        <v>#REF!</v>
      </c>
      <c r="V159" s="322" t="e">
        <f t="shared" si="21"/>
        <v>#REF!</v>
      </c>
    </row>
    <row r="160" spans="1:22" ht="20.100000000000001" customHeight="1">
      <c r="A160" s="135">
        <v>77.2</v>
      </c>
      <c r="B160" s="114" t="s">
        <v>294</v>
      </c>
      <c r="C160" s="315">
        <f>Data!K2205</f>
        <v>500</v>
      </c>
      <c r="D160" s="318" t="s">
        <v>1458</v>
      </c>
      <c r="E160" s="315"/>
      <c r="F160" s="315">
        <f t="shared" si="22"/>
        <v>0</v>
      </c>
      <c r="G160" s="315"/>
      <c r="H160" s="315">
        <f t="shared" si="23"/>
        <v>0</v>
      </c>
      <c r="I160" s="315"/>
      <c r="J160" s="315">
        <f t="shared" si="26"/>
        <v>0</v>
      </c>
      <c r="K160" s="315"/>
      <c r="L160" s="315">
        <f t="shared" si="24"/>
        <v>0</v>
      </c>
      <c r="M160" s="315"/>
      <c r="N160" s="315"/>
      <c r="O160" s="315"/>
      <c r="P160" s="315">
        <f t="shared" si="25"/>
        <v>0</v>
      </c>
      <c r="Q160" s="315"/>
      <c r="R160" s="315"/>
      <c r="S160" s="315">
        <f t="shared" si="18"/>
        <v>0</v>
      </c>
      <c r="T160" s="315">
        <f t="shared" si="19"/>
        <v>0</v>
      </c>
      <c r="U160" s="315">
        <f t="shared" si="20"/>
        <v>0</v>
      </c>
      <c r="V160" s="322">
        <f t="shared" si="21"/>
        <v>0</v>
      </c>
    </row>
    <row r="161" spans="1:22" ht="30" customHeight="1">
      <c r="A161" s="135">
        <v>77.3</v>
      </c>
      <c r="B161" s="114" t="s">
        <v>1405</v>
      </c>
      <c r="C161" s="315">
        <f>Data!K2206</f>
        <v>53</v>
      </c>
      <c r="D161" s="318" t="s">
        <v>1458</v>
      </c>
      <c r="E161" s="315" t="e">
        <f>'Sullage Detailed'!#REF!</f>
        <v>#REF!</v>
      </c>
      <c r="F161" s="315" t="e">
        <f t="shared" si="22"/>
        <v>#REF!</v>
      </c>
      <c r="G161" s="315"/>
      <c r="H161" s="315">
        <f t="shared" si="23"/>
        <v>0</v>
      </c>
      <c r="I161" s="315"/>
      <c r="J161" s="315">
        <f t="shared" si="26"/>
        <v>0</v>
      </c>
      <c r="K161" s="315"/>
      <c r="L161" s="315">
        <f t="shared" si="24"/>
        <v>0</v>
      </c>
      <c r="M161" s="315"/>
      <c r="N161" s="315"/>
      <c r="O161" s="315"/>
      <c r="P161" s="315">
        <f t="shared" si="25"/>
        <v>0</v>
      </c>
      <c r="Q161" s="315"/>
      <c r="R161" s="315"/>
      <c r="S161" s="315">
        <f t="shared" ref="S161:S212" si="27">O161+K161+I161+G161</f>
        <v>0</v>
      </c>
      <c r="T161" s="315">
        <f t="shared" ref="T161:T212" si="28">P161+L161+J161+H161</f>
        <v>0</v>
      </c>
      <c r="U161" s="315" t="e">
        <f t="shared" ref="U161:U212" si="29">S161+E161</f>
        <v>#REF!</v>
      </c>
      <c r="V161" s="322" t="e">
        <f t="shared" ref="V161:V212" si="30">T161+F161</f>
        <v>#REF!</v>
      </c>
    </row>
    <row r="162" spans="1:22" ht="30" customHeight="1">
      <c r="A162" s="135">
        <v>77.400000000000006</v>
      </c>
      <c r="B162" s="114" t="s">
        <v>1084</v>
      </c>
      <c r="C162" s="315">
        <f>Data!K2225</f>
        <v>51.99</v>
      </c>
      <c r="D162" s="318" t="s">
        <v>840</v>
      </c>
      <c r="E162" s="315" t="e">
        <f>'Sullage Detailed'!#REF!</f>
        <v>#REF!</v>
      </c>
      <c r="F162" s="315" t="e">
        <f t="shared" si="22"/>
        <v>#REF!</v>
      </c>
      <c r="G162" s="315"/>
      <c r="H162" s="315">
        <f t="shared" si="23"/>
        <v>0</v>
      </c>
      <c r="I162" s="315"/>
      <c r="J162" s="315">
        <f t="shared" si="26"/>
        <v>0</v>
      </c>
      <c r="K162" s="315"/>
      <c r="L162" s="315">
        <f t="shared" si="24"/>
        <v>0</v>
      </c>
      <c r="M162" s="315"/>
      <c r="N162" s="315"/>
      <c r="O162" s="315"/>
      <c r="P162" s="315">
        <f t="shared" si="25"/>
        <v>0</v>
      </c>
      <c r="Q162" s="315"/>
      <c r="R162" s="315"/>
      <c r="S162" s="315">
        <f t="shared" si="27"/>
        <v>0</v>
      </c>
      <c r="T162" s="315">
        <f t="shared" si="28"/>
        <v>0</v>
      </c>
      <c r="U162" s="315" t="e">
        <f t="shared" si="29"/>
        <v>#REF!</v>
      </c>
      <c r="V162" s="322" t="e">
        <f t="shared" si="30"/>
        <v>#REF!</v>
      </c>
    </row>
    <row r="163" spans="1:22" ht="30" customHeight="1">
      <c r="A163" s="135">
        <v>78</v>
      </c>
      <c r="B163" s="111" t="s">
        <v>2241</v>
      </c>
      <c r="C163" s="315">
        <f>Data!K2207</f>
        <v>1830</v>
      </c>
      <c r="D163" s="318" t="s">
        <v>1458</v>
      </c>
      <c r="E163" s="315" t="e">
        <f>'Sullage Detailed'!#REF!</f>
        <v>#REF!</v>
      </c>
      <c r="F163" s="315" t="e">
        <f t="shared" si="22"/>
        <v>#REF!</v>
      </c>
      <c r="G163" s="315"/>
      <c r="H163" s="315">
        <f t="shared" si="23"/>
        <v>0</v>
      </c>
      <c r="I163" s="315"/>
      <c r="J163" s="315">
        <f t="shared" si="26"/>
        <v>0</v>
      </c>
      <c r="K163" s="315"/>
      <c r="L163" s="315">
        <f t="shared" si="24"/>
        <v>0</v>
      </c>
      <c r="M163" s="315"/>
      <c r="N163" s="315"/>
      <c r="O163" s="315"/>
      <c r="P163" s="315">
        <f t="shared" si="25"/>
        <v>0</v>
      </c>
      <c r="Q163" s="315"/>
      <c r="R163" s="315"/>
      <c r="S163" s="315">
        <f t="shared" si="27"/>
        <v>0</v>
      </c>
      <c r="T163" s="315">
        <f t="shared" si="28"/>
        <v>0</v>
      </c>
      <c r="U163" s="315" t="e">
        <f t="shared" si="29"/>
        <v>#REF!</v>
      </c>
      <c r="V163" s="322" t="e">
        <f t="shared" si="30"/>
        <v>#REF!</v>
      </c>
    </row>
    <row r="164" spans="1:22" ht="20.100000000000001" customHeight="1">
      <c r="A164" s="135">
        <v>78.099999999999994</v>
      </c>
      <c r="B164" s="111" t="s">
        <v>2242</v>
      </c>
      <c r="C164" s="315"/>
      <c r="D164" s="318" t="s">
        <v>1458</v>
      </c>
      <c r="E164" s="316"/>
      <c r="F164" s="315">
        <f t="shared" si="22"/>
        <v>0</v>
      </c>
      <c r="G164" s="315"/>
      <c r="H164" s="315">
        <f t="shared" si="23"/>
        <v>0</v>
      </c>
      <c r="I164" s="315"/>
      <c r="J164" s="315">
        <f t="shared" si="26"/>
        <v>0</v>
      </c>
      <c r="K164" s="315"/>
      <c r="L164" s="315">
        <f t="shared" si="24"/>
        <v>0</v>
      </c>
      <c r="M164" s="315"/>
      <c r="N164" s="315"/>
      <c r="O164" s="315"/>
      <c r="P164" s="315">
        <f t="shared" si="25"/>
        <v>0</v>
      </c>
      <c r="Q164" s="315"/>
      <c r="R164" s="315"/>
      <c r="S164" s="315">
        <f t="shared" si="27"/>
        <v>0</v>
      </c>
      <c r="T164" s="315">
        <f t="shared" si="28"/>
        <v>0</v>
      </c>
      <c r="U164" s="315">
        <f t="shared" si="29"/>
        <v>0</v>
      </c>
      <c r="V164" s="322">
        <f t="shared" si="30"/>
        <v>0</v>
      </c>
    </row>
    <row r="165" spans="1:22" ht="20.100000000000001" customHeight="1">
      <c r="A165" s="135">
        <v>79.099999999999994</v>
      </c>
      <c r="B165" s="111" t="s">
        <v>3988</v>
      </c>
      <c r="C165" s="315">
        <f>Elec.Data!K3400</f>
        <v>287</v>
      </c>
      <c r="D165" s="318" t="s">
        <v>1458</v>
      </c>
      <c r="E165" s="315" t="e">
        <f>'Sullage Detailed'!#REF!</f>
        <v>#REF!</v>
      </c>
      <c r="F165" s="315" t="e">
        <f t="shared" si="22"/>
        <v>#REF!</v>
      </c>
      <c r="G165" s="315"/>
      <c r="H165" s="315">
        <f t="shared" si="23"/>
        <v>0</v>
      </c>
      <c r="I165" s="315"/>
      <c r="J165" s="315">
        <f t="shared" si="26"/>
        <v>0</v>
      </c>
      <c r="K165" s="315"/>
      <c r="L165" s="315">
        <f t="shared" si="24"/>
        <v>0</v>
      </c>
      <c r="M165" s="315"/>
      <c r="N165" s="315"/>
      <c r="O165" s="315"/>
      <c r="P165" s="315">
        <f t="shared" si="25"/>
        <v>0</v>
      </c>
      <c r="Q165" s="315"/>
      <c r="R165" s="315"/>
      <c r="S165" s="315">
        <f t="shared" si="27"/>
        <v>0</v>
      </c>
      <c r="T165" s="315">
        <f t="shared" si="28"/>
        <v>0</v>
      </c>
      <c r="U165" s="315" t="e">
        <f t="shared" si="29"/>
        <v>#REF!</v>
      </c>
      <c r="V165" s="322" t="e">
        <f t="shared" si="30"/>
        <v>#REF!</v>
      </c>
    </row>
    <row r="166" spans="1:22" ht="20.100000000000001" customHeight="1">
      <c r="A166" s="135">
        <v>79.2</v>
      </c>
      <c r="B166" s="111" t="s">
        <v>3989</v>
      </c>
      <c r="C166" s="315">
        <f>Elec.Data!K3419</f>
        <v>538</v>
      </c>
      <c r="D166" s="318" t="s">
        <v>1458</v>
      </c>
      <c r="E166" s="315" t="e">
        <f>'Sullage Detailed'!#REF!</f>
        <v>#REF!</v>
      </c>
      <c r="F166" s="315" t="e">
        <f t="shared" si="22"/>
        <v>#REF!</v>
      </c>
      <c r="G166" s="315"/>
      <c r="H166" s="315">
        <f t="shared" si="23"/>
        <v>0</v>
      </c>
      <c r="I166" s="315"/>
      <c r="J166" s="315">
        <f t="shared" si="26"/>
        <v>0</v>
      </c>
      <c r="K166" s="315"/>
      <c r="L166" s="315">
        <f t="shared" si="24"/>
        <v>0</v>
      </c>
      <c r="M166" s="315"/>
      <c r="N166" s="315"/>
      <c r="O166" s="315"/>
      <c r="P166" s="315">
        <f t="shared" si="25"/>
        <v>0</v>
      </c>
      <c r="Q166" s="315"/>
      <c r="R166" s="315"/>
      <c r="S166" s="315">
        <f t="shared" si="27"/>
        <v>0</v>
      </c>
      <c r="T166" s="315">
        <f t="shared" si="28"/>
        <v>0</v>
      </c>
      <c r="U166" s="315" t="e">
        <f t="shared" si="29"/>
        <v>#REF!</v>
      </c>
      <c r="V166" s="322" t="e">
        <f t="shared" si="30"/>
        <v>#REF!</v>
      </c>
    </row>
    <row r="167" spans="1:22" ht="30" customHeight="1">
      <c r="A167" s="135">
        <v>80</v>
      </c>
      <c r="B167" s="111" t="s">
        <v>642</v>
      </c>
      <c r="C167" s="315">
        <f>Data!K2208</f>
        <v>452</v>
      </c>
      <c r="D167" s="318" t="s">
        <v>1458</v>
      </c>
      <c r="E167" s="315"/>
      <c r="F167" s="315">
        <f t="shared" si="22"/>
        <v>0</v>
      </c>
      <c r="G167" s="315"/>
      <c r="H167" s="315">
        <f t="shared" si="23"/>
        <v>0</v>
      </c>
      <c r="I167" s="315"/>
      <c r="J167" s="315">
        <f t="shared" si="26"/>
        <v>0</v>
      </c>
      <c r="K167" s="315"/>
      <c r="L167" s="315">
        <f t="shared" si="24"/>
        <v>0</v>
      </c>
      <c r="M167" s="315"/>
      <c r="N167" s="315"/>
      <c r="O167" s="315"/>
      <c r="P167" s="315">
        <f t="shared" si="25"/>
        <v>0</v>
      </c>
      <c r="Q167" s="315"/>
      <c r="R167" s="315"/>
      <c r="S167" s="315">
        <f t="shared" si="27"/>
        <v>0</v>
      </c>
      <c r="T167" s="315">
        <f t="shared" si="28"/>
        <v>0</v>
      </c>
      <c r="U167" s="315">
        <f t="shared" si="29"/>
        <v>0</v>
      </c>
      <c r="V167" s="322">
        <f t="shared" si="30"/>
        <v>0</v>
      </c>
    </row>
    <row r="168" spans="1:22" ht="30" customHeight="1">
      <c r="A168" s="135"/>
      <c r="B168" s="111" t="s">
        <v>3250</v>
      </c>
      <c r="C168" s="315">
        <f>Elec.Data!K3481</f>
        <v>853</v>
      </c>
      <c r="D168" s="318" t="s">
        <v>1458</v>
      </c>
      <c r="E168" s="315" t="e">
        <f>'Sullage Detailed'!#REF!</f>
        <v>#REF!</v>
      </c>
      <c r="F168" s="315" t="e">
        <f t="shared" si="22"/>
        <v>#REF!</v>
      </c>
      <c r="G168" s="315"/>
      <c r="H168" s="315">
        <f t="shared" si="23"/>
        <v>0</v>
      </c>
      <c r="I168" s="315"/>
      <c r="J168" s="315">
        <f t="shared" si="26"/>
        <v>0</v>
      </c>
      <c r="K168" s="315"/>
      <c r="L168" s="315">
        <f t="shared" si="24"/>
        <v>0</v>
      </c>
      <c r="M168" s="315"/>
      <c r="N168" s="315"/>
      <c r="O168" s="315"/>
      <c r="P168" s="315">
        <f t="shared" si="25"/>
        <v>0</v>
      </c>
      <c r="Q168" s="315"/>
      <c r="R168" s="315"/>
      <c r="S168" s="315">
        <f t="shared" si="27"/>
        <v>0</v>
      </c>
      <c r="T168" s="315">
        <f t="shared" si="28"/>
        <v>0</v>
      </c>
      <c r="U168" s="315" t="e">
        <f t="shared" si="29"/>
        <v>#REF!</v>
      </c>
      <c r="V168" s="322" t="e">
        <f t="shared" si="30"/>
        <v>#REF!</v>
      </c>
    </row>
    <row r="169" spans="1:22" ht="57.75" customHeight="1">
      <c r="A169" s="135"/>
      <c r="B169" s="111" t="s">
        <v>2378</v>
      </c>
      <c r="C169" s="315">
        <f>Elec.Data!K3210</f>
        <v>1193</v>
      </c>
      <c r="D169" s="318" t="s">
        <v>1458</v>
      </c>
      <c r="E169" s="315" t="e">
        <f>'Sullage Detailed'!#REF!</f>
        <v>#REF!</v>
      </c>
      <c r="F169" s="315" t="e">
        <f t="shared" si="22"/>
        <v>#REF!</v>
      </c>
      <c r="G169" s="315"/>
      <c r="H169" s="315">
        <f t="shared" si="23"/>
        <v>0</v>
      </c>
      <c r="I169" s="315"/>
      <c r="J169" s="315">
        <f t="shared" si="26"/>
        <v>0</v>
      </c>
      <c r="K169" s="315"/>
      <c r="L169" s="315">
        <f t="shared" si="24"/>
        <v>0</v>
      </c>
      <c r="M169" s="315"/>
      <c r="N169" s="315"/>
      <c r="O169" s="315"/>
      <c r="P169" s="315">
        <f t="shared" si="25"/>
        <v>0</v>
      </c>
      <c r="Q169" s="315"/>
      <c r="R169" s="315"/>
      <c r="S169" s="315">
        <f t="shared" si="27"/>
        <v>0</v>
      </c>
      <c r="T169" s="315">
        <f t="shared" si="28"/>
        <v>0</v>
      </c>
      <c r="U169" s="315" t="e">
        <f t="shared" si="29"/>
        <v>#REF!</v>
      </c>
      <c r="V169" s="322" t="e">
        <f t="shared" si="30"/>
        <v>#REF!</v>
      </c>
    </row>
    <row r="170" spans="1:22" ht="30" customHeight="1">
      <c r="A170" s="135">
        <v>81</v>
      </c>
      <c r="B170" s="111" t="s">
        <v>295</v>
      </c>
      <c r="C170" s="315">
        <f>ROUND(Data!K2209,2)</f>
        <v>1808.51</v>
      </c>
      <c r="D170" s="318" t="s">
        <v>2371</v>
      </c>
      <c r="E170" s="315" t="e">
        <f>'Sullage Detailed'!#REF!</f>
        <v>#REF!</v>
      </c>
      <c r="F170" s="315" t="e">
        <f t="shared" si="22"/>
        <v>#REF!</v>
      </c>
      <c r="G170" s="315"/>
      <c r="H170" s="315">
        <f t="shared" si="23"/>
        <v>0</v>
      </c>
      <c r="I170" s="315"/>
      <c r="J170" s="315">
        <f t="shared" si="26"/>
        <v>0</v>
      </c>
      <c r="K170" s="315"/>
      <c r="L170" s="315">
        <f t="shared" si="24"/>
        <v>0</v>
      </c>
      <c r="M170" s="315"/>
      <c r="N170" s="315"/>
      <c r="O170" s="315"/>
      <c r="P170" s="315">
        <f t="shared" si="25"/>
        <v>0</v>
      </c>
      <c r="Q170" s="315"/>
      <c r="R170" s="315"/>
      <c r="S170" s="315">
        <f t="shared" si="27"/>
        <v>0</v>
      </c>
      <c r="T170" s="315">
        <f t="shared" si="28"/>
        <v>0</v>
      </c>
      <c r="U170" s="315" t="e">
        <f t="shared" si="29"/>
        <v>#REF!</v>
      </c>
      <c r="V170" s="322" t="e">
        <f t="shared" si="30"/>
        <v>#REF!</v>
      </c>
    </row>
    <row r="171" spans="1:22" ht="30" customHeight="1">
      <c r="A171" s="137">
        <v>82</v>
      </c>
      <c r="B171" s="111" t="s">
        <v>1123</v>
      </c>
      <c r="C171" s="315">
        <f>ROUND(Data!K2210,2)</f>
        <v>1972</v>
      </c>
      <c r="D171" s="318" t="s">
        <v>1458</v>
      </c>
      <c r="E171" s="315" t="e">
        <f>'Sullage Detailed'!#REF!</f>
        <v>#REF!</v>
      </c>
      <c r="F171" s="315" t="e">
        <f t="shared" si="22"/>
        <v>#REF!</v>
      </c>
      <c r="G171" s="315"/>
      <c r="H171" s="315">
        <f t="shared" si="23"/>
        <v>0</v>
      </c>
      <c r="I171" s="315"/>
      <c r="J171" s="315">
        <f t="shared" si="26"/>
        <v>0</v>
      </c>
      <c r="K171" s="315"/>
      <c r="L171" s="315">
        <f t="shared" si="24"/>
        <v>0</v>
      </c>
      <c r="M171" s="315"/>
      <c r="N171" s="315"/>
      <c r="O171" s="315"/>
      <c r="P171" s="315">
        <f t="shared" si="25"/>
        <v>0</v>
      </c>
      <c r="Q171" s="315"/>
      <c r="R171" s="315"/>
      <c r="S171" s="315">
        <f t="shared" si="27"/>
        <v>0</v>
      </c>
      <c r="T171" s="315">
        <f t="shared" si="28"/>
        <v>0</v>
      </c>
      <c r="U171" s="315" t="e">
        <f t="shared" si="29"/>
        <v>#REF!</v>
      </c>
      <c r="V171" s="322" t="e">
        <f t="shared" si="30"/>
        <v>#REF!</v>
      </c>
    </row>
    <row r="172" spans="1:22" ht="20.100000000000001" customHeight="1">
      <c r="A172" s="135">
        <v>83</v>
      </c>
      <c r="B172" s="111" t="s">
        <v>1238</v>
      </c>
      <c r="C172" s="315">
        <f>Elec.Data!K3556</f>
        <v>165</v>
      </c>
      <c r="D172" s="318" t="s">
        <v>840</v>
      </c>
      <c r="E172" s="315" t="e">
        <f>'Sullage Detailed'!#REF!</f>
        <v>#REF!</v>
      </c>
      <c r="F172" s="315" t="e">
        <f t="shared" si="22"/>
        <v>#REF!</v>
      </c>
      <c r="G172" s="315"/>
      <c r="H172" s="315">
        <f t="shared" si="23"/>
        <v>0</v>
      </c>
      <c r="I172" s="315"/>
      <c r="J172" s="315">
        <f t="shared" si="26"/>
        <v>0</v>
      </c>
      <c r="K172" s="315"/>
      <c r="L172" s="315">
        <f t="shared" si="24"/>
        <v>0</v>
      </c>
      <c r="M172" s="315"/>
      <c r="N172" s="315"/>
      <c r="O172" s="315"/>
      <c r="P172" s="315">
        <f t="shared" si="25"/>
        <v>0</v>
      </c>
      <c r="Q172" s="315"/>
      <c r="R172" s="315"/>
      <c r="S172" s="315">
        <f t="shared" si="27"/>
        <v>0</v>
      </c>
      <c r="T172" s="315">
        <f t="shared" si="28"/>
        <v>0</v>
      </c>
      <c r="U172" s="315" t="e">
        <f t="shared" si="29"/>
        <v>#REF!</v>
      </c>
      <c r="V172" s="322" t="e">
        <f t="shared" si="30"/>
        <v>#REF!</v>
      </c>
    </row>
    <row r="173" spans="1:22" ht="20.100000000000001" customHeight="1">
      <c r="A173" s="135">
        <v>84</v>
      </c>
      <c r="B173" s="111" t="s">
        <v>1239</v>
      </c>
      <c r="C173" s="315">
        <v>78.3</v>
      </c>
      <c r="D173" s="318" t="s">
        <v>840</v>
      </c>
      <c r="E173" s="316"/>
      <c r="F173" s="315">
        <f t="shared" si="22"/>
        <v>0</v>
      </c>
      <c r="G173" s="315"/>
      <c r="H173" s="315">
        <f t="shared" si="23"/>
        <v>0</v>
      </c>
      <c r="I173" s="315"/>
      <c r="J173" s="315">
        <f t="shared" si="26"/>
        <v>0</v>
      </c>
      <c r="K173" s="315"/>
      <c r="L173" s="315">
        <f t="shared" si="24"/>
        <v>0</v>
      </c>
      <c r="M173" s="315"/>
      <c r="N173" s="315"/>
      <c r="O173" s="315"/>
      <c r="P173" s="315">
        <f t="shared" si="25"/>
        <v>0</v>
      </c>
      <c r="Q173" s="315"/>
      <c r="R173" s="315"/>
      <c r="S173" s="315">
        <f t="shared" si="27"/>
        <v>0</v>
      </c>
      <c r="T173" s="315">
        <f t="shared" si="28"/>
        <v>0</v>
      </c>
      <c r="U173" s="315">
        <f t="shared" si="29"/>
        <v>0</v>
      </c>
      <c r="V173" s="322">
        <f t="shared" si="30"/>
        <v>0</v>
      </c>
    </row>
    <row r="174" spans="1:22" ht="20.100000000000001" customHeight="1">
      <c r="A174" s="135">
        <v>85</v>
      </c>
      <c r="B174" s="111" t="s">
        <v>1240</v>
      </c>
      <c r="C174" s="315">
        <v>110</v>
      </c>
      <c r="D174" s="318" t="s">
        <v>840</v>
      </c>
      <c r="E174" s="316"/>
      <c r="F174" s="315">
        <f t="shared" si="22"/>
        <v>0</v>
      </c>
      <c r="G174" s="315"/>
      <c r="H174" s="315">
        <f t="shared" si="23"/>
        <v>0</v>
      </c>
      <c r="I174" s="315"/>
      <c r="J174" s="315">
        <f t="shared" si="26"/>
        <v>0</v>
      </c>
      <c r="K174" s="315"/>
      <c r="L174" s="315">
        <f t="shared" si="24"/>
        <v>0</v>
      </c>
      <c r="M174" s="315"/>
      <c r="N174" s="315"/>
      <c r="O174" s="315"/>
      <c r="P174" s="315">
        <f t="shared" si="25"/>
        <v>0</v>
      </c>
      <c r="Q174" s="315"/>
      <c r="R174" s="315"/>
      <c r="S174" s="315">
        <f t="shared" si="27"/>
        <v>0</v>
      </c>
      <c r="T174" s="315">
        <f t="shared" si="28"/>
        <v>0</v>
      </c>
      <c r="U174" s="315">
        <f t="shared" si="29"/>
        <v>0</v>
      </c>
      <c r="V174" s="322">
        <f t="shared" si="30"/>
        <v>0</v>
      </c>
    </row>
    <row r="175" spans="1:22" ht="30" customHeight="1">
      <c r="A175" s="137">
        <v>86</v>
      </c>
      <c r="B175" s="111" t="s">
        <v>240</v>
      </c>
      <c r="C175" s="315">
        <f>Data!K1722</f>
        <v>34</v>
      </c>
      <c r="D175" s="318" t="s">
        <v>1918</v>
      </c>
      <c r="E175" s="315" t="e">
        <f>'Sullage Detailed'!#REF!</f>
        <v>#REF!</v>
      </c>
      <c r="F175" s="315" t="e">
        <f t="shared" si="22"/>
        <v>#REF!</v>
      </c>
      <c r="G175" s="315"/>
      <c r="H175" s="315">
        <f t="shared" si="23"/>
        <v>0</v>
      </c>
      <c r="I175" s="315"/>
      <c r="J175" s="315">
        <f t="shared" si="26"/>
        <v>0</v>
      </c>
      <c r="K175" s="315"/>
      <c r="L175" s="315">
        <f t="shared" si="24"/>
        <v>0</v>
      </c>
      <c r="M175" s="315"/>
      <c r="N175" s="315"/>
      <c r="O175" s="315"/>
      <c r="P175" s="315">
        <f t="shared" si="25"/>
        <v>0</v>
      </c>
      <c r="Q175" s="315"/>
      <c r="R175" s="315"/>
      <c r="S175" s="315">
        <f t="shared" si="27"/>
        <v>0</v>
      </c>
      <c r="T175" s="315">
        <f t="shared" si="28"/>
        <v>0</v>
      </c>
      <c r="U175" s="315" t="e">
        <f t="shared" si="29"/>
        <v>#REF!</v>
      </c>
      <c r="V175" s="322" t="e">
        <f t="shared" si="30"/>
        <v>#REF!</v>
      </c>
    </row>
    <row r="176" spans="1:22" ht="30" customHeight="1">
      <c r="A176" s="137">
        <v>87</v>
      </c>
      <c r="B176" s="111" t="s">
        <v>1961</v>
      </c>
      <c r="C176" s="315">
        <f>ROUND(Data!K2211,2)</f>
        <v>2696</v>
      </c>
      <c r="D176" s="318" t="s">
        <v>1458</v>
      </c>
      <c r="E176" s="315"/>
      <c r="F176" s="315">
        <f t="shared" si="22"/>
        <v>0</v>
      </c>
      <c r="G176" s="315"/>
      <c r="H176" s="315">
        <f t="shared" si="23"/>
        <v>0</v>
      </c>
      <c r="I176" s="315"/>
      <c r="J176" s="315">
        <f t="shared" si="26"/>
        <v>0</v>
      </c>
      <c r="K176" s="315"/>
      <c r="L176" s="315">
        <f t="shared" si="24"/>
        <v>0</v>
      </c>
      <c r="M176" s="315"/>
      <c r="N176" s="315"/>
      <c r="O176" s="315"/>
      <c r="P176" s="315">
        <f t="shared" si="25"/>
        <v>0</v>
      </c>
      <c r="Q176" s="315"/>
      <c r="R176" s="315"/>
      <c r="S176" s="315">
        <f t="shared" si="27"/>
        <v>0</v>
      </c>
      <c r="T176" s="315">
        <f t="shared" si="28"/>
        <v>0</v>
      </c>
      <c r="U176" s="315">
        <f t="shared" si="29"/>
        <v>0</v>
      </c>
      <c r="V176" s="322">
        <f t="shared" si="30"/>
        <v>0</v>
      </c>
    </row>
    <row r="177" spans="1:22" ht="30" customHeight="1">
      <c r="A177" s="137"/>
      <c r="B177" s="111" t="s">
        <v>2619</v>
      </c>
      <c r="C177" s="315">
        <f>Elec.Data!K3468</f>
        <v>3110</v>
      </c>
      <c r="D177" s="318" t="s">
        <v>1458</v>
      </c>
      <c r="E177" s="315" t="e">
        <f>'Sullage Detailed'!#REF!</f>
        <v>#REF!</v>
      </c>
      <c r="F177" s="315" t="e">
        <f t="shared" si="22"/>
        <v>#REF!</v>
      </c>
      <c r="G177" s="315"/>
      <c r="H177" s="315">
        <f t="shared" si="23"/>
        <v>0</v>
      </c>
      <c r="I177" s="315"/>
      <c r="J177" s="315">
        <f t="shared" si="26"/>
        <v>0</v>
      </c>
      <c r="K177" s="315"/>
      <c r="L177" s="315">
        <f t="shared" si="24"/>
        <v>0</v>
      </c>
      <c r="M177" s="315"/>
      <c r="N177" s="315"/>
      <c r="O177" s="315"/>
      <c r="P177" s="315">
        <f t="shared" si="25"/>
        <v>0</v>
      </c>
      <c r="Q177" s="315"/>
      <c r="R177" s="315"/>
      <c r="S177" s="315">
        <f t="shared" si="27"/>
        <v>0</v>
      </c>
      <c r="T177" s="315">
        <f t="shared" si="28"/>
        <v>0</v>
      </c>
      <c r="U177" s="315" t="e">
        <f t="shared" si="29"/>
        <v>#REF!</v>
      </c>
      <c r="V177" s="322" t="e">
        <f t="shared" si="30"/>
        <v>#REF!</v>
      </c>
    </row>
    <row r="178" spans="1:22" ht="20.100000000000001" customHeight="1">
      <c r="A178" s="136">
        <v>112</v>
      </c>
      <c r="B178" s="111" t="s">
        <v>1144</v>
      </c>
      <c r="C178" s="315">
        <f>ROUND(Data!K2201,2)</f>
        <v>1766</v>
      </c>
      <c r="D178" s="318" t="s">
        <v>1458</v>
      </c>
      <c r="E178" s="316"/>
      <c r="F178" s="315">
        <f t="shared" si="22"/>
        <v>0</v>
      </c>
      <c r="G178" s="315"/>
      <c r="H178" s="315">
        <f t="shared" si="23"/>
        <v>0</v>
      </c>
      <c r="I178" s="315"/>
      <c r="J178" s="315">
        <f t="shared" si="26"/>
        <v>0</v>
      </c>
      <c r="K178" s="315"/>
      <c r="L178" s="315">
        <f t="shared" si="24"/>
        <v>0</v>
      </c>
      <c r="M178" s="315"/>
      <c r="N178" s="315"/>
      <c r="O178" s="315"/>
      <c r="P178" s="315">
        <f t="shared" si="25"/>
        <v>0</v>
      </c>
      <c r="Q178" s="315"/>
      <c r="R178" s="315"/>
      <c r="S178" s="315">
        <f t="shared" si="27"/>
        <v>0</v>
      </c>
      <c r="T178" s="315">
        <f t="shared" si="28"/>
        <v>0</v>
      </c>
      <c r="U178" s="315">
        <f t="shared" si="29"/>
        <v>0</v>
      </c>
      <c r="V178" s="322">
        <f t="shared" si="30"/>
        <v>0</v>
      </c>
    </row>
    <row r="179" spans="1:22" ht="35.1" customHeight="1">
      <c r="A179" s="203">
        <v>238</v>
      </c>
      <c r="B179" s="111" t="s">
        <v>419</v>
      </c>
      <c r="C179" s="315">
        <f>ROUND(Data!K1496,2)</f>
        <v>3499.75</v>
      </c>
      <c r="D179" s="318" t="s">
        <v>528</v>
      </c>
      <c r="E179" s="316"/>
      <c r="F179" s="315">
        <f t="shared" si="22"/>
        <v>0</v>
      </c>
      <c r="G179" s="315"/>
      <c r="H179" s="315">
        <f t="shared" si="23"/>
        <v>0</v>
      </c>
      <c r="I179" s="315"/>
      <c r="J179" s="315">
        <f t="shared" si="26"/>
        <v>0</v>
      </c>
      <c r="K179" s="315"/>
      <c r="L179" s="315">
        <f t="shared" si="24"/>
        <v>0</v>
      </c>
      <c r="M179" s="315"/>
      <c r="N179" s="315"/>
      <c r="O179" s="315"/>
      <c r="P179" s="315">
        <f t="shared" si="25"/>
        <v>0</v>
      </c>
      <c r="Q179" s="315"/>
      <c r="R179" s="315"/>
      <c r="S179" s="315">
        <f t="shared" si="27"/>
        <v>0</v>
      </c>
      <c r="T179" s="315">
        <f t="shared" si="28"/>
        <v>0</v>
      </c>
      <c r="U179" s="315">
        <f t="shared" si="29"/>
        <v>0</v>
      </c>
      <c r="V179" s="322">
        <f t="shared" si="30"/>
        <v>0</v>
      </c>
    </row>
    <row r="180" spans="1:22" ht="26.25" customHeight="1">
      <c r="A180" s="203"/>
      <c r="B180" s="838" t="s">
        <v>4030</v>
      </c>
      <c r="C180" s="315">
        <v>565.01</v>
      </c>
      <c r="D180" s="323" t="s">
        <v>2371</v>
      </c>
      <c r="E180" s="315" t="e">
        <f>'Sullage Detailed'!#REF!</f>
        <v>#REF!</v>
      </c>
      <c r="F180" s="315" t="e">
        <f t="shared" si="22"/>
        <v>#REF!</v>
      </c>
      <c r="G180" s="315"/>
      <c r="H180" s="315">
        <f t="shared" si="23"/>
        <v>0</v>
      </c>
      <c r="I180" s="315"/>
      <c r="J180" s="315">
        <f t="shared" si="26"/>
        <v>0</v>
      </c>
      <c r="K180" s="315"/>
      <c r="L180" s="315">
        <f t="shared" si="24"/>
        <v>0</v>
      </c>
      <c r="M180" s="315"/>
      <c r="N180" s="315"/>
      <c r="O180" s="315"/>
      <c r="P180" s="315">
        <f t="shared" si="25"/>
        <v>0</v>
      </c>
      <c r="Q180" s="315"/>
      <c r="R180" s="315"/>
      <c r="S180" s="315">
        <f t="shared" si="27"/>
        <v>0</v>
      </c>
      <c r="T180" s="315">
        <f t="shared" si="28"/>
        <v>0</v>
      </c>
      <c r="U180" s="315" t="e">
        <f t="shared" si="29"/>
        <v>#REF!</v>
      </c>
      <c r="V180" s="322" t="e">
        <f t="shared" si="30"/>
        <v>#REF!</v>
      </c>
    </row>
    <row r="181" spans="1:22" ht="16.5">
      <c r="A181" s="203"/>
      <c r="B181" s="833" t="s">
        <v>3063</v>
      </c>
      <c r="C181" s="315"/>
      <c r="D181" s="318"/>
      <c r="E181" s="316"/>
      <c r="F181" s="315">
        <f t="shared" si="22"/>
        <v>0</v>
      </c>
      <c r="G181" s="315"/>
      <c r="H181" s="315">
        <f t="shared" si="23"/>
        <v>0</v>
      </c>
      <c r="I181" s="315"/>
      <c r="J181" s="315">
        <f t="shared" si="26"/>
        <v>0</v>
      </c>
      <c r="K181" s="315"/>
      <c r="L181" s="315">
        <f t="shared" si="24"/>
        <v>0</v>
      </c>
      <c r="M181" s="315"/>
      <c r="N181" s="315"/>
      <c r="O181" s="315"/>
      <c r="P181" s="315">
        <f t="shared" si="25"/>
        <v>0</v>
      </c>
      <c r="Q181" s="315"/>
      <c r="R181" s="315"/>
      <c r="S181" s="315">
        <f t="shared" si="27"/>
        <v>0</v>
      </c>
      <c r="T181" s="315">
        <f t="shared" si="28"/>
        <v>0</v>
      </c>
      <c r="U181" s="315">
        <f t="shared" si="29"/>
        <v>0</v>
      </c>
      <c r="V181" s="322">
        <f t="shared" si="30"/>
        <v>0</v>
      </c>
    </row>
    <row r="182" spans="1:22" ht="27.75" customHeight="1">
      <c r="A182" s="134">
        <v>3.8</v>
      </c>
      <c r="B182" s="111" t="s">
        <v>565</v>
      </c>
      <c r="C182" s="315">
        <f>ROUND(Data!R239,2)</f>
        <v>2979.82</v>
      </c>
      <c r="D182" s="323" t="s">
        <v>2226</v>
      </c>
      <c r="E182" s="315"/>
      <c r="F182" s="315">
        <f t="shared" si="22"/>
        <v>0</v>
      </c>
      <c r="G182" s="315"/>
      <c r="H182" s="315">
        <f t="shared" si="23"/>
        <v>0</v>
      </c>
      <c r="I182" s="315"/>
      <c r="J182" s="315">
        <f t="shared" si="26"/>
        <v>0</v>
      </c>
      <c r="K182" s="315"/>
      <c r="L182" s="315">
        <f t="shared" si="24"/>
        <v>0</v>
      </c>
      <c r="M182" s="315"/>
      <c r="N182" s="315"/>
      <c r="O182" s="315"/>
      <c r="P182" s="315">
        <f t="shared" si="25"/>
        <v>0</v>
      </c>
      <c r="Q182" s="315"/>
      <c r="R182" s="315"/>
      <c r="S182" s="315">
        <f t="shared" si="27"/>
        <v>0</v>
      </c>
      <c r="T182" s="315">
        <f t="shared" si="28"/>
        <v>0</v>
      </c>
      <c r="U182" s="315">
        <f t="shared" si="29"/>
        <v>0</v>
      </c>
      <c r="V182" s="322">
        <f t="shared" si="30"/>
        <v>0</v>
      </c>
    </row>
    <row r="183" spans="1:22" ht="27.75" customHeight="1">
      <c r="A183" s="135">
        <v>18.100000000000001</v>
      </c>
      <c r="B183" s="112" t="s">
        <v>199</v>
      </c>
      <c r="C183" s="315"/>
      <c r="D183" s="318"/>
      <c r="E183" s="316"/>
      <c r="F183" s="315">
        <f t="shared" si="22"/>
        <v>0</v>
      </c>
      <c r="G183" s="315"/>
      <c r="H183" s="315">
        <f t="shared" si="23"/>
        <v>0</v>
      </c>
      <c r="I183" s="315"/>
      <c r="J183" s="315">
        <f t="shared" si="26"/>
        <v>0</v>
      </c>
      <c r="K183" s="315"/>
      <c r="L183" s="315">
        <f t="shared" si="24"/>
        <v>0</v>
      </c>
      <c r="M183" s="315"/>
      <c r="N183" s="315"/>
      <c r="O183" s="315"/>
      <c r="P183" s="315">
        <f t="shared" si="25"/>
        <v>0</v>
      </c>
      <c r="Q183" s="315"/>
      <c r="R183" s="315"/>
      <c r="S183" s="315">
        <f t="shared" si="27"/>
        <v>0</v>
      </c>
      <c r="T183" s="315">
        <f t="shared" si="28"/>
        <v>0</v>
      </c>
      <c r="U183" s="315">
        <f t="shared" si="29"/>
        <v>0</v>
      </c>
      <c r="V183" s="322">
        <f t="shared" si="30"/>
        <v>0</v>
      </c>
    </row>
    <row r="184" spans="1:22" ht="40.5" customHeight="1">
      <c r="A184" s="135"/>
      <c r="B184" s="111" t="s">
        <v>1904</v>
      </c>
      <c r="C184" s="315">
        <f>ROUND(Data!I2275,2)</f>
        <v>399.45</v>
      </c>
      <c r="D184" s="323" t="s">
        <v>2371</v>
      </c>
      <c r="E184" s="315" t="e">
        <f>'Sullage Detailed'!#REF!</f>
        <v>#REF!</v>
      </c>
      <c r="F184" s="315" t="e">
        <f t="shared" si="22"/>
        <v>#REF!</v>
      </c>
      <c r="G184" s="315">
        <v>0.55000000000000004</v>
      </c>
      <c r="H184" s="315">
        <f t="shared" si="23"/>
        <v>219.7</v>
      </c>
      <c r="I184" s="315"/>
      <c r="J184" s="315">
        <f t="shared" si="26"/>
        <v>0</v>
      </c>
      <c r="K184" s="315"/>
      <c r="L184" s="315">
        <f t="shared" si="24"/>
        <v>0</v>
      </c>
      <c r="M184" s="315"/>
      <c r="N184" s="315"/>
      <c r="O184" s="315"/>
      <c r="P184" s="315">
        <f t="shared" si="25"/>
        <v>0</v>
      </c>
      <c r="Q184" s="315"/>
      <c r="R184" s="315"/>
      <c r="S184" s="315">
        <f t="shared" si="27"/>
        <v>0.55000000000000004</v>
      </c>
      <c r="T184" s="315">
        <f t="shared" si="28"/>
        <v>219.7</v>
      </c>
      <c r="U184" s="315" t="e">
        <f t="shared" si="29"/>
        <v>#REF!</v>
      </c>
      <c r="V184" s="322" t="e">
        <f t="shared" si="30"/>
        <v>#REF!</v>
      </c>
    </row>
    <row r="185" spans="1:22" ht="63.75" customHeight="1">
      <c r="A185" s="135"/>
      <c r="B185" s="111" t="s">
        <v>1115</v>
      </c>
      <c r="C185" s="315">
        <f>ROUND(Data!I2277,2)</f>
        <v>461.84</v>
      </c>
      <c r="D185" s="318" t="s">
        <v>2371</v>
      </c>
      <c r="E185" s="315" t="e">
        <f>'Sullage Detailed'!#REF!</f>
        <v>#REF!</v>
      </c>
      <c r="F185" s="845" t="e">
        <f t="shared" si="22"/>
        <v>#REF!</v>
      </c>
      <c r="G185" s="315">
        <v>1.9</v>
      </c>
      <c r="H185" s="845">
        <f t="shared" si="23"/>
        <v>877.49599999999998</v>
      </c>
      <c r="I185" s="315">
        <f>'D.W. Detailed for Septic Tank'!H65</f>
        <v>8.9</v>
      </c>
      <c r="J185" s="845">
        <f t="shared" si="26"/>
        <v>4110.3760000000002</v>
      </c>
      <c r="K185" s="315"/>
      <c r="L185" s="315">
        <f t="shared" si="24"/>
        <v>0</v>
      </c>
      <c r="M185" s="315"/>
      <c r="N185" s="315"/>
      <c r="O185" s="315"/>
      <c r="P185" s="315">
        <f t="shared" si="25"/>
        <v>0</v>
      </c>
      <c r="Q185" s="315"/>
      <c r="R185" s="315"/>
      <c r="S185" s="315">
        <f t="shared" si="27"/>
        <v>10.8</v>
      </c>
      <c r="T185" s="845">
        <f t="shared" si="28"/>
        <v>4987.8720000000003</v>
      </c>
      <c r="U185" s="315" t="e">
        <f t="shared" si="29"/>
        <v>#REF!</v>
      </c>
      <c r="V185" s="322" t="e">
        <f t="shared" si="30"/>
        <v>#REF!</v>
      </c>
    </row>
    <row r="186" spans="1:22" ht="39" customHeight="1">
      <c r="A186" s="134"/>
      <c r="B186" s="111" t="s">
        <v>1740</v>
      </c>
      <c r="C186" s="315">
        <f>ROUND(Data!I2279,2)</f>
        <v>554.21</v>
      </c>
      <c r="D186" s="318" t="s">
        <v>2371</v>
      </c>
      <c r="E186" s="315" t="e">
        <f>'Sullage Detailed'!#REF!</f>
        <v>#REF!</v>
      </c>
      <c r="F186" s="845" t="e">
        <f t="shared" si="22"/>
        <v>#REF!</v>
      </c>
      <c r="G186" s="315"/>
      <c r="H186" s="315">
        <f t="shared" si="23"/>
        <v>0</v>
      </c>
      <c r="I186" s="315"/>
      <c r="J186" s="315">
        <f t="shared" si="26"/>
        <v>0</v>
      </c>
      <c r="K186" s="315"/>
      <c r="L186" s="315">
        <f t="shared" si="24"/>
        <v>0</v>
      </c>
      <c r="M186" s="315"/>
      <c r="N186" s="315"/>
      <c r="O186" s="315"/>
      <c r="P186" s="315">
        <f t="shared" si="25"/>
        <v>0</v>
      </c>
      <c r="Q186" s="315"/>
      <c r="R186" s="315"/>
      <c r="S186" s="315">
        <f t="shared" si="27"/>
        <v>0</v>
      </c>
      <c r="T186" s="315">
        <f t="shared" si="28"/>
        <v>0</v>
      </c>
      <c r="U186" s="315" t="e">
        <f t="shared" si="29"/>
        <v>#REF!</v>
      </c>
      <c r="V186" s="322" t="e">
        <f t="shared" si="30"/>
        <v>#REF!</v>
      </c>
    </row>
    <row r="187" spans="1:22" ht="35.1" customHeight="1">
      <c r="A187" s="310"/>
      <c r="B187" s="111" t="s">
        <v>1117</v>
      </c>
      <c r="C187" s="315">
        <f>ROUND(Data!I2281,2)</f>
        <v>508.02</v>
      </c>
      <c r="D187" s="318" t="s">
        <v>2371</v>
      </c>
      <c r="E187" s="316"/>
      <c r="F187" s="315">
        <f t="shared" si="22"/>
        <v>0</v>
      </c>
      <c r="G187" s="315"/>
      <c r="H187" s="315">
        <f t="shared" si="23"/>
        <v>0</v>
      </c>
      <c r="I187" s="315"/>
      <c r="J187" s="315">
        <f t="shared" si="26"/>
        <v>0</v>
      </c>
      <c r="K187" s="315"/>
      <c r="L187" s="315">
        <f t="shared" si="24"/>
        <v>0</v>
      </c>
      <c r="M187" s="315"/>
      <c r="N187" s="315"/>
      <c r="O187" s="315"/>
      <c r="P187" s="315">
        <f t="shared" si="25"/>
        <v>0</v>
      </c>
      <c r="Q187" s="315"/>
      <c r="R187" s="315"/>
      <c r="S187" s="315">
        <f t="shared" si="27"/>
        <v>0</v>
      </c>
      <c r="T187" s="315">
        <f t="shared" si="28"/>
        <v>0</v>
      </c>
      <c r="U187" s="315">
        <f t="shared" si="29"/>
        <v>0</v>
      </c>
      <c r="V187" s="322">
        <f t="shared" si="30"/>
        <v>0</v>
      </c>
    </row>
    <row r="188" spans="1:22" ht="35.1" customHeight="1">
      <c r="A188" s="310"/>
      <c r="B188" s="111" t="s">
        <v>4031</v>
      </c>
      <c r="C188" s="315">
        <f>C185*1.5</f>
        <v>692.76</v>
      </c>
      <c r="D188" s="318"/>
      <c r="E188" s="316"/>
      <c r="F188" s="315">
        <f t="shared" si="22"/>
        <v>0</v>
      </c>
      <c r="G188" s="315">
        <v>31.3</v>
      </c>
      <c r="H188" s="315">
        <f t="shared" si="23"/>
        <v>21683.39</v>
      </c>
      <c r="I188" s="315"/>
      <c r="J188" s="315">
        <f t="shared" si="26"/>
        <v>0</v>
      </c>
      <c r="K188" s="315"/>
      <c r="L188" s="315">
        <f t="shared" si="24"/>
        <v>0</v>
      </c>
      <c r="M188" s="315"/>
      <c r="N188" s="315"/>
      <c r="O188" s="315"/>
      <c r="P188" s="315">
        <f t="shared" si="25"/>
        <v>0</v>
      </c>
      <c r="Q188" s="315"/>
      <c r="R188" s="315"/>
      <c r="S188" s="315">
        <f t="shared" si="27"/>
        <v>31.3</v>
      </c>
      <c r="T188" s="315">
        <f t="shared" si="28"/>
        <v>21683.39</v>
      </c>
      <c r="U188" s="315">
        <f t="shared" si="29"/>
        <v>31.3</v>
      </c>
      <c r="V188" s="322">
        <f t="shared" si="30"/>
        <v>21683.39</v>
      </c>
    </row>
    <row r="189" spans="1:22" ht="44.25" customHeight="1">
      <c r="A189" s="135">
        <v>44.6</v>
      </c>
      <c r="B189" s="111" t="s">
        <v>310</v>
      </c>
      <c r="C189" s="315">
        <f>ROUND(Data!K1567,2)</f>
        <v>325.19</v>
      </c>
      <c r="D189" s="318" t="s">
        <v>840</v>
      </c>
      <c r="E189" s="315" t="e">
        <f>'Sullage Detailed'!#REF!</f>
        <v>#REF!</v>
      </c>
      <c r="F189" s="315" t="e">
        <f t="shared" si="22"/>
        <v>#REF!</v>
      </c>
      <c r="G189" s="315"/>
      <c r="H189" s="315">
        <f t="shared" si="23"/>
        <v>0</v>
      </c>
      <c r="I189" s="315"/>
      <c r="J189" s="315">
        <f t="shared" si="26"/>
        <v>0</v>
      </c>
      <c r="K189" s="315"/>
      <c r="L189" s="315">
        <f t="shared" si="24"/>
        <v>0</v>
      </c>
      <c r="M189" s="315"/>
      <c r="N189" s="315"/>
      <c r="O189" s="315"/>
      <c r="P189" s="315">
        <f t="shared" si="25"/>
        <v>0</v>
      </c>
      <c r="Q189" s="315"/>
      <c r="R189" s="315"/>
      <c r="S189" s="315">
        <f t="shared" si="27"/>
        <v>0</v>
      </c>
      <c r="T189" s="315">
        <f t="shared" si="28"/>
        <v>0</v>
      </c>
      <c r="U189" s="315" t="e">
        <f t="shared" si="29"/>
        <v>#REF!</v>
      </c>
      <c r="V189" s="322" t="e">
        <f t="shared" si="30"/>
        <v>#REF!</v>
      </c>
    </row>
    <row r="190" spans="1:22" ht="28.5" customHeight="1">
      <c r="A190" s="135">
        <v>58.3</v>
      </c>
      <c r="B190" s="111" t="s">
        <v>1340</v>
      </c>
      <c r="C190" s="315"/>
      <c r="D190" s="324"/>
      <c r="E190" s="316"/>
      <c r="F190" s="315">
        <f t="shared" si="22"/>
        <v>0</v>
      </c>
      <c r="G190" s="315"/>
      <c r="H190" s="315">
        <f t="shared" si="23"/>
        <v>0</v>
      </c>
      <c r="I190" s="315"/>
      <c r="J190" s="315">
        <f t="shared" si="26"/>
        <v>0</v>
      </c>
      <c r="K190" s="315"/>
      <c r="L190" s="315">
        <f t="shared" si="24"/>
        <v>0</v>
      </c>
      <c r="M190" s="315"/>
      <c r="N190" s="315"/>
      <c r="O190" s="315"/>
      <c r="P190" s="315">
        <f t="shared" si="25"/>
        <v>0</v>
      </c>
      <c r="Q190" s="315"/>
      <c r="R190" s="315"/>
      <c r="S190" s="315">
        <f t="shared" si="27"/>
        <v>0</v>
      </c>
      <c r="T190" s="315">
        <f t="shared" si="28"/>
        <v>0</v>
      </c>
      <c r="U190" s="315">
        <f t="shared" si="29"/>
        <v>0</v>
      </c>
      <c r="V190" s="322">
        <f t="shared" si="30"/>
        <v>0</v>
      </c>
    </row>
    <row r="191" spans="1:22" ht="20.25" customHeight="1">
      <c r="A191" s="135"/>
      <c r="B191" s="111" t="s">
        <v>41</v>
      </c>
      <c r="C191" s="315">
        <f>ROUND(Data!K1984,2)</f>
        <v>505.46</v>
      </c>
      <c r="D191" s="318" t="s">
        <v>840</v>
      </c>
      <c r="E191" s="315" t="e">
        <f>'Sullage Detailed'!#REF!</f>
        <v>#REF!</v>
      </c>
      <c r="F191" s="315" t="e">
        <f t="shared" si="22"/>
        <v>#REF!</v>
      </c>
      <c r="G191" s="315"/>
      <c r="H191" s="315">
        <f t="shared" si="23"/>
        <v>0</v>
      </c>
      <c r="I191" s="315"/>
      <c r="J191" s="315">
        <f t="shared" si="26"/>
        <v>0</v>
      </c>
      <c r="K191" s="315"/>
      <c r="L191" s="315">
        <f t="shared" si="24"/>
        <v>0</v>
      </c>
      <c r="M191" s="315"/>
      <c r="N191" s="315"/>
      <c r="O191" s="315"/>
      <c r="P191" s="315">
        <f t="shared" si="25"/>
        <v>0</v>
      </c>
      <c r="Q191" s="315"/>
      <c r="R191" s="315"/>
      <c r="S191" s="315">
        <f t="shared" si="27"/>
        <v>0</v>
      </c>
      <c r="T191" s="315">
        <f t="shared" si="28"/>
        <v>0</v>
      </c>
      <c r="U191" s="315" t="e">
        <f t="shared" si="29"/>
        <v>#REF!</v>
      </c>
      <c r="V191" s="322" t="e">
        <f t="shared" si="30"/>
        <v>#REF!</v>
      </c>
    </row>
    <row r="192" spans="1:22" ht="20.25" customHeight="1">
      <c r="A192" s="310"/>
      <c r="B192" s="111" t="s">
        <v>42</v>
      </c>
      <c r="C192" s="315">
        <f>ROUND(Data!K2008,2)</f>
        <v>369.35</v>
      </c>
      <c r="D192" s="318" t="s">
        <v>840</v>
      </c>
      <c r="E192" s="315" t="e">
        <f>'Sullage Detailed'!#REF!</f>
        <v>#REF!</v>
      </c>
      <c r="F192" s="315" t="e">
        <f t="shared" si="22"/>
        <v>#REF!</v>
      </c>
      <c r="G192" s="315"/>
      <c r="H192" s="315">
        <f t="shared" si="23"/>
        <v>0</v>
      </c>
      <c r="I192" s="315"/>
      <c r="J192" s="315">
        <f t="shared" si="26"/>
        <v>0</v>
      </c>
      <c r="K192" s="315"/>
      <c r="L192" s="315">
        <f t="shared" si="24"/>
        <v>0</v>
      </c>
      <c r="M192" s="315"/>
      <c r="N192" s="315"/>
      <c r="O192" s="315"/>
      <c r="P192" s="315">
        <f t="shared" si="25"/>
        <v>0</v>
      </c>
      <c r="Q192" s="315"/>
      <c r="R192" s="315"/>
      <c r="S192" s="315">
        <f t="shared" si="27"/>
        <v>0</v>
      </c>
      <c r="T192" s="315">
        <f t="shared" si="28"/>
        <v>0</v>
      </c>
      <c r="U192" s="315" t="e">
        <f t="shared" si="29"/>
        <v>#REF!</v>
      </c>
      <c r="V192" s="322" t="e">
        <f t="shared" si="30"/>
        <v>#REF!</v>
      </c>
    </row>
    <row r="193" spans="1:22" ht="33">
      <c r="A193" s="135">
        <v>70.5</v>
      </c>
      <c r="B193" s="111" t="s">
        <v>1362</v>
      </c>
      <c r="C193" s="320">
        <f>Elec.Data!K3777</f>
        <v>498</v>
      </c>
      <c r="D193" s="315" t="s">
        <v>1458</v>
      </c>
      <c r="E193" s="315" t="e">
        <f>'Sullage Detailed'!#REF!</f>
        <v>#REF!</v>
      </c>
      <c r="F193" s="315" t="e">
        <f t="shared" si="22"/>
        <v>#REF!</v>
      </c>
      <c r="G193" s="315"/>
      <c r="H193" s="315">
        <f t="shared" si="23"/>
        <v>0</v>
      </c>
      <c r="I193" s="315"/>
      <c r="J193" s="315">
        <f t="shared" si="26"/>
        <v>0</v>
      </c>
      <c r="K193" s="315"/>
      <c r="L193" s="315">
        <f t="shared" si="24"/>
        <v>0</v>
      </c>
      <c r="M193" s="315"/>
      <c r="N193" s="315"/>
      <c r="O193" s="315"/>
      <c r="P193" s="315">
        <f t="shared" si="25"/>
        <v>0</v>
      </c>
      <c r="Q193" s="315"/>
      <c r="R193" s="315"/>
      <c r="S193" s="315">
        <f t="shared" si="27"/>
        <v>0</v>
      </c>
      <c r="T193" s="315">
        <f t="shared" si="28"/>
        <v>0</v>
      </c>
      <c r="U193" s="315" t="e">
        <f t="shared" si="29"/>
        <v>#REF!</v>
      </c>
      <c r="V193" s="322" t="e">
        <f t="shared" si="30"/>
        <v>#REF!</v>
      </c>
    </row>
    <row r="194" spans="1:22" ht="33">
      <c r="A194" s="135"/>
      <c r="B194" s="111" t="s">
        <v>2249</v>
      </c>
      <c r="C194" s="315"/>
      <c r="D194" s="315"/>
      <c r="E194" s="316"/>
      <c r="F194" s="315">
        <f t="shared" si="22"/>
        <v>0</v>
      </c>
      <c r="G194" s="315"/>
      <c r="H194" s="315">
        <f t="shared" si="23"/>
        <v>0</v>
      </c>
      <c r="I194" s="315"/>
      <c r="J194" s="315">
        <f t="shared" si="26"/>
        <v>0</v>
      </c>
      <c r="K194" s="315"/>
      <c r="L194" s="315">
        <f t="shared" si="24"/>
        <v>0</v>
      </c>
      <c r="M194" s="315"/>
      <c r="N194" s="315"/>
      <c r="O194" s="315"/>
      <c r="P194" s="315">
        <f t="shared" si="25"/>
        <v>0</v>
      </c>
      <c r="Q194" s="315"/>
      <c r="R194" s="315"/>
      <c r="S194" s="315">
        <f t="shared" si="27"/>
        <v>0</v>
      </c>
      <c r="T194" s="315">
        <f t="shared" si="28"/>
        <v>0</v>
      </c>
      <c r="U194" s="315">
        <f t="shared" si="29"/>
        <v>0</v>
      </c>
      <c r="V194" s="322">
        <f t="shared" si="30"/>
        <v>0</v>
      </c>
    </row>
    <row r="195" spans="1:22" ht="16.5">
      <c r="A195" s="310"/>
      <c r="B195" s="111" t="s">
        <v>923</v>
      </c>
      <c r="C195" s="315">
        <f>ROUND(Data!K2959,2)</f>
        <v>1499</v>
      </c>
      <c r="D195" s="315" t="s">
        <v>1458</v>
      </c>
      <c r="E195" s="315" t="e">
        <f>'Sullage Detailed'!#REF!</f>
        <v>#REF!</v>
      </c>
      <c r="F195" s="315" t="e">
        <f t="shared" si="22"/>
        <v>#REF!</v>
      </c>
      <c r="G195" s="315"/>
      <c r="H195" s="315">
        <f t="shared" si="23"/>
        <v>0</v>
      </c>
      <c r="I195" s="315"/>
      <c r="J195" s="315">
        <f t="shared" si="26"/>
        <v>0</v>
      </c>
      <c r="K195" s="315"/>
      <c r="L195" s="315">
        <f t="shared" si="24"/>
        <v>0</v>
      </c>
      <c r="M195" s="315"/>
      <c r="N195" s="315"/>
      <c r="O195" s="315"/>
      <c r="P195" s="315">
        <f t="shared" si="25"/>
        <v>0</v>
      </c>
      <c r="Q195" s="315"/>
      <c r="R195" s="315"/>
      <c r="S195" s="315">
        <f t="shared" si="27"/>
        <v>0</v>
      </c>
      <c r="T195" s="315">
        <f t="shared" si="28"/>
        <v>0</v>
      </c>
      <c r="U195" s="315" t="e">
        <f t="shared" si="29"/>
        <v>#REF!</v>
      </c>
      <c r="V195" s="322" t="e">
        <f t="shared" si="30"/>
        <v>#REF!</v>
      </c>
    </row>
    <row r="196" spans="1:22" ht="59.25" customHeight="1">
      <c r="A196" s="310"/>
      <c r="B196" s="111" t="s">
        <v>106</v>
      </c>
      <c r="C196" s="315">
        <f>Data!K2204</f>
        <v>168.9</v>
      </c>
      <c r="D196" s="324" t="s">
        <v>840</v>
      </c>
      <c r="E196" s="315"/>
      <c r="F196" s="315">
        <f t="shared" ref="F196:F212" si="31">+E196*C196</f>
        <v>0</v>
      </c>
      <c r="G196" s="315"/>
      <c r="H196" s="315">
        <f t="shared" si="23"/>
        <v>0</v>
      </c>
      <c r="I196" s="315"/>
      <c r="J196" s="315">
        <f t="shared" si="26"/>
        <v>0</v>
      </c>
      <c r="K196" s="315"/>
      <c r="L196" s="315">
        <f t="shared" si="24"/>
        <v>0</v>
      </c>
      <c r="M196" s="315"/>
      <c r="N196" s="315"/>
      <c r="O196" s="315"/>
      <c r="P196" s="315">
        <f t="shared" si="25"/>
        <v>0</v>
      </c>
      <c r="Q196" s="315"/>
      <c r="R196" s="315"/>
      <c r="S196" s="315">
        <f t="shared" si="27"/>
        <v>0</v>
      </c>
      <c r="T196" s="315">
        <f t="shared" si="28"/>
        <v>0</v>
      </c>
      <c r="U196" s="315">
        <f t="shared" si="29"/>
        <v>0</v>
      </c>
      <c r="V196" s="322">
        <f t="shared" si="30"/>
        <v>0</v>
      </c>
    </row>
    <row r="197" spans="1:22" ht="73.5" customHeight="1">
      <c r="A197" s="137">
        <v>77.5</v>
      </c>
      <c r="B197" s="111" t="s">
        <v>1993</v>
      </c>
      <c r="C197" s="315">
        <f>ROUND(Data!K2203,2)</f>
        <v>120</v>
      </c>
      <c r="D197" s="324" t="s">
        <v>840</v>
      </c>
      <c r="E197" s="315" t="e">
        <f>'Sullage Detailed'!#REF!</f>
        <v>#REF!</v>
      </c>
      <c r="F197" s="315" t="e">
        <f t="shared" si="31"/>
        <v>#REF!</v>
      </c>
      <c r="G197" s="315"/>
      <c r="H197" s="315">
        <f t="shared" si="23"/>
        <v>0</v>
      </c>
      <c r="I197" s="315"/>
      <c r="J197" s="315">
        <f t="shared" si="26"/>
        <v>0</v>
      </c>
      <c r="K197" s="315"/>
      <c r="L197" s="315">
        <f t="shared" si="24"/>
        <v>0</v>
      </c>
      <c r="M197" s="315"/>
      <c r="N197" s="315"/>
      <c r="O197" s="315"/>
      <c r="P197" s="315">
        <f t="shared" si="25"/>
        <v>0</v>
      </c>
      <c r="Q197" s="315"/>
      <c r="R197" s="315"/>
      <c r="S197" s="315">
        <f t="shared" si="27"/>
        <v>0</v>
      </c>
      <c r="T197" s="315">
        <f t="shared" si="28"/>
        <v>0</v>
      </c>
      <c r="U197" s="315" t="e">
        <f t="shared" si="29"/>
        <v>#REF!</v>
      </c>
      <c r="V197" s="322" t="e">
        <f t="shared" si="30"/>
        <v>#REF!</v>
      </c>
    </row>
    <row r="198" spans="1:22" ht="24" customHeight="1">
      <c r="A198" s="136">
        <v>112</v>
      </c>
      <c r="B198" s="111" t="s">
        <v>1994</v>
      </c>
      <c r="C198" s="317">
        <f>Data!K2939</f>
        <v>1591</v>
      </c>
      <c r="D198" s="317" t="s">
        <v>1458</v>
      </c>
      <c r="E198" s="315"/>
      <c r="F198" s="315">
        <f t="shared" si="31"/>
        <v>0</v>
      </c>
      <c r="G198" s="315"/>
      <c r="H198" s="315">
        <f t="shared" si="23"/>
        <v>0</v>
      </c>
      <c r="I198" s="315"/>
      <c r="J198" s="315">
        <f t="shared" si="26"/>
        <v>0</v>
      </c>
      <c r="K198" s="315"/>
      <c r="L198" s="315">
        <f t="shared" si="24"/>
        <v>0</v>
      </c>
      <c r="M198" s="315"/>
      <c r="N198" s="315"/>
      <c r="O198" s="315"/>
      <c r="P198" s="315">
        <f t="shared" si="25"/>
        <v>0</v>
      </c>
      <c r="Q198" s="315"/>
      <c r="R198" s="315"/>
      <c r="S198" s="315">
        <f t="shared" si="27"/>
        <v>0</v>
      </c>
      <c r="T198" s="315">
        <f t="shared" si="28"/>
        <v>0</v>
      </c>
      <c r="U198" s="315">
        <f t="shared" si="29"/>
        <v>0</v>
      </c>
      <c r="V198" s="322">
        <f t="shared" si="30"/>
        <v>0</v>
      </c>
    </row>
    <row r="199" spans="1:22" ht="24" customHeight="1">
      <c r="A199" s="135"/>
      <c r="B199" s="111" t="s">
        <v>1032</v>
      </c>
      <c r="C199" s="317"/>
      <c r="D199" s="317"/>
      <c r="E199" s="316"/>
      <c r="F199" s="315">
        <f t="shared" si="31"/>
        <v>0</v>
      </c>
      <c r="G199" s="315"/>
      <c r="H199" s="315">
        <f t="shared" ref="H199:H212" si="32">G199*C199</f>
        <v>0</v>
      </c>
      <c r="I199" s="315"/>
      <c r="J199" s="315">
        <f t="shared" si="26"/>
        <v>0</v>
      </c>
      <c r="K199" s="315"/>
      <c r="L199" s="315">
        <f t="shared" si="24"/>
        <v>0</v>
      </c>
      <c r="M199" s="315"/>
      <c r="N199" s="315"/>
      <c r="O199" s="315"/>
      <c r="P199" s="315">
        <f t="shared" si="25"/>
        <v>0</v>
      </c>
      <c r="Q199" s="315"/>
      <c r="R199" s="315"/>
      <c r="S199" s="315">
        <f t="shared" si="27"/>
        <v>0</v>
      </c>
      <c r="T199" s="315">
        <f t="shared" si="28"/>
        <v>0</v>
      </c>
      <c r="U199" s="315">
        <f t="shared" si="29"/>
        <v>0</v>
      </c>
      <c r="V199" s="322">
        <f t="shared" si="30"/>
        <v>0</v>
      </c>
    </row>
    <row r="200" spans="1:22" ht="24" customHeight="1">
      <c r="A200" s="135"/>
      <c r="B200" s="111" t="s">
        <v>1497</v>
      </c>
      <c r="C200" s="317">
        <f>ROUND(Data!K2952,2)</f>
        <v>130</v>
      </c>
      <c r="D200" s="317" t="s">
        <v>1458</v>
      </c>
      <c r="E200" s="315" t="e">
        <f>'Sullage Detailed'!#REF!</f>
        <v>#REF!</v>
      </c>
      <c r="F200" s="315" t="e">
        <f t="shared" si="31"/>
        <v>#REF!</v>
      </c>
      <c r="G200" s="315"/>
      <c r="H200" s="315">
        <f t="shared" si="32"/>
        <v>0</v>
      </c>
      <c r="I200" s="315"/>
      <c r="J200" s="315">
        <f t="shared" si="26"/>
        <v>0</v>
      </c>
      <c r="K200" s="315"/>
      <c r="L200" s="315">
        <f t="shared" si="24"/>
        <v>0</v>
      </c>
      <c r="M200" s="315"/>
      <c r="N200" s="315"/>
      <c r="O200" s="315"/>
      <c r="P200" s="315">
        <f t="shared" si="25"/>
        <v>0</v>
      </c>
      <c r="Q200" s="315"/>
      <c r="R200" s="315"/>
      <c r="S200" s="315">
        <f t="shared" si="27"/>
        <v>0</v>
      </c>
      <c r="T200" s="315">
        <f t="shared" si="28"/>
        <v>0</v>
      </c>
      <c r="U200" s="315" t="e">
        <f t="shared" si="29"/>
        <v>#REF!</v>
      </c>
      <c r="V200" s="322" t="e">
        <f t="shared" si="30"/>
        <v>#REF!</v>
      </c>
    </row>
    <row r="201" spans="1:22" ht="24" customHeight="1">
      <c r="A201" s="135"/>
      <c r="B201" s="111" t="s">
        <v>1496</v>
      </c>
      <c r="C201" s="317">
        <f>Data!K2954</f>
        <v>170</v>
      </c>
      <c r="D201" s="317" t="s">
        <v>1458</v>
      </c>
      <c r="E201" s="315" t="e">
        <f>'Sullage Detailed'!#REF!</f>
        <v>#REF!</v>
      </c>
      <c r="F201" s="315" t="e">
        <f t="shared" si="31"/>
        <v>#REF!</v>
      </c>
      <c r="G201" s="315"/>
      <c r="H201" s="315">
        <f t="shared" si="32"/>
        <v>0</v>
      </c>
      <c r="I201" s="315"/>
      <c r="J201" s="315">
        <f t="shared" si="26"/>
        <v>0</v>
      </c>
      <c r="K201" s="315"/>
      <c r="L201" s="315">
        <f t="shared" si="24"/>
        <v>0</v>
      </c>
      <c r="M201" s="315"/>
      <c r="N201" s="315"/>
      <c r="O201" s="315"/>
      <c r="P201" s="315">
        <f t="shared" si="25"/>
        <v>0</v>
      </c>
      <c r="Q201" s="315"/>
      <c r="R201" s="315"/>
      <c r="S201" s="315">
        <f t="shared" si="27"/>
        <v>0</v>
      </c>
      <c r="T201" s="315">
        <f t="shared" si="28"/>
        <v>0</v>
      </c>
      <c r="U201" s="315" t="e">
        <f t="shared" si="29"/>
        <v>#REF!</v>
      </c>
      <c r="V201" s="322" t="e">
        <f t="shared" si="30"/>
        <v>#REF!</v>
      </c>
    </row>
    <row r="202" spans="1:22" ht="24" customHeight="1">
      <c r="A202" s="135"/>
      <c r="B202" s="111" t="s">
        <v>201</v>
      </c>
      <c r="C202" s="317">
        <f>Data!K2957</f>
        <v>443</v>
      </c>
      <c r="D202" s="317" t="s">
        <v>1458</v>
      </c>
      <c r="E202" s="315"/>
      <c r="F202" s="315">
        <f t="shared" si="31"/>
        <v>0</v>
      </c>
      <c r="G202" s="315"/>
      <c r="H202" s="315">
        <f t="shared" si="32"/>
        <v>0</v>
      </c>
      <c r="I202" s="315"/>
      <c r="J202" s="315">
        <f t="shared" si="26"/>
        <v>0</v>
      </c>
      <c r="K202" s="315"/>
      <c r="L202" s="315">
        <f t="shared" ref="L202:L212" si="33">K202*C202</f>
        <v>0</v>
      </c>
      <c r="M202" s="315"/>
      <c r="N202" s="315"/>
      <c r="O202" s="315"/>
      <c r="P202" s="315">
        <f t="shared" ref="P202:P212" si="34">O202*C202</f>
        <v>0</v>
      </c>
      <c r="Q202" s="315"/>
      <c r="R202" s="315"/>
      <c r="S202" s="315">
        <f t="shared" si="27"/>
        <v>0</v>
      </c>
      <c r="T202" s="315">
        <f t="shared" si="28"/>
        <v>0</v>
      </c>
      <c r="U202" s="315">
        <f t="shared" si="29"/>
        <v>0</v>
      </c>
      <c r="V202" s="322">
        <f t="shared" si="30"/>
        <v>0</v>
      </c>
    </row>
    <row r="203" spans="1:22" ht="84" customHeight="1">
      <c r="A203" s="135"/>
      <c r="B203" s="847" t="s">
        <v>3309</v>
      </c>
      <c r="C203" s="317">
        <f>Elec.Data!K3221</f>
        <v>3240</v>
      </c>
      <c r="D203" s="317" t="s">
        <v>1458</v>
      </c>
      <c r="E203" s="315" t="e">
        <f>'Sullage Detailed'!#REF!</f>
        <v>#REF!</v>
      </c>
      <c r="F203" s="315" t="e">
        <f t="shared" si="31"/>
        <v>#REF!</v>
      </c>
      <c r="G203" s="315"/>
      <c r="H203" s="315">
        <f t="shared" si="32"/>
        <v>0</v>
      </c>
      <c r="I203" s="315"/>
      <c r="J203" s="315">
        <f t="shared" si="26"/>
        <v>0</v>
      </c>
      <c r="K203" s="315"/>
      <c r="L203" s="315">
        <f t="shared" si="33"/>
        <v>0</v>
      </c>
      <c r="M203" s="315"/>
      <c r="N203" s="315"/>
      <c r="O203" s="315"/>
      <c r="P203" s="315">
        <f t="shared" si="34"/>
        <v>0</v>
      </c>
      <c r="Q203" s="315"/>
      <c r="R203" s="315"/>
      <c r="S203" s="315">
        <f t="shared" si="27"/>
        <v>0</v>
      </c>
      <c r="T203" s="315">
        <f t="shared" si="28"/>
        <v>0</v>
      </c>
      <c r="U203" s="315" t="e">
        <f t="shared" si="29"/>
        <v>#REF!</v>
      </c>
      <c r="V203" s="322" t="e">
        <f t="shared" si="30"/>
        <v>#REF!</v>
      </c>
    </row>
    <row r="204" spans="1:22" ht="24" customHeight="1">
      <c r="A204" s="137">
        <v>344.2</v>
      </c>
      <c r="B204" s="111" t="s">
        <v>776</v>
      </c>
      <c r="C204" s="315">
        <f>ROUND(Data!K2935,2)</f>
        <v>363</v>
      </c>
      <c r="D204" s="315" t="s">
        <v>1458</v>
      </c>
      <c r="E204" s="315" t="e">
        <f>'Sullage Detailed'!#REF!</f>
        <v>#REF!</v>
      </c>
      <c r="F204" s="315" t="e">
        <f t="shared" si="31"/>
        <v>#REF!</v>
      </c>
      <c r="G204" s="315"/>
      <c r="H204" s="315">
        <f t="shared" si="32"/>
        <v>0</v>
      </c>
      <c r="I204" s="315"/>
      <c r="J204" s="315">
        <f t="shared" si="26"/>
        <v>0</v>
      </c>
      <c r="K204" s="315"/>
      <c r="L204" s="315">
        <f t="shared" si="33"/>
        <v>0</v>
      </c>
      <c r="M204" s="315"/>
      <c r="N204" s="315"/>
      <c r="O204" s="315"/>
      <c r="P204" s="315">
        <f t="shared" si="34"/>
        <v>0</v>
      </c>
      <c r="Q204" s="315"/>
      <c r="R204" s="315"/>
      <c r="S204" s="315">
        <f t="shared" si="27"/>
        <v>0</v>
      </c>
      <c r="T204" s="315">
        <f t="shared" si="28"/>
        <v>0</v>
      </c>
      <c r="U204" s="315" t="e">
        <f t="shared" si="29"/>
        <v>#REF!</v>
      </c>
      <c r="V204" s="322" t="e">
        <f t="shared" si="30"/>
        <v>#REF!</v>
      </c>
    </row>
    <row r="205" spans="1:22" ht="24" customHeight="1">
      <c r="A205" s="135" t="s">
        <v>1388</v>
      </c>
      <c r="B205" s="111" t="s">
        <v>1468</v>
      </c>
      <c r="C205" s="315">
        <f>Data!K1726</f>
        <v>1800</v>
      </c>
      <c r="D205" s="318" t="s">
        <v>1458</v>
      </c>
      <c r="E205" s="315"/>
      <c r="F205" s="315">
        <f t="shared" si="31"/>
        <v>0</v>
      </c>
      <c r="G205" s="315"/>
      <c r="H205" s="315">
        <f t="shared" si="32"/>
        <v>0</v>
      </c>
      <c r="I205" s="315"/>
      <c r="J205" s="315">
        <f t="shared" ref="J205:J212" si="35">+I205*C205</f>
        <v>0</v>
      </c>
      <c r="K205" s="315"/>
      <c r="L205" s="315">
        <f t="shared" si="33"/>
        <v>0</v>
      </c>
      <c r="M205" s="315"/>
      <c r="N205" s="315">
        <f>M205*C205</f>
        <v>0</v>
      </c>
      <c r="O205" s="315"/>
      <c r="P205" s="315">
        <f t="shared" si="34"/>
        <v>0</v>
      </c>
      <c r="Q205" s="315"/>
      <c r="R205" s="315">
        <f>Q205*C205</f>
        <v>0</v>
      </c>
      <c r="S205" s="315">
        <f t="shared" si="27"/>
        <v>0</v>
      </c>
      <c r="T205" s="315">
        <f t="shared" si="28"/>
        <v>0</v>
      </c>
      <c r="U205" s="315">
        <f t="shared" si="29"/>
        <v>0</v>
      </c>
      <c r="V205" s="322">
        <f t="shared" si="30"/>
        <v>0</v>
      </c>
    </row>
    <row r="206" spans="1:22" ht="24" customHeight="1">
      <c r="A206" s="834"/>
      <c r="B206" s="835" t="s">
        <v>4033</v>
      </c>
      <c r="C206" s="836">
        <v>1400</v>
      </c>
      <c r="D206" s="837" t="s">
        <v>4029</v>
      </c>
      <c r="E206" s="836" t="e">
        <f>'Sullage Detailed'!#REF!</f>
        <v>#REF!</v>
      </c>
      <c r="F206" s="315" t="e">
        <f t="shared" si="31"/>
        <v>#REF!</v>
      </c>
      <c r="G206" s="836"/>
      <c r="H206" s="315"/>
      <c r="I206" s="836"/>
      <c r="J206" s="315"/>
      <c r="K206" s="836"/>
      <c r="L206" s="315"/>
      <c r="M206" s="836"/>
      <c r="N206" s="836"/>
      <c r="O206" s="836"/>
      <c r="P206" s="315"/>
      <c r="Q206" s="836"/>
      <c r="R206" s="836"/>
      <c r="S206" s="315"/>
      <c r="T206" s="315"/>
      <c r="U206" s="315" t="e">
        <f t="shared" si="29"/>
        <v>#REF!</v>
      </c>
      <c r="V206" s="322" t="e">
        <f t="shared" si="30"/>
        <v>#REF!</v>
      </c>
    </row>
    <row r="207" spans="1:22" ht="36" customHeight="1">
      <c r="A207" s="834"/>
      <c r="B207" s="835" t="s">
        <v>4023</v>
      </c>
      <c r="C207" s="836">
        <v>16.8</v>
      </c>
      <c r="D207" s="837" t="s">
        <v>4029</v>
      </c>
      <c r="E207" s="836" t="e">
        <f>'Sullage Detailed'!#REF!</f>
        <v>#REF!</v>
      </c>
      <c r="F207" s="315" t="e">
        <f t="shared" si="31"/>
        <v>#REF!</v>
      </c>
      <c r="G207" s="836"/>
      <c r="H207" s="315">
        <f t="shared" si="32"/>
        <v>0</v>
      </c>
      <c r="I207" s="836"/>
      <c r="J207" s="315">
        <f t="shared" si="35"/>
        <v>0</v>
      </c>
      <c r="K207" s="836"/>
      <c r="L207" s="315">
        <f t="shared" si="33"/>
        <v>0</v>
      </c>
      <c r="M207" s="836"/>
      <c r="N207" s="836"/>
      <c r="O207" s="836"/>
      <c r="P207" s="315">
        <f t="shared" si="34"/>
        <v>0</v>
      </c>
      <c r="Q207" s="836"/>
      <c r="R207" s="836"/>
      <c r="S207" s="315">
        <f t="shared" si="27"/>
        <v>0</v>
      </c>
      <c r="T207" s="315">
        <f t="shared" si="28"/>
        <v>0</v>
      </c>
      <c r="U207" s="315" t="e">
        <f t="shared" si="29"/>
        <v>#REF!</v>
      </c>
      <c r="V207" s="322" t="e">
        <f t="shared" si="30"/>
        <v>#REF!</v>
      </c>
    </row>
    <row r="208" spans="1:22" ht="36" customHeight="1">
      <c r="A208" s="834"/>
      <c r="B208" s="835" t="s">
        <v>4024</v>
      </c>
      <c r="C208" s="836">
        <v>101.22</v>
      </c>
      <c r="D208" s="837" t="s">
        <v>3902</v>
      </c>
      <c r="E208" s="836" t="e">
        <f>'Sullage Detailed'!#REF!</f>
        <v>#REF!</v>
      </c>
      <c r="F208" s="315" t="e">
        <f t="shared" si="31"/>
        <v>#REF!</v>
      </c>
      <c r="G208" s="836"/>
      <c r="H208" s="315">
        <f t="shared" si="32"/>
        <v>0</v>
      </c>
      <c r="I208" s="836"/>
      <c r="J208" s="315">
        <f t="shared" si="35"/>
        <v>0</v>
      </c>
      <c r="K208" s="836"/>
      <c r="L208" s="315">
        <f t="shared" si="33"/>
        <v>0</v>
      </c>
      <c r="M208" s="836"/>
      <c r="N208" s="836"/>
      <c r="O208" s="836"/>
      <c r="P208" s="315">
        <f t="shared" si="34"/>
        <v>0</v>
      </c>
      <c r="Q208" s="836"/>
      <c r="R208" s="836"/>
      <c r="S208" s="315">
        <f t="shared" si="27"/>
        <v>0</v>
      </c>
      <c r="T208" s="315">
        <f t="shared" si="28"/>
        <v>0</v>
      </c>
      <c r="U208" s="315" t="e">
        <f t="shared" si="29"/>
        <v>#REF!</v>
      </c>
      <c r="V208" s="322" t="e">
        <f t="shared" si="30"/>
        <v>#REF!</v>
      </c>
    </row>
    <row r="209" spans="1:22" ht="24" customHeight="1">
      <c r="A209" s="834"/>
      <c r="B209" s="835" t="s">
        <v>4025</v>
      </c>
      <c r="C209" s="836">
        <v>2640.75</v>
      </c>
      <c r="D209" s="837" t="s">
        <v>3902</v>
      </c>
      <c r="E209" s="836" t="e">
        <f>'Sullage Detailed'!#REF!</f>
        <v>#REF!</v>
      </c>
      <c r="F209" s="315" t="e">
        <f t="shared" si="31"/>
        <v>#REF!</v>
      </c>
      <c r="G209" s="836"/>
      <c r="H209" s="315">
        <f t="shared" si="32"/>
        <v>0</v>
      </c>
      <c r="I209" s="836"/>
      <c r="J209" s="315">
        <f t="shared" si="35"/>
        <v>0</v>
      </c>
      <c r="K209" s="836"/>
      <c r="L209" s="315">
        <f t="shared" si="33"/>
        <v>0</v>
      </c>
      <c r="M209" s="836"/>
      <c r="N209" s="836"/>
      <c r="O209" s="836"/>
      <c r="P209" s="315">
        <f t="shared" si="34"/>
        <v>0</v>
      </c>
      <c r="Q209" s="836"/>
      <c r="R209" s="836"/>
      <c r="S209" s="315">
        <f t="shared" si="27"/>
        <v>0</v>
      </c>
      <c r="T209" s="315">
        <f t="shared" si="28"/>
        <v>0</v>
      </c>
      <c r="U209" s="315" t="e">
        <f t="shared" si="29"/>
        <v>#REF!</v>
      </c>
      <c r="V209" s="322" t="e">
        <f t="shared" si="30"/>
        <v>#REF!</v>
      </c>
    </row>
    <row r="210" spans="1:22" ht="24" customHeight="1">
      <c r="A210" s="834"/>
      <c r="B210" s="835" t="s">
        <v>4026</v>
      </c>
      <c r="C210" s="836">
        <v>173.88</v>
      </c>
      <c r="D210" s="837" t="s">
        <v>3902</v>
      </c>
      <c r="E210" s="836" t="e">
        <f>'Sullage Detailed'!#REF!</f>
        <v>#REF!</v>
      </c>
      <c r="F210" s="315" t="e">
        <f t="shared" si="31"/>
        <v>#REF!</v>
      </c>
      <c r="G210" s="836"/>
      <c r="H210" s="315">
        <f t="shared" si="32"/>
        <v>0</v>
      </c>
      <c r="I210" s="836"/>
      <c r="J210" s="315">
        <f t="shared" si="35"/>
        <v>0</v>
      </c>
      <c r="K210" s="836"/>
      <c r="L210" s="315">
        <f t="shared" si="33"/>
        <v>0</v>
      </c>
      <c r="M210" s="836"/>
      <c r="N210" s="836"/>
      <c r="O210" s="836"/>
      <c r="P210" s="315">
        <f t="shared" si="34"/>
        <v>0</v>
      </c>
      <c r="Q210" s="836"/>
      <c r="R210" s="836"/>
      <c r="S210" s="315">
        <f t="shared" si="27"/>
        <v>0</v>
      </c>
      <c r="T210" s="315">
        <f t="shared" si="28"/>
        <v>0</v>
      </c>
      <c r="U210" s="315" t="e">
        <f t="shared" si="29"/>
        <v>#REF!</v>
      </c>
      <c r="V210" s="322" t="e">
        <f t="shared" si="30"/>
        <v>#REF!</v>
      </c>
    </row>
    <row r="211" spans="1:22" ht="36.75" customHeight="1">
      <c r="A211" s="834"/>
      <c r="B211" s="835" t="s">
        <v>4027</v>
      </c>
      <c r="C211" s="836">
        <v>54.76</v>
      </c>
      <c r="D211" s="837" t="s">
        <v>4029</v>
      </c>
      <c r="E211" s="836" t="e">
        <f>'Sullage Detailed'!#REF!</f>
        <v>#REF!</v>
      </c>
      <c r="F211" s="315" t="e">
        <f t="shared" si="31"/>
        <v>#REF!</v>
      </c>
      <c r="G211" s="836"/>
      <c r="H211" s="315">
        <f t="shared" si="32"/>
        <v>0</v>
      </c>
      <c r="I211" s="836"/>
      <c r="J211" s="315">
        <f t="shared" si="35"/>
        <v>0</v>
      </c>
      <c r="K211" s="836"/>
      <c r="L211" s="315">
        <f t="shared" si="33"/>
        <v>0</v>
      </c>
      <c r="M211" s="836"/>
      <c r="N211" s="836"/>
      <c r="O211" s="836"/>
      <c r="P211" s="315">
        <f t="shared" si="34"/>
        <v>0</v>
      </c>
      <c r="Q211" s="836"/>
      <c r="R211" s="836"/>
      <c r="S211" s="315">
        <f t="shared" si="27"/>
        <v>0</v>
      </c>
      <c r="T211" s="315">
        <f t="shared" si="28"/>
        <v>0</v>
      </c>
      <c r="U211" s="315" t="e">
        <f t="shared" si="29"/>
        <v>#REF!</v>
      </c>
      <c r="V211" s="322" t="e">
        <f t="shared" si="30"/>
        <v>#REF!</v>
      </c>
    </row>
    <row r="212" spans="1:22" ht="40.5" customHeight="1">
      <c r="A212" s="834"/>
      <c r="B212" s="835" t="s">
        <v>4028</v>
      </c>
      <c r="C212" s="836">
        <v>14.6</v>
      </c>
      <c r="D212" s="837" t="s">
        <v>4029</v>
      </c>
      <c r="E212" s="836" t="e">
        <f>'Sullage Detailed'!#REF!</f>
        <v>#REF!</v>
      </c>
      <c r="F212" s="315" t="e">
        <f t="shared" si="31"/>
        <v>#REF!</v>
      </c>
      <c r="G212" s="836"/>
      <c r="H212" s="315">
        <f t="shared" si="32"/>
        <v>0</v>
      </c>
      <c r="I212" s="836"/>
      <c r="J212" s="315">
        <f t="shared" si="35"/>
        <v>0</v>
      </c>
      <c r="K212" s="836"/>
      <c r="L212" s="315">
        <f t="shared" si="33"/>
        <v>0</v>
      </c>
      <c r="M212" s="836"/>
      <c r="N212" s="836"/>
      <c r="O212" s="836"/>
      <c r="P212" s="315">
        <f t="shared" si="34"/>
        <v>0</v>
      </c>
      <c r="Q212" s="836"/>
      <c r="R212" s="836"/>
      <c r="S212" s="315">
        <f t="shared" si="27"/>
        <v>0</v>
      </c>
      <c r="T212" s="315">
        <f t="shared" si="28"/>
        <v>0</v>
      </c>
      <c r="U212" s="315" t="e">
        <f t="shared" si="29"/>
        <v>#REF!</v>
      </c>
      <c r="V212" s="322" t="e">
        <f t="shared" si="30"/>
        <v>#REF!</v>
      </c>
    </row>
    <row r="213" spans="1:22" ht="35.25" customHeight="1">
      <c r="A213" s="132"/>
      <c r="B213" s="325" t="s">
        <v>232</v>
      </c>
      <c r="C213" s="133"/>
      <c r="D213" s="133"/>
      <c r="E213" s="311"/>
      <c r="F213" s="326" t="e">
        <f>SUM(F6:F212)</f>
        <v>#REF!</v>
      </c>
      <c r="G213" s="311"/>
      <c r="H213" s="326">
        <f>SUM(H9:H212)</f>
        <v>101701.34</v>
      </c>
      <c r="I213" s="311"/>
      <c r="J213" s="326">
        <f>SUM(J15:J212)</f>
        <v>170090.31</v>
      </c>
      <c r="K213" s="311"/>
      <c r="L213" s="326">
        <f>SUM(L12:L212)</f>
        <v>135980.43</v>
      </c>
      <c r="M213" s="311"/>
      <c r="N213" s="326">
        <f>SUM(N6:N205)</f>
        <v>0</v>
      </c>
      <c r="O213" s="311"/>
      <c r="P213" s="326">
        <f>SUM(P12:P212)</f>
        <v>80873.179999999993</v>
      </c>
      <c r="Q213" s="311"/>
      <c r="R213" s="326">
        <f>SUM(R6:R205)+0.01</f>
        <v>0.01</v>
      </c>
      <c r="S213" s="311"/>
      <c r="T213" s="326">
        <f>SUM(T6:T212)</f>
        <v>488645.26</v>
      </c>
      <c r="U213" s="327" t="s">
        <v>2338</v>
      </c>
      <c r="V213" s="326" t="e">
        <f>SUM(V6:V212)</f>
        <v>#REF!</v>
      </c>
    </row>
    <row r="214" spans="1:22" ht="15.75" customHeight="1">
      <c r="H214" s="315">
        <f>G214*C214</f>
        <v>0</v>
      </c>
      <c r="J214" s="315">
        <f t="shared" ref="J214:J234" si="36">+I214*C214</f>
        <v>0</v>
      </c>
      <c r="U214" s="328"/>
    </row>
    <row r="215" spans="1:22" ht="24.95" customHeight="1">
      <c r="B215" s="111" t="s">
        <v>2127</v>
      </c>
      <c r="C215" s="315">
        <f>Data!K2466</f>
        <v>8680</v>
      </c>
      <c r="D215" s="318" t="s">
        <v>1458</v>
      </c>
      <c r="J215" s="315">
        <f t="shared" si="36"/>
        <v>0</v>
      </c>
      <c r="U215" s="328"/>
    </row>
    <row r="216" spans="1:22" ht="24.95" customHeight="1">
      <c r="B216" s="111" t="s">
        <v>598</v>
      </c>
      <c r="C216" s="315">
        <f>Data!K2501</f>
        <v>5666</v>
      </c>
      <c r="D216" s="318" t="s">
        <v>1458</v>
      </c>
      <c r="J216" s="315">
        <f t="shared" si="36"/>
        <v>0</v>
      </c>
      <c r="T216" s="304" t="e">
        <f>T213+F213</f>
        <v>#REF!</v>
      </c>
      <c r="U216" s="328" t="e">
        <f>T216-V213</f>
        <v>#REF!</v>
      </c>
      <c r="V216" s="304" t="e">
        <f>T216-V213</f>
        <v>#REF!</v>
      </c>
    </row>
    <row r="217" spans="1:22" ht="24.95" customHeight="1">
      <c r="B217" s="111" t="s">
        <v>599</v>
      </c>
      <c r="C217" s="315">
        <f>Data!K2413</f>
        <v>4495</v>
      </c>
      <c r="D217" s="304" t="s">
        <v>2371</v>
      </c>
      <c r="J217" s="315">
        <f t="shared" si="36"/>
        <v>0</v>
      </c>
      <c r="R217" s="304">
        <f>R213+P213+N213+L213+J213+H213</f>
        <v>488645.27</v>
      </c>
      <c r="T217" s="304">
        <f>R213+P213+N213+L213+J213+H213</f>
        <v>488645.27</v>
      </c>
      <c r="U217" s="328"/>
      <c r="V217" s="304">
        <f>T217-T213</f>
        <v>0.01</v>
      </c>
    </row>
    <row r="218" spans="1:22" ht="24.95" customHeight="1">
      <c r="B218" s="111" t="s">
        <v>1977</v>
      </c>
      <c r="C218" s="315">
        <f>Data!K2436</f>
        <v>4771.5</v>
      </c>
      <c r="D218" s="304" t="s">
        <v>2371</v>
      </c>
      <c r="J218" s="315">
        <f t="shared" si="36"/>
        <v>0</v>
      </c>
      <c r="U218" s="328"/>
    </row>
    <row r="219" spans="1:22" ht="24.95" customHeight="1">
      <c r="B219" s="111" t="s">
        <v>2285</v>
      </c>
      <c r="C219" s="315">
        <f>Data!R2494</f>
        <v>4100</v>
      </c>
      <c r="D219" s="304" t="s">
        <v>2371</v>
      </c>
      <c r="J219" s="315">
        <f t="shared" si="36"/>
        <v>0</v>
      </c>
      <c r="R219" s="304">
        <f>R214+P214+N214+L214+J214+H214</f>
        <v>0</v>
      </c>
      <c r="T219" s="304">
        <f>R214+P214+N214+L214+J214+H214</f>
        <v>0</v>
      </c>
      <c r="U219" s="328"/>
      <c r="V219" s="304">
        <f>T219-T214</f>
        <v>0</v>
      </c>
    </row>
    <row r="220" spans="1:22" ht="24.95" customHeight="1">
      <c r="B220" s="111" t="s">
        <v>2286</v>
      </c>
      <c r="C220" s="315">
        <f>Data!K2394</f>
        <v>3950.81</v>
      </c>
      <c r="D220" s="304" t="s">
        <v>2371</v>
      </c>
      <c r="J220" s="315">
        <f t="shared" si="36"/>
        <v>0</v>
      </c>
      <c r="R220" s="304">
        <f>R215+P215+N215+L215+J215+H215</f>
        <v>0</v>
      </c>
      <c r="T220" s="304">
        <f>R215+P215+N215+L215+J215+H215</f>
        <v>0</v>
      </c>
      <c r="U220" s="328"/>
      <c r="V220" s="304">
        <f>T220-T215</f>
        <v>0</v>
      </c>
    </row>
    <row r="221" spans="1:22" ht="39.75" customHeight="1">
      <c r="B221" s="111" t="s">
        <v>2997</v>
      </c>
      <c r="C221" s="315">
        <f>Data!X2567</f>
        <v>3824.78</v>
      </c>
      <c r="D221" s="304" t="s">
        <v>2371</v>
      </c>
      <c r="J221" s="315">
        <f t="shared" si="36"/>
        <v>0</v>
      </c>
      <c r="R221" s="304" t="b">
        <f>R217=T213</f>
        <v>0</v>
      </c>
      <c r="T221" s="304" t="b">
        <f>T213=B221</f>
        <v>0</v>
      </c>
      <c r="U221" s="328"/>
      <c r="V221" s="304" t="e">
        <f>V213=B224</f>
        <v>#REF!</v>
      </c>
    </row>
    <row r="222" spans="1:22" ht="39.75" customHeight="1">
      <c r="B222" s="111" t="s">
        <v>686</v>
      </c>
      <c r="C222" s="315">
        <f>Data!K3214</f>
        <v>6732.73</v>
      </c>
      <c r="D222" s="304" t="s">
        <v>2371</v>
      </c>
      <c r="J222" s="315">
        <f t="shared" si="36"/>
        <v>0</v>
      </c>
      <c r="U222" s="328"/>
    </row>
    <row r="223" spans="1:22" ht="39.75" customHeight="1">
      <c r="B223" s="111" t="s">
        <v>689</v>
      </c>
      <c r="C223" s="315">
        <f>Data!X3213</f>
        <v>6622.59</v>
      </c>
      <c r="D223" s="304" t="s">
        <v>2371</v>
      </c>
      <c r="J223" s="315">
        <f t="shared" si="36"/>
        <v>0</v>
      </c>
      <c r="U223" s="328"/>
    </row>
    <row r="224" spans="1:22" ht="24.95" customHeight="1">
      <c r="B224" s="111" t="s">
        <v>600</v>
      </c>
      <c r="C224" s="315">
        <f>8.2*1500</f>
        <v>12300</v>
      </c>
      <c r="D224" s="304" t="s">
        <v>1458</v>
      </c>
      <c r="J224" s="315">
        <f t="shared" si="36"/>
        <v>0</v>
      </c>
      <c r="U224" s="328"/>
    </row>
    <row r="225" spans="2:21" ht="24.95" customHeight="1">
      <c r="B225" s="111" t="s">
        <v>2584</v>
      </c>
      <c r="C225" s="315">
        <f>Data!K2356</f>
        <v>865.94</v>
      </c>
      <c r="D225" s="304" t="s">
        <v>2371</v>
      </c>
      <c r="J225" s="315">
        <f t="shared" si="36"/>
        <v>0</v>
      </c>
      <c r="U225" s="328"/>
    </row>
    <row r="226" spans="2:21" ht="24.95" customHeight="1">
      <c r="B226" s="111" t="s">
        <v>601</v>
      </c>
      <c r="C226" s="315">
        <f>Data!R1184</f>
        <v>925.43</v>
      </c>
      <c r="D226" s="304" t="s">
        <v>2371</v>
      </c>
      <c r="J226" s="315">
        <f t="shared" si="36"/>
        <v>0</v>
      </c>
      <c r="U226" s="328"/>
    </row>
    <row r="227" spans="2:21" ht="24.95" customHeight="1">
      <c r="B227" s="111" t="s">
        <v>957</v>
      </c>
      <c r="C227" s="315">
        <f>Data!R1206</f>
        <v>1386.19</v>
      </c>
      <c r="D227" s="304" t="s">
        <v>2371</v>
      </c>
      <c r="J227" s="315">
        <f t="shared" si="36"/>
        <v>0</v>
      </c>
      <c r="U227" s="328"/>
    </row>
    <row r="228" spans="2:21" ht="24.95" customHeight="1">
      <c r="B228" s="111" t="s">
        <v>1218</v>
      </c>
      <c r="C228" s="315">
        <f>Data!R2356</f>
        <v>1058.0899999999999</v>
      </c>
      <c r="D228" s="304" t="s">
        <v>2371</v>
      </c>
      <c r="J228" s="315">
        <f t="shared" si="36"/>
        <v>0</v>
      </c>
      <c r="U228" s="328"/>
    </row>
    <row r="229" spans="2:21" ht="24.95" customHeight="1">
      <c r="B229" s="111" t="s">
        <v>3258</v>
      </c>
      <c r="C229" s="315" t="e">
        <f>Data!AB1210</f>
        <v>#REF!</v>
      </c>
      <c r="D229" s="304" t="s">
        <v>2371</v>
      </c>
      <c r="J229" s="315" t="e">
        <f t="shared" si="36"/>
        <v>#REF!</v>
      </c>
      <c r="U229" s="328"/>
    </row>
    <row r="230" spans="2:21" ht="24.95" customHeight="1">
      <c r="B230" s="304" t="s">
        <v>2283</v>
      </c>
      <c r="C230" s="304">
        <f>Data!K1371</f>
        <v>136.35</v>
      </c>
      <c r="D230" s="304" t="s">
        <v>2371</v>
      </c>
      <c r="J230" s="315">
        <f t="shared" si="36"/>
        <v>0</v>
      </c>
      <c r="U230" s="328"/>
    </row>
    <row r="231" spans="2:21" ht="24.95" customHeight="1">
      <c r="B231" s="304" t="s">
        <v>2284</v>
      </c>
      <c r="C231" s="304">
        <f>5000*8.2</f>
        <v>41000</v>
      </c>
      <c r="D231" s="304" t="s">
        <v>1458</v>
      </c>
      <c r="J231" s="315">
        <f t="shared" si="36"/>
        <v>0</v>
      </c>
      <c r="U231" s="328"/>
    </row>
    <row r="232" spans="2:21" ht="24.95" customHeight="1">
      <c r="B232" s="304" t="str">
        <f>Data!O2540</f>
        <v>T.W DOOR SHUTTER TWO LEAVES(1200 X 2100 mm</v>
      </c>
      <c r="C232" s="304">
        <f>Data!R2568</f>
        <v>4240.83</v>
      </c>
      <c r="D232" s="304" t="s">
        <v>2371</v>
      </c>
      <c r="J232" s="315">
        <f t="shared" si="36"/>
        <v>0</v>
      </c>
      <c r="U232" s="328"/>
    </row>
    <row r="233" spans="2:21" ht="24.95" customHeight="1">
      <c r="B233" s="304" t="s">
        <v>1824</v>
      </c>
      <c r="C233" s="304">
        <f>Data!R1084</f>
        <v>3982.09</v>
      </c>
      <c r="D233" s="304" t="s">
        <v>2371</v>
      </c>
      <c r="J233" s="315">
        <f t="shared" si="36"/>
        <v>0</v>
      </c>
      <c r="U233" s="328"/>
    </row>
    <row r="234" spans="2:21" ht="24.95" customHeight="1">
      <c r="B234" s="304" t="s">
        <v>3510</v>
      </c>
      <c r="C234" s="304">
        <f>Data!R3117</f>
        <v>4385.8599999999997</v>
      </c>
      <c r="D234" s="304" t="s">
        <v>2371</v>
      </c>
      <c r="J234" s="315">
        <f t="shared" si="36"/>
        <v>0</v>
      </c>
      <c r="U234" s="328"/>
    </row>
    <row r="235" spans="2:21" ht="24.95" customHeight="1">
      <c r="B235" s="304" t="s">
        <v>3511</v>
      </c>
      <c r="C235" s="304">
        <f>Data!R3186</f>
        <v>4968.4399999999996</v>
      </c>
      <c r="D235" s="304" t="s">
        <v>2371</v>
      </c>
      <c r="J235" s="315">
        <f t="shared" ref="J235:J298" si="37">+I235*C235</f>
        <v>0</v>
      </c>
      <c r="U235" s="328"/>
    </row>
    <row r="236" spans="2:21" ht="24.95" customHeight="1">
      <c r="B236" s="304" t="s">
        <v>3512</v>
      </c>
      <c r="C236" s="304">
        <f>Data!K3252</f>
        <v>3677.07</v>
      </c>
      <c r="D236" s="304" t="s">
        <v>2371</v>
      </c>
      <c r="J236" s="315">
        <f t="shared" si="37"/>
        <v>0</v>
      </c>
      <c r="U236" s="328"/>
    </row>
    <row r="237" spans="2:21" ht="60" customHeight="1">
      <c r="B237" s="112" t="s">
        <v>2906</v>
      </c>
      <c r="C237" s="304">
        <f>Data!R3253</f>
        <v>3765.81</v>
      </c>
      <c r="D237" s="304" t="s">
        <v>2371</v>
      </c>
      <c r="J237" s="315">
        <f t="shared" si="37"/>
        <v>0</v>
      </c>
      <c r="U237" s="328"/>
    </row>
    <row r="238" spans="2:21" ht="54" customHeight="1">
      <c r="B238" s="112" t="s">
        <v>2905</v>
      </c>
      <c r="C238" s="304">
        <f>Data!R3366</f>
        <v>3400</v>
      </c>
      <c r="D238" s="304" t="s">
        <v>2371</v>
      </c>
      <c r="J238" s="315">
        <f t="shared" si="37"/>
        <v>0</v>
      </c>
      <c r="U238" s="328"/>
    </row>
    <row r="239" spans="2:21" ht="35.25" customHeight="1">
      <c r="B239" s="111"/>
      <c r="J239" s="315">
        <f t="shared" si="37"/>
        <v>0</v>
      </c>
      <c r="U239" s="328"/>
    </row>
    <row r="240" spans="2:21" ht="24.95" customHeight="1">
      <c r="B240" s="304" t="s">
        <v>3513</v>
      </c>
      <c r="C240" s="304">
        <f>Data!R3288</f>
        <v>4402.2700000000004</v>
      </c>
      <c r="D240" s="304" t="s">
        <v>2371</v>
      </c>
      <c r="J240" s="315">
        <f t="shared" si="37"/>
        <v>0</v>
      </c>
      <c r="U240" s="328"/>
    </row>
    <row r="241" spans="2:21" ht="24.95" customHeight="1">
      <c r="B241" s="304" t="s">
        <v>3514</v>
      </c>
      <c r="C241" s="304">
        <f>Data!R3322</f>
        <v>3969.36</v>
      </c>
      <c r="D241" s="304" t="s">
        <v>2371</v>
      </c>
      <c r="J241" s="315">
        <f t="shared" si="37"/>
        <v>0</v>
      </c>
      <c r="U241" s="328"/>
    </row>
    <row r="242" spans="2:21" ht="24.95" customHeight="1">
      <c r="B242" s="304" t="s">
        <v>3515</v>
      </c>
      <c r="C242" s="304">
        <f>Data!R3219</f>
        <v>4408.95</v>
      </c>
      <c r="D242" s="304" t="s">
        <v>2371</v>
      </c>
      <c r="J242" s="315">
        <f t="shared" si="37"/>
        <v>0</v>
      </c>
      <c r="U242" s="328"/>
    </row>
    <row r="243" spans="2:21" ht="24.95" customHeight="1">
      <c r="B243" s="304" t="s">
        <v>3516</v>
      </c>
      <c r="C243" s="304">
        <f>Data!R3253</f>
        <v>3765.81</v>
      </c>
      <c r="D243" s="304" t="s">
        <v>2371</v>
      </c>
      <c r="J243" s="315">
        <f t="shared" si="37"/>
        <v>0</v>
      </c>
      <c r="U243" s="328"/>
    </row>
    <row r="244" spans="2:21" ht="24.95" customHeight="1">
      <c r="B244" s="304" t="s">
        <v>3250</v>
      </c>
      <c r="C244" s="304">
        <f>Elec.Data!K3481</f>
        <v>853</v>
      </c>
      <c r="D244" s="304" t="s">
        <v>1458</v>
      </c>
      <c r="J244" s="315">
        <f t="shared" si="37"/>
        <v>0</v>
      </c>
      <c r="U244" s="328"/>
    </row>
    <row r="245" spans="2:21" ht="24.95" customHeight="1">
      <c r="B245" s="111" t="s">
        <v>3251</v>
      </c>
      <c r="C245" s="304">
        <f>Elec.Data!K3547</f>
        <v>170.5</v>
      </c>
      <c r="D245" s="304" t="s">
        <v>840</v>
      </c>
      <c r="J245" s="315">
        <f t="shared" si="37"/>
        <v>0</v>
      </c>
      <c r="U245" s="328"/>
    </row>
    <row r="246" spans="2:21" ht="24.95" customHeight="1">
      <c r="B246" s="482" t="s">
        <v>2619</v>
      </c>
      <c r="C246" s="304">
        <f>Elec.Data!K3468</f>
        <v>3110</v>
      </c>
      <c r="D246" s="304" t="s">
        <v>1458</v>
      </c>
      <c r="J246" s="315">
        <f t="shared" si="37"/>
        <v>0</v>
      </c>
      <c r="U246" s="328"/>
    </row>
    <row r="247" spans="2:21" ht="24.95" customHeight="1">
      <c r="B247" s="304" t="s">
        <v>3254</v>
      </c>
      <c r="C247" s="304">
        <f>Data!K2902</f>
        <v>2396.0100000000002</v>
      </c>
      <c r="D247" s="304" t="s">
        <v>2371</v>
      </c>
      <c r="J247" s="315">
        <f t="shared" si="37"/>
        <v>0</v>
      </c>
      <c r="U247" s="328"/>
    </row>
    <row r="248" spans="2:21" ht="24.95" customHeight="1">
      <c r="B248" s="304" t="s">
        <v>3252</v>
      </c>
      <c r="C248" s="304">
        <f>Data!K2766</f>
        <v>2358</v>
      </c>
      <c r="D248" s="304" t="s">
        <v>2371</v>
      </c>
      <c r="J248" s="315">
        <f t="shared" si="37"/>
        <v>0</v>
      </c>
    </row>
    <row r="249" spans="2:21" ht="24.95" customHeight="1">
      <c r="B249" s="304" t="s">
        <v>3253</v>
      </c>
      <c r="C249" s="304">
        <f>Data!R2902</f>
        <v>2292.2199999999998</v>
      </c>
      <c r="D249" s="304" t="s">
        <v>2371</v>
      </c>
      <c r="J249" s="315">
        <f t="shared" si="37"/>
        <v>0</v>
      </c>
    </row>
    <row r="250" spans="2:21" ht="24.95" customHeight="1">
      <c r="B250" s="304" t="s">
        <v>3255</v>
      </c>
      <c r="C250" s="304">
        <f>Data!K3006</f>
        <v>2439.1</v>
      </c>
      <c r="D250" s="304" t="s">
        <v>2371</v>
      </c>
      <c r="J250" s="315">
        <f t="shared" si="37"/>
        <v>0</v>
      </c>
    </row>
    <row r="251" spans="2:21" ht="24.95" customHeight="1">
      <c r="B251" s="304" t="s">
        <v>3256</v>
      </c>
      <c r="C251" s="304">
        <f>Data!K2987</f>
        <v>2547.88</v>
      </c>
      <c r="D251" s="304" t="s">
        <v>2371</v>
      </c>
      <c r="J251" s="315">
        <f t="shared" si="37"/>
        <v>0</v>
      </c>
    </row>
    <row r="252" spans="2:21" ht="24.95" customHeight="1">
      <c r="B252" s="304" t="s">
        <v>3257</v>
      </c>
      <c r="C252" s="304">
        <f>Data!R2987</f>
        <v>2390.4699999999998</v>
      </c>
      <c r="D252" s="304" t="s">
        <v>2371</v>
      </c>
      <c r="J252" s="315">
        <f t="shared" si="37"/>
        <v>0</v>
      </c>
    </row>
    <row r="253" spans="2:21" ht="38.25" customHeight="1">
      <c r="B253" s="448" t="s">
        <v>568</v>
      </c>
      <c r="C253" s="304">
        <f>Data!K2798</f>
        <v>1819.47</v>
      </c>
      <c r="D253" s="304" t="s">
        <v>2371</v>
      </c>
      <c r="J253" s="315">
        <f t="shared" si="37"/>
        <v>0</v>
      </c>
    </row>
    <row r="254" spans="2:21" ht="24.95" customHeight="1">
      <c r="B254" s="304" t="s">
        <v>3004</v>
      </c>
      <c r="C254" s="304">
        <f>Data!K1106</f>
        <v>67.22</v>
      </c>
      <c r="J254" s="315">
        <f t="shared" si="37"/>
        <v>0</v>
      </c>
    </row>
    <row r="255" spans="2:21" ht="24.95" customHeight="1">
      <c r="B255" s="304" t="s">
        <v>3005</v>
      </c>
      <c r="C255" s="304">
        <f>Data!K1119</f>
        <v>105.12</v>
      </c>
      <c r="J255" s="315">
        <f t="shared" si="37"/>
        <v>0</v>
      </c>
    </row>
    <row r="256" spans="2:21" ht="24.95" customHeight="1">
      <c r="B256" s="312" t="s">
        <v>1761</v>
      </c>
      <c r="C256" s="304">
        <f>Data!K2369</f>
        <v>419.75</v>
      </c>
      <c r="J256" s="315">
        <f t="shared" si="37"/>
        <v>0</v>
      </c>
    </row>
    <row r="257" spans="2:10" ht="24.95" customHeight="1">
      <c r="B257" s="304" t="s">
        <v>1762</v>
      </c>
      <c r="C257" s="304">
        <f>Data!K2719</f>
        <v>900.83</v>
      </c>
      <c r="F257" s="448">
        <f>Elec.Data!L2990</f>
        <v>0</v>
      </c>
      <c r="J257" s="315">
        <f t="shared" si="37"/>
        <v>0</v>
      </c>
    </row>
    <row r="258" spans="2:10" ht="57" customHeight="1">
      <c r="B258" s="448" t="s">
        <v>2379</v>
      </c>
      <c r="C258" s="304">
        <f>Elec.Data!K3011</f>
        <v>1388</v>
      </c>
      <c r="J258" s="315">
        <f t="shared" si="37"/>
        <v>0</v>
      </c>
    </row>
    <row r="259" spans="2:10" ht="50.25" customHeight="1">
      <c r="B259" s="448" t="s">
        <v>2380</v>
      </c>
      <c r="C259" s="304">
        <f>Elec.Data!K3023</f>
        <v>1390</v>
      </c>
      <c r="J259" s="315">
        <f t="shared" si="37"/>
        <v>0</v>
      </c>
    </row>
    <row r="260" spans="2:10" ht="46.5" customHeight="1">
      <c r="B260" s="448" t="s">
        <v>2381</v>
      </c>
      <c r="C260" s="304">
        <f>Elec.Data!K3044</f>
        <v>1460</v>
      </c>
      <c r="J260" s="315">
        <f t="shared" si="37"/>
        <v>0</v>
      </c>
    </row>
    <row r="261" spans="2:10" ht="41.25" customHeight="1">
      <c r="B261" s="448" t="s">
        <v>2382</v>
      </c>
      <c r="C261" s="304">
        <f>Elec.Data!K3063</f>
        <v>2480</v>
      </c>
      <c r="J261" s="315">
        <f t="shared" si="37"/>
        <v>0</v>
      </c>
    </row>
    <row r="262" spans="2:10" ht="28.5" customHeight="1">
      <c r="B262" s="448" t="s">
        <v>2501</v>
      </c>
      <c r="C262" s="304">
        <f>Elec.Data!K3092</f>
        <v>135.6</v>
      </c>
      <c r="J262" s="315">
        <f t="shared" si="37"/>
        <v>0</v>
      </c>
    </row>
    <row r="263" spans="2:10" ht="27.75" customHeight="1">
      <c r="B263" s="448" t="s">
        <v>3121</v>
      </c>
      <c r="C263" s="304">
        <f>Elec.Data!K3105</f>
        <v>168.9</v>
      </c>
      <c r="J263" s="315">
        <f t="shared" si="37"/>
        <v>0</v>
      </c>
    </row>
    <row r="264" spans="2:10" ht="30.75" customHeight="1">
      <c r="B264" s="448" t="s">
        <v>2435</v>
      </c>
      <c r="C264" s="304">
        <f>Elec.Data!K3119</f>
        <v>263.5</v>
      </c>
      <c r="J264" s="315">
        <f t="shared" si="37"/>
        <v>0</v>
      </c>
    </row>
    <row r="265" spans="2:10" ht="61.5" customHeight="1">
      <c r="B265" s="448" t="s">
        <v>2904</v>
      </c>
      <c r="C265" s="304">
        <f>Elec.Data!K3173</f>
        <v>735</v>
      </c>
      <c r="J265" s="315">
        <f t="shared" si="37"/>
        <v>0</v>
      </c>
    </row>
    <row r="266" spans="2:10" ht="63">
      <c r="B266" s="448" t="s">
        <v>2511</v>
      </c>
      <c r="C266" s="304">
        <f>Elec.Data!K3184</f>
        <v>810</v>
      </c>
      <c r="J266" s="315">
        <f t="shared" si="37"/>
        <v>0</v>
      </c>
    </row>
    <row r="267" spans="2:10" ht="57" customHeight="1">
      <c r="B267" s="448" t="s">
        <v>3619</v>
      </c>
      <c r="C267" s="304">
        <f>Elec.Data!K3195</f>
        <v>874</v>
      </c>
      <c r="J267" s="315">
        <f t="shared" si="37"/>
        <v>0</v>
      </c>
    </row>
    <row r="268" spans="2:10" ht="65.25" customHeight="1">
      <c r="B268" s="448" t="s">
        <v>2378</v>
      </c>
      <c r="C268" s="304">
        <f>Elec.Data!K3210</f>
        <v>1193</v>
      </c>
      <c r="J268" s="315">
        <f t="shared" si="37"/>
        <v>0</v>
      </c>
    </row>
    <row r="269" spans="2:10" ht="78.75">
      <c r="B269" s="448" t="s">
        <v>2708</v>
      </c>
      <c r="C269" s="304">
        <f>Elec.Data!K3233</f>
        <v>4120</v>
      </c>
      <c r="J269" s="315">
        <f t="shared" si="37"/>
        <v>0</v>
      </c>
    </row>
    <row r="270" spans="2:10" ht="69.75" customHeight="1">
      <c r="B270" s="448" t="s">
        <v>3309</v>
      </c>
      <c r="C270" s="304">
        <f>Elec.Data!K3221</f>
        <v>3240</v>
      </c>
      <c r="J270" s="315">
        <f t="shared" si="37"/>
        <v>0</v>
      </c>
    </row>
    <row r="271" spans="2:10" ht="42" customHeight="1">
      <c r="B271" s="448" t="s">
        <v>3531</v>
      </c>
      <c r="C271" s="304">
        <f>Elec.Data!K3244</f>
        <v>135</v>
      </c>
      <c r="J271" s="315">
        <f t="shared" si="37"/>
        <v>0</v>
      </c>
    </row>
    <row r="272" spans="2:10" ht="41.25" customHeight="1">
      <c r="B272" s="448" t="s">
        <v>3550</v>
      </c>
      <c r="C272" s="304">
        <f>Elec.Data!K3262</f>
        <v>247</v>
      </c>
      <c r="J272" s="315">
        <f t="shared" si="37"/>
        <v>0</v>
      </c>
    </row>
    <row r="273" spans="2:10" ht="50.1" customHeight="1">
      <c r="B273" s="448" t="s">
        <v>2386</v>
      </c>
      <c r="C273" s="304">
        <f>Elec.Data!K3333</f>
        <v>183</v>
      </c>
      <c r="J273" s="315">
        <f t="shared" si="37"/>
        <v>0</v>
      </c>
    </row>
    <row r="274" spans="2:10" ht="50.1" customHeight="1">
      <c r="B274" s="448" t="s">
        <v>2387</v>
      </c>
      <c r="C274" s="304">
        <f>Elec.Data!K3348</f>
        <v>512</v>
      </c>
      <c r="J274" s="315">
        <f t="shared" si="37"/>
        <v>0</v>
      </c>
    </row>
    <row r="275" spans="2:10" ht="50.1" customHeight="1">
      <c r="B275" s="448" t="s">
        <v>2388</v>
      </c>
      <c r="C275" s="304">
        <f>Elec.Data!K3366</f>
        <v>258</v>
      </c>
      <c r="J275" s="315">
        <f t="shared" si="37"/>
        <v>0</v>
      </c>
    </row>
    <row r="276" spans="2:10" ht="50.1" customHeight="1">
      <c r="B276" s="448" t="s">
        <v>2389</v>
      </c>
      <c r="C276" s="304">
        <f>Elec.Data!K3379</f>
        <v>526</v>
      </c>
      <c r="J276" s="315">
        <f t="shared" si="37"/>
        <v>0</v>
      </c>
    </row>
    <row r="277" spans="2:10" ht="50.1" customHeight="1">
      <c r="B277" s="448" t="s">
        <v>2520</v>
      </c>
      <c r="C277" s="304">
        <f>Elec.Data!K3384</f>
        <v>1740</v>
      </c>
      <c r="J277" s="315">
        <f t="shared" si="37"/>
        <v>0</v>
      </c>
    </row>
    <row r="278" spans="2:10" ht="50.1" customHeight="1">
      <c r="B278" s="448" t="s">
        <v>2507</v>
      </c>
      <c r="C278" s="304">
        <f>Elec.Data!K3389</f>
        <v>2140</v>
      </c>
      <c r="J278" s="315">
        <f t="shared" si="37"/>
        <v>0</v>
      </c>
    </row>
    <row r="279" spans="2:10" ht="50.1" customHeight="1">
      <c r="B279" s="448" t="s">
        <v>2390</v>
      </c>
      <c r="C279" s="304">
        <f>Elec.Data!K3501</f>
        <v>100.6</v>
      </c>
      <c r="J279" s="315">
        <f t="shared" si="37"/>
        <v>0</v>
      </c>
    </row>
    <row r="280" spans="2:10" ht="50.1" customHeight="1">
      <c r="B280" s="448" t="s">
        <v>2391</v>
      </c>
      <c r="C280" s="304">
        <f>Elec.Data!K3539</f>
        <v>183.9</v>
      </c>
      <c r="J280" s="315">
        <f t="shared" si="37"/>
        <v>0</v>
      </c>
    </row>
    <row r="281" spans="2:10" ht="50.1" customHeight="1">
      <c r="B281" s="448" t="s">
        <v>2392</v>
      </c>
      <c r="C281" s="304">
        <f>Elec.Data!K3547</f>
        <v>170.5</v>
      </c>
      <c r="J281" s="315">
        <f t="shared" si="37"/>
        <v>0</v>
      </c>
    </row>
    <row r="282" spans="2:10" ht="50.1" customHeight="1">
      <c r="B282" s="448" t="s">
        <v>2407</v>
      </c>
      <c r="C282" s="304">
        <f>Elec.Data!K3567</f>
        <v>88.3</v>
      </c>
      <c r="J282" s="315">
        <f t="shared" si="37"/>
        <v>0</v>
      </c>
    </row>
    <row r="283" spans="2:10" ht="50.1" customHeight="1">
      <c r="B283" s="448" t="s">
        <v>3499</v>
      </c>
      <c r="C283" s="304">
        <f>Elec.Data!K3584</f>
        <v>66.3</v>
      </c>
      <c r="J283" s="315">
        <f t="shared" si="37"/>
        <v>0</v>
      </c>
    </row>
    <row r="284" spans="2:10" ht="50.1" customHeight="1">
      <c r="B284" s="448" t="s">
        <v>2962</v>
      </c>
      <c r="C284" s="304">
        <f>Elec.Data!K3619</f>
        <v>1190</v>
      </c>
      <c r="J284" s="315">
        <f t="shared" si="37"/>
        <v>0</v>
      </c>
    </row>
    <row r="285" spans="2:10" ht="84.75" customHeight="1">
      <c r="B285" s="448" t="s">
        <v>3263</v>
      </c>
      <c r="C285" s="304">
        <f>Elec.Data!K3650</f>
        <v>1308</v>
      </c>
      <c r="J285" s="315">
        <f t="shared" si="37"/>
        <v>0</v>
      </c>
    </row>
    <row r="286" spans="2:10" ht="50.1" customHeight="1">
      <c r="B286" s="448" t="s">
        <v>1146</v>
      </c>
      <c r="C286" s="304">
        <f>Elec.Data!K3673</f>
        <v>3940</v>
      </c>
      <c r="J286" s="315">
        <f t="shared" si="37"/>
        <v>0</v>
      </c>
    </row>
    <row r="287" spans="2:10" ht="50.1" customHeight="1">
      <c r="B287" s="448" t="s">
        <v>2393</v>
      </c>
      <c r="C287" s="304">
        <f>Elec.Data!K3692</f>
        <v>60.4</v>
      </c>
      <c r="J287" s="315">
        <f t="shared" si="37"/>
        <v>0</v>
      </c>
    </row>
    <row r="288" spans="2:10" ht="50.1" customHeight="1">
      <c r="B288" s="448" t="s">
        <v>2754</v>
      </c>
      <c r="C288" s="304">
        <f>Elec.Data!K3699</f>
        <v>59</v>
      </c>
      <c r="J288" s="315">
        <f t="shared" si="37"/>
        <v>0</v>
      </c>
    </row>
    <row r="289" spans="2:10" ht="62.25" customHeight="1">
      <c r="B289" s="448" t="s">
        <v>2394</v>
      </c>
      <c r="C289" s="304">
        <f>Elec.Data!K3724</f>
        <v>4461</v>
      </c>
      <c r="J289" s="315">
        <f t="shared" si="37"/>
        <v>0</v>
      </c>
    </row>
    <row r="290" spans="2:10" ht="50.1" customHeight="1">
      <c r="B290" s="448" t="s">
        <v>2547</v>
      </c>
      <c r="C290" s="304">
        <f>Elec.Data!K3770</f>
        <v>580</v>
      </c>
      <c r="J290" s="315">
        <f t="shared" si="37"/>
        <v>0</v>
      </c>
    </row>
    <row r="291" spans="2:10" ht="50.1" customHeight="1">
      <c r="B291" s="599" t="s">
        <v>2384</v>
      </c>
      <c r="C291" s="304">
        <f>Elec.Data!K3811</f>
        <v>571</v>
      </c>
      <c r="J291" s="315">
        <f t="shared" si="37"/>
        <v>0</v>
      </c>
    </row>
    <row r="292" spans="2:10" ht="50.1" customHeight="1">
      <c r="B292" s="448" t="s">
        <v>2385</v>
      </c>
      <c r="C292" s="304">
        <f>Elec.Data!K3837</f>
        <v>574</v>
      </c>
      <c r="J292" s="315">
        <f t="shared" si="37"/>
        <v>0</v>
      </c>
    </row>
    <row r="293" spans="2:10" ht="61.5" customHeight="1">
      <c r="B293" s="599" t="s">
        <v>1147</v>
      </c>
      <c r="C293" s="304">
        <f>Elec.Data!K3853</f>
        <v>620</v>
      </c>
      <c r="J293" s="315">
        <f t="shared" si="37"/>
        <v>0</v>
      </c>
    </row>
    <row r="294" spans="2:10" ht="50.1" customHeight="1">
      <c r="B294" s="599" t="s">
        <v>1148</v>
      </c>
      <c r="C294" s="304">
        <f>Elec.Data!K3875</f>
        <v>672</v>
      </c>
      <c r="J294" s="315">
        <f t="shared" si="37"/>
        <v>0</v>
      </c>
    </row>
    <row r="295" spans="2:10" ht="63.75" customHeight="1">
      <c r="B295" s="599" t="s">
        <v>1149</v>
      </c>
      <c r="C295" s="304">
        <f>Elec.Data!K3895</f>
        <v>1178</v>
      </c>
      <c r="J295" s="315">
        <f t="shared" si="37"/>
        <v>0</v>
      </c>
    </row>
    <row r="296" spans="2:10" ht="50.1" customHeight="1">
      <c r="B296" s="599" t="s">
        <v>1150</v>
      </c>
      <c r="C296" s="304">
        <f>Elec.Data!K3914</f>
        <v>467.62</v>
      </c>
      <c r="J296" s="315">
        <f t="shared" si="37"/>
        <v>0</v>
      </c>
    </row>
    <row r="297" spans="2:10" ht="39.75" customHeight="1">
      <c r="B297" s="599" t="s">
        <v>1151</v>
      </c>
      <c r="C297" s="304">
        <f>Elec.Data!K3938</f>
        <v>88</v>
      </c>
      <c r="J297" s="315">
        <f t="shared" si="37"/>
        <v>0</v>
      </c>
    </row>
    <row r="298" spans="2:10" ht="50.1" customHeight="1">
      <c r="B298" s="448" t="s">
        <v>1267</v>
      </c>
      <c r="C298" s="304">
        <f>Elec.Data!K3949</f>
        <v>103.9</v>
      </c>
      <c r="J298" s="315">
        <f t="shared" si="37"/>
        <v>0</v>
      </c>
    </row>
    <row r="299" spans="2:10" ht="27" customHeight="1">
      <c r="B299" s="448" t="s">
        <v>3057</v>
      </c>
      <c r="C299" s="304">
        <f>Data!R383</f>
        <v>10.3</v>
      </c>
      <c r="J299" s="315">
        <f t="shared" ref="J299:J312" si="38">+I299*C299</f>
        <v>0</v>
      </c>
    </row>
    <row r="300" spans="2:10" ht="27" customHeight="1">
      <c r="B300" s="448" t="s">
        <v>556</v>
      </c>
      <c r="C300" s="304">
        <f>C299+C302</f>
        <v>11.65</v>
      </c>
      <c r="J300" s="315">
        <f t="shared" si="38"/>
        <v>0</v>
      </c>
    </row>
    <row r="301" spans="2:10" ht="21.75" customHeight="1">
      <c r="B301" s="448" t="s">
        <v>3051</v>
      </c>
      <c r="C301" s="304">
        <f>Data!R397</f>
        <v>14.97</v>
      </c>
      <c r="J301" s="315">
        <f t="shared" si="38"/>
        <v>0</v>
      </c>
    </row>
    <row r="302" spans="2:10" ht="21.75" customHeight="1">
      <c r="B302" s="448" t="s">
        <v>3058</v>
      </c>
      <c r="C302" s="304">
        <f>Data!I3093</f>
        <v>1.35</v>
      </c>
      <c r="J302" s="315">
        <f t="shared" si="38"/>
        <v>0</v>
      </c>
    </row>
    <row r="303" spans="2:10" ht="21.75" customHeight="1">
      <c r="B303" s="448" t="s">
        <v>3059</v>
      </c>
      <c r="C303" s="304">
        <f>Data!I3119</f>
        <v>3.9</v>
      </c>
      <c r="J303" s="315">
        <f t="shared" si="38"/>
        <v>0</v>
      </c>
    </row>
    <row r="304" spans="2:10" ht="21.75" customHeight="1">
      <c r="B304" s="448" t="s">
        <v>3060</v>
      </c>
      <c r="C304" s="304">
        <f>Data!I3133</f>
        <v>4.1500000000000004</v>
      </c>
      <c r="J304" s="315">
        <f t="shared" si="38"/>
        <v>0</v>
      </c>
    </row>
    <row r="305" spans="2:19" ht="24" customHeight="1">
      <c r="B305" s="448" t="s">
        <v>3049</v>
      </c>
      <c r="C305" s="304">
        <f>Data!K3109</f>
        <v>36.25</v>
      </c>
      <c r="J305" s="315">
        <f t="shared" si="38"/>
        <v>0</v>
      </c>
    </row>
    <row r="306" spans="2:19" ht="22.5" customHeight="1">
      <c r="B306" s="448" t="s">
        <v>3050</v>
      </c>
      <c r="C306" s="304">
        <f>Data!K3096</f>
        <v>69.040000000000006</v>
      </c>
      <c r="J306" s="315">
        <f t="shared" si="38"/>
        <v>0</v>
      </c>
    </row>
    <row r="307" spans="2:19" ht="22.5" customHeight="1">
      <c r="B307" s="304" t="s">
        <v>3052</v>
      </c>
      <c r="C307" s="304">
        <f>Data!K3123</f>
        <v>55.34</v>
      </c>
      <c r="J307" s="315">
        <f t="shared" si="38"/>
        <v>0</v>
      </c>
    </row>
    <row r="308" spans="2:19" ht="24.75" customHeight="1">
      <c r="B308" s="304" t="s">
        <v>3054</v>
      </c>
      <c r="C308" s="304">
        <f>Data!K3168</f>
        <v>88.16</v>
      </c>
      <c r="J308" s="315">
        <f t="shared" si="38"/>
        <v>0</v>
      </c>
      <c r="S308" s="304" t="s">
        <v>3055</v>
      </c>
    </row>
    <row r="309" spans="2:19" ht="26.25" customHeight="1">
      <c r="B309" s="304" t="s">
        <v>3053</v>
      </c>
      <c r="C309" s="304">
        <f>Data!K3137</f>
        <v>62.42</v>
      </c>
      <c r="J309" s="315">
        <f t="shared" si="38"/>
        <v>0</v>
      </c>
    </row>
    <row r="310" spans="2:19" ht="26.25" customHeight="1">
      <c r="C310" s="304">
        <f>Data!K3152</f>
        <v>102.42</v>
      </c>
      <c r="J310" s="315">
        <f t="shared" si="38"/>
        <v>0</v>
      </c>
    </row>
    <row r="311" spans="2:19" ht="26.25" customHeight="1">
      <c r="B311" s="304" t="s">
        <v>3056</v>
      </c>
      <c r="C311" s="304">
        <f>Data!K3196</f>
        <v>57.11</v>
      </c>
      <c r="J311" s="315">
        <f t="shared" si="38"/>
        <v>0</v>
      </c>
    </row>
    <row r="312" spans="2:19">
      <c r="J312" s="315">
        <f t="shared" si="38"/>
        <v>0</v>
      </c>
    </row>
    <row r="317" spans="2:19">
      <c r="F317" s="304">
        <v>62</v>
      </c>
      <c r="G317" s="304">
        <v>11.27</v>
      </c>
      <c r="H317" s="304">
        <f>F317*G317</f>
        <v>698.74</v>
      </c>
      <c r="J317" s="304">
        <v>154.69999999999999</v>
      </c>
      <c r="K317" s="304">
        <v>77.069999999999993</v>
      </c>
      <c r="L317" s="304">
        <f>J317*K317</f>
        <v>11922.73</v>
      </c>
      <c r="M317" s="304">
        <v>5</v>
      </c>
      <c r="N317" s="304">
        <v>3457.72</v>
      </c>
      <c r="O317" s="304">
        <f>M317*N317</f>
        <v>17288.599999999999</v>
      </c>
      <c r="P317" s="304">
        <v>26</v>
      </c>
      <c r="Q317" s="304">
        <v>84.77</v>
      </c>
      <c r="R317" s="304">
        <f>P317*Q317</f>
        <v>2204.02</v>
      </c>
    </row>
    <row r="318" spans="2:19">
      <c r="F318" s="304">
        <v>130</v>
      </c>
      <c r="G318" s="304">
        <v>54.64</v>
      </c>
      <c r="H318" s="304">
        <f t="shared" ref="H318:H324" si="39">F318*G318</f>
        <v>7103.2</v>
      </c>
      <c r="J318" s="304">
        <v>22.9</v>
      </c>
      <c r="K318" s="304">
        <v>2257.4299999999998</v>
      </c>
      <c r="L318" s="304">
        <f t="shared" ref="L318:L338" si="40">J318*K318</f>
        <v>51695.15</v>
      </c>
      <c r="M318" s="304">
        <v>1</v>
      </c>
      <c r="N318" s="304">
        <v>1217.28</v>
      </c>
      <c r="O318" s="304">
        <f t="shared" ref="O318:O329" si="41">M318*N318</f>
        <v>1217.28</v>
      </c>
      <c r="P318" s="304">
        <v>4</v>
      </c>
      <c r="Q318" s="304">
        <v>2379.88</v>
      </c>
      <c r="R318" s="304">
        <f t="shared" ref="R318:R326" si="42">P318*Q318</f>
        <v>9519.52</v>
      </c>
    </row>
    <row r="319" spans="2:19">
      <c r="F319" s="304">
        <v>7</v>
      </c>
      <c r="G319" s="304">
        <v>85.75</v>
      </c>
      <c r="H319" s="304">
        <f t="shared" si="39"/>
        <v>600.25</v>
      </c>
      <c r="J319" s="304">
        <v>3.1</v>
      </c>
      <c r="K319" s="304">
        <v>3506.81</v>
      </c>
      <c r="L319" s="304">
        <f t="shared" si="40"/>
        <v>10871.11</v>
      </c>
      <c r="M319" s="304">
        <v>1.85</v>
      </c>
      <c r="N319" s="304">
        <v>3454.5</v>
      </c>
      <c r="O319" s="304">
        <f t="shared" si="41"/>
        <v>6390.83</v>
      </c>
      <c r="P319" s="304">
        <v>14</v>
      </c>
      <c r="Q319" s="304">
        <v>2292.04</v>
      </c>
      <c r="R319" s="304">
        <f t="shared" si="42"/>
        <v>32088.560000000001</v>
      </c>
    </row>
    <row r="320" spans="2:19">
      <c r="F320" s="304">
        <v>9.5</v>
      </c>
      <c r="G320" s="304">
        <v>73.400000000000006</v>
      </c>
      <c r="H320" s="304">
        <f t="shared" si="39"/>
        <v>697.3</v>
      </c>
      <c r="J320" s="304">
        <v>5.9</v>
      </c>
      <c r="K320" s="304">
        <v>3974.03</v>
      </c>
      <c r="L320" s="304">
        <f t="shared" si="40"/>
        <v>23446.78</v>
      </c>
      <c r="M320" s="304">
        <v>40</v>
      </c>
      <c r="N320" s="304">
        <v>97.08</v>
      </c>
      <c r="O320" s="304">
        <f t="shared" si="41"/>
        <v>3883.2</v>
      </c>
      <c r="P320" s="304">
        <v>1.2</v>
      </c>
      <c r="Q320" s="304">
        <v>4142.3100000000004</v>
      </c>
      <c r="R320" s="304">
        <f t="shared" si="42"/>
        <v>4970.7700000000004</v>
      </c>
    </row>
    <row r="321" spans="6:19">
      <c r="F321" s="304">
        <v>40</v>
      </c>
      <c r="G321" s="304">
        <v>445</v>
      </c>
      <c r="H321" s="304">
        <f t="shared" si="39"/>
        <v>17800</v>
      </c>
      <c r="J321" s="304">
        <v>2.5</v>
      </c>
      <c r="K321" s="304">
        <v>4012.88</v>
      </c>
      <c r="L321" s="304">
        <f t="shared" si="40"/>
        <v>10032.200000000001</v>
      </c>
      <c r="M321" s="304">
        <v>2.1</v>
      </c>
      <c r="N321" s="304">
        <v>128.69</v>
      </c>
      <c r="O321" s="304">
        <f t="shared" si="41"/>
        <v>270.25</v>
      </c>
      <c r="P321" s="304">
        <v>1</v>
      </c>
      <c r="Q321" s="304">
        <v>3251.12</v>
      </c>
      <c r="R321" s="304">
        <f t="shared" si="42"/>
        <v>3251.12</v>
      </c>
    </row>
    <row r="322" spans="6:19">
      <c r="F322" s="304">
        <v>1</v>
      </c>
      <c r="G322" s="304">
        <v>1950</v>
      </c>
      <c r="H322" s="304">
        <f t="shared" si="39"/>
        <v>1950</v>
      </c>
      <c r="J322" s="304">
        <v>10</v>
      </c>
      <c r="K322" s="304">
        <v>3152.42</v>
      </c>
      <c r="L322" s="304">
        <f t="shared" si="40"/>
        <v>31524.2</v>
      </c>
      <c r="M322" s="304">
        <v>40</v>
      </c>
      <c r="N322" s="304">
        <v>74.72</v>
      </c>
      <c r="O322" s="304">
        <f t="shared" si="41"/>
        <v>2988.8</v>
      </c>
      <c r="P322" s="304">
        <v>49.5</v>
      </c>
      <c r="Q322" s="304">
        <v>396.14</v>
      </c>
      <c r="R322" s="304">
        <f t="shared" si="42"/>
        <v>19608.93</v>
      </c>
    </row>
    <row r="323" spans="6:19">
      <c r="F323" s="304">
        <v>1</v>
      </c>
      <c r="G323" s="304">
        <v>3833</v>
      </c>
      <c r="H323" s="304">
        <f t="shared" si="39"/>
        <v>3833</v>
      </c>
      <c r="J323" s="304">
        <v>13.3</v>
      </c>
      <c r="K323" s="304">
        <v>292.83</v>
      </c>
      <c r="L323" s="304">
        <f t="shared" si="40"/>
        <v>3894.64</v>
      </c>
      <c r="M323" s="304">
        <v>3</v>
      </c>
      <c r="N323" s="304">
        <v>766</v>
      </c>
      <c r="O323" s="304">
        <f t="shared" si="41"/>
        <v>2298</v>
      </c>
      <c r="P323" s="304">
        <v>110.1</v>
      </c>
      <c r="Q323" s="304">
        <v>97.08</v>
      </c>
      <c r="R323" s="304">
        <f t="shared" si="42"/>
        <v>10688.51</v>
      </c>
    </row>
    <row r="324" spans="6:19">
      <c r="F324" s="304">
        <v>3</v>
      </c>
      <c r="G324" s="304">
        <v>475</v>
      </c>
      <c r="H324" s="304">
        <f t="shared" si="39"/>
        <v>1425</v>
      </c>
      <c r="J324" s="304">
        <v>18</v>
      </c>
      <c r="K324" s="304">
        <v>413.63</v>
      </c>
      <c r="L324" s="304">
        <f t="shared" si="40"/>
        <v>7445.34</v>
      </c>
      <c r="M324" s="304">
        <v>1</v>
      </c>
      <c r="N324" s="304">
        <v>834</v>
      </c>
      <c r="O324" s="304">
        <f t="shared" si="41"/>
        <v>834</v>
      </c>
      <c r="P324" s="304">
        <v>110.1</v>
      </c>
      <c r="Q324" s="304">
        <v>15.2</v>
      </c>
      <c r="R324" s="304">
        <f t="shared" si="42"/>
        <v>1673.52</v>
      </c>
    </row>
    <row r="325" spans="6:19">
      <c r="J325" s="304">
        <v>94.7</v>
      </c>
      <c r="K325" s="304">
        <v>2162.9699999999998</v>
      </c>
      <c r="L325" s="304">
        <f t="shared" si="40"/>
        <v>204833.26</v>
      </c>
      <c r="M325" s="304">
        <v>1</v>
      </c>
      <c r="N325" s="304">
        <v>357</v>
      </c>
      <c r="O325" s="304">
        <f t="shared" si="41"/>
        <v>357</v>
      </c>
      <c r="P325" s="304">
        <v>0.21</v>
      </c>
      <c r="Q325" s="304">
        <v>58884.9</v>
      </c>
      <c r="R325" s="304">
        <f t="shared" si="42"/>
        <v>12365.83</v>
      </c>
    </row>
    <row r="326" spans="6:19">
      <c r="H326" s="600">
        <f>SUM(H317:H325)</f>
        <v>34107.49</v>
      </c>
      <c r="J326" s="304">
        <v>19.3</v>
      </c>
      <c r="K326" s="304">
        <v>3115.72</v>
      </c>
      <c r="L326" s="304">
        <f t="shared" si="40"/>
        <v>60133.4</v>
      </c>
      <c r="M326" s="304">
        <v>1</v>
      </c>
      <c r="N326" s="304">
        <v>182</v>
      </c>
      <c r="O326" s="304">
        <f t="shared" si="41"/>
        <v>182</v>
      </c>
      <c r="P326" s="304">
        <v>12</v>
      </c>
      <c r="Q326" s="304">
        <v>314.49</v>
      </c>
      <c r="R326" s="304">
        <f t="shared" si="42"/>
        <v>3773.88</v>
      </c>
    </row>
    <row r="327" spans="6:19">
      <c r="H327" s="600">
        <f>O330</f>
        <v>40133.96</v>
      </c>
      <c r="J327" s="304">
        <v>245.3</v>
      </c>
      <c r="K327" s="304">
        <v>365.75</v>
      </c>
      <c r="L327" s="304">
        <f t="shared" si="40"/>
        <v>89718.48</v>
      </c>
      <c r="M327" s="304">
        <v>1</v>
      </c>
      <c r="N327" s="304">
        <v>1368</v>
      </c>
      <c r="O327" s="304">
        <f t="shared" si="41"/>
        <v>1368</v>
      </c>
      <c r="R327" s="600">
        <f>SUM(R317:R326)</f>
        <v>100144.66</v>
      </c>
    </row>
    <row r="328" spans="6:19">
      <c r="H328" s="600">
        <f>SUM(H326:H327)</f>
        <v>74241.45</v>
      </c>
      <c r="J328" s="304">
        <v>887.8</v>
      </c>
      <c r="K328" s="304">
        <v>88.2</v>
      </c>
      <c r="L328" s="304">
        <f t="shared" si="40"/>
        <v>78303.960000000006</v>
      </c>
      <c r="M328" s="304">
        <v>20</v>
      </c>
      <c r="N328" s="304">
        <v>105.3</v>
      </c>
      <c r="O328" s="304">
        <f t="shared" si="41"/>
        <v>2106</v>
      </c>
      <c r="R328" s="304">
        <f>R327*12.5/100</f>
        <v>12518.08</v>
      </c>
    </row>
    <row r="329" spans="6:19">
      <c r="H329" s="304">
        <v>10000</v>
      </c>
      <c r="J329" s="304">
        <v>17.2</v>
      </c>
      <c r="K329" s="304">
        <v>100.91</v>
      </c>
      <c r="L329" s="304">
        <f t="shared" si="40"/>
        <v>1735.65</v>
      </c>
      <c r="M329" s="304">
        <v>2</v>
      </c>
      <c r="N329" s="304">
        <v>475</v>
      </c>
      <c r="O329" s="304">
        <f t="shared" si="41"/>
        <v>950</v>
      </c>
      <c r="R329" s="304">
        <f>R327*0.3/100</f>
        <v>300.43</v>
      </c>
    </row>
    <row r="330" spans="6:19">
      <c r="H330" s="600">
        <f>SUM(H328:H329)</f>
        <v>84241.45</v>
      </c>
      <c r="J330" s="304">
        <v>241.7</v>
      </c>
      <c r="K330" s="304">
        <v>25.27</v>
      </c>
      <c r="L330" s="304">
        <f t="shared" si="40"/>
        <v>6107.76</v>
      </c>
      <c r="O330" s="600">
        <f>SUM(O317:O329)</f>
        <v>40133.96</v>
      </c>
      <c r="R330" s="304">
        <f>R327*2.5/100+22.36</f>
        <v>2525.98</v>
      </c>
    </row>
    <row r="331" spans="6:19">
      <c r="H331" s="304">
        <f>H330*12.5/100</f>
        <v>10530.18</v>
      </c>
      <c r="J331" s="304">
        <v>241.7</v>
      </c>
      <c r="K331" s="304">
        <v>16.14</v>
      </c>
      <c r="L331" s="304">
        <f t="shared" si="40"/>
        <v>3901.04</v>
      </c>
      <c r="R331" s="304">
        <f>R327*7.5/100</f>
        <v>7510.85</v>
      </c>
    </row>
    <row r="332" spans="6:19">
      <c r="H332" s="304">
        <f>H330*0.3/100</f>
        <v>252.72</v>
      </c>
      <c r="J332" s="304">
        <v>11.9</v>
      </c>
      <c r="K332" s="304">
        <v>181.36</v>
      </c>
      <c r="L332" s="304">
        <f t="shared" si="40"/>
        <v>2158.1799999999998</v>
      </c>
      <c r="R332" s="600">
        <f>SUM(R327:R331)</f>
        <v>123000</v>
      </c>
      <c r="S332" s="304">
        <f>R332-123000</f>
        <v>0</v>
      </c>
    </row>
    <row r="333" spans="6:19">
      <c r="H333" s="304">
        <f>H330*2.5/100+51.5</f>
        <v>2157.54</v>
      </c>
      <c r="J333" s="304">
        <v>887.5</v>
      </c>
      <c r="K333" s="304">
        <v>48.78</v>
      </c>
      <c r="L333" s="304">
        <f t="shared" si="40"/>
        <v>43292.25</v>
      </c>
    </row>
    <row r="334" spans="6:19">
      <c r="H334" s="304">
        <f>H330*7.5/100</f>
        <v>6318.11</v>
      </c>
      <c r="J334" s="304">
        <v>887.5</v>
      </c>
      <c r="K334" s="304">
        <v>20.82</v>
      </c>
      <c r="L334" s="304">
        <f t="shared" si="40"/>
        <v>18477.75</v>
      </c>
    </row>
    <row r="335" spans="6:19">
      <c r="H335" s="600">
        <f>SUM(H330:H334)</f>
        <v>103500</v>
      </c>
      <c r="J335" s="304">
        <v>92.2</v>
      </c>
      <c r="K335" s="304">
        <v>81.680000000000007</v>
      </c>
      <c r="L335" s="304">
        <f t="shared" si="40"/>
        <v>7530.9</v>
      </c>
    </row>
    <row r="336" spans="6:19">
      <c r="H336" s="304">
        <f>103500-H335</f>
        <v>0</v>
      </c>
      <c r="J336" s="304">
        <v>21</v>
      </c>
      <c r="K336" s="304">
        <v>74.95</v>
      </c>
      <c r="L336" s="304">
        <f t="shared" si="40"/>
        <v>1573.95</v>
      </c>
    </row>
    <row r="337" spans="10:12">
      <c r="J337" s="304">
        <v>475</v>
      </c>
      <c r="K337" s="304">
        <v>60.35</v>
      </c>
      <c r="L337" s="304">
        <f t="shared" si="40"/>
        <v>28666.25</v>
      </c>
    </row>
    <row r="338" spans="10:12">
      <c r="J338" s="304">
        <v>1.1299999999999999</v>
      </c>
      <c r="K338" s="304">
        <v>57945.1</v>
      </c>
      <c r="L338" s="304">
        <f t="shared" si="40"/>
        <v>65477.96</v>
      </c>
    </row>
    <row r="339" spans="10:12">
      <c r="L339" s="304">
        <f>SUM(L317:L338)</f>
        <v>762742.94</v>
      </c>
    </row>
    <row r="340" spans="10:12">
      <c r="L340" s="304">
        <f>L339*0.3%</f>
        <v>2288.23</v>
      </c>
    </row>
    <row r="341" spans="10:12">
      <c r="L341" s="304">
        <f>L339*2.5%+194.54</f>
        <v>19263.11</v>
      </c>
    </row>
    <row r="342" spans="10:12">
      <c r="L342" s="304">
        <f>L339*7.5%</f>
        <v>57205.72</v>
      </c>
    </row>
    <row r="344" spans="10:12">
      <c r="L344" s="304">
        <f>SUM(L339:L343)</f>
        <v>841500</v>
      </c>
    </row>
    <row r="346" spans="10:12">
      <c r="L346" s="304">
        <f>841500-L344</f>
        <v>0</v>
      </c>
    </row>
  </sheetData>
  <autoFilter ref="A4:V213"/>
  <mergeCells count="14">
    <mergeCell ref="S2:T2"/>
    <mergeCell ref="Q2:R2"/>
    <mergeCell ref="U2:V2"/>
    <mergeCell ref="A1:V1"/>
    <mergeCell ref="A2:A3"/>
    <mergeCell ref="B2:B3"/>
    <mergeCell ref="C2:C3"/>
    <mergeCell ref="D2:D3"/>
    <mergeCell ref="E2:F2"/>
    <mergeCell ref="G2:H2"/>
    <mergeCell ref="I2:J2"/>
    <mergeCell ref="K2:L2"/>
    <mergeCell ref="M2:N2"/>
    <mergeCell ref="O2:P2"/>
  </mergeCells>
  <phoneticPr fontId="0" type="noConversion"/>
  <pageMargins left="0.74" right="0.33" top="0.72" bottom="0.49" header="0.5" footer="0.5"/>
  <pageSetup paperSize="8" scale="60" orientation="landscape" r:id="rId1"/>
  <headerFooter alignWithMargins="0">
    <oddHeader>&amp;CUthukottai&amp;R&amp;P</oddHeader>
  </headerFooter>
  <rowBreaks count="2" manualBreakCount="2">
    <brk id="135" max="21" man="1"/>
    <brk id="213" max="21" man="1"/>
  </rowBreaks>
  <ignoredErrors>
    <ignoredError sqref="H213 J213" formula="1"/>
  </ignoredErrors>
</worksheet>
</file>

<file path=xl/worksheets/sheet19.xml><?xml version="1.0" encoding="utf-8"?>
<worksheet xmlns="http://schemas.openxmlformats.org/spreadsheetml/2006/main" xmlns:r="http://schemas.openxmlformats.org/officeDocument/2006/relationships">
  <dimension ref="A1:M92"/>
  <sheetViews>
    <sheetView workbookViewId="0">
      <selection activeCell="H16" sqref="H16"/>
    </sheetView>
  </sheetViews>
  <sheetFormatPr defaultRowHeight="15.75"/>
  <cols>
    <col min="1" max="1" width="3.88671875" customWidth="1"/>
    <col min="2" max="2" width="29.6640625" customWidth="1"/>
    <col min="3" max="3" width="2.77734375" customWidth="1"/>
    <col min="4" max="4" width="5.21875" customWidth="1"/>
    <col min="5" max="5" width="7.5546875" customWidth="1"/>
    <col min="6" max="6" width="7.77734375" customWidth="1"/>
    <col min="7" max="7" width="8.5546875" customWidth="1"/>
  </cols>
  <sheetData>
    <row r="1" spans="1:8" ht="16.5">
      <c r="A1" s="1273" t="s">
        <v>3969</v>
      </c>
      <c r="B1" s="1273"/>
      <c r="C1" s="1273"/>
      <c r="D1" s="1273"/>
      <c r="E1" s="1273"/>
      <c r="F1" s="1273"/>
      <c r="G1" s="1273"/>
      <c r="H1" s="1273"/>
    </row>
    <row r="2" spans="1:8" ht="16.5">
      <c r="A2" s="1273" t="s">
        <v>3916</v>
      </c>
      <c r="B2" s="1273"/>
      <c r="C2" s="1273"/>
      <c r="D2" s="1273"/>
      <c r="E2" s="1273"/>
      <c r="F2" s="1273"/>
      <c r="G2" s="1273"/>
      <c r="H2" s="1273"/>
    </row>
    <row r="3" spans="1:8">
      <c r="A3" s="1274" t="s">
        <v>3901</v>
      </c>
      <c r="B3" s="1275" t="s">
        <v>3906</v>
      </c>
      <c r="C3" s="1276" t="s">
        <v>1950</v>
      </c>
      <c r="D3" s="1276"/>
      <c r="E3" s="1274" t="s">
        <v>3811</v>
      </c>
      <c r="F3" s="1274" t="s">
        <v>1635</v>
      </c>
      <c r="G3" s="1274" t="s">
        <v>3812</v>
      </c>
      <c r="H3" s="1274" t="s">
        <v>1669</v>
      </c>
    </row>
    <row r="4" spans="1:8">
      <c r="A4" s="1274"/>
      <c r="B4" s="1275"/>
      <c r="C4" s="1276"/>
      <c r="D4" s="1276"/>
      <c r="E4" s="1274"/>
      <c r="F4" s="1274"/>
      <c r="G4" s="1274"/>
      <c r="H4" s="1274"/>
    </row>
    <row r="5" spans="1:8" ht="63.75" customHeight="1">
      <c r="A5" s="822">
        <v>1</v>
      </c>
      <c r="B5" s="819" t="s">
        <v>3936</v>
      </c>
      <c r="C5" s="821"/>
      <c r="D5" s="821"/>
      <c r="E5" s="820"/>
      <c r="F5" s="820"/>
      <c r="G5" s="820"/>
      <c r="H5" s="820"/>
    </row>
    <row r="6" spans="1:8">
      <c r="A6" s="822"/>
      <c r="B6" s="819" t="s">
        <v>3937</v>
      </c>
      <c r="C6" s="822">
        <v>1</v>
      </c>
      <c r="D6" s="822">
        <v>1</v>
      </c>
      <c r="E6" s="824">
        <v>5.66</v>
      </c>
      <c r="F6" s="824">
        <v>3.66</v>
      </c>
      <c r="G6" s="824">
        <v>2</v>
      </c>
      <c r="H6" s="824">
        <f>G6*F6*E6*D6*C6</f>
        <v>41.43</v>
      </c>
    </row>
    <row r="7" spans="1:8">
      <c r="A7" s="822"/>
      <c r="B7" s="819" t="s">
        <v>3938</v>
      </c>
      <c r="C7" s="822">
        <v>2</v>
      </c>
      <c r="D7" s="822">
        <v>5</v>
      </c>
      <c r="E7" s="824">
        <v>1.21</v>
      </c>
      <c r="F7" s="824">
        <v>1.21</v>
      </c>
      <c r="G7" s="824">
        <v>0.9</v>
      </c>
      <c r="H7" s="824">
        <f>G7*F7*E7*D7*C7</f>
        <v>13.18</v>
      </c>
    </row>
    <row r="8" spans="1:8">
      <c r="A8" s="822"/>
      <c r="B8" s="819" t="s">
        <v>3939</v>
      </c>
      <c r="C8" s="822">
        <v>1</v>
      </c>
      <c r="D8" s="822">
        <v>1</v>
      </c>
      <c r="E8" s="824">
        <v>6</v>
      </c>
      <c r="F8" s="824">
        <v>1.5</v>
      </c>
      <c r="G8" s="824">
        <v>1</v>
      </c>
      <c r="H8" s="824">
        <f>G8*F8*E8*D8*C8</f>
        <v>9</v>
      </c>
    </row>
    <row r="9" spans="1:8">
      <c r="A9" s="822"/>
      <c r="B9" s="819"/>
      <c r="C9" s="822"/>
      <c r="D9" s="822"/>
      <c r="E9" s="824"/>
      <c r="F9" s="824"/>
      <c r="G9" s="824"/>
      <c r="H9" s="824">
        <f>SUM(H6:H8)</f>
        <v>63.61</v>
      </c>
    </row>
    <row r="10" spans="1:8">
      <c r="A10" s="822"/>
      <c r="B10" s="819"/>
      <c r="C10" s="822"/>
      <c r="D10" s="822"/>
      <c r="E10" s="824"/>
      <c r="F10" s="824"/>
      <c r="G10" s="826" t="s">
        <v>3907</v>
      </c>
      <c r="H10" s="827">
        <f>H9+0.39</f>
        <v>64</v>
      </c>
    </row>
    <row r="11" spans="1:8">
      <c r="A11" s="822"/>
      <c r="B11" s="819"/>
      <c r="C11" s="822"/>
      <c r="D11" s="822"/>
      <c r="E11" s="824"/>
      <c r="F11" s="824"/>
      <c r="G11" s="824"/>
      <c r="H11" s="824"/>
    </row>
    <row r="12" spans="1:8" ht="30">
      <c r="A12" s="822">
        <v>2</v>
      </c>
      <c r="B12" s="828" t="s">
        <v>3908</v>
      </c>
      <c r="C12" s="822"/>
      <c r="D12" s="822"/>
      <c r="E12" s="824"/>
      <c r="F12" s="824"/>
      <c r="G12" s="824"/>
      <c r="H12" s="824"/>
    </row>
    <row r="13" spans="1:8">
      <c r="A13" s="822"/>
      <c r="B13" s="819" t="s">
        <v>3937</v>
      </c>
      <c r="C13" s="822">
        <v>1</v>
      </c>
      <c r="D13" s="822">
        <v>1</v>
      </c>
      <c r="E13" s="824">
        <v>5.66</v>
      </c>
      <c r="F13" s="824">
        <v>3.66</v>
      </c>
      <c r="G13" s="824">
        <v>0.1</v>
      </c>
      <c r="H13" s="824">
        <f>G13*F13*E13*D13*C13</f>
        <v>2.0699999999999998</v>
      </c>
    </row>
    <row r="14" spans="1:8">
      <c r="A14" s="822"/>
      <c r="B14" s="819" t="s">
        <v>3938</v>
      </c>
      <c r="C14" s="822">
        <v>2</v>
      </c>
      <c r="D14" s="822">
        <v>5</v>
      </c>
      <c r="E14" s="824">
        <v>1.21</v>
      </c>
      <c r="F14" s="824">
        <v>1.21</v>
      </c>
      <c r="G14" s="824">
        <v>0.15</v>
      </c>
      <c r="H14" s="824">
        <f>G14*F14*E14*D14*C14</f>
        <v>2.2000000000000002</v>
      </c>
    </row>
    <row r="15" spans="1:8">
      <c r="A15" s="822"/>
      <c r="B15" s="819"/>
      <c r="C15" s="822"/>
      <c r="D15" s="822"/>
      <c r="E15" s="824"/>
      <c r="F15" s="824"/>
      <c r="G15" s="824"/>
      <c r="H15" s="824">
        <f>SUM(H13:H14)</f>
        <v>4.2699999999999996</v>
      </c>
    </row>
    <row r="16" spans="1:8">
      <c r="A16" s="822"/>
      <c r="B16" s="819"/>
      <c r="C16" s="822"/>
      <c r="D16" s="822"/>
      <c r="E16" s="824"/>
      <c r="F16" s="824"/>
      <c r="G16" s="826" t="s">
        <v>3907</v>
      </c>
      <c r="H16" s="827">
        <f>H15+0.23</f>
        <v>4.5</v>
      </c>
    </row>
    <row r="17" spans="1:8">
      <c r="A17" s="822"/>
      <c r="B17" s="819"/>
      <c r="C17" s="822"/>
      <c r="D17" s="822"/>
      <c r="E17" s="824"/>
      <c r="F17" s="824"/>
      <c r="G17" s="824"/>
      <c r="H17" s="824"/>
    </row>
    <row r="18" spans="1:8" ht="30">
      <c r="A18" s="822">
        <v>3</v>
      </c>
      <c r="B18" s="828" t="s">
        <v>3940</v>
      </c>
      <c r="C18" s="822"/>
      <c r="D18" s="822"/>
      <c r="E18" s="824"/>
      <c r="F18" s="824"/>
      <c r="G18" s="824"/>
      <c r="H18" s="824"/>
    </row>
    <row r="19" spans="1:8">
      <c r="A19" s="822"/>
      <c r="B19" s="819" t="s">
        <v>3937</v>
      </c>
      <c r="C19" s="822">
        <v>1</v>
      </c>
      <c r="D19" s="822">
        <v>1</v>
      </c>
      <c r="E19" s="824">
        <v>5.66</v>
      </c>
      <c r="F19" s="824">
        <v>3.66</v>
      </c>
      <c r="G19" s="824">
        <v>0.23</v>
      </c>
      <c r="H19" s="824">
        <f>G19*F19*E19*D19*C19</f>
        <v>4.76</v>
      </c>
    </row>
    <row r="20" spans="1:8">
      <c r="A20" s="822"/>
      <c r="B20" s="819"/>
      <c r="C20" s="822"/>
      <c r="D20" s="822"/>
      <c r="E20" s="824"/>
      <c r="F20" s="824"/>
      <c r="G20" s="824"/>
      <c r="H20" s="824">
        <f>SUM(H19)</f>
        <v>4.76</v>
      </c>
    </row>
    <row r="21" spans="1:8">
      <c r="A21" s="822"/>
      <c r="B21" s="819"/>
      <c r="C21" s="822"/>
      <c r="D21" s="822"/>
      <c r="E21" s="824"/>
      <c r="F21" s="824"/>
      <c r="G21" s="826" t="s">
        <v>3907</v>
      </c>
      <c r="H21" s="827">
        <f>H20+0.24</f>
        <v>5</v>
      </c>
    </row>
    <row r="22" spans="1:8">
      <c r="A22" s="822"/>
      <c r="B22" s="819"/>
      <c r="C22" s="822"/>
      <c r="D22" s="822"/>
      <c r="E22" s="824"/>
      <c r="F22" s="824"/>
      <c r="G22" s="824"/>
      <c r="H22" s="824"/>
    </row>
    <row r="23" spans="1:8" ht="30">
      <c r="A23" s="822">
        <v>4</v>
      </c>
      <c r="B23" s="819" t="s">
        <v>3941</v>
      </c>
      <c r="C23" s="822"/>
      <c r="D23" s="822"/>
      <c r="E23" s="824"/>
      <c r="F23" s="824"/>
      <c r="G23" s="824"/>
      <c r="H23" s="824"/>
    </row>
    <row r="24" spans="1:8">
      <c r="A24" s="822"/>
      <c r="B24" s="819" t="s">
        <v>3939</v>
      </c>
      <c r="C24" s="822">
        <v>1</v>
      </c>
      <c r="D24" s="822">
        <v>1</v>
      </c>
      <c r="E24" s="824">
        <v>6</v>
      </c>
      <c r="F24" s="824">
        <v>1.5</v>
      </c>
      <c r="G24" s="824">
        <v>0.4</v>
      </c>
      <c r="H24" s="826">
        <f>G24*F24*E24*D24*C24</f>
        <v>3.6</v>
      </c>
    </row>
    <row r="25" spans="1:8">
      <c r="A25" s="822"/>
      <c r="B25" s="819"/>
      <c r="C25" s="822"/>
      <c r="D25" s="822"/>
      <c r="E25" s="824"/>
      <c r="F25" s="824"/>
      <c r="G25" s="824"/>
      <c r="H25" s="824"/>
    </row>
    <row r="26" spans="1:8" ht="30">
      <c r="A26" s="822">
        <v>5</v>
      </c>
      <c r="B26" s="819" t="s">
        <v>3942</v>
      </c>
      <c r="C26" s="822"/>
      <c r="D26" s="822"/>
      <c r="E26" s="824"/>
      <c r="F26" s="824"/>
      <c r="G26" s="824"/>
      <c r="H26" s="824"/>
    </row>
    <row r="27" spans="1:8">
      <c r="A27" s="822"/>
      <c r="B27" s="819" t="s">
        <v>3939</v>
      </c>
      <c r="C27" s="822">
        <v>1</v>
      </c>
      <c r="D27" s="822">
        <v>1</v>
      </c>
      <c r="E27" s="824">
        <v>6</v>
      </c>
      <c r="F27" s="824">
        <v>1.5</v>
      </c>
      <c r="G27" s="824">
        <v>0.2</v>
      </c>
      <c r="H27" s="826">
        <f>G27*F27*E27*D27*C27</f>
        <v>1.8</v>
      </c>
    </row>
    <row r="28" spans="1:8">
      <c r="A28" s="822"/>
      <c r="B28" s="819"/>
      <c r="C28" s="822"/>
      <c r="D28" s="822"/>
      <c r="E28" s="824"/>
      <c r="F28" s="824"/>
      <c r="G28" s="824"/>
      <c r="H28" s="824"/>
    </row>
    <row r="29" spans="1:8" ht="45">
      <c r="A29" s="822">
        <v>6</v>
      </c>
      <c r="B29" s="819" t="s">
        <v>3943</v>
      </c>
      <c r="C29" s="822"/>
      <c r="D29" s="822"/>
      <c r="E29" s="824"/>
      <c r="F29" s="824"/>
      <c r="G29" s="824"/>
      <c r="H29" s="824"/>
    </row>
    <row r="30" spans="1:8">
      <c r="A30" s="822"/>
      <c r="B30" s="819" t="s">
        <v>3939</v>
      </c>
      <c r="C30" s="822">
        <v>1</v>
      </c>
      <c r="D30" s="822">
        <v>1</v>
      </c>
      <c r="E30" s="824">
        <v>6</v>
      </c>
      <c r="F30" s="824">
        <v>1.5</v>
      </c>
      <c r="G30" s="824">
        <v>0.2</v>
      </c>
      <c r="H30" s="826">
        <f>G30*F30*E30*D30*C30</f>
        <v>1.8</v>
      </c>
    </row>
    <row r="31" spans="1:8">
      <c r="A31" s="822"/>
      <c r="B31" s="819"/>
      <c r="C31" s="822"/>
      <c r="D31" s="822"/>
      <c r="E31" s="824"/>
      <c r="F31" s="824"/>
      <c r="G31" s="824"/>
      <c r="H31" s="824"/>
    </row>
    <row r="32" spans="1:8" ht="105">
      <c r="A32" s="822">
        <v>7</v>
      </c>
      <c r="B32" s="819" t="s">
        <v>3944</v>
      </c>
      <c r="C32" s="822"/>
      <c r="D32" s="822"/>
      <c r="E32" s="824"/>
      <c r="F32" s="824"/>
      <c r="G32" s="824"/>
      <c r="H32" s="824"/>
    </row>
    <row r="33" spans="1:8">
      <c r="A33" s="822"/>
      <c r="B33" s="819" t="s">
        <v>3945</v>
      </c>
      <c r="C33" s="822"/>
      <c r="D33" s="822"/>
      <c r="E33" s="824"/>
      <c r="F33" s="824"/>
      <c r="G33" s="824"/>
      <c r="H33" s="824"/>
    </row>
    <row r="34" spans="1:8">
      <c r="A34" s="822"/>
      <c r="B34" s="819" t="s">
        <v>3946</v>
      </c>
      <c r="C34" s="822">
        <v>1</v>
      </c>
      <c r="D34" s="822">
        <v>1</v>
      </c>
      <c r="E34" s="824">
        <v>14.4</v>
      </c>
      <c r="F34" s="824">
        <v>0.6</v>
      </c>
      <c r="G34" s="824">
        <v>0.9</v>
      </c>
      <c r="H34" s="824">
        <f>G34*F34*E34*D34*C34</f>
        <v>7.78</v>
      </c>
    </row>
    <row r="35" spans="1:8">
      <c r="A35" s="822"/>
      <c r="B35" s="819" t="s">
        <v>3947</v>
      </c>
      <c r="C35" s="822">
        <v>1</v>
      </c>
      <c r="D35" s="822">
        <v>1</v>
      </c>
      <c r="E35" s="824">
        <v>13.84</v>
      </c>
      <c r="F35" s="824">
        <v>0.46</v>
      </c>
      <c r="G35" s="824">
        <v>0.9</v>
      </c>
      <c r="H35" s="824">
        <f>G35*F35*E35*D35*C35</f>
        <v>5.73</v>
      </c>
    </row>
    <row r="36" spans="1:8">
      <c r="A36" s="822"/>
      <c r="B36" s="819" t="s">
        <v>3948</v>
      </c>
      <c r="C36" s="822">
        <v>1</v>
      </c>
      <c r="D36" s="822">
        <v>1</v>
      </c>
      <c r="E36" s="824">
        <v>12.92</v>
      </c>
      <c r="F36" s="824">
        <v>0.23</v>
      </c>
      <c r="G36" s="824">
        <v>0.35</v>
      </c>
      <c r="H36" s="824">
        <f>G36*F36*E36*D36*C36</f>
        <v>1.04</v>
      </c>
    </row>
    <row r="37" spans="1:8">
      <c r="A37" s="822"/>
      <c r="B37" s="819" t="s">
        <v>3938</v>
      </c>
      <c r="C37" s="822">
        <v>2</v>
      </c>
      <c r="D37" s="822">
        <v>5</v>
      </c>
      <c r="E37" s="824">
        <v>3.32</v>
      </c>
      <c r="F37" s="824">
        <v>0.23</v>
      </c>
      <c r="G37" s="824">
        <v>0.9</v>
      </c>
      <c r="H37" s="824">
        <f>G37*F37*E37*D37*C37</f>
        <v>6.87</v>
      </c>
    </row>
    <row r="38" spans="1:8">
      <c r="A38" s="822"/>
      <c r="B38" s="819" t="s">
        <v>3949</v>
      </c>
      <c r="C38" s="822">
        <v>2</v>
      </c>
      <c r="D38" s="822">
        <v>5</v>
      </c>
      <c r="E38" s="824">
        <v>0.6</v>
      </c>
      <c r="F38" s="824">
        <v>0.6</v>
      </c>
      <c r="G38" s="824">
        <v>0.12</v>
      </c>
      <c r="H38" s="824">
        <f>G38*F38*E38*D38*C38</f>
        <v>0.43</v>
      </c>
    </row>
    <row r="39" spans="1:8">
      <c r="A39" s="822"/>
      <c r="B39" s="819"/>
      <c r="C39" s="822"/>
      <c r="D39" s="822"/>
      <c r="E39" s="824"/>
      <c r="F39" s="824"/>
      <c r="G39" s="824"/>
      <c r="H39" s="824">
        <f>SUM(H34:H38)</f>
        <v>21.85</v>
      </c>
    </row>
    <row r="40" spans="1:8">
      <c r="A40" s="822"/>
      <c r="B40" s="819"/>
      <c r="C40" s="822"/>
      <c r="D40" s="822"/>
      <c r="E40" s="824"/>
      <c r="F40" s="824"/>
      <c r="G40" s="826" t="s">
        <v>3907</v>
      </c>
      <c r="H40" s="827">
        <f>H39+0.15</f>
        <v>22</v>
      </c>
    </row>
    <row r="41" spans="1:8">
      <c r="A41" s="822"/>
      <c r="B41" s="819"/>
      <c r="C41" s="822"/>
      <c r="D41" s="822"/>
      <c r="E41" s="824"/>
      <c r="F41" s="824"/>
      <c r="G41" s="824"/>
      <c r="H41" s="824"/>
    </row>
    <row r="42" spans="1:8" ht="60">
      <c r="A42" s="822">
        <v>8</v>
      </c>
      <c r="B42" s="819" t="s">
        <v>3924</v>
      </c>
      <c r="C42" s="822"/>
      <c r="D42" s="822"/>
      <c r="E42" s="824"/>
      <c r="F42" s="824"/>
      <c r="G42" s="824"/>
      <c r="H42" s="824"/>
    </row>
    <row r="43" spans="1:8">
      <c r="A43" s="822"/>
      <c r="B43" s="819" t="s">
        <v>3953</v>
      </c>
      <c r="C43" s="822">
        <v>1</v>
      </c>
      <c r="D43" s="822">
        <v>1</v>
      </c>
      <c r="E43" s="824">
        <v>4</v>
      </c>
      <c r="F43" s="824">
        <v>2</v>
      </c>
      <c r="G43" s="824"/>
      <c r="H43" s="824">
        <f>F43*E43*D43*C43</f>
        <v>8</v>
      </c>
    </row>
    <row r="44" spans="1:8">
      <c r="A44" s="822"/>
      <c r="B44" s="819" t="s">
        <v>3954</v>
      </c>
      <c r="C44" s="822">
        <v>2</v>
      </c>
      <c r="D44" s="822">
        <v>5</v>
      </c>
      <c r="E44" s="824">
        <v>0.8</v>
      </c>
      <c r="F44" s="824">
        <v>0.6</v>
      </c>
      <c r="G44" s="824"/>
      <c r="H44" s="824">
        <f>F44*E44*D44*C44</f>
        <v>4.8</v>
      </c>
    </row>
    <row r="45" spans="1:8">
      <c r="A45" s="822"/>
      <c r="B45" s="819"/>
      <c r="C45" s="822"/>
      <c r="D45" s="822"/>
      <c r="E45" s="824"/>
      <c r="F45" s="824"/>
      <c r="G45" s="824"/>
      <c r="H45" s="826">
        <f>SUM(H43:H44)</f>
        <v>12.8</v>
      </c>
    </row>
    <row r="46" spans="1:8">
      <c r="A46" s="822"/>
      <c r="B46" s="819"/>
      <c r="C46" s="822"/>
      <c r="D46" s="822"/>
      <c r="E46" s="824"/>
      <c r="F46" s="824"/>
      <c r="G46" s="824"/>
      <c r="H46" s="824"/>
    </row>
    <row r="47" spans="1:8" ht="60">
      <c r="A47" s="822">
        <v>9</v>
      </c>
      <c r="B47" s="819" t="s">
        <v>3950</v>
      </c>
      <c r="C47" s="822"/>
      <c r="D47" s="822"/>
      <c r="E47" s="824"/>
      <c r="F47" s="824"/>
      <c r="G47" s="824"/>
      <c r="H47" s="824"/>
    </row>
    <row r="48" spans="1:8">
      <c r="A48" s="822"/>
      <c r="B48" s="819" t="s">
        <v>3951</v>
      </c>
      <c r="C48" s="822">
        <v>1</v>
      </c>
      <c r="D48" s="822">
        <v>1</v>
      </c>
      <c r="E48" s="824">
        <v>12</v>
      </c>
      <c r="F48" s="824"/>
      <c r="G48" s="824">
        <v>2</v>
      </c>
      <c r="H48" s="824">
        <f>G48*E48*D48*C48</f>
        <v>24</v>
      </c>
    </row>
    <row r="49" spans="1:8">
      <c r="A49" s="822"/>
      <c r="B49" s="819" t="s">
        <v>3952</v>
      </c>
      <c r="C49" s="822">
        <v>2</v>
      </c>
      <c r="D49" s="822">
        <v>5</v>
      </c>
      <c r="E49" s="824">
        <v>2.4</v>
      </c>
      <c r="F49" s="824"/>
      <c r="G49" s="824">
        <v>0.78</v>
      </c>
      <c r="H49" s="824">
        <f>G49*E49*D49*C49</f>
        <v>18.72</v>
      </c>
    </row>
    <row r="50" spans="1:8">
      <c r="A50" s="822"/>
      <c r="B50" s="819"/>
      <c r="C50" s="822"/>
      <c r="D50" s="822"/>
      <c r="E50" s="824"/>
      <c r="F50" s="824"/>
      <c r="G50" s="824"/>
      <c r="H50" s="824">
        <f>SUM(H48:H49)</f>
        <v>42.72</v>
      </c>
    </row>
    <row r="51" spans="1:8">
      <c r="A51" s="822"/>
      <c r="B51" s="819"/>
      <c r="C51" s="822"/>
      <c r="D51" s="822"/>
      <c r="E51" s="824"/>
      <c r="F51" s="824"/>
      <c r="G51" s="826" t="s">
        <v>3907</v>
      </c>
      <c r="H51" s="827">
        <f>H50+0.28</f>
        <v>43</v>
      </c>
    </row>
    <row r="52" spans="1:8">
      <c r="A52" s="822"/>
      <c r="B52" s="819"/>
      <c r="C52" s="822"/>
      <c r="D52" s="822"/>
      <c r="E52" s="824"/>
      <c r="F52" s="824"/>
      <c r="G52" s="824"/>
      <c r="H52" s="824"/>
    </row>
    <row r="53" spans="1:8" ht="60">
      <c r="A53" s="822">
        <v>10</v>
      </c>
      <c r="B53" s="819" t="s">
        <v>3928</v>
      </c>
      <c r="C53" s="822"/>
      <c r="D53" s="822"/>
      <c r="E53" s="824"/>
      <c r="F53" s="824"/>
      <c r="G53" s="824"/>
      <c r="H53" s="824"/>
    </row>
    <row r="54" spans="1:8">
      <c r="A54" s="822"/>
      <c r="B54" s="819" t="s">
        <v>3929</v>
      </c>
      <c r="C54" s="822"/>
      <c r="D54" s="822"/>
      <c r="E54" s="824"/>
      <c r="F54" s="824"/>
      <c r="G54" s="824"/>
      <c r="H54" s="824"/>
    </row>
    <row r="55" spans="1:8">
      <c r="A55" s="822"/>
      <c r="B55" s="819" t="s">
        <v>3955</v>
      </c>
      <c r="C55" s="822">
        <v>1</v>
      </c>
      <c r="D55" s="822">
        <v>1</v>
      </c>
      <c r="E55" s="824">
        <v>4.46</v>
      </c>
      <c r="F55" s="824">
        <v>2.46</v>
      </c>
      <c r="G55" s="824">
        <v>0.11</v>
      </c>
      <c r="H55" s="824">
        <f>G55*F55*E55*D55*C55</f>
        <v>1.21</v>
      </c>
    </row>
    <row r="56" spans="1:8">
      <c r="A56" s="822"/>
      <c r="B56" s="819"/>
      <c r="C56" s="822"/>
      <c r="D56" s="822"/>
      <c r="E56" s="824"/>
      <c r="F56" s="824"/>
      <c r="G56" s="824"/>
      <c r="H56" s="824">
        <f>SUM(H55)</f>
        <v>1.21</v>
      </c>
    </row>
    <row r="57" spans="1:8">
      <c r="A57" s="822"/>
      <c r="B57" s="819"/>
      <c r="C57" s="822"/>
      <c r="D57" s="822"/>
      <c r="E57" s="824"/>
      <c r="F57" s="824"/>
      <c r="G57" s="826" t="s">
        <v>3907</v>
      </c>
      <c r="H57" s="827">
        <f>H56+0.29</f>
        <v>1.5</v>
      </c>
    </row>
    <row r="58" spans="1:8">
      <c r="A58" s="822"/>
      <c r="B58" s="819"/>
      <c r="C58" s="822"/>
      <c r="D58" s="822"/>
      <c r="E58" s="824"/>
      <c r="F58" s="824"/>
      <c r="G58" s="824"/>
      <c r="H58" s="824"/>
    </row>
    <row r="59" spans="1:8" ht="60">
      <c r="A59" s="822">
        <v>11</v>
      </c>
      <c r="B59" s="819" t="s">
        <v>3932</v>
      </c>
      <c r="C59" s="822"/>
      <c r="D59" s="822"/>
      <c r="E59" s="824"/>
      <c r="F59" s="824"/>
      <c r="G59" s="824"/>
      <c r="H59" s="824"/>
    </row>
    <row r="60" spans="1:8" ht="45">
      <c r="A60" s="822"/>
      <c r="B60" s="819" t="s">
        <v>3922</v>
      </c>
      <c r="C60" s="822"/>
      <c r="D60" s="822"/>
      <c r="E60" s="824"/>
      <c r="F60" s="824"/>
      <c r="G60" s="824"/>
      <c r="H60" s="824"/>
    </row>
    <row r="61" spans="1:8">
      <c r="A61" s="822"/>
      <c r="B61" s="819" t="s">
        <v>3956</v>
      </c>
      <c r="C61" s="822">
        <v>1</v>
      </c>
      <c r="D61" s="822">
        <v>1</v>
      </c>
      <c r="E61" s="824">
        <v>4</v>
      </c>
      <c r="F61" s="824">
        <v>2</v>
      </c>
      <c r="G61" s="824"/>
      <c r="H61" s="824">
        <f>F61*E61*D61*C61</f>
        <v>8</v>
      </c>
    </row>
    <row r="62" spans="1:8">
      <c r="A62" s="822"/>
      <c r="B62" s="819" t="s">
        <v>3933</v>
      </c>
      <c r="C62" s="822">
        <v>1</v>
      </c>
      <c r="D62" s="822">
        <v>1</v>
      </c>
      <c r="E62" s="824">
        <v>13.84</v>
      </c>
      <c r="F62" s="824"/>
      <c r="G62" s="824">
        <v>0.11</v>
      </c>
      <c r="H62" s="824">
        <f>G62*E62*D62*C62</f>
        <v>1.52</v>
      </c>
    </row>
    <row r="63" spans="1:8">
      <c r="A63" s="822"/>
      <c r="B63" s="819" t="s">
        <v>3957</v>
      </c>
      <c r="C63" s="822">
        <v>1</v>
      </c>
      <c r="D63" s="822">
        <v>1</v>
      </c>
      <c r="E63" s="824">
        <v>0.6</v>
      </c>
      <c r="F63" s="824">
        <v>0.6</v>
      </c>
      <c r="G63" s="824"/>
      <c r="H63" s="824">
        <f>-F63*E63*D63*C63</f>
        <v>-0.36</v>
      </c>
    </row>
    <row r="64" spans="1:8">
      <c r="A64" s="822"/>
      <c r="B64" s="819" t="s">
        <v>3958</v>
      </c>
      <c r="C64" s="822">
        <v>1</v>
      </c>
      <c r="D64" s="822">
        <v>1</v>
      </c>
      <c r="E64" s="824">
        <v>2.4</v>
      </c>
      <c r="F64" s="824"/>
      <c r="G64" s="824">
        <v>0.11</v>
      </c>
      <c r="H64" s="824">
        <f>-G64*E64*D64*C64</f>
        <v>-0.26</v>
      </c>
    </row>
    <row r="65" spans="1:13">
      <c r="A65" s="822"/>
      <c r="B65" s="819"/>
      <c r="C65" s="822"/>
      <c r="D65" s="822"/>
      <c r="E65" s="824"/>
      <c r="F65" s="824"/>
      <c r="G65" s="824"/>
      <c r="H65" s="826">
        <f>SUM(H61:H64)</f>
        <v>8.9</v>
      </c>
    </row>
    <row r="66" spans="1:13">
      <c r="A66" s="822"/>
      <c r="B66" s="819"/>
      <c r="C66" s="822"/>
      <c r="D66" s="822"/>
      <c r="E66" s="824"/>
      <c r="F66" s="824"/>
      <c r="G66" s="824"/>
      <c r="H66" s="824"/>
    </row>
    <row r="67" spans="1:13" ht="41.25" customHeight="1">
      <c r="A67" s="822">
        <v>12</v>
      </c>
      <c r="B67" s="819" t="s">
        <v>3959</v>
      </c>
      <c r="C67" s="819"/>
      <c r="D67" s="819"/>
      <c r="E67" s="819"/>
      <c r="F67" s="824"/>
      <c r="G67" s="824"/>
      <c r="H67" s="824"/>
    </row>
    <row r="68" spans="1:13">
      <c r="A68" s="822"/>
      <c r="B68" s="819" t="s">
        <v>3960</v>
      </c>
      <c r="C68" s="822">
        <v>2</v>
      </c>
      <c r="D68" s="822">
        <v>5</v>
      </c>
      <c r="E68" s="824">
        <v>0.75</v>
      </c>
      <c r="F68" s="824">
        <v>0.75</v>
      </c>
      <c r="G68" s="824"/>
      <c r="H68" s="824">
        <f>F68*E68*D68*C68</f>
        <v>5.63</v>
      </c>
    </row>
    <row r="69" spans="1:13">
      <c r="A69" s="822"/>
      <c r="B69" s="819" t="s">
        <v>3961</v>
      </c>
      <c r="C69" s="822">
        <v>1</v>
      </c>
      <c r="D69" s="822">
        <v>1</v>
      </c>
      <c r="E69" s="824">
        <v>0.75</v>
      </c>
      <c r="F69" s="824">
        <v>0.75</v>
      </c>
      <c r="G69" s="824"/>
      <c r="H69" s="824">
        <f>F69*E69*D69*C69</f>
        <v>0.56000000000000005</v>
      </c>
    </row>
    <row r="70" spans="1:13">
      <c r="A70" s="822"/>
      <c r="B70" s="819"/>
      <c r="C70" s="822"/>
      <c r="D70" s="822"/>
      <c r="E70" s="824"/>
      <c r="F70" s="824"/>
      <c r="G70" s="824"/>
      <c r="H70" s="824">
        <f>SUM(H68:H69)</f>
        <v>6.19</v>
      </c>
    </row>
    <row r="71" spans="1:13">
      <c r="A71" s="822"/>
      <c r="B71" s="819"/>
      <c r="C71" s="822"/>
      <c r="D71" s="822"/>
      <c r="E71" s="824"/>
      <c r="F71" s="824"/>
      <c r="G71" s="826" t="s">
        <v>3907</v>
      </c>
      <c r="H71" s="827">
        <f>H70+0.31</f>
        <v>6.5</v>
      </c>
    </row>
    <row r="72" spans="1:13">
      <c r="A72" s="822"/>
      <c r="B72" s="819"/>
      <c r="C72" s="822"/>
      <c r="D72" s="822"/>
      <c r="E72" s="824"/>
      <c r="F72" s="824"/>
      <c r="G72" s="824"/>
      <c r="H72" s="824"/>
    </row>
    <row r="73" spans="1:13" ht="60">
      <c r="A73" s="822">
        <v>13</v>
      </c>
      <c r="B73" s="819" t="s">
        <v>3931</v>
      </c>
      <c r="C73" s="822"/>
      <c r="D73" s="822"/>
      <c r="E73" s="824"/>
      <c r="F73" s="824"/>
      <c r="G73" s="824"/>
      <c r="H73" s="824"/>
    </row>
    <row r="74" spans="1:13">
      <c r="A74" s="822"/>
      <c r="B74" s="819" t="s">
        <v>3962</v>
      </c>
      <c r="C74" s="822">
        <v>2</v>
      </c>
      <c r="D74" s="822">
        <v>5</v>
      </c>
      <c r="E74" s="824">
        <v>3.62</v>
      </c>
      <c r="F74" s="825">
        <v>0.155</v>
      </c>
      <c r="G74" s="824"/>
      <c r="H74" s="824">
        <f>F74*E74*D74*C74</f>
        <v>5.61</v>
      </c>
    </row>
    <row r="75" spans="1:13">
      <c r="A75" s="822"/>
      <c r="B75" s="819" t="s">
        <v>3934</v>
      </c>
      <c r="C75" s="822">
        <v>2</v>
      </c>
      <c r="D75" s="822">
        <v>5</v>
      </c>
      <c r="E75" s="824">
        <v>4.24</v>
      </c>
      <c r="F75" s="824"/>
      <c r="G75" s="824">
        <v>0.3</v>
      </c>
      <c r="H75" s="824">
        <f>G75*E75*D75*C75</f>
        <v>12.72</v>
      </c>
    </row>
    <row r="76" spans="1:13">
      <c r="A76" s="822"/>
      <c r="B76" s="819" t="s">
        <v>3963</v>
      </c>
      <c r="C76" s="822">
        <v>1</v>
      </c>
      <c r="D76" s="822">
        <v>1</v>
      </c>
      <c r="E76" s="824">
        <v>14.64</v>
      </c>
      <c r="F76" s="824"/>
      <c r="G76" s="824">
        <v>0.3</v>
      </c>
      <c r="H76" s="824">
        <f>G76*E76*D76*C76</f>
        <v>4.3899999999999997</v>
      </c>
    </row>
    <row r="77" spans="1:13">
      <c r="A77" s="822"/>
      <c r="B77" s="819"/>
      <c r="C77" s="822"/>
      <c r="D77" s="822"/>
      <c r="E77" s="824"/>
      <c r="F77" s="824"/>
      <c r="G77" s="824"/>
      <c r="H77" s="824">
        <f>SUM(H74:H76)</f>
        <v>22.72</v>
      </c>
    </row>
    <row r="78" spans="1:13">
      <c r="A78" s="822"/>
      <c r="B78" s="819"/>
      <c r="C78" s="822"/>
      <c r="D78" s="822"/>
      <c r="E78" s="824"/>
      <c r="F78" s="824"/>
      <c r="G78" s="826" t="s">
        <v>3907</v>
      </c>
      <c r="H78" s="827">
        <f>H77+0.28</f>
        <v>23</v>
      </c>
    </row>
    <row r="79" spans="1:13">
      <c r="A79" s="822"/>
      <c r="B79" s="819"/>
      <c r="C79" s="822"/>
      <c r="D79" s="822"/>
      <c r="E79" s="824"/>
      <c r="F79" s="824"/>
      <c r="G79" s="824"/>
      <c r="H79" s="824"/>
    </row>
    <row r="80" spans="1:13" ht="45">
      <c r="A80" s="822">
        <v>14</v>
      </c>
      <c r="B80" s="828" t="s">
        <v>3925</v>
      </c>
      <c r="C80" s="822"/>
      <c r="D80" s="822"/>
      <c r="E80" s="824"/>
      <c r="F80" s="824"/>
      <c r="G80" s="824"/>
      <c r="H80" s="824"/>
      <c r="M80">
        <f>125*1.75/1000</f>
        <v>0.22</v>
      </c>
    </row>
    <row r="81" spans="1:8">
      <c r="A81" s="822"/>
      <c r="B81" s="823" t="s">
        <v>3964</v>
      </c>
      <c r="C81" s="822"/>
      <c r="D81" s="822"/>
      <c r="E81" s="824"/>
      <c r="F81" s="824"/>
      <c r="G81" s="824"/>
      <c r="H81" s="824">
        <f>H57</f>
        <v>1.5</v>
      </c>
    </row>
    <row r="82" spans="1:8">
      <c r="A82" s="822"/>
      <c r="B82" s="819" t="s">
        <v>3965</v>
      </c>
      <c r="C82" s="822"/>
      <c r="D82" s="822"/>
      <c r="E82" s="824"/>
      <c r="F82" s="824"/>
      <c r="G82" s="824"/>
      <c r="H82" s="824">
        <v>0.25</v>
      </c>
    </row>
    <row r="83" spans="1:8">
      <c r="A83" s="822"/>
      <c r="B83" s="819"/>
      <c r="C83" s="822"/>
      <c r="D83" s="822"/>
      <c r="E83" s="824"/>
      <c r="F83" s="824"/>
      <c r="G83" s="824"/>
      <c r="H83" s="824">
        <f>SUM(H81:H82)</f>
        <v>1.75</v>
      </c>
    </row>
    <row r="84" spans="1:8">
      <c r="A84" s="822"/>
      <c r="B84" s="832"/>
      <c r="C84" s="829"/>
      <c r="D84" s="829"/>
      <c r="E84" s="830"/>
      <c r="F84" s="830"/>
      <c r="G84" s="824" t="s">
        <v>3966</v>
      </c>
      <c r="H84" s="824"/>
    </row>
    <row r="85" spans="1:8">
      <c r="A85" s="822"/>
      <c r="B85" s="819"/>
      <c r="C85" s="822"/>
      <c r="D85" s="822"/>
      <c r="E85" s="824"/>
      <c r="F85" s="824"/>
      <c r="G85" s="826" t="s">
        <v>3907</v>
      </c>
      <c r="H85" s="827">
        <v>0.22</v>
      </c>
    </row>
    <row r="86" spans="1:8">
      <c r="A86" s="822"/>
      <c r="B86" s="819"/>
      <c r="C86" s="822"/>
      <c r="D86" s="822"/>
      <c r="E86" s="824"/>
      <c r="F86" s="824"/>
      <c r="G86" s="824"/>
      <c r="H86" s="824"/>
    </row>
    <row r="87" spans="1:8" ht="52.5" customHeight="1">
      <c r="A87" s="822">
        <v>15</v>
      </c>
      <c r="B87" s="818" t="s">
        <v>3923</v>
      </c>
      <c r="C87" s="822"/>
      <c r="D87" s="822"/>
      <c r="E87" s="824"/>
      <c r="F87" s="824"/>
      <c r="G87" s="824"/>
      <c r="H87" s="824"/>
    </row>
    <row r="88" spans="1:8">
      <c r="A88" s="822"/>
      <c r="B88" s="819" t="s">
        <v>3967</v>
      </c>
      <c r="C88" s="822">
        <v>1</v>
      </c>
      <c r="D88" s="822">
        <v>1</v>
      </c>
      <c r="E88" s="824">
        <v>4.46</v>
      </c>
      <c r="F88" s="824">
        <v>2.46</v>
      </c>
      <c r="G88" s="824"/>
      <c r="H88" s="824">
        <f>F88*E88*D88*C88</f>
        <v>10.97</v>
      </c>
    </row>
    <row r="89" spans="1:8">
      <c r="A89" s="822"/>
      <c r="B89" s="819" t="s">
        <v>3968</v>
      </c>
      <c r="C89" s="822">
        <v>1</v>
      </c>
      <c r="D89" s="822">
        <v>1</v>
      </c>
      <c r="E89" s="824">
        <v>0.75</v>
      </c>
      <c r="F89" s="824">
        <v>0.75</v>
      </c>
      <c r="G89" s="824"/>
      <c r="H89" s="824">
        <f>F89*E89*D89*C89</f>
        <v>0.56000000000000005</v>
      </c>
    </row>
    <row r="90" spans="1:8">
      <c r="A90" s="822"/>
      <c r="B90" s="819"/>
      <c r="C90" s="822"/>
      <c r="D90" s="822"/>
      <c r="E90" s="824"/>
      <c r="F90" s="824"/>
      <c r="G90" s="824"/>
      <c r="H90" s="824">
        <f>SUM(H88:H89)</f>
        <v>11.53</v>
      </c>
    </row>
    <row r="91" spans="1:8">
      <c r="A91" s="822"/>
      <c r="B91" s="819"/>
      <c r="C91" s="822"/>
      <c r="D91" s="822"/>
      <c r="E91" s="824"/>
      <c r="F91" s="824"/>
      <c r="G91" s="826" t="s">
        <v>3907</v>
      </c>
      <c r="H91" s="827">
        <f>H90+0.47</f>
        <v>12</v>
      </c>
    </row>
    <row r="92" spans="1:8">
      <c r="A92" s="822"/>
      <c r="B92" s="819"/>
      <c r="C92" s="822"/>
      <c r="D92" s="822"/>
      <c r="E92" s="824"/>
      <c r="F92" s="824"/>
      <c r="G92" s="824"/>
      <c r="H92" s="824"/>
    </row>
  </sheetData>
  <mergeCells count="9">
    <mergeCell ref="A1:H1"/>
    <mergeCell ref="A2:H2"/>
    <mergeCell ref="A3:A4"/>
    <mergeCell ref="B3:B4"/>
    <mergeCell ref="C3:D4"/>
    <mergeCell ref="E3:E4"/>
    <mergeCell ref="F3:F4"/>
    <mergeCell ref="G3:G4"/>
    <mergeCell ref="H3:H4"/>
  </mergeCells>
  <pageMargins left="0.7" right="0.7" top="0.75" bottom="0.75" header="0.3" footer="0.3"/>
  <pageSetup paperSize="9" orientation="landscape" horizontalDpi="300" verticalDpi="300" r:id="rId1"/>
</worksheet>
</file>

<file path=xl/worksheets/sheet20.xml><?xml version="1.0" encoding="utf-8"?>
<worksheet xmlns="http://schemas.openxmlformats.org/spreadsheetml/2006/main" xmlns:r="http://schemas.openxmlformats.org/officeDocument/2006/relationships">
  <dimension ref="A1:H30"/>
  <sheetViews>
    <sheetView workbookViewId="0">
      <selection activeCell="B24" sqref="B24"/>
    </sheetView>
  </sheetViews>
  <sheetFormatPr defaultRowHeight="15.75"/>
  <cols>
    <col min="1" max="1" width="3.88671875" customWidth="1"/>
    <col min="2" max="2" width="29.6640625" customWidth="1"/>
    <col min="3" max="3" width="2.77734375" customWidth="1"/>
    <col min="4" max="4" width="5.21875" customWidth="1"/>
    <col min="5" max="5" width="7.5546875" customWidth="1"/>
    <col min="6" max="6" width="7.77734375" customWidth="1"/>
    <col min="7" max="7" width="8.5546875" customWidth="1"/>
  </cols>
  <sheetData>
    <row r="1" spans="1:8" ht="16.5">
      <c r="A1" s="1273" t="s">
        <v>3971</v>
      </c>
      <c r="B1" s="1273"/>
      <c r="C1" s="1273"/>
      <c r="D1" s="1273"/>
      <c r="E1" s="1273"/>
      <c r="F1" s="1273"/>
      <c r="G1" s="1273"/>
      <c r="H1" s="1273"/>
    </row>
    <row r="2" spans="1:8" ht="16.5">
      <c r="A2" s="1273" t="s">
        <v>3916</v>
      </c>
      <c r="B2" s="1273"/>
      <c r="C2" s="1273"/>
      <c r="D2" s="1273"/>
      <c r="E2" s="1273"/>
      <c r="F2" s="1273"/>
      <c r="G2" s="1273"/>
      <c r="H2" s="1273"/>
    </row>
    <row r="3" spans="1:8">
      <c r="A3" s="1274" t="s">
        <v>3901</v>
      </c>
      <c r="B3" s="1275" t="s">
        <v>3906</v>
      </c>
      <c r="C3" s="1276" t="s">
        <v>1950</v>
      </c>
      <c r="D3" s="1276"/>
      <c r="E3" s="1274" t="s">
        <v>3811</v>
      </c>
      <c r="F3" s="1274" t="s">
        <v>1635</v>
      </c>
      <c r="G3" s="1274" t="s">
        <v>3812</v>
      </c>
      <c r="H3" s="1274" t="s">
        <v>1669</v>
      </c>
    </row>
    <row r="4" spans="1:8">
      <c r="A4" s="1274"/>
      <c r="B4" s="1275"/>
      <c r="C4" s="1276"/>
      <c r="D4" s="1276"/>
      <c r="E4" s="1274"/>
      <c r="F4" s="1274"/>
      <c r="G4" s="1274"/>
      <c r="H4" s="1274"/>
    </row>
    <row r="5" spans="1:8" ht="45">
      <c r="A5" s="822">
        <v>1</v>
      </c>
      <c r="B5" s="819" t="s">
        <v>3970</v>
      </c>
      <c r="C5" s="821"/>
      <c r="D5" s="821"/>
      <c r="E5" s="820"/>
      <c r="F5" s="820"/>
      <c r="G5" s="820"/>
      <c r="H5" s="820"/>
    </row>
    <row r="6" spans="1:8">
      <c r="A6" s="822"/>
      <c r="B6" s="819" t="s">
        <v>3972</v>
      </c>
      <c r="C6" s="822">
        <v>1</v>
      </c>
      <c r="D6" s="822">
        <v>2</v>
      </c>
      <c r="E6" s="824">
        <v>10</v>
      </c>
      <c r="F6" s="824">
        <v>4.5</v>
      </c>
      <c r="G6" s="824">
        <v>0.3</v>
      </c>
      <c r="H6" s="824">
        <f>G6*F6*E6*D6*C6</f>
        <v>27</v>
      </c>
    </row>
    <row r="7" spans="1:8">
      <c r="A7" s="822"/>
      <c r="B7" s="819" t="s">
        <v>3973</v>
      </c>
      <c r="C7" s="822">
        <v>2</v>
      </c>
      <c r="D7" s="822">
        <v>2</v>
      </c>
      <c r="E7" s="824">
        <v>10</v>
      </c>
      <c r="F7" s="824">
        <v>0.3</v>
      </c>
      <c r="G7" s="824">
        <v>0.3</v>
      </c>
      <c r="H7" s="824">
        <f>G7*F7*E7*D7*C7</f>
        <v>3.6</v>
      </c>
    </row>
    <row r="8" spans="1:8">
      <c r="A8" s="822"/>
      <c r="B8" s="819"/>
      <c r="C8" s="822"/>
      <c r="D8" s="822"/>
      <c r="E8" s="824"/>
      <c r="F8" s="824"/>
      <c r="G8" s="824"/>
      <c r="H8" s="826">
        <f>SUM(H6:H7)</f>
        <v>30.6</v>
      </c>
    </row>
    <row r="9" spans="1:8">
      <c r="A9" s="822"/>
      <c r="B9" s="819"/>
      <c r="C9" s="822"/>
      <c r="D9" s="822"/>
      <c r="E9" s="824"/>
      <c r="F9" s="824"/>
      <c r="G9" s="824"/>
      <c r="H9" s="824"/>
    </row>
    <row r="10" spans="1:8" ht="45">
      <c r="A10" s="822">
        <v>2</v>
      </c>
      <c r="B10" s="819" t="s">
        <v>3930</v>
      </c>
      <c r="C10" s="822"/>
      <c r="D10" s="822"/>
      <c r="E10" s="824"/>
      <c r="F10" s="824"/>
      <c r="G10" s="824"/>
      <c r="H10" s="824"/>
    </row>
    <row r="11" spans="1:8">
      <c r="A11" s="822"/>
      <c r="B11" s="819" t="s">
        <v>3972</v>
      </c>
      <c r="C11" s="822">
        <v>1</v>
      </c>
      <c r="D11" s="822">
        <v>2</v>
      </c>
      <c r="E11" s="824">
        <v>10</v>
      </c>
      <c r="F11" s="824">
        <v>4.5</v>
      </c>
      <c r="G11" s="824">
        <v>0.15</v>
      </c>
      <c r="H11" s="824">
        <f>G11*F11*E11*D11*C11</f>
        <v>13.5</v>
      </c>
    </row>
    <row r="12" spans="1:8">
      <c r="A12" s="822"/>
      <c r="B12" s="819"/>
      <c r="C12" s="822"/>
      <c r="D12" s="822"/>
      <c r="E12" s="824"/>
      <c r="F12" s="824"/>
      <c r="G12" s="824"/>
      <c r="H12" s="826">
        <f>SUM(H11:H11)</f>
        <v>13.5</v>
      </c>
    </row>
    <row r="13" spans="1:8">
      <c r="A13" s="822"/>
      <c r="B13" s="819"/>
      <c r="C13" s="822"/>
      <c r="D13" s="822"/>
      <c r="E13" s="824"/>
      <c r="F13" s="824"/>
      <c r="G13" s="824"/>
      <c r="H13" s="824"/>
    </row>
    <row r="14" spans="1:8" ht="30">
      <c r="A14" s="822">
        <v>3</v>
      </c>
      <c r="B14" s="828" t="s">
        <v>3908</v>
      </c>
      <c r="C14" s="822"/>
      <c r="D14" s="822"/>
      <c r="E14" s="824"/>
      <c r="F14" s="824"/>
      <c r="G14" s="824"/>
      <c r="H14" s="824"/>
    </row>
    <row r="15" spans="1:8">
      <c r="A15" s="822"/>
      <c r="B15" s="819" t="s">
        <v>3972</v>
      </c>
      <c r="C15" s="822">
        <v>1</v>
      </c>
      <c r="D15" s="822">
        <v>2</v>
      </c>
      <c r="E15" s="824">
        <v>10</v>
      </c>
      <c r="F15" s="824">
        <v>4.5</v>
      </c>
      <c r="G15" s="824">
        <v>0.15</v>
      </c>
      <c r="H15" s="824">
        <f>G15*F15*E15*D15*C15</f>
        <v>13.5</v>
      </c>
    </row>
    <row r="16" spans="1:8">
      <c r="A16" s="822"/>
      <c r="B16" s="819"/>
      <c r="C16" s="822"/>
      <c r="D16" s="822"/>
      <c r="E16" s="824"/>
      <c r="F16" s="824"/>
      <c r="G16" s="824"/>
      <c r="H16" s="826">
        <f>SUM(H15)</f>
        <v>13.5</v>
      </c>
    </row>
    <row r="17" spans="1:8">
      <c r="A17" s="822"/>
      <c r="B17" s="819"/>
      <c r="C17" s="822"/>
      <c r="D17" s="822"/>
      <c r="E17" s="824"/>
      <c r="F17" s="824"/>
      <c r="G17" s="824"/>
      <c r="H17" s="824"/>
    </row>
    <row r="18" spans="1:8" ht="30">
      <c r="A18" s="822">
        <v>4</v>
      </c>
      <c r="B18" s="828" t="s">
        <v>3940</v>
      </c>
      <c r="C18" s="822"/>
      <c r="D18" s="822"/>
      <c r="E18" s="824"/>
      <c r="F18" s="824"/>
      <c r="G18" s="824"/>
      <c r="H18" s="824"/>
    </row>
    <row r="19" spans="1:8">
      <c r="A19" s="822"/>
      <c r="B19" s="819" t="s">
        <v>3972</v>
      </c>
      <c r="C19" s="822">
        <v>2</v>
      </c>
      <c r="D19" s="822">
        <v>4</v>
      </c>
      <c r="E19" s="824">
        <v>10</v>
      </c>
      <c r="F19" s="824">
        <v>4.5</v>
      </c>
      <c r="G19" s="824">
        <v>0.05</v>
      </c>
      <c r="H19" s="826">
        <f>G19*F19*E19*D19*C19</f>
        <v>18</v>
      </c>
    </row>
    <row r="20" spans="1:8">
      <c r="A20" s="822"/>
      <c r="B20" s="819"/>
      <c r="C20" s="822"/>
      <c r="D20" s="822"/>
      <c r="E20" s="824"/>
      <c r="F20" s="824"/>
      <c r="G20" s="824"/>
      <c r="H20" s="824"/>
    </row>
    <row r="21" spans="1:8" ht="30">
      <c r="A21" s="822">
        <v>5</v>
      </c>
      <c r="B21" s="819" t="s">
        <v>3974</v>
      </c>
      <c r="C21" s="822"/>
      <c r="D21" s="822"/>
      <c r="E21" s="824"/>
      <c r="F21" s="824"/>
      <c r="G21" s="824"/>
      <c r="H21" s="824"/>
    </row>
    <row r="22" spans="1:8">
      <c r="A22" s="822"/>
      <c r="B22" s="819" t="s">
        <v>3972</v>
      </c>
      <c r="C22" s="822">
        <v>2</v>
      </c>
      <c r="D22" s="822">
        <v>4</v>
      </c>
      <c r="E22" s="824">
        <v>4.5</v>
      </c>
      <c r="F22" s="824"/>
      <c r="G22" s="824">
        <v>0.2</v>
      </c>
      <c r="H22" s="826">
        <f>G22*E22*D22*C22</f>
        <v>7.2</v>
      </c>
    </row>
    <row r="23" spans="1:8">
      <c r="A23" s="822"/>
      <c r="B23" s="819"/>
      <c r="C23" s="822"/>
      <c r="D23" s="822"/>
      <c r="E23" s="824"/>
      <c r="F23" s="824"/>
      <c r="G23" s="824"/>
      <c r="H23" s="824"/>
    </row>
    <row r="24" spans="1:8" ht="30">
      <c r="A24" s="822">
        <v>6</v>
      </c>
      <c r="B24" s="819" t="s">
        <v>3975</v>
      </c>
      <c r="C24" s="822"/>
      <c r="D24" s="822"/>
      <c r="E24" s="824"/>
      <c r="F24" s="824"/>
      <c r="G24" s="824"/>
      <c r="H24" s="824"/>
    </row>
    <row r="25" spans="1:8">
      <c r="A25" s="822"/>
      <c r="B25" s="819" t="s">
        <v>3972</v>
      </c>
      <c r="C25" s="822">
        <v>2</v>
      </c>
      <c r="D25" s="822">
        <v>2</v>
      </c>
      <c r="E25" s="824">
        <v>10</v>
      </c>
      <c r="F25" s="824"/>
      <c r="G25" s="824"/>
      <c r="H25" s="826">
        <f>E25*D25*C25</f>
        <v>40</v>
      </c>
    </row>
    <row r="26" spans="1:8">
      <c r="A26" s="822"/>
      <c r="B26" s="819"/>
      <c r="C26" s="822"/>
      <c r="D26" s="822"/>
      <c r="E26" s="824"/>
      <c r="F26" s="824"/>
      <c r="G26" s="824"/>
      <c r="H26" s="824"/>
    </row>
    <row r="27" spans="1:8" ht="90">
      <c r="A27" s="822">
        <v>7</v>
      </c>
      <c r="B27" s="819" t="s">
        <v>3905</v>
      </c>
      <c r="C27" s="822"/>
      <c r="D27" s="822"/>
      <c r="E27" s="824"/>
      <c r="F27" s="824"/>
      <c r="G27" s="824"/>
      <c r="H27" s="824"/>
    </row>
    <row r="28" spans="1:8">
      <c r="A28" s="822"/>
      <c r="B28" s="819" t="s">
        <v>3972</v>
      </c>
      <c r="C28" s="822">
        <v>2</v>
      </c>
      <c r="D28" s="822">
        <v>2</v>
      </c>
      <c r="E28" s="824">
        <v>10</v>
      </c>
      <c r="F28" s="824"/>
      <c r="G28" s="824">
        <v>0.4</v>
      </c>
      <c r="H28" s="824">
        <f>G28*E28*D28*C28</f>
        <v>16</v>
      </c>
    </row>
    <row r="29" spans="1:8">
      <c r="A29" s="822"/>
      <c r="B29" s="819"/>
      <c r="C29" s="822"/>
      <c r="D29" s="822"/>
      <c r="E29" s="824"/>
      <c r="F29" s="824"/>
      <c r="G29" s="824"/>
      <c r="H29" s="826">
        <f>SUM(H28:H28)</f>
        <v>16</v>
      </c>
    </row>
    <row r="30" spans="1:8">
      <c r="A30" s="822"/>
      <c r="B30" s="819"/>
      <c r="C30" s="822"/>
      <c r="D30" s="822"/>
      <c r="E30" s="824"/>
      <c r="F30" s="824"/>
      <c r="G30" s="824"/>
      <c r="H30" s="824"/>
    </row>
  </sheetData>
  <mergeCells count="9">
    <mergeCell ref="A1:H1"/>
    <mergeCell ref="A2:H2"/>
    <mergeCell ref="A3:A4"/>
    <mergeCell ref="B3:B4"/>
    <mergeCell ref="C3:D4"/>
    <mergeCell ref="E3:E4"/>
    <mergeCell ref="F3:F4"/>
    <mergeCell ref="G3:G4"/>
    <mergeCell ref="H3:H4"/>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43"/>
  <sheetViews>
    <sheetView workbookViewId="0">
      <selection activeCell="B32" sqref="B32"/>
    </sheetView>
  </sheetViews>
  <sheetFormatPr defaultRowHeight="15.75"/>
  <cols>
    <col min="1" max="1" width="3.88671875" customWidth="1"/>
    <col min="2" max="2" width="29.6640625" customWidth="1"/>
    <col min="3" max="3" width="2.77734375" customWidth="1"/>
    <col min="4" max="4" width="5.21875" customWidth="1"/>
    <col min="5" max="5" width="7.5546875" customWidth="1"/>
    <col min="6" max="6" width="7.77734375" customWidth="1"/>
    <col min="7" max="7" width="8.6640625" customWidth="1"/>
  </cols>
  <sheetData>
    <row r="1" spans="1:8" ht="16.5">
      <c r="A1" s="1273" t="s">
        <v>3976</v>
      </c>
      <c r="B1" s="1273"/>
      <c r="C1" s="1273"/>
      <c r="D1" s="1273"/>
      <c r="E1" s="1273"/>
      <c r="F1" s="1273"/>
      <c r="G1" s="1273"/>
      <c r="H1" s="1273"/>
    </row>
    <row r="2" spans="1:8" ht="16.5">
      <c r="A2" s="1273" t="s">
        <v>3916</v>
      </c>
      <c r="B2" s="1273"/>
      <c r="C2" s="1273"/>
      <c r="D2" s="1273"/>
      <c r="E2" s="1273"/>
      <c r="F2" s="1273"/>
      <c r="G2" s="1273"/>
      <c r="H2" s="1273"/>
    </row>
    <row r="3" spans="1:8">
      <c r="A3" s="1274" t="s">
        <v>3901</v>
      </c>
      <c r="B3" s="1275" t="s">
        <v>3906</v>
      </c>
      <c r="C3" s="1276" t="s">
        <v>1950</v>
      </c>
      <c r="D3" s="1276"/>
      <c r="E3" s="1274" t="s">
        <v>3811</v>
      </c>
      <c r="F3" s="1274" t="s">
        <v>1635</v>
      </c>
      <c r="G3" s="1274" t="s">
        <v>3812</v>
      </c>
      <c r="H3" s="1274" t="s">
        <v>1669</v>
      </c>
    </row>
    <row r="4" spans="1:8">
      <c r="A4" s="1274"/>
      <c r="B4" s="1275"/>
      <c r="C4" s="1276"/>
      <c r="D4" s="1276"/>
      <c r="E4" s="1274"/>
      <c r="F4" s="1274"/>
      <c r="G4" s="1274"/>
      <c r="H4" s="1274"/>
    </row>
    <row r="5" spans="1:8" ht="45">
      <c r="A5" s="822">
        <v>1</v>
      </c>
      <c r="B5" s="819" t="s">
        <v>3970</v>
      </c>
      <c r="C5" s="821"/>
      <c r="D5" s="821"/>
      <c r="E5" s="820"/>
      <c r="F5" s="820"/>
      <c r="G5" s="820"/>
      <c r="H5" s="820"/>
    </row>
    <row r="6" spans="1:8">
      <c r="A6" s="822"/>
      <c r="B6" s="819" t="s">
        <v>3977</v>
      </c>
      <c r="C6" s="822">
        <v>1</v>
      </c>
      <c r="D6" s="822">
        <v>2</v>
      </c>
      <c r="E6" s="824">
        <v>25</v>
      </c>
      <c r="F6" s="824">
        <v>0.81</v>
      </c>
      <c r="G6" s="824">
        <v>0.3</v>
      </c>
      <c r="H6" s="824">
        <f>G6*F6*E6*D6*C6</f>
        <v>12.15</v>
      </c>
    </row>
    <row r="7" spans="1:8">
      <c r="A7" s="822"/>
      <c r="B7" s="819"/>
      <c r="C7" s="822"/>
      <c r="D7" s="822"/>
      <c r="E7" s="824"/>
      <c r="F7" s="824"/>
      <c r="G7" s="824"/>
      <c r="H7" s="824">
        <f>SUM(H6:H6)</f>
        <v>12.15</v>
      </c>
    </row>
    <row r="8" spans="1:8">
      <c r="A8" s="822"/>
      <c r="B8" s="819"/>
      <c r="C8" s="822"/>
      <c r="D8" s="822"/>
      <c r="E8" s="824"/>
      <c r="F8" s="824"/>
      <c r="G8" s="826" t="s">
        <v>3907</v>
      </c>
      <c r="H8" s="827">
        <f>H7+0.35</f>
        <v>12.5</v>
      </c>
    </row>
    <row r="9" spans="1:8">
      <c r="A9" s="822"/>
      <c r="B9" s="819"/>
      <c r="C9" s="822"/>
      <c r="D9" s="822"/>
      <c r="E9" s="824"/>
      <c r="F9" s="824"/>
      <c r="G9" s="826"/>
      <c r="H9" s="827"/>
    </row>
    <row r="10" spans="1:8" ht="30">
      <c r="A10" s="822">
        <v>2</v>
      </c>
      <c r="B10" s="828" t="s">
        <v>3908</v>
      </c>
      <c r="C10" s="822"/>
      <c r="D10" s="822"/>
      <c r="E10" s="824"/>
      <c r="F10" s="824"/>
      <c r="G10" s="824"/>
      <c r="H10" s="824"/>
    </row>
    <row r="11" spans="1:8">
      <c r="A11" s="822"/>
      <c r="B11" s="819" t="s">
        <v>3977</v>
      </c>
      <c r="C11" s="822">
        <v>1</v>
      </c>
      <c r="D11" s="822">
        <v>2</v>
      </c>
      <c r="E11" s="824">
        <v>25</v>
      </c>
      <c r="F11" s="824">
        <v>0.81</v>
      </c>
      <c r="G11" s="824">
        <v>0.15</v>
      </c>
      <c r="H11" s="824">
        <f>G11*F11*E11*D11*C11</f>
        <v>6.08</v>
      </c>
    </row>
    <row r="12" spans="1:8">
      <c r="A12" s="822"/>
      <c r="B12" s="819"/>
      <c r="C12" s="822"/>
      <c r="D12" s="822"/>
      <c r="E12" s="824"/>
      <c r="F12" s="824"/>
      <c r="G12" s="824"/>
      <c r="H12" s="824">
        <f>SUM(H11)</f>
        <v>6.08</v>
      </c>
    </row>
    <row r="13" spans="1:8">
      <c r="A13" s="822"/>
      <c r="B13" s="819"/>
      <c r="C13" s="822"/>
      <c r="D13" s="822"/>
      <c r="E13" s="824"/>
      <c r="F13" s="824"/>
      <c r="G13" s="826" t="s">
        <v>3907</v>
      </c>
      <c r="H13" s="827">
        <f>H12+0.42</f>
        <v>6.5</v>
      </c>
    </row>
    <row r="14" spans="1:8">
      <c r="A14" s="822"/>
      <c r="B14" s="819"/>
      <c r="C14" s="822"/>
      <c r="D14" s="822"/>
      <c r="E14" s="824"/>
      <c r="F14" s="824"/>
      <c r="G14" s="824"/>
      <c r="H14" s="824"/>
    </row>
    <row r="15" spans="1:8" ht="105">
      <c r="A15" s="822">
        <v>3</v>
      </c>
      <c r="B15" s="819" t="s">
        <v>3979</v>
      </c>
      <c r="C15" s="822"/>
      <c r="D15" s="822"/>
      <c r="E15" s="824"/>
      <c r="F15" s="824"/>
      <c r="G15" s="824"/>
      <c r="H15" s="824"/>
    </row>
    <row r="16" spans="1:8">
      <c r="A16" s="822"/>
      <c r="B16" s="828" t="s">
        <v>3926</v>
      </c>
      <c r="C16" s="822"/>
      <c r="D16" s="822"/>
      <c r="E16" s="824"/>
      <c r="F16" s="824"/>
      <c r="G16" s="824"/>
      <c r="H16" s="824"/>
    </row>
    <row r="17" spans="1:8">
      <c r="A17" s="822"/>
      <c r="B17" s="828" t="s">
        <v>3977</v>
      </c>
      <c r="C17" s="822">
        <v>2</v>
      </c>
      <c r="D17" s="822">
        <v>2</v>
      </c>
      <c r="E17" s="824">
        <v>25</v>
      </c>
      <c r="F17" s="824">
        <v>0.23</v>
      </c>
      <c r="G17" s="824">
        <v>0.2</v>
      </c>
      <c r="H17" s="824">
        <f>G17*F17*E17*D17*C17</f>
        <v>4.5999999999999996</v>
      </c>
    </row>
    <row r="18" spans="1:8">
      <c r="A18" s="822"/>
      <c r="B18" s="819"/>
      <c r="C18" s="822"/>
      <c r="D18" s="822"/>
      <c r="E18" s="824"/>
      <c r="F18" s="824"/>
      <c r="G18" s="824"/>
      <c r="H18" s="826">
        <f>SUM(H17:H17)</f>
        <v>4.5999999999999996</v>
      </c>
    </row>
    <row r="19" spans="1:8">
      <c r="A19" s="822"/>
      <c r="B19" s="819"/>
      <c r="C19" s="822"/>
      <c r="D19" s="822"/>
      <c r="E19" s="824"/>
      <c r="F19" s="824"/>
      <c r="G19" s="824"/>
      <c r="H19" s="824"/>
    </row>
    <row r="20" spans="1:8" ht="30">
      <c r="A20" s="822">
        <v>4</v>
      </c>
      <c r="B20" s="828" t="s">
        <v>3909</v>
      </c>
      <c r="C20" s="822"/>
      <c r="D20" s="822"/>
      <c r="E20" s="824"/>
      <c r="F20" s="824"/>
      <c r="G20" s="824"/>
      <c r="H20" s="824"/>
    </row>
    <row r="21" spans="1:8">
      <c r="A21" s="822"/>
      <c r="B21" s="828" t="s">
        <v>3926</v>
      </c>
      <c r="C21" s="822"/>
      <c r="D21" s="822"/>
      <c r="E21" s="824"/>
      <c r="F21" s="824"/>
      <c r="G21" s="824"/>
      <c r="H21" s="824"/>
    </row>
    <row r="22" spans="1:8">
      <c r="A22" s="822"/>
      <c r="B22" s="828" t="s">
        <v>3977</v>
      </c>
      <c r="C22" s="822">
        <v>2</v>
      </c>
      <c r="D22" s="822">
        <v>2</v>
      </c>
      <c r="E22" s="824">
        <v>25</v>
      </c>
      <c r="F22" s="824"/>
      <c r="G22" s="824">
        <v>0.45</v>
      </c>
      <c r="H22" s="824">
        <f>G22*E22*D22*C22</f>
        <v>45</v>
      </c>
    </row>
    <row r="23" spans="1:8">
      <c r="A23" s="822"/>
      <c r="B23" s="828" t="s">
        <v>3927</v>
      </c>
      <c r="C23" s="822">
        <v>2</v>
      </c>
      <c r="D23" s="822" t="s">
        <v>3978</v>
      </c>
      <c r="E23" s="824">
        <v>0.23</v>
      </c>
      <c r="F23" s="824"/>
      <c r="G23" s="824">
        <v>0.45</v>
      </c>
      <c r="H23" s="824">
        <f>2*2*14*0.23*0.45</f>
        <v>5.8</v>
      </c>
    </row>
    <row r="24" spans="1:8">
      <c r="A24" s="822"/>
      <c r="B24" s="819"/>
      <c r="C24" s="822"/>
      <c r="D24" s="822"/>
      <c r="E24" s="824"/>
      <c r="F24" s="824"/>
      <c r="G24" s="824"/>
      <c r="H24" s="826">
        <f>SUM(H22:H23)</f>
        <v>50.8</v>
      </c>
    </row>
    <row r="25" spans="1:8">
      <c r="A25" s="822"/>
      <c r="B25" s="819"/>
      <c r="C25" s="822"/>
      <c r="D25" s="822"/>
      <c r="E25" s="824"/>
      <c r="F25" s="824"/>
      <c r="G25" s="824"/>
      <c r="H25" s="824"/>
    </row>
    <row r="26" spans="1:8" ht="30">
      <c r="A26" s="822">
        <v>5</v>
      </c>
      <c r="B26" s="828" t="s">
        <v>3980</v>
      </c>
      <c r="C26" s="822"/>
      <c r="D26" s="822"/>
      <c r="E26" s="824"/>
      <c r="F26" s="824"/>
      <c r="G26" s="824"/>
      <c r="H26" s="824"/>
    </row>
    <row r="27" spans="1:8">
      <c r="A27" s="822"/>
      <c r="B27" s="828" t="s">
        <v>3977</v>
      </c>
      <c r="C27" s="822">
        <v>1</v>
      </c>
      <c r="D27" s="822">
        <v>2</v>
      </c>
      <c r="E27" s="824">
        <v>25</v>
      </c>
      <c r="F27" s="824">
        <v>0.2</v>
      </c>
      <c r="G27" s="824">
        <v>0.3</v>
      </c>
      <c r="H27" s="826">
        <f>G27*F27*E27*D27*C27</f>
        <v>3</v>
      </c>
    </row>
    <row r="28" spans="1:8">
      <c r="A28" s="822"/>
      <c r="B28" s="819"/>
      <c r="C28" s="822"/>
      <c r="D28" s="822"/>
      <c r="E28" s="824"/>
      <c r="F28" s="824"/>
      <c r="G28" s="824"/>
      <c r="H28" s="824"/>
    </row>
    <row r="29" spans="1:8" ht="60">
      <c r="A29" s="822">
        <v>6</v>
      </c>
      <c r="B29" s="819" t="s">
        <v>3924</v>
      </c>
      <c r="C29" s="822"/>
      <c r="D29" s="822"/>
      <c r="E29" s="824"/>
      <c r="F29" s="824"/>
      <c r="G29" s="824"/>
      <c r="H29" s="824"/>
    </row>
    <row r="30" spans="1:8">
      <c r="A30" s="822"/>
      <c r="B30" s="828" t="s">
        <v>3981</v>
      </c>
      <c r="C30" s="822">
        <v>1</v>
      </c>
      <c r="D30" s="822">
        <v>2</v>
      </c>
      <c r="E30" s="824">
        <v>25</v>
      </c>
      <c r="F30" s="824">
        <v>0.2</v>
      </c>
      <c r="G30" s="824"/>
      <c r="H30" s="826">
        <f>F30*E30*D30*C30</f>
        <v>10</v>
      </c>
    </row>
    <row r="31" spans="1:8">
      <c r="A31" s="822"/>
      <c r="B31" s="819"/>
      <c r="C31" s="822"/>
      <c r="D31" s="822"/>
      <c r="E31" s="824"/>
      <c r="F31" s="824"/>
      <c r="G31" s="824"/>
      <c r="H31" s="824"/>
    </row>
    <row r="32" spans="1:8" ht="60">
      <c r="A32" s="822">
        <v>7</v>
      </c>
      <c r="B32" s="819" t="s">
        <v>3950</v>
      </c>
      <c r="C32" s="822"/>
      <c r="D32" s="822"/>
      <c r="E32" s="824"/>
      <c r="F32" s="824"/>
      <c r="G32" s="824"/>
      <c r="H32" s="824"/>
    </row>
    <row r="33" spans="1:8">
      <c r="A33" s="822"/>
      <c r="B33" s="828" t="s">
        <v>3982</v>
      </c>
      <c r="C33" s="822">
        <v>2</v>
      </c>
      <c r="D33" s="822">
        <v>2</v>
      </c>
      <c r="E33" s="824">
        <v>25</v>
      </c>
      <c r="F33" s="824"/>
      <c r="G33" s="824">
        <v>0.25</v>
      </c>
      <c r="H33" s="824">
        <f>G33*E33*D33*C33</f>
        <v>25</v>
      </c>
    </row>
    <row r="34" spans="1:8">
      <c r="A34" s="822"/>
      <c r="B34" s="819"/>
      <c r="C34" s="822"/>
      <c r="D34" s="822"/>
      <c r="E34" s="824"/>
      <c r="F34" s="824"/>
      <c r="G34" s="824"/>
      <c r="H34" s="826">
        <f>SUM(H33:H33)</f>
        <v>25</v>
      </c>
    </row>
    <row r="35" spans="1:8">
      <c r="A35" s="822"/>
      <c r="B35" s="819"/>
      <c r="C35" s="822"/>
      <c r="D35" s="822"/>
      <c r="E35" s="824"/>
      <c r="F35" s="824"/>
      <c r="G35" s="824"/>
      <c r="H35" s="826"/>
    </row>
    <row r="36" spans="1:8" ht="60">
      <c r="A36" s="822">
        <v>8</v>
      </c>
      <c r="B36" s="819" t="s">
        <v>3903</v>
      </c>
      <c r="C36" s="822"/>
      <c r="D36" s="822"/>
      <c r="E36" s="824"/>
      <c r="F36" s="824"/>
      <c r="G36" s="824"/>
      <c r="H36" s="826"/>
    </row>
    <row r="37" spans="1:8" ht="30">
      <c r="A37" s="822"/>
      <c r="B37" s="828" t="s">
        <v>3983</v>
      </c>
      <c r="C37" s="822">
        <v>2</v>
      </c>
      <c r="D37" s="822">
        <v>2</v>
      </c>
      <c r="E37" s="824">
        <v>25</v>
      </c>
      <c r="F37" s="824"/>
      <c r="G37" s="824">
        <v>0.3</v>
      </c>
      <c r="H37" s="824">
        <f>G37*E37*D37*C37</f>
        <v>30</v>
      </c>
    </row>
    <row r="38" spans="1:8">
      <c r="A38" s="822"/>
      <c r="B38" s="819" t="s">
        <v>3984</v>
      </c>
      <c r="C38" s="822">
        <v>2</v>
      </c>
      <c r="D38" s="822" t="s">
        <v>3985</v>
      </c>
      <c r="E38" s="825">
        <v>0.115</v>
      </c>
      <c r="F38" s="824"/>
      <c r="G38" s="824">
        <v>0.3</v>
      </c>
      <c r="H38" s="824">
        <f>2*2*2*14*0.115*0.3</f>
        <v>3.86</v>
      </c>
    </row>
    <row r="39" spans="1:8">
      <c r="A39" s="822"/>
      <c r="B39" s="819" t="s">
        <v>3935</v>
      </c>
      <c r="C39" s="822">
        <v>2</v>
      </c>
      <c r="D39" s="822">
        <v>2</v>
      </c>
      <c r="E39" s="824">
        <v>25</v>
      </c>
      <c r="F39" s="825">
        <v>0.115</v>
      </c>
      <c r="G39" s="824"/>
      <c r="H39" s="824">
        <f>F39*E39*D39*C39</f>
        <v>11.5</v>
      </c>
    </row>
    <row r="40" spans="1:8">
      <c r="A40" s="822"/>
      <c r="B40" s="819" t="s">
        <v>3927</v>
      </c>
      <c r="C40" s="822">
        <v>2</v>
      </c>
      <c r="D40" s="822" t="s">
        <v>3978</v>
      </c>
      <c r="E40" s="824">
        <v>0.23</v>
      </c>
      <c r="F40" s="825">
        <v>0.115</v>
      </c>
      <c r="G40" s="824"/>
      <c r="H40" s="824">
        <f>2*2*14*0.23*0.115</f>
        <v>1.48</v>
      </c>
    </row>
    <row r="41" spans="1:8">
      <c r="A41" s="822"/>
      <c r="B41" s="819"/>
      <c r="C41" s="822"/>
      <c r="D41" s="822"/>
      <c r="E41" s="824"/>
      <c r="F41" s="824"/>
      <c r="G41" s="824"/>
      <c r="H41" s="824">
        <f>SUM(H37:H40)</f>
        <v>46.84</v>
      </c>
    </row>
    <row r="42" spans="1:8">
      <c r="A42" s="822"/>
      <c r="B42" s="819"/>
      <c r="C42" s="822"/>
      <c r="D42" s="822"/>
      <c r="E42" s="824"/>
      <c r="F42" s="824"/>
      <c r="G42" s="826" t="s">
        <v>3907</v>
      </c>
      <c r="H42" s="827">
        <f>H41+0.16</f>
        <v>47</v>
      </c>
    </row>
    <row r="43" spans="1:8">
      <c r="A43" s="831"/>
      <c r="B43" s="831"/>
      <c r="C43" s="831"/>
      <c r="D43" s="831"/>
      <c r="E43" s="831"/>
      <c r="F43" s="831"/>
      <c r="G43" s="831"/>
      <c r="H43" s="831"/>
    </row>
  </sheetData>
  <mergeCells count="9">
    <mergeCell ref="A1:H1"/>
    <mergeCell ref="A2:H2"/>
    <mergeCell ref="A3:A4"/>
    <mergeCell ref="B3:B4"/>
    <mergeCell ref="C3:D4"/>
    <mergeCell ref="E3:E4"/>
    <mergeCell ref="F3:F4"/>
    <mergeCell ref="G3:G4"/>
    <mergeCell ref="H3:H4"/>
  </mergeCells>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FFFF00"/>
  </sheetPr>
  <dimension ref="A1:F35"/>
  <sheetViews>
    <sheetView view="pageBreakPreview" topLeftCell="A11" zoomScaleSheetLayoutView="100" workbookViewId="0">
      <selection activeCell="D12" sqref="D12"/>
    </sheetView>
  </sheetViews>
  <sheetFormatPr defaultRowHeight="15.75"/>
  <cols>
    <col min="1" max="1" width="5" customWidth="1"/>
    <col min="2" max="2" width="8" customWidth="1"/>
    <col min="3" max="3" width="37.5546875" customWidth="1"/>
    <col min="4" max="4" width="7.77734375" customWidth="1"/>
    <col min="5" max="5" width="6.88671875" customWidth="1"/>
    <col min="6" max="6" width="10.5546875" customWidth="1"/>
  </cols>
  <sheetData>
    <row r="1" spans="1:6" ht="55.5" customHeight="1">
      <c r="A1" s="1262" t="str">
        <f>'G. Abstract'!A3:F3</f>
        <v>N/W: RENOVATION AND UPGRADING THE EXISTING WORKING WOMEN’S HOSTEL AT SOORAMANGALAM IN SALEM CITY UNDER SOCIAL WELFARE DEPARTMENT</v>
      </c>
      <c r="B1" s="1263"/>
      <c r="C1" s="1263"/>
      <c r="D1" s="1263"/>
      <c r="E1" s="1263"/>
      <c r="F1" s="1264"/>
    </row>
    <row r="2" spans="1:6" ht="24.75" customHeight="1">
      <c r="A2" s="1205" t="s">
        <v>4618</v>
      </c>
      <c r="B2" s="1205"/>
      <c r="C2" s="1205"/>
      <c r="D2" s="1205"/>
      <c r="E2" s="1205"/>
      <c r="F2" s="1205"/>
    </row>
    <row r="3" spans="1:6" ht="22.5" customHeight="1">
      <c r="A3" s="878" t="s">
        <v>3747</v>
      </c>
      <c r="B3" s="879" t="s">
        <v>1070</v>
      </c>
      <c r="C3" s="879" t="s">
        <v>3748</v>
      </c>
      <c r="D3" s="879" t="s">
        <v>100</v>
      </c>
      <c r="E3" s="879" t="s">
        <v>3764</v>
      </c>
      <c r="F3" s="879" t="s">
        <v>994</v>
      </c>
    </row>
    <row r="4" spans="1:6" ht="67.5" customHeight="1">
      <c r="A4" s="822">
        <v>1</v>
      </c>
      <c r="B4" s="870">
        <f>'Civil Det'!H81</f>
        <v>1947</v>
      </c>
      <c r="C4" s="819" t="s">
        <v>4795</v>
      </c>
      <c r="D4" s="870">
        <f>DATA2!F83</f>
        <v>61.16</v>
      </c>
      <c r="E4" s="844" t="s">
        <v>4615</v>
      </c>
      <c r="F4" s="844">
        <f t="shared" ref="F4:F34" si="0">ROUND(PRODUCT(B4*D4),2)</f>
        <v>119078.52</v>
      </c>
    </row>
    <row r="5" spans="1:6" ht="69" customHeight="1">
      <c r="A5" s="822">
        <v>2</v>
      </c>
      <c r="B5" s="870">
        <f>'Civil Det'!H130</f>
        <v>1672</v>
      </c>
      <c r="C5" s="819" t="s">
        <v>4560</v>
      </c>
      <c r="D5" s="870">
        <f>DATA2!F67</f>
        <v>153.6</v>
      </c>
      <c r="E5" s="871" t="s">
        <v>4615</v>
      </c>
      <c r="F5" s="844">
        <f t="shared" si="0"/>
        <v>256819.20000000001</v>
      </c>
    </row>
    <row r="6" spans="1:6" ht="57" customHeight="1">
      <c r="A6" s="822">
        <v>3</v>
      </c>
      <c r="B6" s="870">
        <f>'Civil Det'!H142</f>
        <v>165</v>
      </c>
      <c r="C6" s="862" t="s">
        <v>4797</v>
      </c>
      <c r="D6" s="870">
        <f>DATA2!F95</f>
        <v>130.56</v>
      </c>
      <c r="E6" s="871" t="s">
        <v>4615</v>
      </c>
      <c r="F6" s="844">
        <f t="shared" si="0"/>
        <v>21542.400000000001</v>
      </c>
    </row>
    <row r="7" spans="1:6" ht="51" customHeight="1">
      <c r="A7" s="822">
        <v>4</v>
      </c>
      <c r="B7" s="870">
        <f>'Civil Det'!H149</f>
        <v>22</v>
      </c>
      <c r="C7" s="862" t="s">
        <v>4604</v>
      </c>
      <c r="D7" s="870">
        <f>47.8*1.05</f>
        <v>50.19</v>
      </c>
      <c r="E7" s="871" t="s">
        <v>4615</v>
      </c>
      <c r="F7" s="844">
        <f t="shared" si="0"/>
        <v>1104.18</v>
      </c>
    </row>
    <row r="8" spans="1:6" ht="51" customHeight="1">
      <c r="A8" s="822">
        <v>5</v>
      </c>
      <c r="B8" s="870">
        <f>'Civil Det'!H159</f>
        <v>31</v>
      </c>
      <c r="C8" s="862" t="s">
        <v>4606</v>
      </c>
      <c r="D8" s="870">
        <f>DATA2!F109</f>
        <v>1274.02</v>
      </c>
      <c r="E8" s="871" t="s">
        <v>4615</v>
      </c>
      <c r="F8" s="844">
        <f t="shared" si="0"/>
        <v>39494.620000000003</v>
      </c>
    </row>
    <row r="9" spans="1:6" ht="51" customHeight="1">
      <c r="A9" s="822">
        <v>6</v>
      </c>
      <c r="B9" s="870">
        <f>'Civil Det'!H162</f>
        <v>23</v>
      </c>
      <c r="C9" s="862" t="s">
        <v>4616</v>
      </c>
      <c r="D9" s="870">
        <v>471.2</v>
      </c>
      <c r="E9" s="844" t="s">
        <v>1458</v>
      </c>
      <c r="F9" s="844">
        <f t="shared" si="0"/>
        <v>10837.6</v>
      </c>
    </row>
    <row r="10" spans="1:6" s="1009" customFormat="1" ht="99.75" customHeight="1">
      <c r="A10" s="1150">
        <v>7</v>
      </c>
      <c r="B10" s="1151">
        <f>'Civil Det'!H170</f>
        <v>76</v>
      </c>
      <c r="C10" s="1152" t="s">
        <v>4798</v>
      </c>
      <c r="D10" s="1151">
        <v>450</v>
      </c>
      <c r="E10" s="1153" t="s">
        <v>4615</v>
      </c>
      <c r="F10" s="1153">
        <f t="shared" si="0"/>
        <v>34200</v>
      </c>
    </row>
    <row r="11" spans="1:6" ht="76.5" customHeight="1">
      <c r="A11" s="822">
        <v>8</v>
      </c>
      <c r="B11" s="870">
        <f>'Civil Det'!H173</f>
        <v>15.8</v>
      </c>
      <c r="C11" s="862" t="s">
        <v>4636</v>
      </c>
      <c r="D11" s="870">
        <v>642</v>
      </c>
      <c r="E11" s="844" t="s">
        <v>4615</v>
      </c>
      <c r="F11" s="844">
        <f t="shared" si="0"/>
        <v>10143.6</v>
      </c>
    </row>
    <row r="12" spans="1:6" s="1009" customFormat="1" ht="152.25" customHeight="1">
      <c r="A12" s="1150">
        <v>9</v>
      </c>
      <c r="B12" s="1151">
        <f>'Civil Det'!H179</f>
        <v>56</v>
      </c>
      <c r="C12" s="1152" t="s">
        <v>4678</v>
      </c>
      <c r="D12" s="1151">
        <f>DATA2!F389</f>
        <v>4704.41</v>
      </c>
      <c r="E12" s="1153" t="s">
        <v>4615</v>
      </c>
      <c r="F12" s="1153">
        <f t="shared" si="0"/>
        <v>263446.96000000002</v>
      </c>
    </row>
    <row r="13" spans="1:6" s="1009" customFormat="1" ht="227.25" customHeight="1">
      <c r="A13" s="1150">
        <v>10</v>
      </c>
      <c r="B13" s="1151">
        <f>'Civil Det'!H185</f>
        <v>6</v>
      </c>
      <c r="C13" s="1152" t="s">
        <v>4684</v>
      </c>
      <c r="D13" s="1151">
        <f>DATA2!F406</f>
        <v>3734.25</v>
      </c>
      <c r="E13" s="1153" t="s">
        <v>4615</v>
      </c>
      <c r="F13" s="1153">
        <f t="shared" si="0"/>
        <v>22405.5</v>
      </c>
    </row>
    <row r="14" spans="1:6" s="1009" customFormat="1" ht="72.75" customHeight="1">
      <c r="A14" s="1150">
        <v>11</v>
      </c>
      <c r="B14" s="1151">
        <f>'Civil Det'!H193</f>
        <v>5.5</v>
      </c>
      <c r="C14" s="1152" t="s">
        <v>4725</v>
      </c>
      <c r="D14" s="1151">
        <f>DATA2!F156</f>
        <v>214.62</v>
      </c>
      <c r="E14" s="1153" t="s">
        <v>2226</v>
      </c>
      <c r="F14" s="1153">
        <f>ROUND(PRODUCT(B14*D14),2)</f>
        <v>1180.4100000000001</v>
      </c>
    </row>
    <row r="15" spans="1:6" s="1009" customFormat="1" ht="105">
      <c r="A15" s="1150">
        <v>12</v>
      </c>
      <c r="B15" s="1151">
        <f>'Civil Det'!H201</f>
        <v>1.1000000000000001</v>
      </c>
      <c r="C15" s="1152" t="s">
        <v>4727</v>
      </c>
      <c r="D15" s="1151">
        <f>DATA2!F171</f>
        <v>4398.09</v>
      </c>
      <c r="E15" s="1153" t="s">
        <v>2226</v>
      </c>
      <c r="F15" s="1153">
        <f t="shared" si="0"/>
        <v>4837.8999999999996</v>
      </c>
    </row>
    <row r="16" spans="1:6" s="1009" customFormat="1" ht="75">
      <c r="A16" s="1150">
        <v>13</v>
      </c>
      <c r="B16" s="1151">
        <f>'Civil Det'!H208</f>
        <v>0.6</v>
      </c>
      <c r="C16" s="1152" t="s">
        <v>4731</v>
      </c>
      <c r="D16" s="1151">
        <f>DATA2!F196</f>
        <v>1488.92</v>
      </c>
      <c r="E16" s="1153" t="s">
        <v>2226</v>
      </c>
      <c r="F16" s="1153">
        <f t="shared" si="0"/>
        <v>893.35</v>
      </c>
    </row>
    <row r="17" spans="1:6" s="1009" customFormat="1" ht="75">
      <c r="A17" s="1150">
        <v>14</v>
      </c>
      <c r="B17" s="1151">
        <f>'Civil Det'!H218</f>
        <v>2.5</v>
      </c>
      <c r="C17" s="1152" t="s">
        <v>4734</v>
      </c>
      <c r="D17" s="1151">
        <f>DATA2!F187</f>
        <v>6223.83</v>
      </c>
      <c r="E17" s="1153" t="s">
        <v>2226</v>
      </c>
      <c r="F17" s="1153">
        <f t="shared" si="0"/>
        <v>15559.58</v>
      </c>
    </row>
    <row r="18" spans="1:6" s="1009" customFormat="1" ht="75">
      <c r="A18" s="1150">
        <v>15</v>
      </c>
      <c r="B18" s="1151">
        <f>'Civil Det'!H227</f>
        <v>4.5</v>
      </c>
      <c r="C18" s="1152" t="s">
        <v>4735</v>
      </c>
      <c r="D18" s="1151">
        <f>DATA2!F482</f>
        <v>6238.02</v>
      </c>
      <c r="E18" s="1153" t="s">
        <v>2226</v>
      </c>
      <c r="F18" s="1153">
        <f t="shared" si="0"/>
        <v>28071.09</v>
      </c>
    </row>
    <row r="19" spans="1:6" s="1009" customFormat="1" ht="68.25" customHeight="1">
      <c r="A19" s="1150">
        <v>16</v>
      </c>
      <c r="B19" s="1151"/>
      <c r="C19" s="1152" t="s">
        <v>4737</v>
      </c>
      <c r="D19" s="1151"/>
      <c r="E19" s="1153"/>
      <c r="F19" s="1153">
        <f t="shared" si="0"/>
        <v>0</v>
      </c>
    </row>
    <row r="20" spans="1:6" s="1009" customFormat="1" ht="29.25" customHeight="1">
      <c r="A20" s="1150"/>
      <c r="B20" s="1151">
        <f>'Civil Det'!H237</f>
        <v>1.3</v>
      </c>
      <c r="C20" s="1152" t="s">
        <v>4738</v>
      </c>
      <c r="D20" s="1151">
        <f>DATA2!F500</f>
        <v>7300.35</v>
      </c>
      <c r="E20" s="1153" t="s">
        <v>2226</v>
      </c>
      <c r="F20" s="1153">
        <f t="shared" si="0"/>
        <v>9490.4599999999991</v>
      </c>
    </row>
    <row r="21" spans="1:6" s="1009" customFormat="1" ht="29.25" customHeight="1">
      <c r="A21" s="1150"/>
      <c r="B21" s="1151">
        <f>'Civil Det'!H246</f>
        <v>1.1000000000000001</v>
      </c>
      <c r="C21" s="1152" t="s">
        <v>4740</v>
      </c>
      <c r="D21" s="1151">
        <f>DATA2!F502</f>
        <v>7408.82</v>
      </c>
      <c r="E21" s="1153" t="s">
        <v>2226</v>
      </c>
      <c r="F21" s="1153">
        <f t="shared" si="0"/>
        <v>8149.7</v>
      </c>
    </row>
    <row r="22" spans="1:6" s="1009" customFormat="1" ht="22.5" customHeight="1">
      <c r="A22" s="1150">
        <v>17</v>
      </c>
      <c r="B22" s="1151"/>
      <c r="C22" s="1152" t="s">
        <v>4312</v>
      </c>
      <c r="D22" s="1151"/>
      <c r="E22" s="1153"/>
      <c r="F22" s="1153">
        <f t="shared" si="0"/>
        <v>0</v>
      </c>
    </row>
    <row r="23" spans="1:6" s="1009" customFormat="1" ht="39.75" customHeight="1">
      <c r="A23" s="1150"/>
      <c r="B23" s="1151">
        <f>'Civil Det'!H254</f>
        <v>7</v>
      </c>
      <c r="C23" s="1152" t="s">
        <v>1904</v>
      </c>
      <c r="D23" s="1151">
        <f>DATA2!D505</f>
        <v>772.13</v>
      </c>
      <c r="E23" s="1153" t="s">
        <v>2371</v>
      </c>
      <c r="F23" s="1153">
        <f t="shared" si="0"/>
        <v>5404.91</v>
      </c>
    </row>
    <row r="24" spans="1:6" s="1009" customFormat="1" ht="50.25" customHeight="1">
      <c r="A24" s="1150"/>
      <c r="B24" s="1151">
        <f>'Civil Det'!H268</f>
        <v>9.4</v>
      </c>
      <c r="C24" s="1152" t="s">
        <v>4744</v>
      </c>
      <c r="D24" s="1151">
        <f>DATA2!D507</f>
        <v>866.09</v>
      </c>
      <c r="E24" s="1153" t="s">
        <v>2371</v>
      </c>
      <c r="F24" s="1153">
        <f t="shared" si="0"/>
        <v>8141.25</v>
      </c>
    </row>
    <row r="25" spans="1:6" s="1009" customFormat="1" ht="22.5" customHeight="1">
      <c r="A25" s="1150"/>
      <c r="B25" s="1151">
        <f>'Civil Det'!H275</f>
        <v>4.5</v>
      </c>
      <c r="C25" s="1152" t="s">
        <v>4748</v>
      </c>
      <c r="D25" s="1151">
        <f>DATA2!D509</f>
        <v>1039.31</v>
      </c>
      <c r="E25" s="1153" t="s">
        <v>2371</v>
      </c>
      <c r="F25" s="1153">
        <f t="shared" si="0"/>
        <v>4676.8999999999996</v>
      </c>
    </row>
    <row r="26" spans="1:6" s="1009" customFormat="1" ht="41.25" customHeight="1">
      <c r="A26" s="1150">
        <v>18</v>
      </c>
      <c r="B26" s="1151">
        <f>'Civil Det'!H282</f>
        <v>0.2</v>
      </c>
      <c r="C26" s="1152" t="s">
        <v>4750</v>
      </c>
      <c r="D26" s="1151">
        <f>D15</f>
        <v>4398.09</v>
      </c>
      <c r="E26" s="1153" t="s">
        <v>2226</v>
      </c>
      <c r="F26" s="1153">
        <f t="shared" si="0"/>
        <v>879.62</v>
      </c>
    </row>
    <row r="27" spans="1:6" s="1009" customFormat="1" ht="51" customHeight="1">
      <c r="A27" s="1150">
        <v>19</v>
      </c>
      <c r="B27" s="1151">
        <f>'Civil Det'!H299</f>
        <v>86.7</v>
      </c>
      <c r="C27" s="1152" t="s">
        <v>3903</v>
      </c>
      <c r="D27" s="1151">
        <f>DATA2!F226</f>
        <v>228.61</v>
      </c>
      <c r="E27" s="1153" t="s">
        <v>2371</v>
      </c>
      <c r="F27" s="1153">
        <f t="shared" si="0"/>
        <v>19820.490000000002</v>
      </c>
    </row>
    <row r="28" spans="1:6" s="1009" customFormat="1" ht="36" customHeight="1">
      <c r="A28" s="1150">
        <v>20</v>
      </c>
      <c r="B28" s="1151">
        <f>'Civil Det'!H306</f>
        <v>2.5</v>
      </c>
      <c r="C28" s="1152" t="s">
        <v>4759</v>
      </c>
      <c r="D28" s="1151">
        <f>DATA2!F533</f>
        <v>1121.82</v>
      </c>
      <c r="E28" s="1153" t="s">
        <v>2371</v>
      </c>
      <c r="F28" s="1153">
        <f t="shared" si="0"/>
        <v>2804.55</v>
      </c>
    </row>
    <row r="29" spans="1:6" s="1009" customFormat="1" ht="41.25" customHeight="1">
      <c r="A29" s="1150">
        <v>21</v>
      </c>
      <c r="B29" s="1151">
        <f>'Civil Det'!H311</f>
        <v>0.3</v>
      </c>
      <c r="C29" s="862" t="s">
        <v>4169</v>
      </c>
      <c r="D29" s="1151">
        <f>DATA2!F249</f>
        <v>79705.3</v>
      </c>
      <c r="E29" s="1153" t="s">
        <v>528</v>
      </c>
      <c r="F29" s="1153">
        <f t="shared" si="0"/>
        <v>23911.59</v>
      </c>
    </row>
    <row r="30" spans="1:6" s="1009" customFormat="1" ht="36.75" customHeight="1">
      <c r="A30" s="1150">
        <v>22</v>
      </c>
      <c r="B30" s="1151">
        <f>'Civil Det'!H317</f>
        <v>8.5</v>
      </c>
      <c r="C30" s="862" t="s">
        <v>4781</v>
      </c>
      <c r="D30" s="1151">
        <f>DATA2!F580</f>
        <v>1569.77</v>
      </c>
      <c r="E30" s="1153" t="s">
        <v>4615</v>
      </c>
      <c r="F30" s="1153">
        <f t="shared" si="0"/>
        <v>13343.05</v>
      </c>
    </row>
    <row r="31" spans="1:6" s="1009" customFormat="1" ht="45">
      <c r="A31" s="1150">
        <v>23</v>
      </c>
      <c r="B31" s="1151">
        <f>'Civil Det'!H324</f>
        <v>6.8</v>
      </c>
      <c r="C31" s="862" t="s">
        <v>4789</v>
      </c>
      <c r="D31" s="1151">
        <f>DATA2!F592</f>
        <v>262.33999999999997</v>
      </c>
      <c r="E31" s="1153" t="s">
        <v>4615</v>
      </c>
      <c r="F31" s="1153">
        <f t="shared" si="0"/>
        <v>1783.91</v>
      </c>
    </row>
    <row r="32" spans="1:6" s="1009" customFormat="1" ht="50.25" customHeight="1">
      <c r="A32" s="1150">
        <v>24</v>
      </c>
      <c r="B32" s="1151">
        <f>'Civil Det'!H330</f>
        <v>11.9</v>
      </c>
      <c r="C32" s="862" t="s">
        <v>4793</v>
      </c>
      <c r="D32" s="1151">
        <f>DATA2!F597</f>
        <v>62.1</v>
      </c>
      <c r="E32" s="1153" t="s">
        <v>1730</v>
      </c>
      <c r="F32" s="1153">
        <f t="shared" si="0"/>
        <v>738.99</v>
      </c>
    </row>
    <row r="33" spans="1:6" s="1009" customFormat="1" ht="111" customHeight="1">
      <c r="A33" s="1150">
        <v>25</v>
      </c>
      <c r="B33" s="1151">
        <f>'Civil Det'!H336</f>
        <v>1.6</v>
      </c>
      <c r="C33" s="862" t="s">
        <v>4802</v>
      </c>
      <c r="D33" s="1151">
        <v>3167</v>
      </c>
      <c r="E33" s="1153" t="s">
        <v>4615</v>
      </c>
      <c r="F33" s="1153">
        <f t="shared" si="0"/>
        <v>5067.2</v>
      </c>
    </row>
    <row r="34" spans="1:6">
      <c r="A34" s="822"/>
      <c r="B34" s="870"/>
      <c r="C34" s="819"/>
      <c r="D34" s="870"/>
      <c r="E34" s="844"/>
      <c r="F34" s="844">
        <f t="shared" si="0"/>
        <v>0</v>
      </c>
    </row>
    <row r="35" spans="1:6" ht="29.25" customHeight="1">
      <c r="A35" s="822"/>
      <c r="B35" s="870"/>
      <c r="C35" s="875" t="s">
        <v>2332</v>
      </c>
      <c r="D35" s="870"/>
      <c r="E35" s="844"/>
      <c r="F35" s="820">
        <f>SUM(F4:F34)</f>
        <v>933827.53</v>
      </c>
    </row>
  </sheetData>
  <mergeCells count="2">
    <mergeCell ref="A1:F1"/>
    <mergeCell ref="A2:F2"/>
  </mergeCells>
  <printOptions horizontalCentered="1"/>
  <pageMargins left="0.7" right="0.2"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sheetPr>
    <tabColor rgb="FFFFFF00"/>
  </sheetPr>
  <dimension ref="A1:I342"/>
  <sheetViews>
    <sheetView view="pageBreakPreview" topLeftCell="A62" zoomScale="106" zoomScaleSheetLayoutView="106" workbookViewId="0">
      <selection activeCell="B74" sqref="B74"/>
    </sheetView>
  </sheetViews>
  <sheetFormatPr defaultRowHeight="15.75"/>
  <cols>
    <col min="1" max="1" width="3.88671875" customWidth="1"/>
    <col min="2" max="2" width="35.109375" style="813" customWidth="1"/>
    <col min="3" max="3" width="3.21875" customWidth="1"/>
    <col min="4" max="4" width="2.88671875" bestFit="1" customWidth="1"/>
    <col min="5" max="5" width="7.5546875" customWidth="1"/>
    <col min="6" max="6" width="7.77734375" customWidth="1"/>
    <col min="7" max="7" width="7.5546875" customWidth="1"/>
    <col min="8" max="8" width="8.109375" customWidth="1"/>
    <col min="10" max="11" width="9" bestFit="1" customWidth="1"/>
  </cols>
  <sheetData>
    <row r="1" spans="1:9" ht="54.75" customHeight="1">
      <c r="A1" s="1205" t="str">
        <f>'RWH Detailed'!A1:H1</f>
        <v>N/W: RENOVATION AND UPGRADING THE EXISTING WORKING WOMEN’S HOSTEL AT SOORAMANGALAM IN SALEM CITY UNDER SOCIAL WELFARE DEPARTMENT</v>
      </c>
      <c r="B1" s="1205"/>
      <c r="C1" s="1205"/>
      <c r="D1" s="1205"/>
      <c r="E1" s="1205"/>
      <c r="F1" s="1205"/>
      <c r="G1" s="1205"/>
      <c r="H1" s="1205"/>
    </row>
    <row r="2" spans="1:9" ht="27.75" customHeight="1">
      <c r="A2" s="1262" t="s">
        <v>4619</v>
      </c>
      <c r="B2" s="1263"/>
      <c r="C2" s="1263"/>
      <c r="D2" s="1263"/>
      <c r="E2" s="1263"/>
      <c r="F2" s="1263"/>
      <c r="G2" s="1263"/>
      <c r="H2" s="1264"/>
    </row>
    <row r="3" spans="1:9" ht="31.5">
      <c r="A3" s="889" t="s">
        <v>3747</v>
      </c>
      <c r="B3" s="888" t="s">
        <v>3748</v>
      </c>
      <c r="C3" s="1277" t="s">
        <v>1454</v>
      </c>
      <c r="D3" s="1277"/>
      <c r="E3" s="888" t="s">
        <v>3751</v>
      </c>
      <c r="F3" s="888" t="s">
        <v>3752</v>
      </c>
      <c r="G3" s="888" t="s">
        <v>3753</v>
      </c>
      <c r="H3" s="888" t="s">
        <v>1669</v>
      </c>
    </row>
    <row r="4" spans="1:9" ht="72" customHeight="1">
      <c r="A4" s="863">
        <v>1</v>
      </c>
      <c r="B4" s="819" t="s">
        <v>4795</v>
      </c>
      <c r="C4" s="867"/>
      <c r="D4" s="865"/>
      <c r="E4" s="866"/>
      <c r="F4" s="866"/>
      <c r="G4" s="866"/>
      <c r="H4" s="866"/>
      <c r="I4" s="245"/>
    </row>
    <row r="5" spans="1:9">
      <c r="A5" s="863"/>
      <c r="B5" s="823" t="s">
        <v>4561</v>
      </c>
      <c r="C5" s="867"/>
      <c r="D5" s="865"/>
      <c r="E5" s="866"/>
      <c r="F5" s="866"/>
      <c r="G5" s="866"/>
      <c r="H5" s="866"/>
      <c r="I5" s="245"/>
    </row>
    <row r="6" spans="1:9">
      <c r="A6" s="863"/>
      <c r="B6" s="819" t="s">
        <v>4562</v>
      </c>
      <c r="C6" s="867">
        <v>1</v>
      </c>
      <c r="D6" s="865">
        <v>10</v>
      </c>
      <c r="E6" s="866">
        <v>16.38</v>
      </c>
      <c r="F6" s="866"/>
      <c r="G6" s="866">
        <v>2.89</v>
      </c>
      <c r="H6" s="866">
        <f>ROUND(PRODUCT(C6:G6),2)</f>
        <v>473.38</v>
      </c>
      <c r="I6" s="245"/>
    </row>
    <row r="7" spans="1:9">
      <c r="A7" s="863"/>
      <c r="B7" s="819" t="s">
        <v>4564</v>
      </c>
      <c r="C7" s="867">
        <v>-1</v>
      </c>
      <c r="D7" s="865">
        <v>10</v>
      </c>
      <c r="E7" s="866">
        <v>1</v>
      </c>
      <c r="F7" s="866"/>
      <c r="G7" s="866">
        <v>2.1</v>
      </c>
      <c r="H7" s="866">
        <f t="shared" ref="H7:H65" si="0">ROUND(PRODUCT(C7:G7),2)</f>
        <v>-21</v>
      </c>
      <c r="I7" s="245"/>
    </row>
    <row r="8" spans="1:9">
      <c r="A8" s="863"/>
      <c r="B8" s="819" t="s">
        <v>4564</v>
      </c>
      <c r="C8" s="867">
        <v>-1</v>
      </c>
      <c r="D8" s="865">
        <v>10</v>
      </c>
      <c r="E8" s="866">
        <v>0.9</v>
      </c>
      <c r="F8" s="866"/>
      <c r="G8" s="866">
        <v>2.1</v>
      </c>
      <c r="H8" s="866">
        <f t="shared" si="0"/>
        <v>-18.899999999999999</v>
      </c>
      <c r="I8" s="245"/>
    </row>
    <row r="9" spans="1:9">
      <c r="A9" s="863"/>
      <c r="B9" s="819" t="s">
        <v>4565</v>
      </c>
      <c r="C9" s="867">
        <v>-1</v>
      </c>
      <c r="D9" s="865">
        <v>10</v>
      </c>
      <c r="E9" s="866">
        <v>1.5</v>
      </c>
      <c r="F9" s="866"/>
      <c r="G9" s="866">
        <v>1.3</v>
      </c>
      <c r="H9" s="866">
        <f t="shared" si="0"/>
        <v>-19.5</v>
      </c>
      <c r="I9" s="245"/>
    </row>
    <row r="10" spans="1:9">
      <c r="A10" s="863"/>
      <c r="B10" s="819" t="s">
        <v>4566</v>
      </c>
      <c r="C10" s="867">
        <v>1</v>
      </c>
      <c r="D10" s="865">
        <v>10</v>
      </c>
      <c r="E10" s="866">
        <v>5.6</v>
      </c>
      <c r="F10" s="866">
        <v>0.1</v>
      </c>
      <c r="G10" s="866"/>
      <c r="H10" s="866">
        <f t="shared" si="0"/>
        <v>5.6</v>
      </c>
      <c r="I10" s="245"/>
    </row>
    <row r="11" spans="1:9">
      <c r="A11" s="863"/>
      <c r="B11" s="819" t="s">
        <v>4571</v>
      </c>
      <c r="C11" s="867">
        <v>1</v>
      </c>
      <c r="D11" s="865">
        <v>10</v>
      </c>
      <c r="E11" s="866">
        <v>1.07</v>
      </c>
      <c r="F11" s="866"/>
      <c r="G11" s="866">
        <v>2.89</v>
      </c>
      <c r="H11" s="866">
        <f t="shared" si="0"/>
        <v>30.92</v>
      </c>
      <c r="I11" s="245"/>
    </row>
    <row r="12" spans="1:9">
      <c r="A12" s="863"/>
      <c r="B12" s="819" t="s">
        <v>4567</v>
      </c>
      <c r="C12" s="867">
        <v>1</v>
      </c>
      <c r="D12" s="865">
        <v>10</v>
      </c>
      <c r="E12" s="866">
        <v>7.2</v>
      </c>
      <c r="F12" s="866"/>
      <c r="G12" s="866">
        <v>1.99</v>
      </c>
      <c r="H12" s="866">
        <f t="shared" si="0"/>
        <v>143.28</v>
      </c>
      <c r="I12" s="245"/>
    </row>
    <row r="13" spans="1:9">
      <c r="A13" s="863"/>
      <c r="B13" s="819" t="s">
        <v>4568</v>
      </c>
      <c r="C13" s="867">
        <v>-1</v>
      </c>
      <c r="D13" s="865">
        <v>10</v>
      </c>
      <c r="E13" s="866">
        <v>0.9</v>
      </c>
      <c r="F13" s="866"/>
      <c r="G13" s="866">
        <v>1.99</v>
      </c>
      <c r="H13" s="866">
        <f t="shared" si="0"/>
        <v>-17.91</v>
      </c>
      <c r="I13" s="245"/>
    </row>
    <row r="14" spans="1:9">
      <c r="A14" s="863"/>
      <c r="B14" s="819" t="s">
        <v>4569</v>
      </c>
      <c r="C14" s="867">
        <v>-2</v>
      </c>
      <c r="D14" s="865">
        <v>10</v>
      </c>
      <c r="E14" s="866">
        <v>0.9</v>
      </c>
      <c r="F14" s="866"/>
      <c r="G14" s="866">
        <v>0.6</v>
      </c>
      <c r="H14" s="866">
        <f t="shared" si="0"/>
        <v>-10.8</v>
      </c>
      <c r="I14" s="245"/>
    </row>
    <row r="15" spans="1:9">
      <c r="A15" s="863"/>
      <c r="B15" s="819" t="s">
        <v>4566</v>
      </c>
      <c r="C15" s="867">
        <v>1</v>
      </c>
      <c r="D15" s="865">
        <v>10</v>
      </c>
      <c r="E15" s="866">
        <v>3</v>
      </c>
      <c r="F15" s="866">
        <v>0.1</v>
      </c>
      <c r="G15" s="866"/>
      <c r="H15" s="866">
        <f t="shared" si="0"/>
        <v>3</v>
      </c>
      <c r="I15" s="245"/>
    </row>
    <row r="16" spans="1:9">
      <c r="A16" s="863"/>
      <c r="B16" s="819" t="s">
        <v>4570</v>
      </c>
      <c r="C16" s="867">
        <v>1</v>
      </c>
      <c r="D16" s="865">
        <v>1</v>
      </c>
      <c r="E16" s="866">
        <v>18.8</v>
      </c>
      <c r="F16" s="866"/>
      <c r="G16" s="866">
        <v>2.89</v>
      </c>
      <c r="H16" s="866">
        <f t="shared" si="0"/>
        <v>54.33</v>
      </c>
      <c r="I16" s="245"/>
    </row>
    <row r="17" spans="1:9">
      <c r="A17" s="863"/>
      <c r="B17" s="819" t="s">
        <v>4564</v>
      </c>
      <c r="C17" s="867">
        <v>-1</v>
      </c>
      <c r="D17" s="865">
        <v>1</v>
      </c>
      <c r="E17" s="866">
        <v>1</v>
      </c>
      <c r="F17" s="866"/>
      <c r="G17" s="866">
        <v>2.1</v>
      </c>
      <c r="H17" s="866">
        <f t="shared" si="0"/>
        <v>-2.1</v>
      </c>
      <c r="I17" s="245"/>
    </row>
    <row r="18" spans="1:9">
      <c r="A18" s="863"/>
      <c r="B18" s="819" t="s">
        <v>4572</v>
      </c>
      <c r="C18" s="867">
        <v>-1</v>
      </c>
      <c r="D18" s="865">
        <v>1</v>
      </c>
      <c r="E18" s="866">
        <v>1.39</v>
      </c>
      <c r="F18" s="866"/>
      <c r="G18" s="866">
        <v>2.1</v>
      </c>
      <c r="H18" s="866">
        <f t="shared" si="0"/>
        <v>-2.92</v>
      </c>
      <c r="I18" s="245"/>
    </row>
    <row r="19" spans="1:9">
      <c r="A19" s="863"/>
      <c r="B19" s="819" t="s">
        <v>4565</v>
      </c>
      <c r="C19" s="867">
        <v>-1</v>
      </c>
      <c r="D19" s="865">
        <v>2</v>
      </c>
      <c r="E19" s="866">
        <v>1.5</v>
      </c>
      <c r="F19" s="866"/>
      <c r="G19" s="866">
        <v>1.3</v>
      </c>
      <c r="H19" s="866">
        <f t="shared" si="0"/>
        <v>-3.9</v>
      </c>
      <c r="I19" s="245"/>
    </row>
    <row r="20" spans="1:9">
      <c r="A20" s="863"/>
      <c r="B20" s="819" t="s">
        <v>4566</v>
      </c>
      <c r="C20" s="867">
        <v>1</v>
      </c>
      <c r="D20" s="865">
        <v>2</v>
      </c>
      <c r="E20" s="866">
        <v>5.6</v>
      </c>
      <c r="F20" s="866">
        <v>0.1</v>
      </c>
      <c r="G20" s="866"/>
      <c r="H20" s="866">
        <f t="shared" si="0"/>
        <v>1.1200000000000001</v>
      </c>
      <c r="I20" s="245"/>
    </row>
    <row r="21" spans="1:9">
      <c r="A21" s="863"/>
      <c r="B21" s="819" t="s">
        <v>4573</v>
      </c>
      <c r="C21" s="867">
        <v>1</v>
      </c>
      <c r="D21" s="865">
        <v>1</v>
      </c>
      <c r="E21" s="866">
        <v>13.91</v>
      </c>
      <c r="F21" s="866"/>
      <c r="G21" s="866">
        <v>2.89</v>
      </c>
      <c r="H21" s="866">
        <f t="shared" si="0"/>
        <v>40.200000000000003</v>
      </c>
      <c r="I21" s="245"/>
    </row>
    <row r="22" spans="1:9">
      <c r="A22" s="863"/>
      <c r="B22" s="819" t="s">
        <v>4563</v>
      </c>
      <c r="C22" s="867">
        <v>1</v>
      </c>
      <c r="D22" s="865">
        <v>1</v>
      </c>
      <c r="E22" s="866">
        <v>9.3699999999999992</v>
      </c>
      <c r="F22" s="866"/>
      <c r="G22" s="866">
        <v>2.89</v>
      </c>
      <c r="H22" s="866">
        <f t="shared" si="0"/>
        <v>27.08</v>
      </c>
      <c r="I22" s="245"/>
    </row>
    <row r="23" spans="1:9">
      <c r="A23" s="863"/>
      <c r="B23" s="819" t="s">
        <v>4572</v>
      </c>
      <c r="C23" s="867">
        <v>-1</v>
      </c>
      <c r="D23" s="865">
        <v>3</v>
      </c>
      <c r="E23" s="866">
        <v>1.39</v>
      </c>
      <c r="F23" s="866"/>
      <c r="G23" s="866">
        <v>2.1</v>
      </c>
      <c r="H23" s="866">
        <f t="shared" si="0"/>
        <v>-8.76</v>
      </c>
      <c r="I23" s="245"/>
    </row>
    <row r="24" spans="1:9">
      <c r="A24" s="863"/>
      <c r="B24" s="819" t="s">
        <v>4564</v>
      </c>
      <c r="C24" s="867">
        <v>-1</v>
      </c>
      <c r="D24" s="865">
        <v>1</v>
      </c>
      <c r="E24" s="866">
        <v>1</v>
      </c>
      <c r="F24" s="866"/>
      <c r="G24" s="866">
        <v>2.1</v>
      </c>
      <c r="H24" s="866">
        <f t="shared" si="0"/>
        <v>-2.1</v>
      </c>
      <c r="I24" s="245"/>
    </row>
    <row r="25" spans="1:9">
      <c r="A25" s="863"/>
      <c r="B25" s="819" t="s">
        <v>4564</v>
      </c>
      <c r="C25" s="867">
        <v>-1</v>
      </c>
      <c r="D25" s="865">
        <v>1</v>
      </c>
      <c r="E25" s="866">
        <v>0.9</v>
      </c>
      <c r="F25" s="866"/>
      <c r="G25" s="866">
        <v>2.1</v>
      </c>
      <c r="H25" s="866">
        <f t="shared" si="0"/>
        <v>-1.89</v>
      </c>
      <c r="I25" s="245"/>
    </row>
    <row r="26" spans="1:9">
      <c r="A26" s="863"/>
      <c r="B26" s="819" t="s">
        <v>4565</v>
      </c>
      <c r="C26" s="867">
        <v>-1</v>
      </c>
      <c r="D26" s="865">
        <v>1</v>
      </c>
      <c r="E26" s="866">
        <v>1.5</v>
      </c>
      <c r="F26" s="866"/>
      <c r="G26" s="866">
        <v>1.3</v>
      </c>
      <c r="H26" s="866">
        <f t="shared" si="0"/>
        <v>-1.95</v>
      </c>
      <c r="I26" s="245"/>
    </row>
    <row r="27" spans="1:9">
      <c r="A27" s="863"/>
      <c r="B27" s="819" t="s">
        <v>4569</v>
      </c>
      <c r="C27" s="867">
        <v>-1</v>
      </c>
      <c r="D27" s="865">
        <v>1</v>
      </c>
      <c r="E27" s="866">
        <v>0.9</v>
      </c>
      <c r="F27" s="866"/>
      <c r="G27" s="866">
        <v>0.6</v>
      </c>
      <c r="H27" s="866">
        <f t="shared" si="0"/>
        <v>-0.54</v>
      </c>
      <c r="I27" s="245"/>
    </row>
    <row r="28" spans="1:9">
      <c r="A28" s="863"/>
      <c r="B28" s="819" t="s">
        <v>4566</v>
      </c>
      <c r="C28" s="867">
        <v>1</v>
      </c>
      <c r="D28" s="865">
        <v>1</v>
      </c>
      <c r="E28" s="866">
        <v>5.6</v>
      </c>
      <c r="F28" s="866">
        <v>0.1</v>
      </c>
      <c r="G28" s="866"/>
      <c r="H28" s="866">
        <f t="shared" si="0"/>
        <v>0.56000000000000005</v>
      </c>
      <c r="I28" s="245"/>
    </row>
    <row r="29" spans="1:9">
      <c r="A29" s="863"/>
      <c r="B29" s="819" t="s">
        <v>4563</v>
      </c>
      <c r="C29" s="867">
        <v>1</v>
      </c>
      <c r="D29" s="865">
        <v>1</v>
      </c>
      <c r="E29" s="866">
        <v>3</v>
      </c>
      <c r="F29" s="866">
        <v>0.1</v>
      </c>
      <c r="G29" s="866"/>
      <c r="H29" s="866">
        <f t="shared" si="0"/>
        <v>0.3</v>
      </c>
      <c r="I29" s="245"/>
    </row>
    <row r="30" spans="1:9">
      <c r="A30" s="863"/>
      <c r="B30" s="819" t="s">
        <v>4563</v>
      </c>
      <c r="C30" s="867">
        <v>1</v>
      </c>
      <c r="D30" s="865">
        <v>2</v>
      </c>
      <c r="E30" s="866">
        <v>5.59</v>
      </c>
      <c r="F30" s="866">
        <v>0.11</v>
      </c>
      <c r="G30" s="866"/>
      <c r="H30" s="866">
        <f t="shared" si="0"/>
        <v>1.23</v>
      </c>
      <c r="I30" s="245"/>
    </row>
    <row r="31" spans="1:9">
      <c r="A31" s="863"/>
      <c r="B31" s="819" t="s">
        <v>4574</v>
      </c>
      <c r="C31" s="867">
        <v>1</v>
      </c>
      <c r="D31" s="865">
        <v>1</v>
      </c>
      <c r="E31" s="866">
        <v>11.05</v>
      </c>
      <c r="F31" s="866"/>
      <c r="G31" s="866">
        <v>2.89</v>
      </c>
      <c r="H31" s="866">
        <f t="shared" si="0"/>
        <v>31.93</v>
      </c>
      <c r="I31" s="245"/>
    </row>
    <row r="32" spans="1:9">
      <c r="A32" s="863"/>
      <c r="B32" s="819" t="s">
        <v>4564</v>
      </c>
      <c r="C32" s="867">
        <v>-1</v>
      </c>
      <c r="D32" s="865">
        <v>1</v>
      </c>
      <c r="E32" s="866">
        <v>0.9</v>
      </c>
      <c r="F32" s="866"/>
      <c r="G32" s="866">
        <v>2.1</v>
      </c>
      <c r="H32" s="866">
        <f t="shared" si="0"/>
        <v>-1.89</v>
      </c>
      <c r="I32" s="245"/>
    </row>
    <row r="33" spans="1:9">
      <c r="A33" s="863"/>
      <c r="B33" s="819" t="s">
        <v>4575</v>
      </c>
      <c r="C33" s="867">
        <v>1</v>
      </c>
      <c r="D33" s="865">
        <v>1</v>
      </c>
      <c r="E33" s="866">
        <v>62.41</v>
      </c>
      <c r="F33" s="866"/>
      <c r="G33" s="866">
        <v>2.89</v>
      </c>
      <c r="H33" s="866">
        <f t="shared" si="0"/>
        <v>180.36</v>
      </c>
      <c r="I33" s="245"/>
    </row>
    <row r="34" spans="1:9">
      <c r="A34" s="863"/>
      <c r="B34" s="819" t="s">
        <v>4564</v>
      </c>
      <c r="C34" s="867">
        <v>-1</v>
      </c>
      <c r="D34" s="865">
        <v>10</v>
      </c>
      <c r="E34" s="866">
        <v>1</v>
      </c>
      <c r="F34" s="866"/>
      <c r="G34" s="866">
        <v>2.1</v>
      </c>
      <c r="H34" s="866">
        <f t="shared" si="0"/>
        <v>-21</v>
      </c>
      <c r="I34" s="245"/>
    </row>
    <row r="35" spans="1:9">
      <c r="A35" s="863"/>
      <c r="B35" s="819" t="s">
        <v>4572</v>
      </c>
      <c r="C35" s="867">
        <v>-1</v>
      </c>
      <c r="D35" s="865">
        <v>2</v>
      </c>
      <c r="E35" s="866">
        <v>3</v>
      </c>
      <c r="F35" s="866"/>
      <c r="G35" s="866">
        <v>2.89</v>
      </c>
      <c r="H35" s="866">
        <f t="shared" si="0"/>
        <v>-17.34</v>
      </c>
      <c r="I35" s="245"/>
    </row>
    <row r="36" spans="1:9">
      <c r="A36" s="863"/>
      <c r="B36" s="819" t="s">
        <v>4565</v>
      </c>
      <c r="C36" s="867">
        <v>-1</v>
      </c>
      <c r="D36" s="865">
        <v>2</v>
      </c>
      <c r="E36" s="866">
        <v>1.5</v>
      </c>
      <c r="F36" s="866"/>
      <c r="G36" s="866">
        <v>1.3</v>
      </c>
      <c r="H36" s="866">
        <f t="shared" si="0"/>
        <v>-3.9</v>
      </c>
      <c r="I36" s="245"/>
    </row>
    <row r="37" spans="1:9">
      <c r="A37" s="863"/>
      <c r="B37" s="819" t="s">
        <v>4566</v>
      </c>
      <c r="C37" s="867">
        <v>1</v>
      </c>
      <c r="D37" s="865">
        <v>2</v>
      </c>
      <c r="E37" s="866">
        <v>5.6</v>
      </c>
      <c r="F37" s="866">
        <v>0.1</v>
      </c>
      <c r="G37" s="866"/>
      <c r="H37" s="866">
        <f t="shared" si="0"/>
        <v>1.1200000000000001</v>
      </c>
      <c r="I37" s="245"/>
    </row>
    <row r="38" spans="1:9">
      <c r="A38" s="863"/>
      <c r="B38" s="819" t="s">
        <v>4576</v>
      </c>
      <c r="C38" s="867">
        <v>1</v>
      </c>
      <c r="D38" s="865">
        <v>1</v>
      </c>
      <c r="E38" s="866">
        <v>11.14</v>
      </c>
      <c r="F38" s="866"/>
      <c r="G38" s="866">
        <v>2.89</v>
      </c>
      <c r="H38" s="866">
        <f t="shared" si="0"/>
        <v>32.19</v>
      </c>
      <c r="I38" s="245"/>
    </row>
    <row r="39" spans="1:9">
      <c r="A39" s="863"/>
      <c r="B39" s="819" t="s">
        <v>4564</v>
      </c>
      <c r="C39" s="867">
        <v>-1</v>
      </c>
      <c r="D39" s="865">
        <v>1</v>
      </c>
      <c r="E39" s="866">
        <v>1.8</v>
      </c>
      <c r="F39" s="866"/>
      <c r="G39" s="866">
        <v>2.1</v>
      </c>
      <c r="H39" s="866">
        <f t="shared" si="0"/>
        <v>-3.78</v>
      </c>
      <c r="I39" s="245"/>
    </row>
    <row r="40" spans="1:9">
      <c r="A40" s="863"/>
      <c r="B40" s="819" t="s">
        <v>4564</v>
      </c>
      <c r="C40" s="867">
        <v>-1</v>
      </c>
      <c r="D40" s="865">
        <v>1</v>
      </c>
      <c r="E40" s="866">
        <v>1</v>
      </c>
      <c r="F40" s="866"/>
      <c r="G40" s="866">
        <v>2.1</v>
      </c>
      <c r="H40" s="866">
        <f t="shared" si="0"/>
        <v>-2.1</v>
      </c>
      <c r="I40" s="245"/>
    </row>
    <row r="41" spans="1:9">
      <c r="A41" s="863"/>
      <c r="B41" s="819" t="s">
        <v>4566</v>
      </c>
      <c r="C41" s="867">
        <v>1</v>
      </c>
      <c r="D41" s="865">
        <v>1</v>
      </c>
      <c r="E41" s="866">
        <v>6</v>
      </c>
      <c r="F41" s="866">
        <v>0.2</v>
      </c>
      <c r="G41" s="866"/>
      <c r="H41" s="866">
        <f t="shared" si="0"/>
        <v>1.2</v>
      </c>
      <c r="I41" s="245"/>
    </row>
    <row r="42" spans="1:9">
      <c r="A42" s="863"/>
      <c r="B42" s="819" t="s">
        <v>4577</v>
      </c>
      <c r="C42" s="867">
        <v>1</v>
      </c>
      <c r="D42" s="865">
        <v>1</v>
      </c>
      <c r="E42" s="866">
        <v>13.35</v>
      </c>
      <c r="F42" s="866"/>
      <c r="G42" s="866">
        <v>2.89</v>
      </c>
      <c r="H42" s="866">
        <f t="shared" si="0"/>
        <v>38.58</v>
      </c>
      <c r="I42" s="245"/>
    </row>
    <row r="43" spans="1:9">
      <c r="A43" s="863"/>
      <c r="B43" s="819" t="s">
        <v>4564</v>
      </c>
      <c r="C43" s="867">
        <v>-1</v>
      </c>
      <c r="D43" s="865">
        <v>2</v>
      </c>
      <c r="E43" s="866">
        <v>1</v>
      </c>
      <c r="F43" s="866"/>
      <c r="G43" s="866">
        <v>2.1</v>
      </c>
      <c r="H43" s="866">
        <f t="shared" si="0"/>
        <v>-4.2</v>
      </c>
      <c r="I43" s="245"/>
    </row>
    <row r="44" spans="1:9">
      <c r="A44" s="863"/>
      <c r="B44" s="819" t="s">
        <v>4564</v>
      </c>
      <c r="C44" s="867">
        <v>-1</v>
      </c>
      <c r="D44" s="865">
        <v>1</v>
      </c>
      <c r="E44" s="866">
        <v>0.9</v>
      </c>
      <c r="F44" s="866"/>
      <c r="G44" s="866">
        <v>2.1</v>
      </c>
      <c r="H44" s="866">
        <f t="shared" si="0"/>
        <v>-1.89</v>
      </c>
      <c r="I44" s="245"/>
    </row>
    <row r="45" spans="1:9">
      <c r="A45" s="863"/>
      <c r="B45" s="819" t="s">
        <v>4566</v>
      </c>
      <c r="C45" s="867">
        <v>1</v>
      </c>
      <c r="D45" s="865">
        <v>2</v>
      </c>
      <c r="E45" s="866">
        <v>5.2</v>
      </c>
      <c r="F45" s="866">
        <v>0.15</v>
      </c>
      <c r="G45" s="866"/>
      <c r="H45" s="866">
        <f t="shared" si="0"/>
        <v>1.56</v>
      </c>
      <c r="I45" s="245"/>
    </row>
    <row r="46" spans="1:9">
      <c r="A46" s="863"/>
      <c r="B46" s="819" t="s">
        <v>4567</v>
      </c>
      <c r="C46" s="867">
        <v>1</v>
      </c>
      <c r="D46" s="865">
        <v>1</v>
      </c>
      <c r="E46" s="866">
        <v>6.6</v>
      </c>
      <c r="F46" s="866"/>
      <c r="G46" s="866">
        <v>2.8</v>
      </c>
      <c r="H46" s="866">
        <f t="shared" si="0"/>
        <v>18.48</v>
      </c>
      <c r="I46" s="245"/>
    </row>
    <row r="47" spans="1:9">
      <c r="A47" s="863"/>
      <c r="B47" s="819" t="s">
        <v>4564</v>
      </c>
      <c r="C47" s="867">
        <v>-1</v>
      </c>
      <c r="D47" s="865">
        <v>1</v>
      </c>
      <c r="E47" s="866">
        <v>0.9</v>
      </c>
      <c r="F47" s="866"/>
      <c r="G47" s="866">
        <v>2.1</v>
      </c>
      <c r="H47" s="866">
        <f t="shared" si="0"/>
        <v>-1.89</v>
      </c>
      <c r="I47" s="245"/>
    </row>
    <row r="48" spans="1:9">
      <c r="A48" s="863"/>
      <c r="B48" s="819" t="s">
        <v>4569</v>
      </c>
      <c r="C48" s="867">
        <v>-1</v>
      </c>
      <c r="D48" s="865">
        <v>1</v>
      </c>
      <c r="E48" s="866">
        <v>0.9</v>
      </c>
      <c r="F48" s="866"/>
      <c r="G48" s="866">
        <v>0.6</v>
      </c>
      <c r="H48" s="866">
        <f t="shared" si="0"/>
        <v>-0.54</v>
      </c>
      <c r="I48" s="245"/>
    </row>
    <row r="49" spans="1:9">
      <c r="A49" s="863"/>
      <c r="B49" s="819" t="s">
        <v>4566</v>
      </c>
      <c r="C49" s="867">
        <v>1</v>
      </c>
      <c r="D49" s="865">
        <v>1</v>
      </c>
      <c r="E49" s="866">
        <v>5.0999999999999996</v>
      </c>
      <c r="F49" s="866">
        <v>0.15</v>
      </c>
      <c r="G49" s="866"/>
      <c r="H49" s="866">
        <f t="shared" si="0"/>
        <v>0.77</v>
      </c>
      <c r="I49" s="245"/>
    </row>
    <row r="50" spans="1:9">
      <c r="A50" s="863"/>
      <c r="B50" s="819" t="s">
        <v>4563</v>
      </c>
      <c r="C50" s="867">
        <v>1</v>
      </c>
      <c r="D50" s="865">
        <v>1</v>
      </c>
      <c r="E50" s="866">
        <v>3</v>
      </c>
      <c r="F50" s="866">
        <v>0.1</v>
      </c>
      <c r="G50" s="866"/>
      <c r="H50" s="866">
        <f t="shared" si="0"/>
        <v>0.3</v>
      </c>
      <c r="I50" s="245"/>
    </row>
    <row r="51" spans="1:9">
      <c r="A51" s="863"/>
      <c r="B51" s="819" t="s">
        <v>4578</v>
      </c>
      <c r="C51" s="867">
        <v>1</v>
      </c>
      <c r="D51" s="865">
        <v>11</v>
      </c>
      <c r="E51" s="866">
        <v>16.38</v>
      </c>
      <c r="F51" s="866"/>
      <c r="G51" s="866">
        <v>2.89</v>
      </c>
      <c r="H51" s="866">
        <f t="shared" si="0"/>
        <v>520.72</v>
      </c>
      <c r="I51" s="245"/>
    </row>
    <row r="52" spans="1:9">
      <c r="A52" s="863"/>
      <c r="B52" s="819" t="s">
        <v>4564</v>
      </c>
      <c r="C52" s="867">
        <v>-1</v>
      </c>
      <c r="D52" s="865">
        <v>11</v>
      </c>
      <c r="E52" s="866">
        <v>1</v>
      </c>
      <c r="F52" s="866"/>
      <c r="G52" s="866">
        <v>2.1</v>
      </c>
      <c r="H52" s="866">
        <f t="shared" si="0"/>
        <v>-23.1</v>
      </c>
      <c r="I52" s="245"/>
    </row>
    <row r="53" spans="1:9">
      <c r="A53" s="863"/>
      <c r="B53" s="819" t="s">
        <v>4564</v>
      </c>
      <c r="C53" s="867">
        <v>-1</v>
      </c>
      <c r="D53" s="865">
        <v>11</v>
      </c>
      <c r="E53" s="866">
        <v>0.9</v>
      </c>
      <c r="F53" s="866"/>
      <c r="G53" s="866">
        <v>2.1</v>
      </c>
      <c r="H53" s="866">
        <f t="shared" si="0"/>
        <v>-20.79</v>
      </c>
      <c r="I53" s="245"/>
    </row>
    <row r="54" spans="1:9">
      <c r="A54" s="863"/>
      <c r="B54" s="819" t="s">
        <v>4565</v>
      </c>
      <c r="C54" s="867">
        <v>-1</v>
      </c>
      <c r="D54" s="865">
        <v>11</v>
      </c>
      <c r="E54" s="866">
        <v>1.5</v>
      </c>
      <c r="F54" s="866"/>
      <c r="G54" s="866">
        <v>1.3</v>
      </c>
      <c r="H54" s="866">
        <f t="shared" si="0"/>
        <v>-21.45</v>
      </c>
      <c r="I54" s="245"/>
    </row>
    <row r="55" spans="1:9">
      <c r="A55" s="863"/>
      <c r="B55" s="819" t="s">
        <v>4566</v>
      </c>
      <c r="C55" s="867">
        <v>1</v>
      </c>
      <c r="D55" s="865">
        <v>11</v>
      </c>
      <c r="E55" s="866">
        <v>5.6</v>
      </c>
      <c r="F55" s="866">
        <v>0.1</v>
      </c>
      <c r="G55" s="866"/>
      <c r="H55" s="866">
        <f t="shared" si="0"/>
        <v>6.16</v>
      </c>
      <c r="I55" s="245"/>
    </row>
    <row r="56" spans="1:9">
      <c r="A56" s="863"/>
      <c r="B56" s="819" t="s">
        <v>4571</v>
      </c>
      <c r="C56" s="867">
        <v>1</v>
      </c>
      <c r="D56" s="865">
        <v>11</v>
      </c>
      <c r="E56" s="866">
        <v>1.07</v>
      </c>
      <c r="F56" s="866"/>
      <c r="G56" s="866">
        <v>2.89</v>
      </c>
      <c r="H56" s="866">
        <f t="shared" si="0"/>
        <v>34.020000000000003</v>
      </c>
      <c r="I56" s="245"/>
    </row>
    <row r="57" spans="1:9">
      <c r="A57" s="863"/>
      <c r="B57" s="819" t="s">
        <v>4567</v>
      </c>
      <c r="C57" s="867">
        <v>1</v>
      </c>
      <c r="D57" s="865">
        <v>12</v>
      </c>
      <c r="E57" s="866">
        <v>7.2</v>
      </c>
      <c r="F57" s="866"/>
      <c r="G57" s="866">
        <v>1.99</v>
      </c>
      <c r="H57" s="866">
        <f t="shared" si="0"/>
        <v>171.94</v>
      </c>
      <c r="I57" s="245"/>
    </row>
    <row r="58" spans="1:9">
      <c r="A58" s="863"/>
      <c r="B58" s="819" t="s">
        <v>4568</v>
      </c>
      <c r="C58" s="867">
        <v>-1</v>
      </c>
      <c r="D58" s="865">
        <v>12</v>
      </c>
      <c r="E58" s="866">
        <v>0.9</v>
      </c>
      <c r="F58" s="866"/>
      <c r="G58" s="866">
        <v>1.99</v>
      </c>
      <c r="H58" s="866">
        <f t="shared" si="0"/>
        <v>-21.49</v>
      </c>
      <c r="I58" s="245"/>
    </row>
    <row r="59" spans="1:9">
      <c r="A59" s="863"/>
      <c r="B59" s="819" t="s">
        <v>4569</v>
      </c>
      <c r="C59" s="867">
        <v>-2</v>
      </c>
      <c r="D59" s="865">
        <v>12</v>
      </c>
      <c r="E59" s="866">
        <v>0.9</v>
      </c>
      <c r="F59" s="866"/>
      <c r="G59" s="866">
        <v>0.6</v>
      </c>
      <c r="H59" s="866">
        <f t="shared" si="0"/>
        <v>-12.96</v>
      </c>
      <c r="I59" s="245"/>
    </row>
    <row r="60" spans="1:9">
      <c r="A60" s="863"/>
      <c r="B60" s="819" t="s">
        <v>4566</v>
      </c>
      <c r="C60" s="867">
        <v>1</v>
      </c>
      <c r="D60" s="865">
        <v>12</v>
      </c>
      <c r="E60" s="866">
        <v>3</v>
      </c>
      <c r="F60" s="866">
        <v>0.1</v>
      </c>
      <c r="G60" s="866"/>
      <c r="H60" s="866">
        <f t="shared" si="0"/>
        <v>3.6</v>
      </c>
      <c r="I60" s="245"/>
    </row>
    <row r="61" spans="1:9">
      <c r="A61" s="863"/>
      <c r="B61" s="819" t="s">
        <v>4579</v>
      </c>
      <c r="C61" s="867">
        <v>1</v>
      </c>
      <c r="D61" s="865">
        <v>1</v>
      </c>
      <c r="E61" s="866">
        <v>22.84</v>
      </c>
      <c r="F61" s="866"/>
      <c r="G61" s="866">
        <v>2.89</v>
      </c>
      <c r="H61" s="866">
        <f t="shared" si="0"/>
        <v>66.010000000000005</v>
      </c>
      <c r="I61" s="245"/>
    </row>
    <row r="62" spans="1:9">
      <c r="A62" s="863"/>
      <c r="B62" s="819" t="s">
        <v>4568</v>
      </c>
      <c r="C62" s="867">
        <v>-1</v>
      </c>
      <c r="D62" s="865">
        <v>1</v>
      </c>
      <c r="E62" s="866">
        <v>1</v>
      </c>
      <c r="F62" s="866"/>
      <c r="G62" s="866">
        <v>2.1</v>
      </c>
      <c r="H62" s="866">
        <f t="shared" si="0"/>
        <v>-2.1</v>
      </c>
      <c r="I62" s="245"/>
    </row>
    <row r="63" spans="1:9">
      <c r="A63" s="863"/>
      <c r="B63" s="819" t="s">
        <v>4565</v>
      </c>
      <c r="C63" s="867">
        <v>-1</v>
      </c>
      <c r="D63" s="865">
        <v>2</v>
      </c>
      <c r="E63" s="866">
        <v>1.5</v>
      </c>
      <c r="F63" s="866"/>
      <c r="G63" s="866">
        <v>1.3</v>
      </c>
      <c r="H63" s="866">
        <f t="shared" ref="H63" si="1">ROUND(PRODUCT(C63:G63),2)</f>
        <v>-3.9</v>
      </c>
      <c r="I63" s="245"/>
    </row>
    <row r="64" spans="1:9">
      <c r="A64" s="863"/>
      <c r="B64" s="819" t="s">
        <v>4564</v>
      </c>
      <c r="C64" s="867">
        <v>-1</v>
      </c>
      <c r="D64" s="865">
        <v>1</v>
      </c>
      <c r="E64" s="866">
        <v>0.9</v>
      </c>
      <c r="F64" s="866"/>
      <c r="G64" s="866">
        <v>2.1</v>
      </c>
      <c r="H64" s="866">
        <f t="shared" si="0"/>
        <v>-1.89</v>
      </c>
      <c r="I64" s="245"/>
    </row>
    <row r="65" spans="1:9">
      <c r="A65" s="863"/>
      <c r="B65" s="819" t="s">
        <v>4566</v>
      </c>
      <c r="C65" s="867">
        <v>1</v>
      </c>
      <c r="D65" s="865">
        <v>2</v>
      </c>
      <c r="E65" s="866">
        <v>5.6</v>
      </c>
      <c r="F65" s="866">
        <v>0.1</v>
      </c>
      <c r="G65" s="866"/>
      <c r="H65" s="866">
        <f t="shared" si="0"/>
        <v>1.1200000000000001</v>
      </c>
      <c r="I65" s="245"/>
    </row>
    <row r="66" spans="1:9">
      <c r="A66" s="863"/>
      <c r="B66" s="819" t="s">
        <v>4580</v>
      </c>
      <c r="C66" s="867">
        <v>1</v>
      </c>
      <c r="D66" s="865">
        <v>1</v>
      </c>
      <c r="E66" s="866">
        <v>62.41</v>
      </c>
      <c r="F66" s="866"/>
      <c r="G66" s="866">
        <v>2.89</v>
      </c>
      <c r="H66" s="866">
        <f t="shared" ref="H66:H70" si="2">ROUND(PRODUCT(C66:G66),2)</f>
        <v>180.36</v>
      </c>
      <c r="I66" s="245"/>
    </row>
    <row r="67" spans="1:9">
      <c r="A67" s="863"/>
      <c r="B67" s="819" t="s">
        <v>4564</v>
      </c>
      <c r="C67" s="867">
        <v>-1</v>
      </c>
      <c r="D67" s="865">
        <v>11</v>
      </c>
      <c r="E67" s="866">
        <v>1</v>
      </c>
      <c r="F67" s="866"/>
      <c r="G67" s="866">
        <v>2.1</v>
      </c>
      <c r="H67" s="866">
        <f t="shared" si="2"/>
        <v>-23.1</v>
      </c>
      <c r="I67" s="245"/>
    </row>
    <row r="68" spans="1:9">
      <c r="A68" s="863"/>
      <c r="B68" s="819" t="s">
        <v>4572</v>
      </c>
      <c r="C68" s="867">
        <v>-1</v>
      </c>
      <c r="D68" s="865">
        <v>1</v>
      </c>
      <c r="E68" s="866">
        <v>3</v>
      </c>
      <c r="F68" s="866"/>
      <c r="G68" s="866">
        <v>2.89</v>
      </c>
      <c r="H68" s="866">
        <f t="shared" si="2"/>
        <v>-8.67</v>
      </c>
      <c r="I68" s="245"/>
    </row>
    <row r="69" spans="1:9">
      <c r="A69" s="863"/>
      <c r="B69" s="819" t="s">
        <v>4565</v>
      </c>
      <c r="C69" s="867">
        <v>-1</v>
      </c>
      <c r="D69" s="865">
        <v>2</v>
      </c>
      <c r="E69" s="866">
        <v>1.5</v>
      </c>
      <c r="F69" s="866"/>
      <c r="G69" s="866">
        <v>1.3</v>
      </c>
      <c r="H69" s="866">
        <f t="shared" si="2"/>
        <v>-3.9</v>
      </c>
      <c r="I69" s="245"/>
    </row>
    <row r="70" spans="1:9">
      <c r="A70" s="863"/>
      <c r="B70" s="819" t="s">
        <v>4566</v>
      </c>
      <c r="C70" s="867">
        <v>1</v>
      </c>
      <c r="D70" s="865">
        <v>2</v>
      </c>
      <c r="E70" s="866">
        <v>5.6</v>
      </c>
      <c r="F70" s="866">
        <v>0.1</v>
      </c>
      <c r="G70" s="866"/>
      <c r="H70" s="866">
        <f t="shared" si="2"/>
        <v>1.1200000000000001</v>
      </c>
      <c r="I70" s="245"/>
    </row>
    <row r="71" spans="1:9">
      <c r="A71" s="863"/>
      <c r="B71" s="819" t="s">
        <v>4581</v>
      </c>
      <c r="C71" s="867">
        <v>1</v>
      </c>
      <c r="D71" s="865">
        <v>1</v>
      </c>
      <c r="E71" s="866">
        <v>13.6</v>
      </c>
      <c r="F71" s="866"/>
      <c r="G71" s="866">
        <v>6</v>
      </c>
      <c r="H71" s="866">
        <f t="shared" ref="H71:H127" si="3">ROUND(PRODUCT(C71:G71),2)</f>
        <v>81.599999999999994</v>
      </c>
      <c r="I71" s="245"/>
    </row>
    <row r="72" spans="1:9">
      <c r="A72" s="863"/>
      <c r="B72" s="819" t="s">
        <v>4565</v>
      </c>
      <c r="C72" s="867">
        <v>-1</v>
      </c>
      <c r="D72" s="865">
        <v>2</v>
      </c>
      <c r="E72" s="866">
        <v>1.5</v>
      </c>
      <c r="F72" s="866"/>
      <c r="G72" s="866">
        <v>1.3</v>
      </c>
      <c r="H72" s="866">
        <f t="shared" si="3"/>
        <v>-3.9</v>
      </c>
      <c r="I72" s="245"/>
    </row>
    <row r="73" spans="1:9">
      <c r="A73" s="863"/>
      <c r="B73" s="819" t="s">
        <v>4582</v>
      </c>
      <c r="C73" s="867">
        <v>2</v>
      </c>
      <c r="D73" s="865">
        <v>4</v>
      </c>
      <c r="E73" s="866">
        <v>3.5</v>
      </c>
      <c r="F73" s="866"/>
      <c r="G73" s="866">
        <v>1.8</v>
      </c>
      <c r="H73" s="866">
        <f t="shared" si="3"/>
        <v>50.4</v>
      </c>
      <c r="I73" s="245"/>
    </row>
    <row r="74" spans="1:9">
      <c r="A74" s="863"/>
      <c r="B74" s="819" t="s">
        <v>4324</v>
      </c>
      <c r="C74" s="867">
        <v>1</v>
      </c>
      <c r="D74" s="865">
        <v>1</v>
      </c>
      <c r="E74" s="866">
        <v>16.600000000000001</v>
      </c>
      <c r="F74" s="866"/>
      <c r="G74" s="866">
        <v>2.8</v>
      </c>
      <c r="H74" s="866">
        <f t="shared" si="3"/>
        <v>46.48</v>
      </c>
      <c r="I74" s="245"/>
    </row>
    <row r="75" spans="1:9">
      <c r="A75" s="863"/>
      <c r="B75" s="819" t="s">
        <v>4564</v>
      </c>
      <c r="C75" s="867">
        <v>-1</v>
      </c>
      <c r="D75" s="865">
        <v>1</v>
      </c>
      <c r="E75" s="866">
        <v>1</v>
      </c>
      <c r="F75" s="866"/>
      <c r="G75" s="866">
        <v>2.1</v>
      </c>
      <c r="H75" s="866">
        <f t="shared" si="3"/>
        <v>-2.1</v>
      </c>
      <c r="I75" s="245"/>
    </row>
    <row r="76" spans="1:9">
      <c r="A76" s="863"/>
      <c r="B76" s="819" t="s">
        <v>4566</v>
      </c>
      <c r="C76" s="867">
        <v>1</v>
      </c>
      <c r="D76" s="865">
        <v>1</v>
      </c>
      <c r="E76" s="866">
        <v>5.2</v>
      </c>
      <c r="F76" s="866">
        <v>0.15</v>
      </c>
      <c r="G76" s="866"/>
      <c r="H76" s="866">
        <f t="shared" si="3"/>
        <v>0.78</v>
      </c>
      <c r="I76" s="245"/>
    </row>
    <row r="77" spans="1:9">
      <c r="A77" s="863"/>
      <c r="B77" s="819" t="s">
        <v>4726</v>
      </c>
      <c r="C77" s="867">
        <v>1</v>
      </c>
      <c r="D77" s="865">
        <v>1</v>
      </c>
      <c r="E77" s="866">
        <v>6.16</v>
      </c>
      <c r="F77" s="866"/>
      <c r="G77" s="866">
        <v>2.4</v>
      </c>
      <c r="H77" s="866">
        <f t="shared" si="3"/>
        <v>14.78</v>
      </c>
      <c r="I77" s="245"/>
    </row>
    <row r="78" spans="1:9">
      <c r="A78" s="863"/>
      <c r="B78" s="819"/>
      <c r="C78" s="867"/>
      <c r="D78" s="865"/>
      <c r="E78" s="866"/>
      <c r="F78" s="866"/>
      <c r="G78" s="866"/>
      <c r="H78" s="866">
        <f t="shared" ref="H78" si="4">ROUND(PRODUCT(C78:G78),2)</f>
        <v>0</v>
      </c>
      <c r="I78" s="245"/>
    </row>
    <row r="79" spans="1:9">
      <c r="A79" s="863"/>
      <c r="B79" s="819"/>
      <c r="C79" s="867"/>
      <c r="D79" s="865"/>
      <c r="E79" s="866"/>
      <c r="F79" s="866"/>
      <c r="G79" s="866" t="s">
        <v>2332</v>
      </c>
      <c r="H79" s="866">
        <f>SUM(H6:H78)</f>
        <v>1946.43</v>
      </c>
      <c r="I79" s="245"/>
    </row>
    <row r="80" spans="1:9">
      <c r="A80" s="863"/>
      <c r="B80" s="819"/>
      <c r="C80" s="867"/>
      <c r="D80" s="865"/>
      <c r="E80" s="866"/>
      <c r="F80" s="866"/>
      <c r="G80" s="866"/>
      <c r="H80" s="866">
        <v>0.56999999999999995</v>
      </c>
      <c r="I80" s="245"/>
    </row>
    <row r="81" spans="1:9">
      <c r="A81" s="863"/>
      <c r="B81" s="819"/>
      <c r="C81" s="867"/>
      <c r="D81" s="865"/>
      <c r="E81" s="866"/>
      <c r="F81" s="866"/>
      <c r="G81" s="866" t="s">
        <v>3678</v>
      </c>
      <c r="H81" s="851">
        <f>SUM(H79:H80)</f>
        <v>1947</v>
      </c>
      <c r="I81" s="245"/>
    </row>
    <row r="82" spans="1:9">
      <c r="A82" s="863"/>
      <c r="B82" s="819"/>
      <c r="C82" s="867"/>
      <c r="D82" s="865"/>
      <c r="E82" s="866"/>
      <c r="F82" s="866"/>
      <c r="G82" s="866"/>
      <c r="H82" s="866"/>
      <c r="I82" s="245"/>
    </row>
    <row r="83" spans="1:9" ht="60">
      <c r="A83" s="863">
        <v>2</v>
      </c>
      <c r="B83" s="819" t="s">
        <v>4560</v>
      </c>
      <c r="C83" s="867"/>
      <c r="D83" s="865"/>
      <c r="E83" s="866"/>
      <c r="F83" s="866"/>
      <c r="G83" s="866"/>
      <c r="H83" s="866"/>
      <c r="I83" s="245"/>
    </row>
    <row r="84" spans="1:9">
      <c r="A84" s="863"/>
      <c r="B84" s="823" t="s">
        <v>4583</v>
      </c>
      <c r="C84" s="867"/>
      <c r="D84" s="865"/>
      <c r="E84" s="866"/>
      <c r="F84" s="866"/>
      <c r="G84" s="866"/>
      <c r="H84" s="866">
        <f t="shared" si="3"/>
        <v>0</v>
      </c>
      <c r="I84" s="245"/>
    </row>
    <row r="85" spans="1:9">
      <c r="A85" s="863"/>
      <c r="B85" s="819" t="s">
        <v>4584</v>
      </c>
      <c r="C85" s="867">
        <v>1</v>
      </c>
      <c r="D85" s="865">
        <v>1</v>
      </c>
      <c r="E85" s="866">
        <v>82.93</v>
      </c>
      <c r="F85" s="866"/>
      <c r="G85" s="866">
        <v>9.5</v>
      </c>
      <c r="H85" s="866">
        <f t="shared" si="3"/>
        <v>787.84</v>
      </c>
      <c r="I85" s="245"/>
    </row>
    <row r="86" spans="1:9">
      <c r="A86" s="863"/>
      <c r="B86" s="819" t="s">
        <v>4586</v>
      </c>
      <c r="C86" s="867">
        <v>1</v>
      </c>
      <c r="D86" s="865">
        <v>3</v>
      </c>
      <c r="E86" s="866">
        <v>3.23</v>
      </c>
      <c r="F86" s="866"/>
      <c r="G86" s="866">
        <v>4.5</v>
      </c>
      <c r="H86" s="866">
        <f t="shared" si="3"/>
        <v>43.61</v>
      </c>
      <c r="I86" s="245"/>
    </row>
    <row r="87" spans="1:9">
      <c r="A87" s="863"/>
      <c r="B87" s="819" t="s">
        <v>4587</v>
      </c>
      <c r="C87" s="867">
        <v>1</v>
      </c>
      <c r="D87" s="865">
        <v>1</v>
      </c>
      <c r="E87" s="866">
        <v>9.8000000000000007</v>
      </c>
      <c r="F87" s="866"/>
      <c r="G87" s="866">
        <v>1.5</v>
      </c>
      <c r="H87" s="866">
        <f t="shared" si="3"/>
        <v>14.7</v>
      </c>
      <c r="I87" s="245"/>
    </row>
    <row r="88" spans="1:9">
      <c r="A88" s="863"/>
      <c r="B88" s="819" t="s">
        <v>4564</v>
      </c>
      <c r="C88" s="867">
        <v>-1</v>
      </c>
      <c r="D88" s="865">
        <v>1</v>
      </c>
      <c r="E88" s="866">
        <v>1.8</v>
      </c>
      <c r="F88" s="866"/>
      <c r="G88" s="866">
        <v>2.1</v>
      </c>
      <c r="H88" s="866">
        <f t="shared" si="3"/>
        <v>-3.78</v>
      </c>
      <c r="I88" s="245"/>
    </row>
    <row r="89" spans="1:9">
      <c r="A89" s="863"/>
      <c r="B89" s="819" t="s">
        <v>4565</v>
      </c>
      <c r="C89" s="867">
        <v>-1</v>
      </c>
      <c r="D89" s="865">
        <v>31</v>
      </c>
      <c r="E89" s="866">
        <v>1.5</v>
      </c>
      <c r="F89" s="866"/>
      <c r="G89" s="866">
        <v>1.3</v>
      </c>
      <c r="H89" s="866">
        <f t="shared" si="3"/>
        <v>-60.45</v>
      </c>
      <c r="I89" s="245"/>
    </row>
    <row r="90" spans="1:9">
      <c r="A90" s="863"/>
      <c r="B90" s="819" t="s">
        <v>4569</v>
      </c>
      <c r="C90" s="867">
        <v>-1</v>
      </c>
      <c r="D90" s="865">
        <v>24</v>
      </c>
      <c r="E90" s="866">
        <v>0.9</v>
      </c>
      <c r="F90" s="866"/>
      <c r="G90" s="866">
        <v>0.6</v>
      </c>
      <c r="H90" s="866">
        <f t="shared" si="3"/>
        <v>-12.96</v>
      </c>
      <c r="I90" s="245"/>
    </row>
    <row r="91" spans="1:9">
      <c r="A91" s="863"/>
      <c r="B91" s="819" t="s">
        <v>4566</v>
      </c>
      <c r="C91" s="867">
        <v>1</v>
      </c>
      <c r="D91" s="865">
        <v>31</v>
      </c>
      <c r="E91" s="866">
        <v>5.6</v>
      </c>
      <c r="F91" s="866">
        <v>0.1</v>
      </c>
      <c r="G91" s="866"/>
      <c r="H91" s="866">
        <f t="shared" si="3"/>
        <v>17.36</v>
      </c>
      <c r="I91" s="245"/>
    </row>
    <row r="92" spans="1:9">
      <c r="A92" s="863"/>
      <c r="B92" s="819" t="s">
        <v>4563</v>
      </c>
      <c r="C92" s="867">
        <v>1</v>
      </c>
      <c r="D92" s="865">
        <v>24</v>
      </c>
      <c r="E92" s="866">
        <v>3</v>
      </c>
      <c r="F92" s="866">
        <v>0.1</v>
      </c>
      <c r="G92" s="866"/>
      <c r="H92" s="866">
        <f t="shared" si="3"/>
        <v>7.2</v>
      </c>
      <c r="I92" s="245"/>
    </row>
    <row r="93" spans="1:9">
      <c r="A93" s="863"/>
      <c r="B93" s="819" t="s">
        <v>4585</v>
      </c>
      <c r="C93" s="867">
        <v>2</v>
      </c>
      <c r="D93" s="865">
        <v>31</v>
      </c>
      <c r="E93" s="866">
        <v>1.96</v>
      </c>
      <c r="F93" s="866">
        <v>0.6</v>
      </c>
      <c r="G93" s="866"/>
      <c r="H93" s="866">
        <f t="shared" si="3"/>
        <v>72.91</v>
      </c>
      <c r="I93" s="245"/>
    </row>
    <row r="94" spans="1:9">
      <c r="A94" s="863"/>
      <c r="B94" s="819" t="s">
        <v>3934</v>
      </c>
      <c r="C94" s="867">
        <v>2</v>
      </c>
      <c r="D94" s="865">
        <v>31</v>
      </c>
      <c r="E94" s="866">
        <v>0.6</v>
      </c>
      <c r="F94" s="866"/>
      <c r="G94" s="1145">
        <v>6.25E-2</v>
      </c>
      <c r="H94" s="866">
        <f t="shared" si="3"/>
        <v>2.33</v>
      </c>
      <c r="I94" s="245"/>
    </row>
    <row r="95" spans="1:9">
      <c r="A95" s="863"/>
      <c r="B95" s="819" t="s">
        <v>4588</v>
      </c>
      <c r="C95" s="867">
        <v>1</v>
      </c>
      <c r="D95" s="865">
        <v>1</v>
      </c>
      <c r="E95" s="866">
        <v>12.8</v>
      </c>
      <c r="F95" s="866"/>
      <c r="G95" s="866">
        <v>1</v>
      </c>
      <c r="H95" s="866">
        <f t="shared" si="3"/>
        <v>12.8</v>
      </c>
      <c r="I95" s="245"/>
    </row>
    <row r="96" spans="1:9">
      <c r="A96" s="863"/>
      <c r="B96" s="819" t="s">
        <v>4589</v>
      </c>
      <c r="C96" s="867">
        <v>1</v>
      </c>
      <c r="D96" s="865">
        <v>2</v>
      </c>
      <c r="E96" s="866">
        <v>1.6</v>
      </c>
      <c r="F96" s="866"/>
      <c r="G96" s="866">
        <v>3</v>
      </c>
      <c r="H96" s="866">
        <f t="shared" si="3"/>
        <v>9.6</v>
      </c>
      <c r="I96" s="245"/>
    </row>
    <row r="97" spans="1:9">
      <c r="A97" s="863"/>
      <c r="B97" s="819" t="s">
        <v>4590</v>
      </c>
      <c r="C97" s="867">
        <v>1</v>
      </c>
      <c r="D97" s="865">
        <v>1</v>
      </c>
      <c r="E97" s="866">
        <v>17.98</v>
      </c>
      <c r="F97" s="866"/>
      <c r="G97" s="866">
        <v>3.3</v>
      </c>
      <c r="H97" s="866">
        <f t="shared" si="3"/>
        <v>59.33</v>
      </c>
      <c r="I97" s="245"/>
    </row>
    <row r="98" spans="1:9">
      <c r="A98" s="863"/>
      <c r="B98" s="819" t="s">
        <v>4564</v>
      </c>
      <c r="C98" s="867">
        <v>-1</v>
      </c>
      <c r="D98" s="865">
        <v>1</v>
      </c>
      <c r="E98" s="866">
        <v>1</v>
      </c>
      <c r="F98" s="866"/>
      <c r="G98" s="866">
        <v>2.1</v>
      </c>
      <c r="H98" s="866">
        <f t="shared" si="3"/>
        <v>-2.1</v>
      </c>
      <c r="I98" s="245"/>
    </row>
    <row r="99" spans="1:9">
      <c r="A99" s="863"/>
      <c r="B99" s="819" t="s">
        <v>4591</v>
      </c>
      <c r="C99" s="867">
        <v>1</v>
      </c>
      <c r="D99" s="865">
        <v>1</v>
      </c>
      <c r="E99" s="866">
        <v>12</v>
      </c>
      <c r="F99" s="866"/>
      <c r="G99" s="866">
        <v>1.5</v>
      </c>
      <c r="H99" s="866">
        <f t="shared" si="3"/>
        <v>18</v>
      </c>
      <c r="I99" s="245"/>
    </row>
    <row r="100" spans="1:9">
      <c r="A100" s="863"/>
      <c r="B100" s="819" t="s">
        <v>4726</v>
      </c>
      <c r="C100" s="867">
        <v>1</v>
      </c>
      <c r="D100" s="865">
        <v>1</v>
      </c>
      <c r="E100" s="866">
        <v>8</v>
      </c>
      <c r="F100" s="866"/>
      <c r="G100" s="866">
        <v>3.6</v>
      </c>
      <c r="H100" s="866">
        <f t="shared" ref="H100" si="5">ROUND(PRODUCT(C100:G100),2)</f>
        <v>28.8</v>
      </c>
      <c r="I100" s="245"/>
    </row>
    <row r="101" spans="1:9">
      <c r="A101" s="863"/>
      <c r="B101" s="823" t="s">
        <v>4592</v>
      </c>
      <c r="C101" s="867"/>
      <c r="D101" s="865"/>
      <c r="E101" s="866"/>
      <c r="F101" s="866"/>
      <c r="G101" s="866"/>
      <c r="H101" s="866">
        <f t="shared" ref="H101:H111" si="6">ROUND(PRODUCT(C101:G101),2)</f>
        <v>0</v>
      </c>
      <c r="I101" s="245"/>
    </row>
    <row r="102" spans="1:9">
      <c r="A102" s="863"/>
      <c r="B102" s="819" t="s">
        <v>4562</v>
      </c>
      <c r="C102" s="867">
        <v>1</v>
      </c>
      <c r="D102" s="865">
        <v>10</v>
      </c>
      <c r="E102" s="866">
        <v>3.96</v>
      </c>
      <c r="F102" s="866">
        <v>2.77</v>
      </c>
      <c r="G102" s="866"/>
      <c r="H102" s="866">
        <f t="shared" si="6"/>
        <v>109.69</v>
      </c>
      <c r="I102" s="245"/>
    </row>
    <row r="103" spans="1:9">
      <c r="A103" s="863"/>
      <c r="B103" s="819" t="s">
        <v>4563</v>
      </c>
      <c r="C103" s="867">
        <v>1</v>
      </c>
      <c r="D103" s="865">
        <v>10</v>
      </c>
      <c r="E103" s="866">
        <v>1.47</v>
      </c>
      <c r="F103" s="866">
        <v>1.59</v>
      </c>
      <c r="G103" s="866"/>
      <c r="H103" s="866">
        <f t="shared" si="6"/>
        <v>23.37</v>
      </c>
      <c r="I103" s="245"/>
    </row>
    <row r="104" spans="1:9">
      <c r="A104" s="863"/>
      <c r="B104" s="819" t="s">
        <v>4593</v>
      </c>
      <c r="C104" s="867">
        <v>1</v>
      </c>
      <c r="D104" s="865">
        <v>10</v>
      </c>
      <c r="E104" s="866">
        <v>1.35</v>
      </c>
      <c r="F104" s="866">
        <v>2.25</v>
      </c>
      <c r="G104" s="866"/>
      <c r="H104" s="866">
        <f t="shared" si="6"/>
        <v>30.38</v>
      </c>
      <c r="I104" s="245"/>
    </row>
    <row r="105" spans="1:9">
      <c r="A105" s="863"/>
      <c r="B105" s="819" t="s">
        <v>4570</v>
      </c>
      <c r="C105" s="867">
        <v>1</v>
      </c>
      <c r="D105" s="865">
        <v>1</v>
      </c>
      <c r="E105" s="866">
        <v>5.45</v>
      </c>
      <c r="F105" s="866">
        <v>3.96</v>
      </c>
      <c r="G105" s="866"/>
      <c r="H105" s="866">
        <f t="shared" si="6"/>
        <v>21.58</v>
      </c>
      <c r="I105" s="245"/>
    </row>
    <row r="106" spans="1:9">
      <c r="A106" s="863"/>
      <c r="B106" s="819" t="s">
        <v>4563</v>
      </c>
      <c r="C106" s="867">
        <v>1</v>
      </c>
      <c r="D106" s="865">
        <v>1</v>
      </c>
      <c r="E106" s="866">
        <v>3.3</v>
      </c>
      <c r="F106" s="866">
        <v>1.39</v>
      </c>
      <c r="G106" s="866"/>
      <c r="H106" s="866">
        <f t="shared" si="6"/>
        <v>4.59</v>
      </c>
      <c r="I106" s="245"/>
    </row>
    <row r="107" spans="1:9">
      <c r="A107" s="863"/>
      <c r="B107" s="819" t="s">
        <v>4574</v>
      </c>
      <c r="C107" s="867">
        <v>1</v>
      </c>
      <c r="D107" s="865">
        <v>1</v>
      </c>
      <c r="E107" s="866">
        <v>3.07</v>
      </c>
      <c r="F107" s="866">
        <v>2.46</v>
      </c>
      <c r="G107" s="866"/>
      <c r="H107" s="866">
        <f t="shared" si="6"/>
        <v>7.55</v>
      </c>
      <c r="I107" s="245"/>
    </row>
    <row r="108" spans="1:9">
      <c r="A108" s="863"/>
      <c r="B108" s="819" t="s">
        <v>4573</v>
      </c>
      <c r="C108" s="867">
        <v>1</v>
      </c>
      <c r="D108" s="865">
        <v>1</v>
      </c>
      <c r="E108" s="866">
        <v>3</v>
      </c>
      <c r="F108" s="866">
        <v>3.96</v>
      </c>
      <c r="G108" s="866"/>
      <c r="H108" s="866">
        <f t="shared" si="6"/>
        <v>11.88</v>
      </c>
      <c r="I108" s="245"/>
    </row>
    <row r="109" spans="1:9">
      <c r="A109" s="863"/>
      <c r="B109" s="819" t="s">
        <v>4575</v>
      </c>
      <c r="C109" s="867">
        <v>1</v>
      </c>
      <c r="D109" s="865">
        <v>1</v>
      </c>
      <c r="E109" s="866">
        <v>29.41</v>
      </c>
      <c r="F109" s="866">
        <v>1.8</v>
      </c>
      <c r="G109" s="866"/>
      <c r="H109" s="866">
        <f t="shared" si="6"/>
        <v>52.94</v>
      </c>
      <c r="I109" s="245"/>
    </row>
    <row r="110" spans="1:9">
      <c r="A110" s="863"/>
      <c r="B110" s="819" t="s">
        <v>4576</v>
      </c>
      <c r="C110" s="867">
        <v>1</v>
      </c>
      <c r="D110" s="865">
        <v>1</v>
      </c>
      <c r="E110" s="866">
        <v>3.07</v>
      </c>
      <c r="F110" s="866">
        <v>4.07</v>
      </c>
      <c r="G110" s="866"/>
      <c r="H110" s="866">
        <f t="shared" si="6"/>
        <v>12.49</v>
      </c>
      <c r="I110" s="245"/>
    </row>
    <row r="111" spans="1:9">
      <c r="A111" s="863"/>
      <c r="B111" s="819" t="s">
        <v>4588</v>
      </c>
      <c r="C111" s="867">
        <v>1</v>
      </c>
      <c r="D111" s="865">
        <v>1</v>
      </c>
      <c r="E111" s="866">
        <v>3.6</v>
      </c>
      <c r="F111" s="866">
        <v>4.5999999999999996</v>
      </c>
      <c r="G111" s="866"/>
      <c r="H111" s="866">
        <f t="shared" si="6"/>
        <v>16.559999999999999</v>
      </c>
      <c r="I111" s="245"/>
    </row>
    <row r="112" spans="1:9">
      <c r="A112" s="863"/>
      <c r="B112" s="819" t="s">
        <v>4562</v>
      </c>
      <c r="C112" s="867">
        <v>1</v>
      </c>
      <c r="D112" s="865">
        <v>11</v>
      </c>
      <c r="E112" s="866">
        <v>3.96</v>
      </c>
      <c r="F112" s="866">
        <v>2.77</v>
      </c>
      <c r="G112" s="866"/>
      <c r="H112" s="866">
        <f t="shared" ref="H112:H114" si="7">ROUND(PRODUCT(C112:G112),2)</f>
        <v>120.66</v>
      </c>
      <c r="I112" s="245"/>
    </row>
    <row r="113" spans="1:9">
      <c r="A113" s="863"/>
      <c r="B113" s="819" t="s">
        <v>4563</v>
      </c>
      <c r="C113" s="867">
        <v>1</v>
      </c>
      <c r="D113" s="865">
        <v>11</v>
      </c>
      <c r="E113" s="866">
        <v>1.47</v>
      </c>
      <c r="F113" s="866">
        <v>1.59</v>
      </c>
      <c r="G113" s="866"/>
      <c r="H113" s="866">
        <f t="shared" si="7"/>
        <v>25.71</v>
      </c>
      <c r="I113" s="245"/>
    </row>
    <row r="114" spans="1:9">
      <c r="A114" s="863"/>
      <c r="B114" s="819" t="s">
        <v>4593</v>
      </c>
      <c r="C114" s="867">
        <v>1</v>
      </c>
      <c r="D114" s="865">
        <v>11</v>
      </c>
      <c r="E114" s="866">
        <v>1.35</v>
      </c>
      <c r="F114" s="866">
        <v>2.25</v>
      </c>
      <c r="G114" s="866"/>
      <c r="H114" s="866">
        <f t="shared" si="7"/>
        <v>33.409999999999997</v>
      </c>
      <c r="I114" s="245"/>
    </row>
    <row r="115" spans="1:9">
      <c r="A115" s="863"/>
      <c r="B115" s="819" t="s">
        <v>4579</v>
      </c>
      <c r="C115" s="867">
        <v>1</v>
      </c>
      <c r="D115" s="865">
        <v>1</v>
      </c>
      <c r="E115" s="866">
        <v>6</v>
      </c>
      <c r="F115" s="866">
        <v>3.96</v>
      </c>
      <c r="G115" s="866"/>
      <c r="H115" s="866">
        <f>ROUND(PRODUCT(C115:G115),2)</f>
        <v>23.76</v>
      </c>
      <c r="I115" s="245"/>
    </row>
    <row r="116" spans="1:9">
      <c r="A116" s="863"/>
      <c r="B116" s="819" t="s">
        <v>4563</v>
      </c>
      <c r="C116" s="867">
        <v>1</v>
      </c>
      <c r="D116" s="865">
        <v>1</v>
      </c>
      <c r="E116" s="866">
        <v>1.47</v>
      </c>
      <c r="F116" s="866">
        <v>1.59</v>
      </c>
      <c r="G116" s="866"/>
      <c r="H116" s="866">
        <f>ROUND(PRODUCT(C116:G116),2)</f>
        <v>2.34</v>
      </c>
      <c r="I116" s="245"/>
    </row>
    <row r="117" spans="1:9">
      <c r="A117" s="863"/>
      <c r="B117" s="819" t="s">
        <v>4593</v>
      </c>
      <c r="C117" s="867">
        <v>1</v>
      </c>
      <c r="D117" s="865">
        <v>1</v>
      </c>
      <c r="E117" s="866">
        <v>1.35</v>
      </c>
      <c r="F117" s="866">
        <v>2.25</v>
      </c>
      <c r="G117" s="866"/>
      <c r="H117" s="866">
        <f>ROUND(PRODUCT(C117:G117),2)</f>
        <v>3.04</v>
      </c>
      <c r="I117" s="245"/>
    </row>
    <row r="118" spans="1:9">
      <c r="A118" s="863"/>
      <c r="B118" s="819" t="s">
        <v>4580</v>
      </c>
      <c r="C118" s="867">
        <v>1</v>
      </c>
      <c r="D118" s="865">
        <v>1</v>
      </c>
      <c r="E118" s="866">
        <v>29.41</v>
      </c>
      <c r="F118" s="866">
        <v>1.8</v>
      </c>
      <c r="G118" s="866"/>
      <c r="H118" s="866">
        <f t="shared" ref="H118" si="8">ROUND(PRODUCT(C118:G118),2)</f>
        <v>52.94</v>
      </c>
      <c r="I118" s="245"/>
    </row>
    <row r="119" spans="1:9">
      <c r="A119" s="863"/>
      <c r="B119" s="819" t="s">
        <v>4594</v>
      </c>
      <c r="C119" s="867">
        <v>1</v>
      </c>
      <c r="D119" s="865">
        <v>1</v>
      </c>
      <c r="E119" s="866">
        <v>5.0999999999999996</v>
      </c>
      <c r="F119" s="866">
        <v>3</v>
      </c>
      <c r="G119" s="866"/>
      <c r="H119" s="866">
        <f>ROUND(PRODUCT(C119:G119),2)</f>
        <v>15.3</v>
      </c>
      <c r="I119" s="245"/>
    </row>
    <row r="120" spans="1:9">
      <c r="A120" s="863"/>
      <c r="B120" s="819" t="s">
        <v>4726</v>
      </c>
      <c r="C120" s="867">
        <v>1</v>
      </c>
      <c r="D120" s="865">
        <v>1</v>
      </c>
      <c r="E120" s="866">
        <v>1.54</v>
      </c>
      <c r="F120" s="866">
        <v>1.54</v>
      </c>
      <c r="G120" s="866"/>
      <c r="H120" s="866">
        <f>ROUND(PRODUCT(C120:G120),2)</f>
        <v>2.37</v>
      </c>
      <c r="I120" s="245"/>
    </row>
    <row r="121" spans="1:9">
      <c r="A121" s="863"/>
      <c r="B121" s="819" t="s">
        <v>4563</v>
      </c>
      <c r="C121" s="867">
        <v>1</v>
      </c>
      <c r="D121" s="865">
        <v>1</v>
      </c>
      <c r="E121" s="866">
        <v>9.8000000000000007</v>
      </c>
      <c r="F121" s="866">
        <v>0.45</v>
      </c>
      <c r="G121" s="866"/>
      <c r="H121" s="866">
        <f>ROUND(PRODUCT(C121:G121),2)</f>
        <v>4.41</v>
      </c>
      <c r="I121" s="245"/>
    </row>
    <row r="122" spans="1:9">
      <c r="A122" s="863"/>
      <c r="B122" s="819" t="s">
        <v>4591</v>
      </c>
      <c r="C122" s="867">
        <v>1</v>
      </c>
      <c r="D122" s="865">
        <v>1</v>
      </c>
      <c r="E122" s="866">
        <v>3</v>
      </c>
      <c r="F122" s="866">
        <v>3</v>
      </c>
      <c r="G122" s="866"/>
      <c r="H122" s="866">
        <f t="shared" si="3"/>
        <v>9</v>
      </c>
      <c r="I122" s="245"/>
    </row>
    <row r="123" spans="1:9">
      <c r="A123" s="863"/>
      <c r="B123" s="819" t="s">
        <v>4599</v>
      </c>
      <c r="C123" s="867">
        <v>1</v>
      </c>
      <c r="D123" s="865">
        <v>20</v>
      </c>
      <c r="E123" s="866">
        <v>3.14</v>
      </c>
      <c r="F123" s="866">
        <v>0.11</v>
      </c>
      <c r="G123" s="866">
        <v>9</v>
      </c>
      <c r="H123" s="866">
        <f t="shared" si="3"/>
        <v>62.17</v>
      </c>
      <c r="I123" s="245"/>
    </row>
    <row r="124" spans="1:9">
      <c r="A124" s="863"/>
      <c r="B124" s="819" t="s">
        <v>4600</v>
      </c>
      <c r="C124" s="867">
        <v>1</v>
      </c>
      <c r="D124" s="865">
        <v>8</v>
      </c>
      <c r="E124" s="882">
        <v>3.14</v>
      </c>
      <c r="F124" s="876">
        <v>7.4999999999999997E-2</v>
      </c>
      <c r="G124" s="866">
        <v>9</v>
      </c>
      <c r="H124" s="866">
        <f t="shared" si="3"/>
        <v>16.96</v>
      </c>
      <c r="I124" s="245"/>
    </row>
    <row r="125" spans="1:9">
      <c r="A125" s="863"/>
      <c r="B125" s="819" t="s">
        <v>4601</v>
      </c>
      <c r="C125" s="867">
        <v>1</v>
      </c>
      <c r="D125" s="865">
        <v>2</v>
      </c>
      <c r="E125" s="866">
        <v>3.14</v>
      </c>
      <c r="F125" s="876">
        <v>3.2000000000000001E-2</v>
      </c>
      <c r="G125" s="866">
        <v>9</v>
      </c>
      <c r="H125" s="866">
        <f t="shared" si="3"/>
        <v>1.81</v>
      </c>
      <c r="I125" s="245"/>
    </row>
    <row r="126" spans="1:9">
      <c r="A126" s="863"/>
      <c r="B126" s="819" t="s">
        <v>4602</v>
      </c>
      <c r="C126" s="867">
        <v>1</v>
      </c>
      <c r="D126" s="865">
        <v>5</v>
      </c>
      <c r="E126" s="866">
        <v>3.14</v>
      </c>
      <c r="F126" s="876">
        <v>2.5000000000000001E-2</v>
      </c>
      <c r="G126" s="866">
        <v>28</v>
      </c>
      <c r="H126" s="866">
        <f t="shared" si="3"/>
        <v>10.99</v>
      </c>
      <c r="I126" s="245"/>
    </row>
    <row r="127" spans="1:9">
      <c r="A127" s="863"/>
      <c r="B127" s="819"/>
      <c r="C127" s="867"/>
      <c r="D127" s="865"/>
      <c r="E127" s="866"/>
      <c r="F127" s="866"/>
      <c r="G127" s="866"/>
      <c r="H127" s="866">
        <f t="shared" si="3"/>
        <v>0</v>
      </c>
      <c r="I127" s="245"/>
    </row>
    <row r="128" spans="1:9">
      <c r="A128" s="863"/>
      <c r="B128" s="819"/>
      <c r="C128" s="867"/>
      <c r="D128" s="865"/>
      <c r="E128" s="866"/>
      <c r="F128" s="866"/>
      <c r="G128" s="866" t="s">
        <v>2332</v>
      </c>
      <c r="H128" s="866">
        <f>SUM(H84:H127)</f>
        <v>1671.09</v>
      </c>
      <c r="I128" s="245"/>
    </row>
    <row r="129" spans="1:9">
      <c r="A129" s="863"/>
      <c r="B129" s="819"/>
      <c r="C129" s="867"/>
      <c r="D129" s="865"/>
      <c r="E129" s="866"/>
      <c r="F129" s="866"/>
      <c r="G129" s="866"/>
      <c r="H129" s="866">
        <v>0.91</v>
      </c>
      <c r="I129" s="245"/>
    </row>
    <row r="130" spans="1:9">
      <c r="A130" s="863"/>
      <c r="B130" s="862"/>
      <c r="C130" s="867"/>
      <c r="D130" s="865"/>
      <c r="E130" s="866"/>
      <c r="F130" s="866"/>
      <c r="G130" s="866" t="s">
        <v>3678</v>
      </c>
      <c r="H130" s="851">
        <f>SUM(H128:H129)</f>
        <v>1672</v>
      </c>
      <c r="I130" s="245"/>
    </row>
    <row r="131" spans="1:9">
      <c r="A131" s="863"/>
      <c r="B131" s="862"/>
      <c r="C131" s="867"/>
      <c r="D131" s="865"/>
      <c r="E131" s="866"/>
      <c r="F131" s="866"/>
      <c r="G131" s="866"/>
      <c r="H131" s="866"/>
      <c r="I131" s="245"/>
    </row>
    <row r="132" spans="1:9" ht="54.75" customHeight="1">
      <c r="A132" s="863">
        <v>3</v>
      </c>
      <c r="B132" s="862" t="s">
        <v>4797</v>
      </c>
      <c r="C132" s="867"/>
      <c r="D132" s="865"/>
      <c r="E132" s="866"/>
      <c r="F132" s="866" t="s">
        <v>4596</v>
      </c>
      <c r="G132" s="866"/>
      <c r="H132" s="866"/>
      <c r="I132" s="245"/>
    </row>
    <row r="133" spans="1:9">
      <c r="A133" s="863"/>
      <c r="B133" s="862" t="s">
        <v>4595</v>
      </c>
      <c r="C133" s="867">
        <v>1</v>
      </c>
      <c r="D133" s="865">
        <v>31</v>
      </c>
      <c r="E133" s="866">
        <v>1.5</v>
      </c>
      <c r="F133" s="866">
        <v>2</v>
      </c>
      <c r="G133" s="866">
        <v>1.35</v>
      </c>
      <c r="H133" s="866">
        <f t="shared" ref="H133:H139" si="9">ROUND(PRODUCT(C133:G133),2)</f>
        <v>125.55</v>
      </c>
      <c r="I133" s="245"/>
    </row>
    <row r="134" spans="1:9">
      <c r="A134" s="863"/>
      <c r="B134" s="862" t="s">
        <v>4597</v>
      </c>
      <c r="C134" s="867">
        <v>1</v>
      </c>
      <c r="D134" s="865">
        <v>1</v>
      </c>
      <c r="E134" s="866">
        <v>1.8</v>
      </c>
      <c r="F134" s="866">
        <v>2</v>
      </c>
      <c r="G134" s="866">
        <v>2.1</v>
      </c>
      <c r="H134" s="866">
        <f t="shared" si="9"/>
        <v>7.56</v>
      </c>
      <c r="I134" s="245"/>
    </row>
    <row r="135" spans="1:9">
      <c r="A135" s="863"/>
      <c r="B135" s="862" t="s">
        <v>4598</v>
      </c>
      <c r="C135" s="867">
        <v>1</v>
      </c>
      <c r="D135" s="865">
        <v>24</v>
      </c>
      <c r="E135" s="866">
        <v>0.9</v>
      </c>
      <c r="F135" s="866">
        <v>1</v>
      </c>
      <c r="G135" s="866">
        <v>0.6</v>
      </c>
      <c r="H135" s="866">
        <f t="shared" si="9"/>
        <v>12.96</v>
      </c>
      <c r="I135" s="245"/>
    </row>
    <row r="136" spans="1:9">
      <c r="A136" s="863"/>
      <c r="B136" s="862" t="s">
        <v>4603</v>
      </c>
      <c r="C136" s="867">
        <v>1</v>
      </c>
      <c r="D136" s="865">
        <v>1</v>
      </c>
      <c r="E136" s="866">
        <v>3.5</v>
      </c>
      <c r="F136" s="866">
        <v>2</v>
      </c>
      <c r="G136" s="866">
        <v>1.8</v>
      </c>
      <c r="H136" s="866">
        <f t="shared" si="9"/>
        <v>12.6</v>
      </c>
      <c r="I136" s="245"/>
    </row>
    <row r="137" spans="1:9">
      <c r="A137" s="863"/>
      <c r="B137" s="862" t="s">
        <v>4563</v>
      </c>
      <c r="C137" s="867">
        <v>1</v>
      </c>
      <c r="D137" s="865">
        <v>1</v>
      </c>
      <c r="E137" s="866">
        <v>1.5</v>
      </c>
      <c r="F137" s="866">
        <v>2</v>
      </c>
      <c r="G137" s="866">
        <v>1.8</v>
      </c>
      <c r="H137" s="866">
        <f t="shared" si="9"/>
        <v>5.4</v>
      </c>
      <c r="I137" s="245"/>
    </row>
    <row r="138" spans="1:9">
      <c r="A138" s="863"/>
      <c r="B138" s="862" t="s">
        <v>4764</v>
      </c>
      <c r="C138" s="867">
        <v>1</v>
      </c>
      <c r="D138" s="865">
        <v>1</v>
      </c>
      <c r="E138" s="866">
        <v>0.9</v>
      </c>
      <c r="F138" s="866">
        <v>1</v>
      </c>
      <c r="G138" s="866">
        <v>0.6</v>
      </c>
      <c r="H138" s="866">
        <f t="shared" si="9"/>
        <v>0.54</v>
      </c>
      <c r="I138" s="245"/>
    </row>
    <row r="139" spans="1:9">
      <c r="A139" s="863"/>
      <c r="B139" s="862"/>
      <c r="C139" s="867"/>
      <c r="D139" s="865"/>
      <c r="E139" s="866"/>
      <c r="F139" s="866"/>
      <c r="G139" s="866"/>
      <c r="H139" s="866">
        <f t="shared" si="9"/>
        <v>0</v>
      </c>
      <c r="I139" s="245"/>
    </row>
    <row r="140" spans="1:9">
      <c r="A140" s="863"/>
      <c r="B140" s="862"/>
      <c r="C140" s="867"/>
      <c r="D140" s="865"/>
      <c r="E140" s="866"/>
      <c r="F140" s="866"/>
      <c r="G140" s="866" t="s">
        <v>2332</v>
      </c>
      <c r="H140" s="866">
        <f>SUM(H133:H139)</f>
        <v>164.61</v>
      </c>
      <c r="I140" s="245"/>
    </row>
    <row r="141" spans="1:9">
      <c r="A141" s="863"/>
      <c r="B141" s="862"/>
      <c r="C141" s="867"/>
      <c r="D141" s="865"/>
      <c r="E141" s="866"/>
      <c r="F141" s="866"/>
      <c r="G141" s="866"/>
      <c r="H141" s="866">
        <v>0.39</v>
      </c>
      <c r="I141" s="245"/>
    </row>
    <row r="142" spans="1:9">
      <c r="A142" s="863"/>
      <c r="B142" s="862"/>
      <c r="C142" s="867"/>
      <c r="D142" s="865"/>
      <c r="E142" s="866"/>
      <c r="F142" s="866"/>
      <c r="G142" s="866" t="s">
        <v>3678</v>
      </c>
      <c r="H142" s="851">
        <f>SUM(H140:H141)</f>
        <v>165</v>
      </c>
      <c r="I142" s="245"/>
    </row>
    <row r="143" spans="1:9">
      <c r="A143" s="863"/>
      <c r="B143" s="862"/>
      <c r="C143" s="867"/>
      <c r="D143" s="865"/>
      <c r="E143" s="866"/>
      <c r="F143" s="866"/>
      <c r="G143" s="866"/>
      <c r="H143" s="866"/>
      <c r="I143" s="245"/>
    </row>
    <row r="144" spans="1:9" ht="54" customHeight="1">
      <c r="A144" s="863">
        <v>4</v>
      </c>
      <c r="B144" s="862" t="s">
        <v>4604</v>
      </c>
      <c r="C144" s="867"/>
      <c r="D144" s="865"/>
      <c r="E144" s="866"/>
      <c r="F144" s="866"/>
      <c r="G144" s="866"/>
      <c r="H144" s="866"/>
      <c r="I144" s="245"/>
    </row>
    <row r="145" spans="1:9">
      <c r="A145" s="863"/>
      <c r="B145" s="862" t="s">
        <v>4605</v>
      </c>
      <c r="C145" s="867">
        <v>1</v>
      </c>
      <c r="D145" s="865">
        <v>22</v>
      </c>
      <c r="E145" s="866">
        <v>1</v>
      </c>
      <c r="F145" s="866"/>
      <c r="G145" s="866">
        <v>1</v>
      </c>
      <c r="H145" s="866">
        <f t="shared" ref="H145:H146" si="10">ROUND(PRODUCT(C145:G145),2)</f>
        <v>22</v>
      </c>
      <c r="I145" s="245"/>
    </row>
    <row r="146" spans="1:9">
      <c r="A146" s="863"/>
      <c r="B146" s="862"/>
      <c r="C146" s="867"/>
      <c r="D146" s="865"/>
      <c r="E146" s="866"/>
      <c r="F146" s="866"/>
      <c r="G146" s="866"/>
      <c r="H146" s="866">
        <f t="shared" si="10"/>
        <v>0</v>
      </c>
      <c r="I146" s="245"/>
    </row>
    <row r="147" spans="1:9">
      <c r="A147" s="863"/>
      <c r="B147" s="862"/>
      <c r="C147" s="867"/>
      <c r="D147" s="865"/>
      <c r="E147" s="866"/>
      <c r="F147" s="866"/>
      <c r="G147" s="866" t="s">
        <v>2332</v>
      </c>
      <c r="H147" s="866">
        <f>SUM(H145:H146)</f>
        <v>22</v>
      </c>
      <c r="I147" s="245"/>
    </row>
    <row r="148" spans="1:9">
      <c r="A148" s="863"/>
      <c r="B148" s="862"/>
      <c r="C148" s="867"/>
      <c r="D148" s="865"/>
      <c r="E148" s="866"/>
      <c r="F148" s="866"/>
      <c r="G148" s="866"/>
      <c r="H148" s="866">
        <v>0</v>
      </c>
      <c r="I148" s="245"/>
    </row>
    <row r="149" spans="1:9">
      <c r="A149" s="863"/>
      <c r="B149" s="862"/>
      <c r="C149" s="867"/>
      <c r="D149" s="865"/>
      <c r="E149" s="866"/>
      <c r="F149" s="866"/>
      <c r="G149" s="866" t="s">
        <v>3678</v>
      </c>
      <c r="H149" s="851">
        <f>SUM(H147:H148)</f>
        <v>22</v>
      </c>
      <c r="I149" s="245"/>
    </row>
    <row r="150" spans="1:9">
      <c r="A150" s="863"/>
      <c r="B150" s="862"/>
      <c r="C150" s="867"/>
      <c r="D150" s="865"/>
      <c r="E150" s="866"/>
      <c r="F150" s="866"/>
      <c r="G150" s="866"/>
      <c r="H150" s="866"/>
      <c r="I150" s="245"/>
    </row>
    <row r="151" spans="1:9" ht="48.75" customHeight="1">
      <c r="A151" s="863">
        <v>5</v>
      </c>
      <c r="B151" s="862" t="s">
        <v>4606</v>
      </c>
      <c r="C151" s="867"/>
      <c r="D151" s="865"/>
      <c r="E151" s="866"/>
      <c r="F151" s="866"/>
      <c r="G151" s="866"/>
      <c r="H151" s="866"/>
      <c r="I151" s="245"/>
    </row>
    <row r="152" spans="1:9">
      <c r="A152" s="863"/>
      <c r="B152" s="862" t="s">
        <v>4605</v>
      </c>
      <c r="C152" s="867">
        <v>1</v>
      </c>
      <c r="D152" s="865">
        <v>22</v>
      </c>
      <c r="E152" s="866">
        <v>1</v>
      </c>
      <c r="F152" s="866"/>
      <c r="G152" s="866">
        <v>1</v>
      </c>
      <c r="H152" s="866">
        <f t="shared" ref="H152:H156" si="11">ROUND(PRODUCT(C152:G152),2)</f>
        <v>22</v>
      </c>
      <c r="I152" s="245"/>
    </row>
    <row r="153" spans="1:9">
      <c r="A153" s="863"/>
      <c r="B153" s="862" t="s">
        <v>4757</v>
      </c>
      <c r="C153" s="867">
        <v>1</v>
      </c>
      <c r="D153" s="865">
        <v>1</v>
      </c>
      <c r="E153" s="866">
        <v>6.16</v>
      </c>
      <c r="F153" s="866"/>
      <c r="G153" s="866">
        <v>1.6</v>
      </c>
      <c r="H153" s="866">
        <f t="shared" si="11"/>
        <v>9.86</v>
      </c>
      <c r="I153" s="245"/>
    </row>
    <row r="154" spans="1:9">
      <c r="A154" s="863"/>
      <c r="B154" s="862" t="s">
        <v>4568</v>
      </c>
      <c r="C154" s="867">
        <v>-1</v>
      </c>
      <c r="D154" s="865">
        <v>1</v>
      </c>
      <c r="E154" s="866">
        <v>0.75</v>
      </c>
      <c r="F154" s="866"/>
      <c r="G154" s="866">
        <v>1.6</v>
      </c>
      <c r="H154" s="866">
        <f t="shared" si="11"/>
        <v>-1.2</v>
      </c>
      <c r="I154" s="245"/>
    </row>
    <row r="155" spans="1:9">
      <c r="A155" s="863"/>
      <c r="B155" s="862" t="s">
        <v>4758</v>
      </c>
      <c r="C155" s="867">
        <v>1</v>
      </c>
      <c r="D155" s="865">
        <v>2</v>
      </c>
      <c r="E155" s="866">
        <v>7.0000000000000007E-2</v>
      </c>
      <c r="F155" s="866"/>
      <c r="G155" s="866">
        <v>1.6</v>
      </c>
      <c r="H155" s="866">
        <f t="shared" si="11"/>
        <v>0.22</v>
      </c>
      <c r="I155" s="245"/>
    </row>
    <row r="156" spans="1:9">
      <c r="A156" s="863"/>
      <c r="B156" s="862"/>
      <c r="C156" s="867"/>
      <c r="D156" s="865"/>
      <c r="E156" s="866"/>
      <c r="F156" s="866"/>
      <c r="G156" s="866"/>
      <c r="H156" s="866">
        <f t="shared" si="11"/>
        <v>0</v>
      </c>
      <c r="I156" s="245"/>
    </row>
    <row r="157" spans="1:9">
      <c r="A157" s="863"/>
      <c r="B157" s="862"/>
      <c r="C157" s="867"/>
      <c r="D157" s="865"/>
      <c r="E157" s="866"/>
      <c r="F157" s="866"/>
      <c r="G157" s="866" t="s">
        <v>2332</v>
      </c>
      <c r="H157" s="866">
        <f>SUM(H152:H156)</f>
        <v>30.88</v>
      </c>
      <c r="I157" s="245"/>
    </row>
    <row r="158" spans="1:9">
      <c r="A158" s="863"/>
      <c r="B158" s="862"/>
      <c r="C158" s="867"/>
      <c r="D158" s="865"/>
      <c r="E158" s="866"/>
      <c r="F158" s="866"/>
      <c r="G158" s="866"/>
      <c r="H158" s="866">
        <v>0.12</v>
      </c>
      <c r="I158" s="245"/>
    </row>
    <row r="159" spans="1:9">
      <c r="A159" s="863"/>
      <c r="B159" s="862"/>
      <c r="C159" s="867"/>
      <c r="D159" s="865"/>
      <c r="E159" s="866"/>
      <c r="F159" s="866"/>
      <c r="G159" s="866" t="s">
        <v>3678</v>
      </c>
      <c r="H159" s="851">
        <f>SUM(H157:H158)</f>
        <v>31</v>
      </c>
      <c r="I159" s="245"/>
    </row>
    <row r="160" spans="1:9">
      <c r="A160" s="863"/>
      <c r="B160" s="862"/>
      <c r="C160" s="867"/>
      <c r="D160" s="865"/>
      <c r="E160" s="866"/>
      <c r="F160" s="866"/>
      <c r="G160" s="866"/>
      <c r="H160" s="866"/>
      <c r="I160" s="245"/>
    </row>
    <row r="161" spans="1:9" ht="25.5" customHeight="1">
      <c r="A161" s="863">
        <v>6</v>
      </c>
      <c r="B161" s="862" t="s">
        <v>4607</v>
      </c>
      <c r="C161" s="867"/>
      <c r="D161" s="865"/>
      <c r="E161" s="866"/>
      <c r="F161" s="866"/>
      <c r="G161" s="866"/>
      <c r="H161" s="866"/>
      <c r="I161" s="245"/>
    </row>
    <row r="162" spans="1:9">
      <c r="A162" s="863"/>
      <c r="B162" s="862" t="s">
        <v>4567</v>
      </c>
      <c r="C162" s="867">
        <v>23</v>
      </c>
      <c r="D162" s="865"/>
      <c r="E162" s="866"/>
      <c r="F162" s="866"/>
      <c r="G162" s="866"/>
      <c r="H162" s="851">
        <f t="shared" ref="H162" si="12">ROUND(PRODUCT(C162:G162),2)</f>
        <v>23</v>
      </c>
      <c r="I162" s="245"/>
    </row>
    <row r="163" spans="1:9">
      <c r="A163" s="863"/>
      <c r="B163" s="862"/>
      <c r="C163" s="867"/>
      <c r="D163" s="865"/>
      <c r="E163" s="866"/>
      <c r="F163" s="866"/>
      <c r="G163" s="866"/>
      <c r="H163" s="866"/>
      <c r="I163" s="245"/>
    </row>
    <row r="164" spans="1:9" ht="116.25" customHeight="1">
      <c r="A164" s="863">
        <v>7</v>
      </c>
      <c r="B164" s="862" t="s">
        <v>4608</v>
      </c>
      <c r="C164" s="867"/>
      <c r="D164" s="865"/>
      <c r="E164" s="866"/>
      <c r="F164" s="866"/>
      <c r="G164" s="866"/>
      <c r="H164" s="866"/>
      <c r="I164" s="245"/>
    </row>
    <row r="165" spans="1:9">
      <c r="A165" s="863"/>
      <c r="B165" s="862" t="s">
        <v>4609</v>
      </c>
      <c r="C165" s="867">
        <v>1</v>
      </c>
      <c r="D165" s="865">
        <v>31</v>
      </c>
      <c r="E165" s="866">
        <v>1.5</v>
      </c>
      <c r="F165" s="866"/>
      <c r="G165" s="866">
        <v>1.35</v>
      </c>
      <c r="H165" s="866">
        <f>ROUND(PRODUCT(C165:G165),2)</f>
        <v>62.78</v>
      </c>
      <c r="I165" s="245"/>
    </row>
    <row r="166" spans="1:9">
      <c r="A166" s="863"/>
      <c r="B166" s="862" t="s">
        <v>4610</v>
      </c>
      <c r="C166" s="867">
        <v>1</v>
      </c>
      <c r="D166" s="865">
        <v>24</v>
      </c>
      <c r="E166" s="866">
        <v>0.9</v>
      </c>
      <c r="F166" s="866"/>
      <c r="G166" s="866">
        <v>0.6</v>
      </c>
      <c r="H166" s="866">
        <f>ROUND(PRODUCT(C166:G166),2)</f>
        <v>12.96</v>
      </c>
      <c r="I166" s="245"/>
    </row>
    <row r="167" spans="1:9">
      <c r="A167" s="863"/>
      <c r="B167" s="862"/>
      <c r="C167" s="867"/>
      <c r="D167" s="865"/>
      <c r="E167" s="866"/>
      <c r="F167" s="866"/>
      <c r="G167" s="866"/>
      <c r="H167" s="866">
        <f t="shared" ref="H167" si="13">ROUND(PRODUCT(C167:G167),2)</f>
        <v>0</v>
      </c>
      <c r="I167" s="245"/>
    </row>
    <row r="168" spans="1:9">
      <c r="A168" s="863"/>
      <c r="B168" s="862"/>
      <c r="C168" s="867"/>
      <c r="D168" s="865"/>
      <c r="E168" s="866"/>
      <c r="F168" s="866"/>
      <c r="G168" s="866" t="s">
        <v>2332</v>
      </c>
      <c r="H168" s="866">
        <f>SUM(H165:H167)</f>
        <v>75.739999999999995</v>
      </c>
      <c r="I168" s="245"/>
    </row>
    <row r="169" spans="1:9">
      <c r="A169" s="863"/>
      <c r="B169" s="862"/>
      <c r="C169" s="867"/>
      <c r="D169" s="865"/>
      <c r="E169" s="866"/>
      <c r="F169" s="866"/>
      <c r="G169" s="866"/>
      <c r="H169" s="866">
        <v>0.26</v>
      </c>
      <c r="I169" s="245"/>
    </row>
    <row r="170" spans="1:9">
      <c r="A170" s="863"/>
      <c r="B170" s="862"/>
      <c r="C170" s="867"/>
      <c r="D170" s="865"/>
      <c r="E170" s="866"/>
      <c r="F170" s="866"/>
      <c r="G170" s="866" t="s">
        <v>3678</v>
      </c>
      <c r="H170" s="851">
        <f>SUM(H168:H169)</f>
        <v>76</v>
      </c>
      <c r="I170" s="245"/>
    </row>
    <row r="171" spans="1:9">
      <c r="A171" s="863"/>
      <c r="B171" s="862"/>
      <c r="C171" s="867"/>
      <c r="D171" s="865"/>
      <c r="E171" s="866"/>
      <c r="F171" s="866"/>
      <c r="G171" s="866"/>
      <c r="H171" s="851"/>
      <c r="I171" s="245"/>
    </row>
    <row r="172" spans="1:9" ht="86.25" customHeight="1">
      <c r="A172" s="863">
        <v>8</v>
      </c>
      <c r="B172" s="862" t="s">
        <v>4612</v>
      </c>
      <c r="C172" s="867"/>
      <c r="D172" s="865"/>
      <c r="E172" s="866"/>
      <c r="F172" s="866"/>
      <c r="G172" s="866"/>
      <c r="H172" s="866"/>
      <c r="I172" s="245"/>
    </row>
    <row r="173" spans="1:9" ht="18.75" customHeight="1">
      <c r="A173" s="863"/>
      <c r="B173" s="862" t="s">
        <v>4611</v>
      </c>
      <c r="C173" s="867">
        <v>1</v>
      </c>
      <c r="D173" s="865">
        <v>1</v>
      </c>
      <c r="E173" s="866">
        <v>3.55</v>
      </c>
      <c r="F173" s="866">
        <v>4.45</v>
      </c>
      <c r="G173" s="866"/>
      <c r="H173" s="851">
        <f>ROUND(PRODUCT(C173:G173),2)</f>
        <v>15.8</v>
      </c>
      <c r="I173" s="245"/>
    </row>
    <row r="174" spans="1:9">
      <c r="A174" s="863"/>
      <c r="B174" s="862"/>
      <c r="C174" s="867"/>
      <c r="D174" s="865"/>
      <c r="E174" s="866"/>
      <c r="F174" s="866"/>
      <c r="G174" s="866"/>
      <c r="H174" s="866"/>
      <c r="I174" s="245"/>
    </row>
    <row r="175" spans="1:9" ht="135">
      <c r="A175" s="863">
        <v>9</v>
      </c>
      <c r="B175" s="862" t="s">
        <v>4678</v>
      </c>
      <c r="C175" s="867"/>
      <c r="D175" s="865"/>
      <c r="E175" s="866"/>
      <c r="F175" s="866"/>
      <c r="G175" s="866"/>
      <c r="H175" s="866"/>
      <c r="I175" s="245"/>
    </row>
    <row r="176" spans="1:9">
      <c r="A176" s="863"/>
      <c r="B176" s="862" t="s">
        <v>4679</v>
      </c>
      <c r="C176" s="867">
        <v>1</v>
      </c>
      <c r="D176" s="865">
        <v>22</v>
      </c>
      <c r="E176" s="866">
        <v>1.2</v>
      </c>
      <c r="F176" s="866"/>
      <c r="G176" s="866">
        <v>2.1</v>
      </c>
      <c r="H176" s="866">
        <f>ROUND(PRODUCT(C176:G176),2)</f>
        <v>55.44</v>
      </c>
      <c r="I176" s="245"/>
    </row>
    <row r="177" spans="1:9">
      <c r="A177" s="863"/>
      <c r="B177" s="862"/>
      <c r="C177" s="867"/>
      <c r="D177" s="865"/>
      <c r="E177" s="866"/>
      <c r="F177" s="866"/>
      <c r="G177" s="866" t="s">
        <v>2332</v>
      </c>
      <c r="H177" s="866">
        <f>SUM(H174:H176)</f>
        <v>55.44</v>
      </c>
      <c r="I177" s="245"/>
    </row>
    <row r="178" spans="1:9">
      <c r="A178" s="863"/>
      <c r="B178" s="862"/>
      <c r="C178" s="867"/>
      <c r="D178" s="865"/>
      <c r="E178" s="866"/>
      <c r="F178" s="866"/>
      <c r="G178" s="866"/>
      <c r="H178" s="866">
        <v>0.56000000000000005</v>
      </c>
      <c r="I178" s="245"/>
    </row>
    <row r="179" spans="1:9">
      <c r="A179" s="863"/>
      <c r="B179" s="862"/>
      <c r="C179" s="867"/>
      <c r="D179" s="865"/>
      <c r="E179" s="866"/>
      <c r="F179" s="866"/>
      <c r="G179" s="866" t="s">
        <v>3678</v>
      </c>
      <c r="H179" s="851">
        <f>SUM(H177:H178)</f>
        <v>56</v>
      </c>
      <c r="I179" s="245"/>
    </row>
    <row r="180" spans="1:9">
      <c r="A180" s="863"/>
      <c r="B180" s="862"/>
      <c r="C180" s="867"/>
      <c r="D180" s="865"/>
      <c r="E180" s="866"/>
      <c r="F180" s="866"/>
      <c r="G180" s="866"/>
      <c r="H180" s="866"/>
      <c r="I180" s="245"/>
    </row>
    <row r="181" spans="1:9" ht="225">
      <c r="A181" s="863">
        <v>10</v>
      </c>
      <c r="B181" s="862" t="s">
        <v>4684</v>
      </c>
      <c r="C181" s="867"/>
      <c r="D181" s="865"/>
      <c r="E181" s="866"/>
      <c r="F181" s="866"/>
      <c r="G181" s="866"/>
      <c r="H181" s="866"/>
    </row>
    <row r="182" spans="1:9">
      <c r="A182" s="863"/>
      <c r="B182" s="862" t="s">
        <v>4685</v>
      </c>
      <c r="C182" s="867">
        <v>1</v>
      </c>
      <c r="D182" s="865">
        <v>1</v>
      </c>
      <c r="E182" s="866">
        <v>2.8</v>
      </c>
      <c r="F182" s="866"/>
      <c r="G182" s="866">
        <v>2.1</v>
      </c>
      <c r="H182" s="866">
        <f>ROUND(PRODUCT(C182:G182),2)</f>
        <v>5.88</v>
      </c>
    </row>
    <row r="183" spans="1:9">
      <c r="A183" s="863"/>
      <c r="B183" s="862"/>
      <c r="C183" s="867"/>
      <c r="D183" s="865"/>
      <c r="E183" s="866"/>
      <c r="F183" s="866"/>
      <c r="G183" s="866" t="s">
        <v>2332</v>
      </c>
      <c r="H183" s="866">
        <f>SUM(H182)</f>
        <v>5.88</v>
      </c>
    </row>
    <row r="184" spans="1:9">
      <c r="A184" s="863"/>
      <c r="B184" s="862"/>
      <c r="C184" s="867"/>
      <c r="D184" s="865"/>
      <c r="E184" s="866"/>
      <c r="F184" s="866"/>
      <c r="G184" s="866"/>
      <c r="H184" s="866">
        <v>0.12</v>
      </c>
    </row>
    <row r="185" spans="1:9">
      <c r="A185" s="863"/>
      <c r="B185" s="862"/>
      <c r="C185" s="867"/>
      <c r="D185" s="865"/>
      <c r="E185" s="866"/>
      <c r="F185" s="866"/>
      <c r="G185" s="866" t="s">
        <v>3678</v>
      </c>
      <c r="H185" s="851">
        <f>SUM(H183:H184)</f>
        <v>6</v>
      </c>
    </row>
    <row r="186" spans="1:9">
      <c r="A186" s="863"/>
      <c r="B186" s="862"/>
      <c r="C186" s="867"/>
      <c r="D186" s="865"/>
      <c r="E186" s="866"/>
      <c r="F186" s="866"/>
      <c r="G186" s="866"/>
      <c r="H186" s="866"/>
    </row>
    <row r="187" spans="1:9" ht="60">
      <c r="A187" s="863">
        <v>11</v>
      </c>
      <c r="B187" s="862" t="s">
        <v>4725</v>
      </c>
      <c r="C187" s="867"/>
      <c r="D187" s="865"/>
      <c r="E187" s="866"/>
      <c r="F187" s="866"/>
      <c r="G187" s="866"/>
      <c r="H187" s="866"/>
    </row>
    <row r="188" spans="1:9">
      <c r="A188" s="863"/>
      <c r="B188" s="862" t="s">
        <v>4729</v>
      </c>
      <c r="C188" s="867">
        <v>1</v>
      </c>
      <c r="D188" s="865">
        <v>4</v>
      </c>
      <c r="E188" s="866">
        <v>0.95</v>
      </c>
      <c r="F188" s="866">
        <v>0.95</v>
      </c>
      <c r="G188" s="866">
        <v>1.2</v>
      </c>
      <c r="H188" s="866">
        <f>ROUND(PRODUCT(C188:G188),2)</f>
        <v>4.33</v>
      </c>
    </row>
    <row r="189" spans="1:9">
      <c r="A189" s="863"/>
      <c r="B189" s="862" t="s">
        <v>4728</v>
      </c>
      <c r="C189" s="867">
        <v>1</v>
      </c>
      <c r="D189" s="865">
        <v>1</v>
      </c>
      <c r="E189" s="866">
        <v>8.92</v>
      </c>
      <c r="F189" s="866">
        <v>0.38</v>
      </c>
      <c r="G189" s="866">
        <v>0.3</v>
      </c>
      <c r="H189" s="866">
        <f>ROUND(PRODUCT(C189:G189),2)</f>
        <v>1.02</v>
      </c>
    </row>
    <row r="190" spans="1:9">
      <c r="A190" s="863"/>
      <c r="B190" s="862"/>
      <c r="C190" s="867"/>
      <c r="D190" s="865"/>
      <c r="E190" s="866"/>
      <c r="F190" s="866"/>
      <c r="G190" s="866"/>
      <c r="H190" s="866">
        <f>ROUND(PRODUCT(C190:G190),2)</f>
        <v>0</v>
      </c>
    </row>
    <row r="191" spans="1:9">
      <c r="A191" s="863"/>
      <c r="B191" s="862"/>
      <c r="C191" s="867"/>
      <c r="D191" s="865"/>
      <c r="E191" s="866"/>
      <c r="F191" s="866"/>
      <c r="G191" s="866" t="s">
        <v>2332</v>
      </c>
      <c r="H191" s="866">
        <f>SUM(H188:H190)</f>
        <v>5.35</v>
      </c>
    </row>
    <row r="192" spans="1:9">
      <c r="A192" s="863"/>
      <c r="B192" s="862"/>
      <c r="C192" s="867"/>
      <c r="D192" s="865"/>
      <c r="E192" s="866"/>
      <c r="F192" s="866"/>
      <c r="G192" s="866"/>
      <c r="H192" s="866">
        <v>0.15</v>
      </c>
    </row>
    <row r="193" spans="1:8">
      <c r="A193" s="863"/>
      <c r="B193" s="862"/>
      <c r="C193" s="867"/>
      <c r="D193" s="865"/>
      <c r="E193" s="866"/>
      <c r="F193" s="866"/>
      <c r="G193" s="866" t="s">
        <v>3678</v>
      </c>
      <c r="H193" s="851">
        <f>SUM(H191:H192)</f>
        <v>5.5</v>
      </c>
    </row>
    <row r="194" spans="1:8">
      <c r="A194" s="863"/>
      <c r="B194" s="862"/>
      <c r="C194" s="867"/>
      <c r="D194" s="865"/>
      <c r="E194" s="866"/>
      <c r="F194" s="866"/>
      <c r="G194" s="866"/>
      <c r="H194" s="866"/>
    </row>
    <row r="195" spans="1:8" ht="105">
      <c r="A195" s="863">
        <v>12</v>
      </c>
      <c r="B195" s="862" t="s">
        <v>4727</v>
      </c>
      <c r="C195" s="867"/>
      <c r="D195" s="865"/>
      <c r="E195" s="866"/>
      <c r="F195" s="866"/>
      <c r="G195" s="866"/>
      <c r="H195" s="866"/>
    </row>
    <row r="196" spans="1:8">
      <c r="A196" s="863"/>
      <c r="B196" s="862" t="s">
        <v>4730</v>
      </c>
      <c r="C196" s="867">
        <v>1</v>
      </c>
      <c r="D196" s="865">
        <v>4</v>
      </c>
      <c r="E196" s="866">
        <v>0.95</v>
      </c>
      <c r="F196" s="866">
        <v>0.95</v>
      </c>
      <c r="G196" s="866">
        <v>0.15</v>
      </c>
      <c r="H196" s="866">
        <f>ROUND(PRODUCT(C196:G196),2)</f>
        <v>0.54</v>
      </c>
    </row>
    <row r="197" spans="1:8">
      <c r="A197" s="863"/>
      <c r="B197" s="862" t="s">
        <v>4728</v>
      </c>
      <c r="C197" s="867">
        <v>1</v>
      </c>
      <c r="D197" s="865">
        <v>1</v>
      </c>
      <c r="E197" s="866">
        <v>8.92</v>
      </c>
      <c r="F197" s="866">
        <v>0.38</v>
      </c>
      <c r="G197" s="866">
        <v>0.15</v>
      </c>
      <c r="H197" s="866">
        <f>ROUND(PRODUCT(C197:G197),2)</f>
        <v>0.51</v>
      </c>
    </row>
    <row r="198" spans="1:8">
      <c r="A198" s="863"/>
      <c r="B198" s="862"/>
      <c r="C198" s="867"/>
      <c r="D198" s="865"/>
      <c r="E198" s="866"/>
      <c r="F198" s="866"/>
      <c r="G198" s="866"/>
      <c r="H198" s="866">
        <f>ROUND(PRODUCT(C198:G198),2)</f>
        <v>0</v>
      </c>
    </row>
    <row r="199" spans="1:8">
      <c r="A199" s="863"/>
      <c r="B199" s="862"/>
      <c r="C199" s="867"/>
      <c r="D199" s="865"/>
      <c r="E199" s="866"/>
      <c r="F199" s="866"/>
      <c r="G199" s="866" t="s">
        <v>2332</v>
      </c>
      <c r="H199" s="866">
        <f>SUM(H196:H198)</f>
        <v>1.05</v>
      </c>
    </row>
    <row r="200" spans="1:8">
      <c r="A200" s="863"/>
      <c r="B200" s="862"/>
      <c r="C200" s="867"/>
      <c r="D200" s="865"/>
      <c r="E200" s="866"/>
      <c r="F200" s="866"/>
      <c r="G200" s="866"/>
      <c r="H200" s="866">
        <v>0.05</v>
      </c>
    </row>
    <row r="201" spans="1:8">
      <c r="A201" s="863"/>
      <c r="B201" s="862"/>
      <c r="C201" s="867"/>
      <c r="D201" s="865"/>
      <c r="E201" s="866"/>
      <c r="F201" s="866"/>
      <c r="G201" s="866" t="s">
        <v>3678</v>
      </c>
      <c r="H201" s="851">
        <f>SUM(H199:H200)</f>
        <v>1.1000000000000001</v>
      </c>
    </row>
    <row r="202" spans="1:8">
      <c r="A202" s="863"/>
      <c r="B202" s="862"/>
      <c r="C202" s="867"/>
      <c r="D202" s="865"/>
      <c r="E202" s="866"/>
      <c r="F202" s="866"/>
      <c r="G202" s="866"/>
      <c r="H202" s="866"/>
    </row>
    <row r="203" spans="1:8" ht="75">
      <c r="A203" s="863">
        <v>13</v>
      </c>
      <c r="B203" s="862" t="s">
        <v>4731</v>
      </c>
      <c r="C203" s="867"/>
      <c r="D203" s="865"/>
      <c r="E203" s="866"/>
      <c r="F203" s="866"/>
      <c r="G203" s="866"/>
      <c r="H203" s="866"/>
    </row>
    <row r="204" spans="1:8">
      <c r="A204" s="863"/>
      <c r="B204" s="862" t="s">
        <v>4732</v>
      </c>
      <c r="C204" s="867">
        <v>1</v>
      </c>
      <c r="D204" s="865">
        <v>4</v>
      </c>
      <c r="E204" s="866">
        <v>0.95</v>
      </c>
      <c r="F204" s="866">
        <v>0.95</v>
      </c>
      <c r="G204" s="866">
        <v>0.15</v>
      </c>
      <c r="H204" s="866">
        <f>ROUND(PRODUCT(C204:G204),2)</f>
        <v>0.54</v>
      </c>
    </row>
    <row r="205" spans="1:8">
      <c r="A205" s="863"/>
      <c r="B205" s="862"/>
      <c r="C205" s="867"/>
      <c r="D205" s="865"/>
      <c r="E205" s="866"/>
      <c r="F205" s="866"/>
      <c r="G205" s="866"/>
      <c r="H205" s="866">
        <f>ROUND(PRODUCT(C205:G205),2)</f>
        <v>0</v>
      </c>
    </row>
    <row r="206" spans="1:8">
      <c r="A206" s="863"/>
      <c r="B206" s="862"/>
      <c r="C206" s="867"/>
      <c r="D206" s="865"/>
      <c r="E206" s="866"/>
      <c r="F206" s="866"/>
      <c r="G206" s="866" t="s">
        <v>2332</v>
      </c>
      <c r="H206" s="866">
        <f>SUM(H204:H205)</f>
        <v>0.54</v>
      </c>
    </row>
    <row r="207" spans="1:8">
      <c r="A207" s="863"/>
      <c r="B207" s="862"/>
      <c r="C207" s="867"/>
      <c r="D207" s="865"/>
      <c r="E207" s="866"/>
      <c r="F207" s="866"/>
      <c r="G207" s="866"/>
      <c r="H207" s="866">
        <v>0.06</v>
      </c>
    </row>
    <row r="208" spans="1:8">
      <c r="A208" s="863"/>
      <c r="B208" s="862"/>
      <c r="C208" s="867"/>
      <c r="D208" s="865"/>
      <c r="E208" s="866"/>
      <c r="F208" s="866"/>
      <c r="G208" s="866" t="s">
        <v>3678</v>
      </c>
      <c r="H208" s="851">
        <f>SUM(H206:H207)</f>
        <v>0.6</v>
      </c>
    </row>
    <row r="209" spans="1:8">
      <c r="A209" s="863"/>
      <c r="B209" s="862"/>
      <c r="C209" s="867"/>
      <c r="D209" s="865"/>
      <c r="E209" s="866"/>
      <c r="F209" s="866"/>
      <c r="G209" s="866"/>
      <c r="H209" s="866"/>
    </row>
    <row r="210" spans="1:8" ht="75">
      <c r="A210" s="863">
        <v>14</v>
      </c>
      <c r="B210" s="862" t="s">
        <v>4734</v>
      </c>
      <c r="C210" s="867"/>
      <c r="D210" s="865"/>
      <c r="E210" s="866"/>
      <c r="F210" s="866"/>
      <c r="G210" s="866"/>
      <c r="H210" s="866"/>
    </row>
    <row r="211" spans="1:8">
      <c r="A211" s="863"/>
      <c r="B211" s="862" t="s">
        <v>4733</v>
      </c>
      <c r="C211" s="867">
        <v>1</v>
      </c>
      <c r="D211" s="865">
        <v>1</v>
      </c>
      <c r="E211" s="866">
        <v>8.92</v>
      </c>
      <c r="F211" s="866">
        <v>0.23</v>
      </c>
      <c r="G211" s="866">
        <v>0.9</v>
      </c>
      <c r="H211" s="866">
        <f>ROUND(PRODUCT(C211:G211),2)</f>
        <v>1.85</v>
      </c>
    </row>
    <row r="212" spans="1:8">
      <c r="A212" s="863"/>
      <c r="B212" s="862" t="s">
        <v>4756</v>
      </c>
      <c r="C212" s="867">
        <v>1</v>
      </c>
      <c r="D212" s="865">
        <v>1</v>
      </c>
      <c r="E212" s="866">
        <v>1.21</v>
      </c>
      <c r="F212" s="866">
        <v>0.9</v>
      </c>
      <c r="G212" s="866">
        <v>0.3</v>
      </c>
      <c r="H212" s="866">
        <f t="shared" ref="H212:H214" si="14">ROUND(PRODUCT(C212:G212),2)</f>
        <v>0.33</v>
      </c>
    </row>
    <row r="213" spans="1:8">
      <c r="A213" s="863"/>
      <c r="B213" s="862" t="s">
        <v>4563</v>
      </c>
      <c r="C213" s="867">
        <v>1</v>
      </c>
      <c r="D213" s="865">
        <v>1</v>
      </c>
      <c r="E213" s="866">
        <v>1.21</v>
      </c>
      <c r="F213" s="866">
        <v>0.6</v>
      </c>
      <c r="G213" s="866">
        <v>0.15</v>
      </c>
      <c r="H213" s="866">
        <f t="shared" si="14"/>
        <v>0.11</v>
      </c>
    </row>
    <row r="214" spans="1:8">
      <c r="A214" s="863"/>
      <c r="B214" s="862" t="s">
        <v>4563</v>
      </c>
      <c r="C214" s="867">
        <v>1</v>
      </c>
      <c r="D214" s="865">
        <v>1</v>
      </c>
      <c r="E214" s="866">
        <v>1.21</v>
      </c>
      <c r="F214" s="866">
        <v>0.3</v>
      </c>
      <c r="G214" s="866">
        <v>0.15</v>
      </c>
      <c r="H214" s="866">
        <f t="shared" si="14"/>
        <v>0.05</v>
      </c>
    </row>
    <row r="215" spans="1:8">
      <c r="A215" s="863"/>
      <c r="B215" s="862"/>
      <c r="C215" s="867"/>
      <c r="D215" s="865"/>
      <c r="E215" s="866"/>
      <c r="F215" s="866"/>
      <c r="G215" s="866"/>
      <c r="H215" s="866">
        <f>ROUND(PRODUCT(C215:G215),2)</f>
        <v>0</v>
      </c>
    </row>
    <row r="216" spans="1:8">
      <c r="A216" s="863"/>
      <c r="B216" s="862"/>
      <c r="C216" s="867"/>
      <c r="D216" s="865"/>
      <c r="E216" s="866"/>
      <c r="F216" s="866"/>
      <c r="G216" s="866" t="s">
        <v>2332</v>
      </c>
      <c r="H216" s="866">
        <f>SUM(H211:H215)</f>
        <v>2.34</v>
      </c>
    </row>
    <row r="217" spans="1:8">
      <c r="A217" s="863"/>
      <c r="B217" s="862"/>
      <c r="C217" s="867"/>
      <c r="D217" s="865"/>
      <c r="E217" s="866"/>
      <c r="F217" s="866"/>
      <c r="G217" s="866"/>
      <c r="H217" s="866">
        <v>0.16</v>
      </c>
    </row>
    <row r="218" spans="1:8">
      <c r="A218" s="863"/>
      <c r="B218" s="862"/>
      <c r="C218" s="867"/>
      <c r="D218" s="865"/>
      <c r="E218" s="866"/>
      <c r="F218" s="866"/>
      <c r="G218" s="866" t="s">
        <v>3678</v>
      </c>
      <c r="H218" s="851">
        <f>SUM(H216:H217)</f>
        <v>2.5</v>
      </c>
    </row>
    <row r="219" spans="1:8">
      <c r="A219" s="863"/>
      <c r="B219" s="862"/>
      <c r="C219" s="867"/>
      <c r="D219" s="865"/>
      <c r="E219" s="866"/>
      <c r="F219" s="866"/>
      <c r="G219" s="866"/>
      <c r="H219" s="866"/>
    </row>
    <row r="220" spans="1:8" ht="75">
      <c r="A220" s="863">
        <v>15</v>
      </c>
      <c r="B220" s="862" t="s">
        <v>4735</v>
      </c>
      <c r="C220" s="867"/>
      <c r="D220" s="865"/>
      <c r="E220" s="866"/>
      <c r="F220" s="866"/>
      <c r="G220" s="866"/>
      <c r="H220" s="866"/>
    </row>
    <row r="221" spans="1:8">
      <c r="A221" s="863"/>
      <c r="B221" s="862" t="s">
        <v>4733</v>
      </c>
      <c r="C221" s="867">
        <v>1</v>
      </c>
      <c r="D221" s="865">
        <v>1</v>
      </c>
      <c r="E221" s="866">
        <v>8.92</v>
      </c>
      <c r="F221" s="866">
        <v>0.23</v>
      </c>
      <c r="G221" s="866">
        <v>2.4</v>
      </c>
      <c r="H221" s="866">
        <f>ROUND(PRODUCT(C221:G221),2)</f>
        <v>4.92</v>
      </c>
    </row>
    <row r="222" spans="1:8">
      <c r="A222" s="863"/>
      <c r="B222" s="862" t="s">
        <v>4564</v>
      </c>
      <c r="C222" s="867">
        <v>-1</v>
      </c>
      <c r="D222" s="865">
        <v>1</v>
      </c>
      <c r="E222" s="866">
        <v>0.75</v>
      </c>
      <c r="F222" s="866">
        <v>0.23</v>
      </c>
      <c r="G222" s="866">
        <v>2.1</v>
      </c>
      <c r="H222" s="866">
        <f t="shared" ref="H222:H224" si="15">ROUND(PRODUCT(C222:G222),2)</f>
        <v>-0.36</v>
      </c>
    </row>
    <row r="223" spans="1:8">
      <c r="A223" s="863"/>
      <c r="B223" s="862" t="s">
        <v>4736</v>
      </c>
      <c r="C223" s="867">
        <v>-1</v>
      </c>
      <c r="D223" s="865">
        <v>1</v>
      </c>
      <c r="E223" s="866">
        <v>0.9</v>
      </c>
      <c r="F223" s="866">
        <v>0.23</v>
      </c>
      <c r="G223" s="866">
        <v>0.6</v>
      </c>
      <c r="H223" s="866">
        <f t="shared" si="15"/>
        <v>-0.12</v>
      </c>
    </row>
    <row r="224" spans="1:8">
      <c r="A224" s="863"/>
      <c r="B224" s="862"/>
      <c r="C224" s="867"/>
      <c r="D224" s="865"/>
      <c r="E224" s="866"/>
      <c r="F224" s="866"/>
      <c r="G224" s="866"/>
      <c r="H224" s="866">
        <f t="shared" si="15"/>
        <v>0</v>
      </c>
    </row>
    <row r="225" spans="1:8">
      <c r="A225" s="863"/>
      <c r="B225" s="862"/>
      <c r="C225" s="867"/>
      <c r="D225" s="865"/>
      <c r="E225" s="866"/>
      <c r="F225" s="866"/>
      <c r="G225" s="866" t="s">
        <v>2332</v>
      </c>
      <c r="H225" s="866">
        <f>SUM(H221:H224)</f>
        <v>4.4400000000000004</v>
      </c>
    </row>
    <row r="226" spans="1:8">
      <c r="A226" s="863"/>
      <c r="B226" s="862"/>
      <c r="C226" s="867"/>
      <c r="D226" s="865"/>
      <c r="E226" s="866"/>
      <c r="F226" s="866"/>
      <c r="G226" s="866"/>
      <c r="H226" s="866">
        <v>0.06</v>
      </c>
    </row>
    <row r="227" spans="1:8">
      <c r="A227" s="863"/>
      <c r="B227" s="862"/>
      <c r="C227" s="867"/>
      <c r="D227" s="865"/>
      <c r="E227" s="866"/>
      <c r="F227" s="866"/>
      <c r="G227" s="866" t="s">
        <v>3678</v>
      </c>
      <c r="H227" s="851">
        <f>SUM(H225:H226)</f>
        <v>4.5</v>
      </c>
    </row>
    <row r="228" spans="1:8">
      <c r="A228" s="863"/>
      <c r="B228" s="862"/>
      <c r="C228" s="867"/>
      <c r="D228" s="865"/>
      <c r="E228" s="866"/>
      <c r="F228" s="866"/>
      <c r="G228" s="866"/>
      <c r="H228" s="866"/>
    </row>
    <row r="229" spans="1:8" ht="75">
      <c r="A229" s="863">
        <v>16</v>
      </c>
      <c r="B229" s="862" t="s">
        <v>4737</v>
      </c>
      <c r="C229" s="867"/>
      <c r="D229" s="865"/>
      <c r="E229" s="866"/>
      <c r="F229" s="866"/>
      <c r="G229" s="866"/>
      <c r="H229" s="866"/>
    </row>
    <row r="230" spans="1:8">
      <c r="A230" s="863"/>
      <c r="B230" s="862" t="s">
        <v>4738</v>
      </c>
      <c r="C230" s="867"/>
      <c r="D230" s="865"/>
      <c r="E230" s="866"/>
      <c r="F230" s="866"/>
      <c r="G230" s="866"/>
      <c r="H230" s="866"/>
    </row>
    <row r="231" spans="1:8">
      <c r="A231" s="863"/>
      <c r="B231" s="862" t="s">
        <v>4730</v>
      </c>
      <c r="C231" s="867">
        <v>1</v>
      </c>
      <c r="D231" s="865">
        <v>4</v>
      </c>
      <c r="E231" s="866">
        <v>0.75</v>
      </c>
      <c r="F231" s="866">
        <v>0.75</v>
      </c>
      <c r="G231" s="866">
        <v>0.23</v>
      </c>
      <c r="H231" s="866">
        <f t="shared" ref="H231:H234" si="16">ROUND(PRODUCT(C231:G231),2)</f>
        <v>0.52</v>
      </c>
    </row>
    <row r="232" spans="1:8">
      <c r="A232" s="863"/>
      <c r="B232" s="862" t="s">
        <v>4728</v>
      </c>
      <c r="C232" s="867">
        <v>1</v>
      </c>
      <c r="D232" s="865">
        <v>1</v>
      </c>
      <c r="E232" s="866">
        <v>8.92</v>
      </c>
      <c r="F232" s="866">
        <v>0.23</v>
      </c>
      <c r="G232" s="866">
        <v>0.23</v>
      </c>
      <c r="H232" s="866">
        <f t="shared" si="16"/>
        <v>0.47</v>
      </c>
    </row>
    <row r="233" spans="1:8">
      <c r="A233" s="863"/>
      <c r="B233" s="862" t="s">
        <v>4739</v>
      </c>
      <c r="C233" s="867">
        <v>1</v>
      </c>
      <c r="D233" s="865">
        <v>4</v>
      </c>
      <c r="E233" s="866">
        <v>0.23</v>
      </c>
      <c r="F233" s="866">
        <v>0.23</v>
      </c>
      <c r="G233" s="866">
        <v>1.2</v>
      </c>
      <c r="H233" s="866">
        <f t="shared" si="16"/>
        <v>0.25</v>
      </c>
    </row>
    <row r="234" spans="1:8">
      <c r="A234" s="863"/>
      <c r="B234" s="862"/>
      <c r="C234" s="867"/>
      <c r="D234" s="865"/>
      <c r="E234" s="866"/>
      <c r="F234" s="866"/>
      <c r="G234" s="866"/>
      <c r="H234" s="866">
        <f t="shared" si="16"/>
        <v>0</v>
      </c>
    </row>
    <row r="235" spans="1:8">
      <c r="A235" s="863"/>
      <c r="B235" s="862"/>
      <c r="C235" s="867"/>
      <c r="D235" s="865"/>
      <c r="E235" s="866"/>
      <c r="F235" s="866"/>
      <c r="G235" s="866" t="s">
        <v>2332</v>
      </c>
      <c r="H235" s="866">
        <f>SUM(H231:H234)</f>
        <v>1.24</v>
      </c>
    </row>
    <row r="236" spans="1:8">
      <c r="A236" s="863"/>
      <c r="B236" s="862"/>
      <c r="C236" s="867"/>
      <c r="D236" s="865"/>
      <c r="E236" s="866"/>
      <c r="F236" s="866"/>
      <c r="G236" s="866"/>
      <c r="H236" s="866">
        <v>0.06</v>
      </c>
    </row>
    <row r="237" spans="1:8">
      <c r="A237" s="863"/>
      <c r="B237" s="862"/>
      <c r="C237" s="867"/>
      <c r="D237" s="865"/>
      <c r="E237" s="866"/>
      <c r="F237" s="866"/>
      <c r="G237" s="866" t="s">
        <v>3678</v>
      </c>
      <c r="H237" s="851">
        <f>SUM(H235:H236)</f>
        <v>1.3</v>
      </c>
    </row>
    <row r="238" spans="1:8">
      <c r="A238" s="863"/>
      <c r="B238" s="862"/>
      <c r="C238" s="867"/>
      <c r="D238" s="865"/>
      <c r="E238" s="866"/>
      <c r="F238" s="866"/>
      <c r="G238" s="866"/>
      <c r="H238" s="866"/>
    </row>
    <row r="239" spans="1:8">
      <c r="A239" s="863"/>
      <c r="B239" s="862" t="s">
        <v>4740</v>
      </c>
      <c r="C239" s="867"/>
      <c r="D239" s="865"/>
      <c r="E239" s="866"/>
      <c r="F239" s="866"/>
      <c r="G239" s="866"/>
      <c r="H239" s="866"/>
    </row>
    <row r="240" spans="1:8">
      <c r="A240" s="863"/>
      <c r="B240" s="862" t="s">
        <v>4741</v>
      </c>
      <c r="C240" s="867">
        <v>1</v>
      </c>
      <c r="D240" s="865">
        <v>1</v>
      </c>
      <c r="E240" s="866">
        <v>1.21</v>
      </c>
      <c r="F240" s="866">
        <v>0.23</v>
      </c>
      <c r="G240" s="866">
        <v>0.15</v>
      </c>
      <c r="H240" s="866">
        <f t="shared" ref="H240:H243" si="17">ROUND(PRODUCT(C240:G240),2)</f>
        <v>0.04</v>
      </c>
    </row>
    <row r="241" spans="1:8">
      <c r="A241" s="863"/>
      <c r="B241" s="862" t="s">
        <v>4563</v>
      </c>
      <c r="C241" s="867">
        <v>1</v>
      </c>
      <c r="D241" s="865">
        <v>1</v>
      </c>
      <c r="E241" s="866">
        <v>1.36</v>
      </c>
      <c r="F241" s="866">
        <v>0.23</v>
      </c>
      <c r="G241" s="866">
        <v>0.15</v>
      </c>
      <c r="H241" s="866">
        <f t="shared" si="17"/>
        <v>0.05</v>
      </c>
    </row>
    <row r="242" spans="1:8">
      <c r="A242" s="863"/>
      <c r="B242" s="862" t="s">
        <v>4742</v>
      </c>
      <c r="C242" s="867">
        <v>1</v>
      </c>
      <c r="D242" s="865">
        <v>1</v>
      </c>
      <c r="E242" s="866">
        <v>2.9</v>
      </c>
      <c r="F242" s="866">
        <v>2.9</v>
      </c>
      <c r="G242" s="866">
        <v>0.11</v>
      </c>
      <c r="H242" s="866">
        <f t="shared" si="17"/>
        <v>0.93</v>
      </c>
    </row>
    <row r="243" spans="1:8">
      <c r="A243" s="863"/>
      <c r="B243" s="862"/>
      <c r="C243" s="867"/>
      <c r="D243" s="865"/>
      <c r="E243" s="866"/>
      <c r="F243" s="866"/>
      <c r="G243" s="866"/>
      <c r="H243" s="866">
        <f t="shared" si="17"/>
        <v>0</v>
      </c>
    </row>
    <row r="244" spans="1:8">
      <c r="A244" s="863"/>
      <c r="B244" s="862"/>
      <c r="C244" s="867"/>
      <c r="D244" s="865"/>
      <c r="E244" s="866"/>
      <c r="F244" s="866"/>
      <c r="G244" s="866" t="s">
        <v>2332</v>
      </c>
      <c r="H244" s="866">
        <f>SUM(H240:H243)</f>
        <v>1.02</v>
      </c>
    </row>
    <row r="245" spans="1:8">
      <c r="A245" s="863"/>
      <c r="B245" s="862"/>
      <c r="C245" s="867"/>
      <c r="D245" s="865"/>
      <c r="E245" s="866"/>
      <c r="F245" s="866"/>
      <c r="G245" s="866"/>
      <c r="H245" s="866">
        <v>0.08</v>
      </c>
    </row>
    <row r="246" spans="1:8">
      <c r="A246" s="863"/>
      <c r="B246" s="862"/>
      <c r="C246" s="867"/>
      <c r="D246" s="865"/>
      <c r="E246" s="866"/>
      <c r="F246" s="866"/>
      <c r="G246" s="866" t="s">
        <v>3678</v>
      </c>
      <c r="H246" s="851">
        <f>SUM(H244:H245)</f>
        <v>1.1000000000000001</v>
      </c>
    </row>
    <row r="247" spans="1:8">
      <c r="A247" s="863"/>
      <c r="B247" s="862"/>
      <c r="C247" s="867"/>
      <c r="D247" s="865"/>
      <c r="E247" s="866"/>
      <c r="F247" s="866"/>
      <c r="G247" s="866"/>
      <c r="H247" s="866"/>
    </row>
    <row r="248" spans="1:8">
      <c r="A248" s="863">
        <v>17</v>
      </c>
      <c r="B248" s="862" t="s">
        <v>4312</v>
      </c>
      <c r="C248" s="867"/>
      <c r="D248" s="865"/>
      <c r="E248" s="866"/>
      <c r="F248" s="866"/>
      <c r="G248" s="866"/>
      <c r="H248" s="866"/>
    </row>
    <row r="249" spans="1:8" ht="30">
      <c r="A249" s="863"/>
      <c r="B249" s="862" t="s">
        <v>1904</v>
      </c>
      <c r="C249" s="867"/>
      <c r="D249" s="865"/>
      <c r="E249" s="866"/>
      <c r="F249" s="866"/>
      <c r="G249" s="866"/>
      <c r="H249" s="866"/>
    </row>
    <row r="250" spans="1:8">
      <c r="A250" s="863"/>
      <c r="B250" s="862" t="s">
        <v>4743</v>
      </c>
      <c r="C250" s="867">
        <v>1</v>
      </c>
      <c r="D250" s="865">
        <v>4</v>
      </c>
      <c r="E250" s="866">
        <v>3</v>
      </c>
      <c r="F250" s="866"/>
      <c r="G250" s="866">
        <v>0.23</v>
      </c>
      <c r="H250" s="866">
        <f t="shared" ref="H250:H251" si="18">ROUND(PRODUCT(C250:G250),2)</f>
        <v>2.76</v>
      </c>
    </row>
    <row r="251" spans="1:8">
      <c r="A251" s="863"/>
      <c r="B251" s="862" t="s">
        <v>4728</v>
      </c>
      <c r="C251" s="867">
        <v>1</v>
      </c>
      <c r="D251" s="865">
        <v>2</v>
      </c>
      <c r="E251" s="866">
        <v>8.92</v>
      </c>
      <c r="F251" s="866"/>
      <c r="G251" s="866">
        <v>0.23</v>
      </c>
      <c r="H251" s="866">
        <f t="shared" si="18"/>
        <v>4.0999999999999996</v>
      </c>
    </row>
    <row r="252" spans="1:8">
      <c r="A252" s="863"/>
      <c r="B252" s="862"/>
      <c r="C252" s="867"/>
      <c r="D252" s="865"/>
      <c r="E252" s="866"/>
      <c r="F252" s="866"/>
      <c r="G252" s="866" t="s">
        <v>2332</v>
      </c>
      <c r="H252" s="866">
        <f>SUM(H250:H251)</f>
        <v>6.86</v>
      </c>
    </row>
    <row r="253" spans="1:8">
      <c r="A253" s="863"/>
      <c r="B253" s="862"/>
      <c r="C253" s="867"/>
      <c r="D253" s="865"/>
      <c r="E253" s="866"/>
      <c r="F253" s="866"/>
      <c r="G253" s="866"/>
      <c r="H253" s="866">
        <v>0.14000000000000001</v>
      </c>
    </row>
    <row r="254" spans="1:8">
      <c r="A254" s="863"/>
      <c r="B254" s="862"/>
      <c r="C254" s="867"/>
      <c r="D254" s="865"/>
      <c r="E254" s="866"/>
      <c r="F254" s="866"/>
      <c r="G254" s="866" t="s">
        <v>3678</v>
      </c>
      <c r="H254" s="851">
        <f>SUM(H252:H253)</f>
        <v>7</v>
      </c>
    </row>
    <row r="255" spans="1:8">
      <c r="A255" s="863"/>
      <c r="B255" s="862"/>
      <c r="C255" s="867"/>
      <c r="D255" s="865"/>
      <c r="E255" s="866"/>
      <c r="F255" s="866"/>
      <c r="G255" s="866"/>
      <c r="H255" s="866"/>
    </row>
    <row r="256" spans="1:8" ht="45">
      <c r="A256" s="863"/>
      <c r="B256" s="862" t="s">
        <v>4744</v>
      </c>
      <c r="C256" s="867"/>
      <c r="D256" s="865"/>
      <c r="E256" s="866"/>
      <c r="F256" s="866"/>
      <c r="G256" s="866"/>
      <c r="H256" s="866"/>
    </row>
    <row r="257" spans="1:8">
      <c r="A257" s="863"/>
      <c r="B257" s="862" t="s">
        <v>4741</v>
      </c>
      <c r="C257" s="867">
        <v>1</v>
      </c>
      <c r="D257" s="865">
        <v>1</v>
      </c>
      <c r="E257" s="866">
        <v>0.75</v>
      </c>
      <c r="F257" s="866">
        <v>0.23</v>
      </c>
      <c r="G257" s="866"/>
      <c r="H257" s="866">
        <f t="shared" ref="H257:H265" si="19">ROUND(PRODUCT(C257:G257),2)</f>
        <v>0.17</v>
      </c>
    </row>
    <row r="258" spans="1:8">
      <c r="A258" s="863"/>
      <c r="B258" s="862" t="s">
        <v>4563</v>
      </c>
      <c r="C258" s="867">
        <v>1</v>
      </c>
      <c r="D258" s="865">
        <v>1</v>
      </c>
      <c r="E258" s="866">
        <v>0.9</v>
      </c>
      <c r="F258" s="866">
        <v>0.23</v>
      </c>
      <c r="G258" s="866"/>
      <c r="H258" s="866">
        <f t="shared" si="19"/>
        <v>0.21</v>
      </c>
    </row>
    <row r="259" spans="1:8">
      <c r="A259" s="863"/>
      <c r="B259" s="862" t="s">
        <v>3934</v>
      </c>
      <c r="C259" s="867">
        <v>1</v>
      </c>
      <c r="D259" s="865">
        <v>2</v>
      </c>
      <c r="E259" s="866">
        <v>1.21</v>
      </c>
      <c r="F259" s="866"/>
      <c r="G259" s="866">
        <v>0.15</v>
      </c>
      <c r="H259" s="866">
        <f t="shared" si="19"/>
        <v>0.36</v>
      </c>
    </row>
    <row r="260" spans="1:8">
      <c r="A260" s="863"/>
      <c r="B260" s="862" t="s">
        <v>4563</v>
      </c>
      <c r="C260" s="867">
        <v>1</v>
      </c>
      <c r="D260" s="865">
        <v>2</v>
      </c>
      <c r="E260" s="866">
        <v>1.36</v>
      </c>
      <c r="F260" s="866"/>
      <c r="G260" s="866">
        <v>0.15</v>
      </c>
      <c r="H260" s="866">
        <f t="shared" si="19"/>
        <v>0.41</v>
      </c>
    </row>
    <row r="261" spans="1:8">
      <c r="A261" s="863"/>
      <c r="B261" s="862" t="s">
        <v>4563</v>
      </c>
      <c r="C261" s="867">
        <v>1</v>
      </c>
      <c r="D261" s="865">
        <v>4</v>
      </c>
      <c r="E261" s="866">
        <v>0.23</v>
      </c>
      <c r="F261" s="866"/>
      <c r="G261" s="866">
        <v>0.15</v>
      </c>
      <c r="H261" s="866">
        <f t="shared" si="19"/>
        <v>0.14000000000000001</v>
      </c>
    </row>
    <row r="262" spans="1:8">
      <c r="A262" s="863"/>
      <c r="B262" s="862" t="s">
        <v>4745</v>
      </c>
      <c r="C262" s="867">
        <v>1</v>
      </c>
      <c r="D262" s="865">
        <v>1</v>
      </c>
      <c r="E262" s="866">
        <v>1.54</v>
      </c>
      <c r="F262" s="866">
        <v>1.54</v>
      </c>
      <c r="G262" s="866"/>
      <c r="H262" s="866">
        <f t="shared" si="19"/>
        <v>2.37</v>
      </c>
    </row>
    <row r="263" spans="1:8">
      <c r="A263" s="863"/>
      <c r="B263" s="862" t="s">
        <v>4746</v>
      </c>
      <c r="C263" s="867">
        <v>1</v>
      </c>
      <c r="D263" s="865">
        <v>1</v>
      </c>
      <c r="E263" s="866">
        <v>9.8000000000000007</v>
      </c>
      <c r="F263" s="866">
        <v>0.45</v>
      </c>
      <c r="G263" s="866"/>
      <c r="H263" s="866">
        <f t="shared" si="19"/>
        <v>4.41</v>
      </c>
    </row>
    <row r="264" spans="1:8">
      <c r="A264" s="863"/>
      <c r="B264" s="862" t="s">
        <v>4747</v>
      </c>
      <c r="C264" s="867">
        <v>1</v>
      </c>
      <c r="D264" s="865">
        <v>1</v>
      </c>
      <c r="E264" s="866">
        <v>11.6</v>
      </c>
      <c r="F264" s="866"/>
      <c r="G264" s="866">
        <v>0.11</v>
      </c>
      <c r="H264" s="866">
        <f t="shared" si="19"/>
        <v>1.28</v>
      </c>
    </row>
    <row r="265" spans="1:8">
      <c r="A265" s="863"/>
      <c r="B265" s="862"/>
      <c r="C265" s="867"/>
      <c r="D265" s="865"/>
      <c r="E265" s="866"/>
      <c r="F265" s="866"/>
      <c r="G265" s="866"/>
      <c r="H265" s="866">
        <f t="shared" si="19"/>
        <v>0</v>
      </c>
    </row>
    <row r="266" spans="1:8">
      <c r="A266" s="863"/>
      <c r="B266" s="862"/>
      <c r="C266" s="867"/>
      <c r="D266" s="865"/>
      <c r="E266" s="866"/>
      <c r="F266" s="866"/>
      <c r="G266" s="866" t="s">
        <v>2332</v>
      </c>
      <c r="H266" s="866">
        <f>SUM(H257:H265)</f>
        <v>9.35</v>
      </c>
    </row>
    <row r="267" spans="1:8">
      <c r="A267" s="863"/>
      <c r="B267" s="862"/>
      <c r="C267" s="867"/>
      <c r="D267" s="865"/>
      <c r="E267" s="866"/>
      <c r="F267" s="866"/>
      <c r="G267" s="866"/>
      <c r="H267" s="866">
        <v>0.05</v>
      </c>
    </row>
    <row r="268" spans="1:8">
      <c r="A268" s="863"/>
      <c r="B268" s="862"/>
      <c r="C268" s="867"/>
      <c r="D268" s="865"/>
      <c r="E268" s="866"/>
      <c r="F268" s="866"/>
      <c r="G268" s="866" t="s">
        <v>3678</v>
      </c>
      <c r="H268" s="851">
        <f>SUM(H266:H267)</f>
        <v>9.4</v>
      </c>
    </row>
    <row r="269" spans="1:8">
      <c r="A269" s="863"/>
      <c r="B269" s="862"/>
      <c r="C269" s="867"/>
      <c r="D269" s="865"/>
      <c r="E269" s="866"/>
      <c r="F269" s="866"/>
      <c r="G269" s="866"/>
      <c r="H269" s="866"/>
    </row>
    <row r="270" spans="1:8">
      <c r="A270" s="863"/>
      <c r="B270" s="862" t="s">
        <v>4748</v>
      </c>
      <c r="C270" s="867"/>
      <c r="D270" s="865"/>
      <c r="E270" s="866"/>
      <c r="F270" s="866"/>
      <c r="G270" s="866"/>
      <c r="H270" s="866"/>
    </row>
    <row r="271" spans="1:8">
      <c r="A271" s="863"/>
      <c r="B271" s="862" t="s">
        <v>4749</v>
      </c>
      <c r="C271" s="867">
        <v>1</v>
      </c>
      <c r="D271" s="865">
        <v>4</v>
      </c>
      <c r="E271" s="866">
        <v>0.92</v>
      </c>
      <c r="F271" s="866"/>
      <c r="G271" s="866">
        <v>1.2</v>
      </c>
      <c r="H271" s="866">
        <f t="shared" ref="H271:H272" si="20">ROUND(PRODUCT(C271:G271),2)</f>
        <v>4.42</v>
      </c>
    </row>
    <row r="272" spans="1:8">
      <c r="A272" s="863"/>
      <c r="B272" s="862"/>
      <c r="C272" s="867"/>
      <c r="D272" s="865"/>
      <c r="E272" s="866"/>
      <c r="F272" s="866"/>
      <c r="G272" s="866"/>
      <c r="H272" s="866">
        <f t="shared" si="20"/>
        <v>0</v>
      </c>
    </row>
    <row r="273" spans="1:8">
      <c r="A273" s="863"/>
      <c r="B273" s="862"/>
      <c r="C273" s="867"/>
      <c r="D273" s="865"/>
      <c r="E273" s="866"/>
      <c r="F273" s="866"/>
      <c r="G273" s="866" t="s">
        <v>2332</v>
      </c>
      <c r="H273" s="866">
        <f>SUM(H271:H272)</f>
        <v>4.42</v>
      </c>
    </row>
    <row r="274" spans="1:8">
      <c r="A274" s="863"/>
      <c r="B274" s="862"/>
      <c r="C274" s="867"/>
      <c r="D274" s="865"/>
      <c r="E274" s="866"/>
      <c r="F274" s="866"/>
      <c r="G274" s="866"/>
      <c r="H274" s="866">
        <v>0.08</v>
      </c>
    </row>
    <row r="275" spans="1:8">
      <c r="A275" s="863"/>
      <c r="B275" s="862"/>
      <c r="C275" s="867"/>
      <c r="D275" s="865"/>
      <c r="E275" s="866"/>
      <c r="F275" s="866"/>
      <c r="G275" s="866" t="s">
        <v>3678</v>
      </c>
      <c r="H275" s="851">
        <f>SUM(H273:H274)</f>
        <v>4.5</v>
      </c>
    </row>
    <row r="276" spans="1:8">
      <c r="A276" s="863"/>
      <c r="B276" s="862"/>
      <c r="C276" s="867"/>
      <c r="D276" s="865"/>
      <c r="E276" s="866"/>
      <c r="F276" s="866"/>
      <c r="G276" s="866"/>
      <c r="H276" s="866"/>
    </row>
    <row r="277" spans="1:8" ht="30">
      <c r="A277" s="863">
        <v>18</v>
      </c>
      <c r="B277" s="862" t="s">
        <v>4750</v>
      </c>
      <c r="C277" s="867"/>
      <c r="D277" s="865"/>
      <c r="E277" s="866"/>
      <c r="F277" s="866"/>
      <c r="G277" s="866"/>
      <c r="H277" s="866"/>
    </row>
    <row r="278" spans="1:8">
      <c r="A278" s="863"/>
      <c r="B278" s="862" t="s">
        <v>4751</v>
      </c>
      <c r="C278" s="867">
        <v>1</v>
      </c>
      <c r="D278" s="865">
        <v>1</v>
      </c>
      <c r="E278" s="866">
        <v>1.54</v>
      </c>
      <c r="F278" s="866">
        <v>1.54</v>
      </c>
      <c r="G278" s="876">
        <v>7.4999999999999997E-2</v>
      </c>
      <c r="H278" s="866">
        <f t="shared" ref="H278:H279" si="21">ROUND(PRODUCT(C278:G278),2)</f>
        <v>0.18</v>
      </c>
    </row>
    <row r="279" spans="1:8">
      <c r="A279" s="863"/>
      <c r="B279" s="862"/>
      <c r="C279" s="867"/>
      <c r="D279" s="865"/>
      <c r="E279" s="866"/>
      <c r="F279" s="866"/>
      <c r="G279" s="866"/>
      <c r="H279" s="866">
        <f t="shared" si="21"/>
        <v>0</v>
      </c>
    </row>
    <row r="280" spans="1:8">
      <c r="A280" s="863"/>
      <c r="B280" s="862"/>
      <c r="C280" s="867"/>
      <c r="D280" s="865"/>
      <c r="E280" s="866"/>
      <c r="F280" s="866"/>
      <c r="G280" s="866" t="s">
        <v>2332</v>
      </c>
      <c r="H280" s="866">
        <f>SUM(H278:H279)</f>
        <v>0.18</v>
      </c>
    </row>
    <row r="281" spans="1:8">
      <c r="A281" s="863"/>
      <c r="B281" s="862"/>
      <c r="C281" s="867"/>
      <c r="D281" s="865"/>
      <c r="E281" s="866"/>
      <c r="F281" s="866"/>
      <c r="G281" s="866"/>
      <c r="H281" s="866">
        <v>0.02</v>
      </c>
    </row>
    <row r="282" spans="1:8">
      <c r="A282" s="863"/>
      <c r="B282" s="862"/>
      <c r="C282" s="867"/>
      <c r="D282" s="865"/>
      <c r="E282" s="866"/>
      <c r="F282" s="866"/>
      <c r="G282" s="866" t="s">
        <v>3678</v>
      </c>
      <c r="H282" s="851">
        <f>SUM(H280:H281)</f>
        <v>0.2</v>
      </c>
    </row>
    <row r="283" spans="1:8">
      <c r="A283" s="863"/>
      <c r="B283" s="862"/>
      <c r="C283" s="867"/>
      <c r="D283" s="865"/>
      <c r="E283" s="866"/>
      <c r="F283" s="866"/>
      <c r="G283" s="866"/>
      <c r="H283" s="866"/>
    </row>
    <row r="284" spans="1:8" ht="60">
      <c r="A284" s="863">
        <v>19</v>
      </c>
      <c r="B284" s="862" t="s">
        <v>3903</v>
      </c>
      <c r="C284" s="867"/>
      <c r="D284" s="865"/>
      <c r="E284" s="866"/>
      <c r="F284" s="866"/>
      <c r="G284" s="866"/>
      <c r="H284" s="866"/>
    </row>
    <row r="285" spans="1:8">
      <c r="A285" s="863"/>
      <c r="B285" s="862" t="s">
        <v>4752</v>
      </c>
      <c r="C285" s="867">
        <v>1</v>
      </c>
      <c r="D285" s="865">
        <v>1</v>
      </c>
      <c r="E285" s="866">
        <v>6.16</v>
      </c>
      <c r="F285" s="866"/>
      <c r="G285" s="866">
        <v>2.6</v>
      </c>
      <c r="H285" s="866">
        <f t="shared" ref="H285:H296" si="22">ROUND(PRODUCT(C285:G285),2)</f>
        <v>16.02</v>
      </c>
    </row>
    <row r="286" spans="1:8">
      <c r="A286" s="863"/>
      <c r="B286" s="862" t="s">
        <v>4564</v>
      </c>
      <c r="C286" s="867">
        <v>-1</v>
      </c>
      <c r="D286" s="865">
        <v>1</v>
      </c>
      <c r="E286" s="866">
        <v>0.75</v>
      </c>
      <c r="F286" s="866"/>
      <c r="G286" s="866">
        <v>2.1</v>
      </c>
      <c r="H286" s="866">
        <f t="shared" si="22"/>
        <v>-1.58</v>
      </c>
    </row>
    <row r="287" spans="1:8">
      <c r="A287" s="863"/>
      <c r="B287" s="862" t="s">
        <v>4736</v>
      </c>
      <c r="C287" s="867">
        <v>-1</v>
      </c>
      <c r="D287" s="865">
        <v>1</v>
      </c>
      <c r="E287" s="866">
        <v>0.9</v>
      </c>
      <c r="F287" s="866"/>
      <c r="G287" s="866">
        <v>0.6</v>
      </c>
      <c r="H287" s="866">
        <f t="shared" si="22"/>
        <v>-0.54</v>
      </c>
    </row>
    <row r="288" spans="1:8">
      <c r="A288" s="863"/>
      <c r="B288" s="862" t="s">
        <v>4753</v>
      </c>
      <c r="C288" s="867">
        <v>1</v>
      </c>
      <c r="D288" s="865">
        <v>1</v>
      </c>
      <c r="E288" s="866">
        <v>4.95</v>
      </c>
      <c r="F288" s="866">
        <v>0.23</v>
      </c>
      <c r="G288" s="866"/>
      <c r="H288" s="866">
        <f t="shared" si="22"/>
        <v>1.1399999999999999</v>
      </c>
    </row>
    <row r="289" spans="1:8">
      <c r="A289" s="863"/>
      <c r="B289" s="862" t="s">
        <v>4563</v>
      </c>
      <c r="C289" s="867">
        <v>1</v>
      </c>
      <c r="D289" s="865">
        <v>1</v>
      </c>
      <c r="E289" s="866">
        <v>3</v>
      </c>
      <c r="F289" s="866">
        <v>0.1</v>
      </c>
      <c r="G289" s="866"/>
      <c r="H289" s="866">
        <f t="shared" si="22"/>
        <v>0.3</v>
      </c>
    </row>
    <row r="290" spans="1:8">
      <c r="A290" s="863"/>
      <c r="B290" s="862" t="s">
        <v>4754</v>
      </c>
      <c r="C290" s="867">
        <v>1</v>
      </c>
      <c r="D290" s="865">
        <v>1</v>
      </c>
      <c r="E290" s="866">
        <v>8</v>
      </c>
      <c r="F290" s="866"/>
      <c r="G290" s="866">
        <v>3.3</v>
      </c>
      <c r="H290" s="866">
        <f t="shared" si="22"/>
        <v>26.4</v>
      </c>
    </row>
    <row r="291" spans="1:8">
      <c r="A291" s="863"/>
      <c r="B291" s="862" t="s">
        <v>4564</v>
      </c>
      <c r="C291" s="867">
        <v>-1</v>
      </c>
      <c r="D291" s="865">
        <v>1</v>
      </c>
      <c r="E291" s="866">
        <v>0.75</v>
      </c>
      <c r="F291" s="866"/>
      <c r="G291" s="866">
        <v>2.1</v>
      </c>
      <c r="H291" s="866">
        <f t="shared" ref="H291:H293" si="23">ROUND(PRODUCT(C291:G291),2)</f>
        <v>-1.58</v>
      </c>
    </row>
    <row r="292" spans="1:8">
      <c r="A292" s="863"/>
      <c r="B292" s="862" t="s">
        <v>4736</v>
      </c>
      <c r="C292" s="867">
        <v>-1</v>
      </c>
      <c r="D292" s="865">
        <v>1</v>
      </c>
      <c r="E292" s="866">
        <v>0.9</v>
      </c>
      <c r="F292" s="866"/>
      <c r="G292" s="866">
        <v>0.6</v>
      </c>
      <c r="H292" s="866">
        <f t="shared" si="23"/>
        <v>-0.54</v>
      </c>
    </row>
    <row r="293" spans="1:8">
      <c r="A293" s="863"/>
      <c r="B293" s="862" t="s">
        <v>4753</v>
      </c>
      <c r="C293" s="867">
        <v>1</v>
      </c>
      <c r="D293" s="865">
        <v>1</v>
      </c>
      <c r="E293" s="866">
        <v>3</v>
      </c>
      <c r="F293" s="866">
        <v>0.1</v>
      </c>
      <c r="G293" s="866"/>
      <c r="H293" s="866">
        <f t="shared" si="23"/>
        <v>0.3</v>
      </c>
    </row>
    <row r="294" spans="1:8">
      <c r="A294" s="863"/>
      <c r="B294" s="862" t="s">
        <v>4755</v>
      </c>
      <c r="C294" s="867">
        <v>1</v>
      </c>
      <c r="D294" s="865">
        <v>2</v>
      </c>
      <c r="E294" s="866">
        <v>1.5</v>
      </c>
      <c r="F294" s="866"/>
      <c r="G294" s="866">
        <v>0.9</v>
      </c>
      <c r="H294" s="866">
        <f t="shared" si="22"/>
        <v>2.7</v>
      </c>
    </row>
    <row r="295" spans="1:8">
      <c r="A295" s="863"/>
      <c r="B295" s="862" t="s">
        <v>4796</v>
      </c>
      <c r="C295" s="867">
        <v>2</v>
      </c>
      <c r="D295" s="865">
        <v>22</v>
      </c>
      <c r="E295" s="866">
        <v>5</v>
      </c>
      <c r="F295" s="866">
        <v>0.2</v>
      </c>
      <c r="G295" s="866"/>
      <c r="H295" s="866">
        <f t="shared" si="22"/>
        <v>44</v>
      </c>
    </row>
    <row r="296" spans="1:8">
      <c r="A296" s="863"/>
      <c r="B296" s="862"/>
      <c r="C296" s="867"/>
      <c r="D296" s="865"/>
      <c r="E296" s="866"/>
      <c r="F296" s="866"/>
      <c r="G296" s="866"/>
      <c r="H296" s="866">
        <f t="shared" si="22"/>
        <v>0</v>
      </c>
    </row>
    <row r="297" spans="1:8">
      <c r="A297" s="863"/>
      <c r="B297" s="862"/>
      <c r="C297" s="867"/>
      <c r="D297" s="865"/>
      <c r="E297" s="866"/>
      <c r="F297" s="866"/>
      <c r="G297" s="866" t="s">
        <v>2332</v>
      </c>
      <c r="H297" s="866">
        <f>SUM(H285:H296)</f>
        <v>86.62</v>
      </c>
    </row>
    <row r="298" spans="1:8">
      <c r="A298" s="863"/>
      <c r="B298" s="862"/>
      <c r="C298" s="867"/>
      <c r="D298" s="865"/>
      <c r="E298" s="866"/>
      <c r="F298" s="866"/>
      <c r="G298" s="866"/>
      <c r="H298" s="866">
        <v>0.08</v>
      </c>
    </row>
    <row r="299" spans="1:8">
      <c r="A299" s="863"/>
      <c r="B299" s="862"/>
      <c r="C299" s="867"/>
      <c r="D299" s="865"/>
      <c r="E299" s="866"/>
      <c r="F299" s="866"/>
      <c r="G299" s="866" t="s">
        <v>3678</v>
      </c>
      <c r="H299" s="851">
        <f>SUM(H297:H298)</f>
        <v>86.7</v>
      </c>
    </row>
    <row r="300" spans="1:8">
      <c r="A300" s="863"/>
      <c r="B300" s="862"/>
      <c r="C300" s="867"/>
      <c r="D300" s="865"/>
      <c r="E300" s="866"/>
      <c r="F300" s="866"/>
      <c r="G300" s="866"/>
      <c r="H300" s="866"/>
    </row>
    <row r="301" spans="1:8" ht="45">
      <c r="A301" s="863">
        <v>20</v>
      </c>
      <c r="B301" s="862" t="s">
        <v>4759</v>
      </c>
      <c r="C301" s="867"/>
      <c r="D301" s="865"/>
      <c r="E301" s="866"/>
      <c r="F301" s="866"/>
      <c r="G301" s="866"/>
      <c r="H301" s="866"/>
    </row>
    <row r="302" spans="1:8">
      <c r="A302" s="863"/>
      <c r="B302" s="862" t="s">
        <v>4726</v>
      </c>
      <c r="C302" s="867">
        <v>1</v>
      </c>
      <c r="D302" s="865">
        <v>1</v>
      </c>
      <c r="E302" s="866">
        <v>1.54</v>
      </c>
      <c r="F302" s="866">
        <v>1.54</v>
      </c>
      <c r="G302" s="866"/>
      <c r="H302" s="866">
        <f t="shared" ref="H302:H303" si="24">ROUND(PRODUCT(C302:G302),2)</f>
        <v>2.37</v>
      </c>
    </row>
    <row r="303" spans="1:8">
      <c r="A303" s="863"/>
      <c r="B303" s="862"/>
      <c r="C303" s="867"/>
      <c r="D303" s="865"/>
      <c r="E303" s="866"/>
      <c r="F303" s="866"/>
      <c r="G303" s="866"/>
      <c r="H303" s="866">
        <f t="shared" si="24"/>
        <v>0</v>
      </c>
    </row>
    <row r="304" spans="1:8">
      <c r="A304" s="863"/>
      <c r="B304" s="862"/>
      <c r="C304" s="867"/>
      <c r="D304" s="865"/>
      <c r="E304" s="866"/>
      <c r="F304" s="866"/>
      <c r="G304" s="866" t="s">
        <v>2332</v>
      </c>
      <c r="H304" s="866">
        <f>SUM(H302:H303)</f>
        <v>2.37</v>
      </c>
    </row>
    <row r="305" spans="1:8">
      <c r="A305" s="863"/>
      <c r="B305" s="862"/>
      <c r="C305" s="867"/>
      <c r="D305" s="865"/>
      <c r="E305" s="866"/>
      <c r="F305" s="866"/>
      <c r="G305" s="866"/>
      <c r="H305" s="866">
        <v>0.13</v>
      </c>
    </row>
    <row r="306" spans="1:8">
      <c r="A306" s="863"/>
      <c r="B306" s="862"/>
      <c r="C306" s="867"/>
      <c r="D306" s="865"/>
      <c r="E306" s="866"/>
      <c r="F306" s="866"/>
      <c r="G306" s="866" t="s">
        <v>3678</v>
      </c>
      <c r="H306" s="851">
        <f>SUM(H304:H305)</f>
        <v>2.5</v>
      </c>
    </row>
    <row r="307" spans="1:8">
      <c r="A307" s="863"/>
      <c r="B307" s="862"/>
      <c r="C307" s="867"/>
      <c r="D307" s="865"/>
      <c r="E307" s="866"/>
      <c r="F307" s="866"/>
      <c r="G307" s="866"/>
      <c r="H307" s="866"/>
    </row>
    <row r="308" spans="1:8" ht="30">
      <c r="A308" s="863">
        <v>21</v>
      </c>
      <c r="B308" s="862" t="s">
        <v>4169</v>
      </c>
      <c r="C308" s="867"/>
      <c r="D308" s="865"/>
      <c r="E308" s="866"/>
      <c r="F308" s="866"/>
      <c r="G308" s="866"/>
      <c r="H308" s="866"/>
    </row>
    <row r="309" spans="1:8">
      <c r="A309" s="863"/>
      <c r="B309" s="862" t="s">
        <v>4769</v>
      </c>
      <c r="C309" s="867"/>
      <c r="D309" s="865"/>
      <c r="E309" s="866"/>
      <c r="F309" s="866"/>
      <c r="G309" s="866"/>
      <c r="H309" s="866">
        <f>H237+H246</f>
        <v>2.4</v>
      </c>
    </row>
    <row r="310" spans="1:8">
      <c r="A310" s="863"/>
      <c r="B310" s="862"/>
      <c r="C310" s="867"/>
      <c r="D310" s="865"/>
      <c r="E310" s="1158" t="s">
        <v>4770</v>
      </c>
      <c r="F310" s="866"/>
      <c r="G310" s="866"/>
      <c r="H310" s="866">
        <f>H309*125</f>
        <v>300</v>
      </c>
    </row>
    <row r="311" spans="1:8">
      <c r="A311" s="863"/>
      <c r="B311" s="862"/>
      <c r="C311" s="867"/>
      <c r="D311" s="865"/>
      <c r="E311" s="866"/>
      <c r="F311" s="866"/>
      <c r="G311" s="851" t="s">
        <v>2332</v>
      </c>
      <c r="H311" s="851">
        <f>H310/1000</f>
        <v>0.3</v>
      </c>
    </row>
    <row r="312" spans="1:8">
      <c r="A312" s="863"/>
      <c r="B312" s="862"/>
      <c r="C312" s="867"/>
      <c r="D312" s="865"/>
      <c r="E312" s="866"/>
      <c r="F312" s="866"/>
      <c r="G312" s="866"/>
      <c r="H312" s="866"/>
    </row>
    <row r="313" spans="1:8" ht="30">
      <c r="A313" s="863">
        <v>22</v>
      </c>
      <c r="B313" s="862" t="s">
        <v>4781</v>
      </c>
      <c r="C313" s="867"/>
      <c r="D313" s="865"/>
      <c r="E313" s="866"/>
      <c r="F313" s="866"/>
      <c r="G313" s="866"/>
      <c r="H313" s="866"/>
    </row>
    <row r="314" spans="1:8">
      <c r="A314" s="863"/>
      <c r="B314" s="862" t="s">
        <v>4726</v>
      </c>
      <c r="C314" s="867">
        <v>1</v>
      </c>
      <c r="D314" s="865">
        <v>1</v>
      </c>
      <c r="E314" s="866">
        <v>2.9</v>
      </c>
      <c r="F314" s="866">
        <v>2.9</v>
      </c>
      <c r="G314" s="866"/>
      <c r="H314" s="866">
        <f t="shared" ref="H314" si="25">ROUND(PRODUCT(C314:G314),2)</f>
        <v>8.41</v>
      </c>
    </row>
    <row r="315" spans="1:8">
      <c r="A315" s="863"/>
      <c r="B315" s="862"/>
      <c r="C315" s="867"/>
      <c r="D315" s="865"/>
      <c r="E315" s="866"/>
      <c r="F315" s="866"/>
      <c r="G315" s="866" t="s">
        <v>2332</v>
      </c>
      <c r="H315" s="866">
        <f>SUM(H314)</f>
        <v>8.41</v>
      </c>
    </row>
    <row r="316" spans="1:8">
      <c r="A316" s="863"/>
      <c r="B316" s="862"/>
      <c r="C316" s="867"/>
      <c r="D316" s="865"/>
      <c r="E316" s="866"/>
      <c r="F316" s="866"/>
      <c r="G316" s="866"/>
      <c r="H316" s="866">
        <v>0.09</v>
      </c>
    </row>
    <row r="317" spans="1:8">
      <c r="A317" s="863"/>
      <c r="B317" s="862"/>
      <c r="C317" s="867"/>
      <c r="D317" s="865"/>
      <c r="E317" s="866"/>
      <c r="F317" s="866"/>
      <c r="G317" s="866" t="s">
        <v>3678</v>
      </c>
      <c r="H317" s="851">
        <f>SUM(H315:H316)</f>
        <v>8.5</v>
      </c>
    </row>
    <row r="318" spans="1:8">
      <c r="A318" s="863"/>
      <c r="B318" s="862"/>
      <c r="C318" s="867"/>
      <c r="D318" s="865"/>
      <c r="E318" s="866"/>
      <c r="F318" s="866"/>
      <c r="G318" s="866"/>
      <c r="H318" s="866"/>
    </row>
    <row r="319" spans="1:8" ht="45">
      <c r="A319" s="863">
        <v>23</v>
      </c>
      <c r="B319" s="862" t="s">
        <v>4789</v>
      </c>
      <c r="C319" s="867"/>
      <c r="D319" s="865"/>
      <c r="E319" s="866"/>
      <c r="F319" s="866"/>
      <c r="G319" s="866"/>
      <c r="H319" s="866"/>
    </row>
    <row r="320" spans="1:8">
      <c r="A320" s="863"/>
      <c r="B320" s="862" t="s">
        <v>4726</v>
      </c>
      <c r="C320" s="867">
        <v>1</v>
      </c>
      <c r="D320" s="865">
        <v>1</v>
      </c>
      <c r="E320" s="866">
        <v>1.54</v>
      </c>
      <c r="F320" s="866">
        <v>1.54</v>
      </c>
      <c r="G320" s="866"/>
      <c r="H320" s="866">
        <f t="shared" ref="H320:H321" si="26">ROUND(PRODUCT(C320:G320),2)</f>
        <v>2.37</v>
      </c>
    </row>
    <row r="321" spans="1:8">
      <c r="A321" s="863"/>
      <c r="B321" s="862" t="s">
        <v>4563</v>
      </c>
      <c r="C321" s="867">
        <v>1</v>
      </c>
      <c r="D321" s="865">
        <v>1</v>
      </c>
      <c r="E321" s="866">
        <v>9.8000000000000007</v>
      </c>
      <c r="F321" s="866">
        <v>0.45</v>
      </c>
      <c r="G321" s="866"/>
      <c r="H321" s="866">
        <f t="shared" si="26"/>
        <v>4.41</v>
      </c>
    </row>
    <row r="322" spans="1:8">
      <c r="A322" s="863"/>
      <c r="B322" s="862"/>
      <c r="C322" s="867"/>
      <c r="D322" s="865"/>
      <c r="E322" s="866"/>
      <c r="F322" s="866"/>
      <c r="G322" s="866" t="s">
        <v>2332</v>
      </c>
      <c r="H322" s="866">
        <f>SUM(H320:H321)</f>
        <v>6.78</v>
      </c>
    </row>
    <row r="323" spans="1:8">
      <c r="A323" s="863"/>
      <c r="B323" s="862"/>
      <c r="C323" s="867"/>
      <c r="D323" s="865"/>
      <c r="E323" s="866"/>
      <c r="F323" s="866"/>
      <c r="G323" s="866"/>
      <c r="H323" s="866">
        <v>0.02</v>
      </c>
    </row>
    <row r="324" spans="1:8">
      <c r="A324" s="863"/>
      <c r="B324" s="862"/>
      <c r="C324" s="867"/>
      <c r="D324" s="865"/>
      <c r="E324" s="866"/>
      <c r="F324" s="866"/>
      <c r="G324" s="866" t="s">
        <v>3678</v>
      </c>
      <c r="H324" s="851">
        <f>SUM(H322:H323)</f>
        <v>6.8</v>
      </c>
    </row>
    <row r="325" spans="1:8">
      <c r="A325" s="863"/>
      <c r="B325" s="862"/>
      <c r="C325" s="867"/>
      <c r="D325" s="865"/>
      <c r="E325" s="866"/>
      <c r="F325" s="866"/>
      <c r="G325" s="866"/>
      <c r="H325" s="866"/>
    </row>
    <row r="326" spans="1:8" ht="45">
      <c r="A326" s="863">
        <v>24</v>
      </c>
      <c r="B326" s="862" t="s">
        <v>4793</v>
      </c>
      <c r="C326" s="867"/>
      <c r="D326" s="865"/>
      <c r="E326" s="866"/>
      <c r="F326" s="844" t="s">
        <v>4790</v>
      </c>
      <c r="G326" s="866"/>
      <c r="H326" s="866"/>
    </row>
    <row r="327" spans="1:8">
      <c r="A327" s="863"/>
      <c r="B327" s="862" t="s">
        <v>4598</v>
      </c>
      <c r="C327" s="867">
        <v>1</v>
      </c>
      <c r="D327" s="865">
        <v>1</v>
      </c>
      <c r="E327" s="866">
        <v>0.9</v>
      </c>
      <c r="F327" s="866">
        <v>22</v>
      </c>
      <c r="G327" s="866">
        <v>0.6</v>
      </c>
      <c r="H327" s="866">
        <f t="shared" ref="H327" si="27">ROUND(PRODUCT(C327:G327),2)</f>
        <v>11.88</v>
      </c>
    </row>
    <row r="328" spans="1:8">
      <c r="A328" s="863"/>
      <c r="B328" s="862"/>
      <c r="C328" s="867"/>
      <c r="D328" s="865"/>
      <c r="E328" s="866"/>
      <c r="F328" s="866"/>
      <c r="G328" s="866" t="s">
        <v>2332</v>
      </c>
      <c r="H328" s="866">
        <f>SUM(H327)</f>
        <v>11.88</v>
      </c>
    </row>
    <row r="329" spans="1:8">
      <c r="A329" s="863"/>
      <c r="B329" s="862"/>
      <c r="C329" s="867"/>
      <c r="D329" s="865"/>
      <c r="E329" s="866"/>
      <c r="F329" s="866"/>
      <c r="G329" s="866"/>
      <c r="H329" s="866">
        <v>0.02</v>
      </c>
    </row>
    <row r="330" spans="1:8">
      <c r="A330" s="863"/>
      <c r="B330" s="862"/>
      <c r="C330" s="867"/>
      <c r="D330" s="865"/>
      <c r="E330" s="866"/>
      <c r="F330" s="866"/>
      <c r="G330" s="866" t="s">
        <v>3678</v>
      </c>
      <c r="H330" s="851">
        <f>SUM(H328:H329)</f>
        <v>11.9</v>
      </c>
    </row>
    <row r="331" spans="1:8">
      <c r="A331" s="863"/>
      <c r="B331" s="862"/>
      <c r="C331" s="867"/>
      <c r="D331" s="865"/>
      <c r="E331" s="866"/>
      <c r="F331" s="866"/>
      <c r="G331" s="866"/>
      <c r="H331" s="866"/>
    </row>
    <row r="332" spans="1:8" ht="90">
      <c r="A332" s="863">
        <v>25</v>
      </c>
      <c r="B332" s="862" t="s">
        <v>4794</v>
      </c>
      <c r="C332" s="867"/>
      <c r="D332" s="865"/>
      <c r="E332" s="866"/>
      <c r="F332" s="866"/>
      <c r="G332" s="866"/>
      <c r="H332" s="866"/>
    </row>
    <row r="333" spans="1:8">
      <c r="A333" s="863"/>
      <c r="B333" s="862" t="s">
        <v>4791</v>
      </c>
      <c r="C333" s="867">
        <v>1</v>
      </c>
      <c r="D333" s="865">
        <v>1</v>
      </c>
      <c r="E333" s="866">
        <v>0.75</v>
      </c>
      <c r="F333" s="866"/>
      <c r="G333" s="866">
        <v>2.1</v>
      </c>
      <c r="H333" s="866">
        <f t="shared" ref="H333" si="28">ROUND(PRODUCT(C333:G333),2)</f>
        <v>1.58</v>
      </c>
    </row>
    <row r="334" spans="1:8">
      <c r="A334" s="863"/>
      <c r="B334" s="862"/>
      <c r="C334" s="867"/>
      <c r="D334" s="865"/>
      <c r="E334" s="866"/>
      <c r="F334" s="866"/>
      <c r="G334" s="866" t="s">
        <v>2332</v>
      </c>
      <c r="H334" s="866">
        <f>SUM(H333)</f>
        <v>1.58</v>
      </c>
    </row>
    <row r="335" spans="1:8">
      <c r="A335" s="863"/>
      <c r="B335" s="862"/>
      <c r="C335" s="867"/>
      <c r="D335" s="865"/>
      <c r="E335" s="866"/>
      <c r="F335" s="866"/>
      <c r="G335" s="866"/>
      <c r="H335" s="866">
        <v>0.02</v>
      </c>
    </row>
    <row r="336" spans="1:8">
      <c r="A336" s="863"/>
      <c r="B336" s="862"/>
      <c r="C336" s="867"/>
      <c r="D336" s="865"/>
      <c r="E336" s="866"/>
      <c r="F336" s="866"/>
      <c r="G336" s="866" t="s">
        <v>3678</v>
      </c>
      <c r="H336" s="851">
        <f>SUM(H334:H335)</f>
        <v>1.6</v>
      </c>
    </row>
    <row r="337" spans="1:8">
      <c r="A337" s="863"/>
      <c r="B337" s="862"/>
      <c r="C337" s="867"/>
      <c r="D337" s="865"/>
      <c r="E337" s="866"/>
      <c r="F337" s="866"/>
      <c r="G337" s="866"/>
      <c r="H337" s="866"/>
    </row>
    <row r="338" spans="1:8">
      <c r="A338" s="863"/>
      <c r="B338" s="862"/>
      <c r="C338" s="867"/>
      <c r="D338" s="865"/>
      <c r="E338" s="866"/>
      <c r="F338" s="866"/>
      <c r="G338" s="866"/>
      <c r="H338" s="866"/>
    </row>
    <row r="339" spans="1:8">
      <c r="A339" s="863"/>
      <c r="B339" s="862"/>
      <c r="C339" s="867"/>
      <c r="D339" s="865"/>
      <c r="E339" s="866"/>
      <c r="F339" s="866"/>
      <c r="G339" s="866"/>
      <c r="H339" s="866"/>
    </row>
    <row r="340" spans="1:8">
      <c r="A340" s="863"/>
      <c r="B340" s="862"/>
      <c r="C340" s="867"/>
      <c r="D340" s="865"/>
      <c r="E340" s="866"/>
      <c r="F340" s="866"/>
      <c r="G340" s="866"/>
      <c r="H340" s="866"/>
    </row>
    <row r="341" spans="1:8">
      <c r="A341" s="863"/>
      <c r="B341" s="862"/>
      <c r="C341" s="867"/>
      <c r="D341" s="865"/>
      <c r="E341" s="866"/>
      <c r="F341" s="866"/>
      <c r="G341" s="866"/>
      <c r="H341" s="866"/>
    </row>
    <row r="342" spans="1:8">
      <c r="A342" s="863"/>
      <c r="B342" s="862"/>
      <c r="C342" s="867"/>
      <c r="D342" s="865"/>
      <c r="E342" s="866"/>
      <c r="F342" s="866"/>
      <c r="G342" s="866"/>
      <c r="H342" s="866"/>
    </row>
  </sheetData>
  <mergeCells count="3">
    <mergeCell ref="A1:H1"/>
    <mergeCell ref="A2:H2"/>
    <mergeCell ref="C3:D3"/>
  </mergeCells>
  <printOptions horizontalCentered="1"/>
  <pageMargins left="0.75" right="0.25" top="0.75" bottom="0.5" header="0.3" footer="0.3"/>
  <pageSetup paperSize="9" orientation="portrait" horizontalDpi="300" verticalDpi="300" r:id="rId1"/>
  <colBreaks count="1" manualBreakCount="1">
    <brk id="8" max="802" man="1"/>
  </colBreaks>
</worksheet>
</file>

<file path=xl/worksheets/sheet24.xml><?xml version="1.0" encoding="utf-8"?>
<worksheet xmlns="http://schemas.openxmlformats.org/spreadsheetml/2006/main" xmlns:r="http://schemas.openxmlformats.org/officeDocument/2006/relationships">
  <sheetPr>
    <tabColor rgb="FFFFFF00"/>
  </sheetPr>
  <dimension ref="A1:F19"/>
  <sheetViews>
    <sheetView view="pageBreakPreview" zoomScaleSheetLayoutView="100" workbookViewId="0">
      <selection sqref="A1:XFD1048576"/>
    </sheetView>
  </sheetViews>
  <sheetFormatPr defaultRowHeight="15.75"/>
  <cols>
    <col min="1" max="1" width="5" style="1009" customWidth="1"/>
    <col min="2" max="2" width="8" style="1009" customWidth="1"/>
    <col min="3" max="3" width="37.5546875" style="1009" customWidth="1"/>
    <col min="4" max="4" width="7.77734375" style="1009" customWidth="1"/>
    <col min="5" max="5" width="6.88671875" style="1009" customWidth="1"/>
    <col min="6" max="6" width="9.44140625" style="1009" customWidth="1"/>
    <col min="7" max="16384" width="8.88671875" style="1009"/>
  </cols>
  <sheetData>
    <row r="1" spans="1:6" ht="55.5" customHeight="1">
      <c r="A1" s="1278" t="str">
        <f>'G. Abstract'!A3:F3</f>
        <v>N/W: RENOVATION AND UPGRADING THE EXISTING WORKING WOMEN’S HOSTEL AT SOORAMANGALAM IN SALEM CITY UNDER SOCIAL WELFARE DEPARTMENT</v>
      </c>
      <c r="B1" s="1279"/>
      <c r="C1" s="1279"/>
      <c r="D1" s="1279"/>
      <c r="E1" s="1279"/>
      <c r="F1" s="1280"/>
    </row>
    <row r="2" spans="1:6" ht="24.75" customHeight="1">
      <c r="A2" s="1281" t="s">
        <v>4502</v>
      </c>
      <c r="B2" s="1281"/>
      <c r="C2" s="1281"/>
      <c r="D2" s="1281"/>
      <c r="E2" s="1281"/>
      <c r="F2" s="1281"/>
    </row>
    <row r="3" spans="1:6" ht="22.5" customHeight="1">
      <c r="A3" s="1166" t="s">
        <v>3747</v>
      </c>
      <c r="B3" s="1167" t="s">
        <v>1070</v>
      </c>
      <c r="C3" s="1167" t="s">
        <v>3748</v>
      </c>
      <c r="D3" s="1167" t="s">
        <v>100</v>
      </c>
      <c r="E3" s="1168" t="s">
        <v>3764</v>
      </c>
      <c r="F3" s="1167" t="s">
        <v>994</v>
      </c>
    </row>
    <row r="4" spans="1:6" ht="57" customHeight="1">
      <c r="A4" s="1150">
        <v>1</v>
      </c>
      <c r="B4" s="1151">
        <f>'Electrical Det'!H5</f>
        <v>22</v>
      </c>
      <c r="C4" s="1152" t="s">
        <v>4645</v>
      </c>
      <c r="D4" s="1151">
        <v>666</v>
      </c>
      <c r="E4" s="1169" t="s">
        <v>1458</v>
      </c>
      <c r="F4" s="1153">
        <f t="shared" ref="F4:F18" si="0">ROUND(PRODUCT(B4*D4),2)</f>
        <v>14652</v>
      </c>
    </row>
    <row r="5" spans="1:6" ht="30">
      <c r="A5" s="1150">
        <v>2</v>
      </c>
      <c r="B5" s="1151"/>
      <c r="C5" s="1152" t="s">
        <v>4325</v>
      </c>
      <c r="D5" s="1151"/>
      <c r="E5" s="1169"/>
      <c r="F5" s="1153">
        <f t="shared" si="0"/>
        <v>0</v>
      </c>
    </row>
    <row r="6" spans="1:6" ht="30" customHeight="1">
      <c r="A6" s="1150"/>
      <c r="B6" s="1151">
        <f>'Electrical Det'!H9</f>
        <v>6</v>
      </c>
      <c r="C6" s="1152" t="s">
        <v>4326</v>
      </c>
      <c r="D6" s="1151">
        <v>170</v>
      </c>
      <c r="E6" s="1169" t="s">
        <v>1458</v>
      </c>
      <c r="F6" s="1153">
        <f t="shared" si="0"/>
        <v>1020</v>
      </c>
    </row>
    <row r="7" spans="1:6" ht="30" customHeight="1">
      <c r="A7" s="1150"/>
      <c r="B7" s="1151">
        <f>'Electrical Det'!H12</f>
        <v>3</v>
      </c>
      <c r="C7" s="1152" t="s">
        <v>4803</v>
      </c>
      <c r="D7" s="1151">
        <v>134</v>
      </c>
      <c r="E7" s="1153" t="s">
        <v>1458</v>
      </c>
      <c r="F7" s="1153">
        <f t="shared" si="0"/>
        <v>402</v>
      </c>
    </row>
    <row r="8" spans="1:6" ht="42.75" customHeight="1">
      <c r="A8" s="1150">
        <v>3</v>
      </c>
      <c r="B8" s="1151">
        <f>'Electrical Det'!H15</f>
        <v>1</v>
      </c>
      <c r="C8" s="1152" t="s">
        <v>4322</v>
      </c>
      <c r="D8" s="1151">
        <f>DATA2!F348</f>
        <v>3190</v>
      </c>
      <c r="E8" s="1153" t="s">
        <v>1458</v>
      </c>
      <c r="F8" s="1153">
        <f t="shared" si="0"/>
        <v>3190</v>
      </c>
    </row>
    <row r="9" spans="1:6" ht="55.5" customHeight="1">
      <c r="A9" s="1150">
        <v>4</v>
      </c>
      <c r="B9" s="1151">
        <f>'Electrical Det'!H18</f>
        <v>6</v>
      </c>
      <c r="C9" s="1152" t="s">
        <v>4323</v>
      </c>
      <c r="D9" s="1151">
        <f>DATA2!F364</f>
        <v>486.5</v>
      </c>
      <c r="E9" s="1153" t="s">
        <v>1458</v>
      </c>
      <c r="F9" s="1153">
        <f t="shared" si="0"/>
        <v>2919</v>
      </c>
    </row>
    <row r="10" spans="1:6" ht="58.5" customHeight="1">
      <c r="A10" s="1150">
        <v>5</v>
      </c>
      <c r="B10" s="1151">
        <f>'Electrical Det'!H21</f>
        <v>16</v>
      </c>
      <c r="C10" s="1152" t="s">
        <v>4498</v>
      </c>
      <c r="D10" s="1151">
        <v>2790</v>
      </c>
      <c r="E10" s="1153" t="s">
        <v>1458</v>
      </c>
      <c r="F10" s="1153">
        <f t="shared" si="0"/>
        <v>44640</v>
      </c>
    </row>
    <row r="11" spans="1:6" ht="102" customHeight="1">
      <c r="A11" s="1150">
        <v>6</v>
      </c>
      <c r="B11" s="1151">
        <f>'Electrical Det'!H24</f>
        <v>330</v>
      </c>
      <c r="C11" s="1152" t="s">
        <v>4711</v>
      </c>
      <c r="D11" s="1151">
        <f>DATA2!F465</f>
        <v>136.5</v>
      </c>
      <c r="E11" s="1153" t="s">
        <v>840</v>
      </c>
      <c r="F11" s="1153">
        <f t="shared" si="0"/>
        <v>45045</v>
      </c>
    </row>
    <row r="12" spans="1:6" ht="82.5" customHeight="1">
      <c r="A12" s="1150">
        <v>7</v>
      </c>
      <c r="B12" s="1151">
        <f>'Electrical Det'!H29</f>
        <v>116</v>
      </c>
      <c r="C12" s="1152" t="s">
        <v>4713</v>
      </c>
      <c r="D12" s="1151">
        <f>DATA2!F454</f>
        <v>119.3</v>
      </c>
      <c r="E12" s="1153" t="s">
        <v>840</v>
      </c>
      <c r="F12" s="1153">
        <f t="shared" si="0"/>
        <v>13838.8</v>
      </c>
    </row>
    <row r="13" spans="1:6" ht="94.5" customHeight="1">
      <c r="A13" s="1150">
        <v>8</v>
      </c>
      <c r="B13" s="1151">
        <f>'Electrical Det'!H34</f>
        <v>31</v>
      </c>
      <c r="C13" s="1152" t="s">
        <v>4714</v>
      </c>
      <c r="D13" s="1151">
        <v>2250</v>
      </c>
      <c r="E13" s="1153" t="s">
        <v>1458</v>
      </c>
      <c r="F13" s="1153">
        <f t="shared" si="0"/>
        <v>69750</v>
      </c>
    </row>
    <row r="14" spans="1:6" ht="50.25" customHeight="1">
      <c r="A14" s="1150">
        <v>9</v>
      </c>
      <c r="B14" s="1151">
        <f>'Electrical Det'!H37</f>
        <v>80</v>
      </c>
      <c r="C14" s="1152" t="s">
        <v>4717</v>
      </c>
      <c r="D14" s="1151">
        <v>80</v>
      </c>
      <c r="E14" s="1153" t="s">
        <v>840</v>
      </c>
      <c r="F14" s="1153">
        <f t="shared" si="0"/>
        <v>6400</v>
      </c>
    </row>
    <row r="15" spans="1:6" ht="94.5" customHeight="1">
      <c r="A15" s="1150">
        <v>10</v>
      </c>
      <c r="B15" s="1151">
        <f>'Electrical Det'!H40</f>
        <v>16</v>
      </c>
      <c r="C15" s="1152" t="s">
        <v>4722</v>
      </c>
      <c r="D15" s="1151">
        <v>280</v>
      </c>
      <c r="E15" s="1153" t="s">
        <v>1458</v>
      </c>
      <c r="F15" s="1153">
        <f t="shared" si="0"/>
        <v>4480</v>
      </c>
    </row>
    <row r="16" spans="1:6" ht="74.25" customHeight="1">
      <c r="A16" s="1150">
        <v>11</v>
      </c>
      <c r="B16" s="1151">
        <f>'Electrical Det'!H44</f>
        <v>2</v>
      </c>
      <c r="C16" s="1152" t="s">
        <v>4777</v>
      </c>
      <c r="D16" s="1151">
        <f>DATA2!F546</f>
        <v>1505</v>
      </c>
      <c r="E16" s="1153" t="s">
        <v>1458</v>
      </c>
      <c r="F16" s="1153">
        <f t="shared" si="0"/>
        <v>3010</v>
      </c>
    </row>
    <row r="17" spans="1:6" ht="66.75" customHeight="1">
      <c r="A17" s="1150">
        <v>12</v>
      </c>
      <c r="B17" s="1151">
        <f>'Electrical Det'!H47</f>
        <v>1</v>
      </c>
      <c r="C17" s="1152" t="s">
        <v>4773</v>
      </c>
      <c r="D17" s="1151">
        <f>DATA2!F558</f>
        <v>138.69999999999999</v>
      </c>
      <c r="E17" s="1153" t="s">
        <v>1458</v>
      </c>
      <c r="F17" s="1153">
        <f t="shared" si="0"/>
        <v>138.69999999999999</v>
      </c>
    </row>
    <row r="18" spans="1:6">
      <c r="A18" s="1150"/>
      <c r="B18" s="1151"/>
      <c r="C18" s="1154"/>
      <c r="D18" s="1151"/>
      <c r="E18" s="1153"/>
      <c r="F18" s="1153">
        <f t="shared" si="0"/>
        <v>0</v>
      </c>
    </row>
    <row r="19" spans="1:6" ht="28.5" customHeight="1">
      <c r="A19" s="1150"/>
      <c r="B19" s="1151"/>
      <c r="C19" s="875" t="s">
        <v>2332</v>
      </c>
      <c r="D19" s="1151"/>
      <c r="E19" s="1153"/>
      <c r="F19" s="1170">
        <f>SUM(F4:F18)</f>
        <v>209485.5</v>
      </c>
    </row>
  </sheetData>
  <mergeCells count="2">
    <mergeCell ref="A1:F1"/>
    <mergeCell ref="A2:F2"/>
  </mergeCells>
  <printOptions horizontalCentered="1"/>
  <pageMargins left="0.75" right="0.25"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sheetPr>
    <tabColor rgb="FFFFFF00"/>
  </sheetPr>
  <dimension ref="A1:I52"/>
  <sheetViews>
    <sheetView view="pageBreakPreview" zoomScale="106" zoomScaleSheetLayoutView="106" workbookViewId="0">
      <selection activeCell="F24" sqref="F24"/>
    </sheetView>
  </sheetViews>
  <sheetFormatPr defaultRowHeight="15.75"/>
  <cols>
    <col min="1" max="1" width="3.88671875" customWidth="1"/>
    <col min="2" max="2" width="37.88671875" style="813" customWidth="1"/>
    <col min="3" max="3" width="3.21875" customWidth="1"/>
    <col min="4" max="4" width="2.88671875" bestFit="1" customWidth="1"/>
    <col min="5" max="5" width="7" customWidth="1"/>
    <col min="6" max="7" width="6.88671875" customWidth="1"/>
    <col min="8" max="8" width="8.109375" customWidth="1"/>
    <col min="10" max="11" width="9" bestFit="1" customWidth="1"/>
  </cols>
  <sheetData>
    <row r="1" spans="1:9" ht="54.75" customHeight="1">
      <c r="A1" s="1205" t="str">
        <f>'RWH Detailed'!A1:H1</f>
        <v>N/W: RENOVATION AND UPGRADING THE EXISTING WORKING WOMEN’S HOSTEL AT SOORAMANGALAM IN SALEM CITY UNDER SOCIAL WELFARE DEPARTMENT</v>
      </c>
      <c r="B1" s="1205"/>
      <c r="C1" s="1205"/>
      <c r="D1" s="1205"/>
      <c r="E1" s="1205"/>
      <c r="F1" s="1205"/>
      <c r="G1" s="1205"/>
      <c r="H1" s="1205"/>
    </row>
    <row r="2" spans="1:9" ht="27.75" customHeight="1">
      <c r="A2" s="1262" t="s">
        <v>4501</v>
      </c>
      <c r="B2" s="1263"/>
      <c r="C2" s="1263"/>
      <c r="D2" s="1263"/>
      <c r="E2" s="1263"/>
      <c r="F2" s="1263"/>
      <c r="G2" s="1263"/>
      <c r="H2" s="1264"/>
    </row>
    <row r="3" spans="1:9" ht="31.5">
      <c r="A3" s="889" t="s">
        <v>3747</v>
      </c>
      <c r="B3" s="888" t="s">
        <v>3748</v>
      </c>
      <c r="C3" s="1277" t="s">
        <v>1454</v>
      </c>
      <c r="D3" s="1277"/>
      <c r="E3" s="888" t="s">
        <v>3751</v>
      </c>
      <c r="F3" s="888" t="s">
        <v>3752</v>
      </c>
      <c r="G3" s="888" t="s">
        <v>3753</v>
      </c>
      <c r="H3" s="888" t="s">
        <v>1669</v>
      </c>
    </row>
    <row r="4" spans="1:9" ht="39" customHeight="1">
      <c r="A4" s="863">
        <v>1</v>
      </c>
      <c r="B4" s="862" t="s">
        <v>4321</v>
      </c>
      <c r="C4" s="867"/>
      <c r="D4" s="865"/>
      <c r="E4" s="866"/>
      <c r="F4" s="866"/>
      <c r="G4" s="866"/>
      <c r="H4" s="866"/>
      <c r="I4" s="245"/>
    </row>
    <row r="5" spans="1:9">
      <c r="A5" s="863"/>
      <c r="B5" s="862" t="s">
        <v>4500</v>
      </c>
      <c r="C5" s="867">
        <v>1</v>
      </c>
      <c r="D5" s="865">
        <v>22</v>
      </c>
      <c r="E5" s="866"/>
      <c r="F5" s="866"/>
      <c r="G5" s="866"/>
      <c r="H5" s="851">
        <f>ROUND(PRODUCT(C5:G5),2)</f>
        <v>22</v>
      </c>
      <c r="I5" s="245"/>
    </row>
    <row r="6" spans="1:9">
      <c r="A6" s="863"/>
      <c r="B6" s="862"/>
      <c r="C6" s="867"/>
      <c r="D6" s="865"/>
      <c r="E6" s="866"/>
      <c r="F6" s="866"/>
      <c r="G6" s="866"/>
      <c r="H6" s="866"/>
      <c r="I6" s="245"/>
    </row>
    <row r="7" spans="1:9" ht="30">
      <c r="A7" s="863">
        <v>2</v>
      </c>
      <c r="B7" s="862" t="s">
        <v>4325</v>
      </c>
      <c r="C7" s="867"/>
      <c r="D7" s="865"/>
      <c r="E7" s="866"/>
      <c r="F7" s="866"/>
      <c r="G7" s="866"/>
      <c r="H7" s="866"/>
      <c r="I7" s="245"/>
    </row>
    <row r="8" spans="1:9">
      <c r="A8" s="863"/>
      <c r="B8" s="862" t="s">
        <v>4326</v>
      </c>
      <c r="C8" s="867"/>
      <c r="D8" s="865"/>
      <c r="E8" s="866"/>
      <c r="F8" s="866"/>
      <c r="G8" s="866"/>
      <c r="H8" s="866"/>
      <c r="I8" s="245"/>
    </row>
    <row r="9" spans="1:9">
      <c r="A9" s="863"/>
      <c r="B9" s="862" t="s">
        <v>4774</v>
      </c>
      <c r="C9" s="867"/>
      <c r="D9" s="865"/>
      <c r="E9" s="866"/>
      <c r="F9" s="866"/>
      <c r="G9" s="866"/>
      <c r="H9" s="851">
        <f>H18</f>
        <v>6</v>
      </c>
      <c r="I9" s="245"/>
    </row>
    <row r="10" spans="1:9">
      <c r="A10" s="863"/>
      <c r="B10" s="862"/>
      <c r="C10" s="867"/>
      <c r="D10" s="865"/>
      <c r="E10" s="866"/>
      <c r="F10" s="866"/>
      <c r="G10" s="866"/>
      <c r="H10" s="866"/>
      <c r="I10" s="245"/>
    </row>
    <row r="11" spans="1:9">
      <c r="A11" s="863"/>
      <c r="B11" s="862" t="s">
        <v>4327</v>
      </c>
      <c r="C11" s="867"/>
      <c r="D11" s="865"/>
      <c r="E11" s="866"/>
      <c r="F11" s="866"/>
      <c r="G11" s="866"/>
      <c r="H11" s="866"/>
      <c r="I11" s="245"/>
    </row>
    <row r="12" spans="1:9">
      <c r="A12" s="863"/>
      <c r="B12" s="862" t="s">
        <v>4776</v>
      </c>
      <c r="C12" s="867">
        <v>1</v>
      </c>
      <c r="D12" s="865">
        <v>3</v>
      </c>
      <c r="E12" s="866"/>
      <c r="F12" s="866"/>
      <c r="G12" s="866"/>
      <c r="H12" s="851">
        <f>ROUND(PRODUCT(C12:G12),2)</f>
        <v>3</v>
      </c>
      <c r="I12" s="245"/>
    </row>
    <row r="13" spans="1:9">
      <c r="A13" s="863"/>
      <c r="B13" s="862"/>
      <c r="C13" s="867"/>
      <c r="D13" s="865"/>
      <c r="E13" s="866"/>
      <c r="F13" s="866"/>
      <c r="G13" s="866"/>
      <c r="H13" s="866"/>
      <c r="I13" s="245"/>
    </row>
    <row r="14" spans="1:9" ht="36.75" customHeight="1">
      <c r="A14" s="863">
        <v>3</v>
      </c>
      <c r="B14" s="862" t="s">
        <v>4322</v>
      </c>
      <c r="C14" s="867"/>
      <c r="D14" s="865"/>
      <c r="E14" s="866"/>
      <c r="F14" s="866"/>
      <c r="G14" s="866"/>
      <c r="H14" s="866"/>
      <c r="I14" s="245"/>
    </row>
    <row r="15" spans="1:9">
      <c r="A15" s="863"/>
      <c r="B15" s="862" t="s">
        <v>4499</v>
      </c>
      <c r="C15" s="867">
        <v>1</v>
      </c>
      <c r="D15" s="865">
        <v>1</v>
      </c>
      <c r="E15" s="866"/>
      <c r="F15" s="866"/>
      <c r="G15" s="866"/>
      <c r="H15" s="851">
        <f>ROUND(PRODUCT(C15:G15),2)</f>
        <v>1</v>
      </c>
      <c r="I15" s="245"/>
    </row>
    <row r="16" spans="1:9">
      <c r="A16" s="863"/>
      <c r="B16" s="862"/>
      <c r="C16" s="867"/>
      <c r="D16" s="865"/>
      <c r="E16" s="866"/>
      <c r="F16" s="866"/>
      <c r="G16" s="866"/>
      <c r="H16" s="866"/>
      <c r="I16" s="245"/>
    </row>
    <row r="17" spans="1:9" ht="51.75" customHeight="1">
      <c r="A17" s="863">
        <v>4</v>
      </c>
      <c r="B17" s="862" t="s">
        <v>4323</v>
      </c>
      <c r="C17" s="867"/>
      <c r="D17" s="865"/>
      <c r="E17" s="866"/>
      <c r="F17" s="866"/>
      <c r="G17" s="866"/>
      <c r="H17" s="866"/>
      <c r="I17" s="245"/>
    </row>
    <row r="18" spans="1:9">
      <c r="A18" s="863"/>
      <c r="B18" s="862" t="s">
        <v>4775</v>
      </c>
      <c r="C18" s="867">
        <v>1</v>
      </c>
      <c r="D18" s="865">
        <v>6</v>
      </c>
      <c r="E18" s="866"/>
      <c r="F18" s="866"/>
      <c r="G18" s="866"/>
      <c r="H18" s="851">
        <f>ROUND(PRODUCT(C18:G18),2)</f>
        <v>6</v>
      </c>
      <c r="I18" s="245"/>
    </row>
    <row r="19" spans="1:9">
      <c r="A19" s="863"/>
      <c r="B19" s="862"/>
      <c r="C19" s="867"/>
      <c r="D19" s="865"/>
      <c r="E19" s="866"/>
      <c r="F19" s="866"/>
      <c r="G19" s="866"/>
      <c r="H19" s="866"/>
      <c r="I19" s="245"/>
    </row>
    <row r="20" spans="1:9" ht="51.75" customHeight="1">
      <c r="A20" s="863">
        <v>5</v>
      </c>
      <c r="B20" s="862" t="s">
        <v>4498</v>
      </c>
      <c r="C20" s="867"/>
      <c r="D20" s="865"/>
      <c r="E20" s="866"/>
      <c r="F20" s="866"/>
      <c r="G20" s="866"/>
      <c r="H20" s="866"/>
      <c r="I20" s="245"/>
    </row>
    <row r="21" spans="1:9">
      <c r="A21" s="863"/>
      <c r="B21" s="862" t="s">
        <v>4500</v>
      </c>
      <c r="C21" s="867">
        <v>1</v>
      </c>
      <c r="D21" s="865">
        <v>16</v>
      </c>
      <c r="E21" s="866"/>
      <c r="F21" s="866"/>
      <c r="G21" s="866"/>
      <c r="H21" s="851">
        <f>ROUND(PRODUCT(C21:G21),2)</f>
        <v>16</v>
      </c>
      <c r="I21" s="245"/>
    </row>
    <row r="22" spans="1:9">
      <c r="A22" s="863"/>
      <c r="B22" s="862"/>
      <c r="C22" s="867"/>
      <c r="D22" s="865"/>
      <c r="E22" s="866"/>
      <c r="F22" s="866"/>
      <c r="G22" s="866"/>
      <c r="H22" s="851"/>
      <c r="I22" s="245"/>
    </row>
    <row r="23" spans="1:9" ht="90">
      <c r="A23" s="863">
        <v>6</v>
      </c>
      <c r="B23" s="862" t="s">
        <v>4711</v>
      </c>
      <c r="C23" s="867"/>
      <c r="D23" s="865"/>
      <c r="E23" s="866"/>
      <c r="F23" s="866"/>
      <c r="G23" s="866"/>
      <c r="H23" s="866"/>
      <c r="I23" s="245"/>
    </row>
    <row r="24" spans="1:9">
      <c r="A24" s="863"/>
      <c r="B24" s="862" t="s">
        <v>4712</v>
      </c>
      <c r="C24" s="867">
        <v>1</v>
      </c>
      <c r="D24" s="865">
        <v>22</v>
      </c>
      <c r="E24" s="866">
        <v>15</v>
      </c>
      <c r="F24" s="866"/>
      <c r="G24" s="866"/>
      <c r="H24" s="851">
        <f>ROUND(PRODUCT(C24:G24),2)</f>
        <v>330</v>
      </c>
      <c r="I24" s="245"/>
    </row>
    <row r="25" spans="1:9">
      <c r="A25" s="863"/>
      <c r="B25" s="862"/>
      <c r="C25" s="867"/>
      <c r="D25" s="865"/>
      <c r="E25" s="866"/>
      <c r="F25" s="866"/>
      <c r="G25" s="866"/>
      <c r="H25" s="866"/>
      <c r="I25" s="245"/>
    </row>
    <row r="26" spans="1:9" ht="75">
      <c r="A26" s="863">
        <v>7</v>
      </c>
      <c r="B26" s="862" t="s">
        <v>4713</v>
      </c>
      <c r="C26" s="867"/>
      <c r="D26" s="865"/>
      <c r="E26" s="866"/>
      <c r="F26" s="866"/>
      <c r="G26" s="866"/>
      <c r="H26" s="866"/>
      <c r="I26" s="245"/>
    </row>
    <row r="27" spans="1:9">
      <c r="A27" s="863"/>
      <c r="B27" s="862" t="s">
        <v>4715</v>
      </c>
      <c r="C27" s="867">
        <v>1</v>
      </c>
      <c r="D27" s="865">
        <v>9</v>
      </c>
      <c r="E27" s="866">
        <v>4</v>
      </c>
      <c r="F27" s="866"/>
      <c r="G27" s="866"/>
      <c r="H27" s="866">
        <f>ROUND(PRODUCT(C27:G27),2)</f>
        <v>36</v>
      </c>
    </row>
    <row r="28" spans="1:9">
      <c r="A28" s="863"/>
      <c r="B28" s="862" t="s">
        <v>4716</v>
      </c>
      <c r="C28" s="867">
        <v>1</v>
      </c>
      <c r="D28" s="865">
        <v>16</v>
      </c>
      <c r="E28" s="866">
        <v>5</v>
      </c>
      <c r="F28" s="866"/>
      <c r="G28" s="866"/>
      <c r="H28" s="866">
        <f>ROUND(PRODUCT(C28:G28),2)</f>
        <v>80</v>
      </c>
    </row>
    <row r="29" spans="1:9">
      <c r="A29" s="863"/>
      <c r="B29" s="862"/>
      <c r="C29" s="867"/>
      <c r="D29" s="865"/>
      <c r="E29" s="866"/>
      <c r="F29" s="866"/>
      <c r="G29" s="851" t="s">
        <v>2332</v>
      </c>
      <c r="H29" s="851">
        <f>SUM(H27:H28)</f>
        <v>116</v>
      </c>
    </row>
    <row r="30" spans="1:9">
      <c r="A30" s="863"/>
      <c r="B30" s="862"/>
      <c r="C30" s="867"/>
      <c r="D30" s="865"/>
      <c r="E30" s="866"/>
      <c r="F30" s="866"/>
      <c r="G30" s="866"/>
      <c r="H30" s="866"/>
    </row>
    <row r="31" spans="1:9" ht="90">
      <c r="A31" s="863">
        <v>8</v>
      </c>
      <c r="B31" s="862" t="s">
        <v>4714</v>
      </c>
      <c r="C31" s="867"/>
      <c r="D31" s="865"/>
      <c r="E31" s="866"/>
      <c r="F31" s="866"/>
      <c r="G31" s="866"/>
      <c r="H31" s="866"/>
    </row>
    <row r="32" spans="1:9">
      <c r="A32" s="863"/>
      <c r="B32" s="862" t="s">
        <v>4712</v>
      </c>
      <c r="C32" s="867">
        <v>1</v>
      </c>
      <c r="D32" s="865">
        <v>22</v>
      </c>
      <c r="E32" s="866"/>
      <c r="F32" s="866"/>
      <c r="G32" s="866"/>
      <c r="H32" s="866">
        <f>ROUND(PRODUCT(C32:G32),2)</f>
        <v>22</v>
      </c>
    </row>
    <row r="33" spans="1:8">
      <c r="A33" s="863"/>
      <c r="B33" s="862" t="s">
        <v>4715</v>
      </c>
      <c r="C33" s="867">
        <v>1</v>
      </c>
      <c r="D33" s="865">
        <v>9</v>
      </c>
      <c r="E33" s="866"/>
      <c r="F33" s="866"/>
      <c r="G33" s="866"/>
      <c r="H33" s="866">
        <f>ROUND(PRODUCT(C33:G33),2)</f>
        <v>9</v>
      </c>
    </row>
    <row r="34" spans="1:8">
      <c r="A34" s="863"/>
      <c r="B34" s="862"/>
      <c r="C34" s="867"/>
      <c r="D34" s="865"/>
      <c r="E34" s="866"/>
      <c r="F34" s="866"/>
      <c r="G34" s="866"/>
      <c r="H34" s="851">
        <f>SUM(H32:H33)</f>
        <v>31</v>
      </c>
    </row>
    <row r="35" spans="1:8">
      <c r="A35" s="863"/>
      <c r="B35" s="862"/>
      <c r="C35" s="867"/>
      <c r="D35" s="865"/>
      <c r="E35" s="866"/>
      <c r="F35" s="866"/>
      <c r="G35" s="866"/>
      <c r="H35" s="866"/>
    </row>
    <row r="36" spans="1:8" ht="21.75" customHeight="1">
      <c r="A36" s="863">
        <v>9</v>
      </c>
      <c r="B36" s="862" t="s">
        <v>4717</v>
      </c>
      <c r="C36" s="867"/>
      <c r="D36" s="865"/>
      <c r="E36" s="866"/>
      <c r="F36" s="866"/>
      <c r="G36" s="866"/>
      <c r="H36" s="866"/>
    </row>
    <row r="37" spans="1:8">
      <c r="A37" s="863"/>
      <c r="B37" s="862" t="s">
        <v>4716</v>
      </c>
      <c r="C37" s="867">
        <v>1</v>
      </c>
      <c r="D37" s="865">
        <v>16</v>
      </c>
      <c r="E37" s="866">
        <v>5</v>
      </c>
      <c r="F37" s="866"/>
      <c r="G37" s="866"/>
      <c r="H37" s="851">
        <f>ROUND(PRODUCT(C37:G37),2)</f>
        <v>80</v>
      </c>
    </row>
    <row r="38" spans="1:8">
      <c r="A38" s="863"/>
      <c r="B38" s="862"/>
      <c r="C38" s="867"/>
      <c r="D38" s="865"/>
      <c r="E38" s="866"/>
      <c r="F38" s="866"/>
      <c r="G38" s="866"/>
      <c r="H38" s="866"/>
    </row>
    <row r="39" spans="1:8" ht="90">
      <c r="A39" s="863">
        <v>10</v>
      </c>
      <c r="B39" s="862" t="s">
        <v>4722</v>
      </c>
      <c r="C39" s="867"/>
      <c r="D39" s="865"/>
      <c r="E39" s="866"/>
      <c r="F39" s="866"/>
      <c r="G39" s="866"/>
      <c r="H39" s="866"/>
    </row>
    <row r="40" spans="1:8">
      <c r="A40" s="863"/>
      <c r="B40" s="862" t="s">
        <v>4716</v>
      </c>
      <c r="C40" s="867">
        <v>1</v>
      </c>
      <c r="D40" s="865">
        <v>16</v>
      </c>
      <c r="E40" s="866"/>
      <c r="F40" s="866"/>
      <c r="G40" s="866"/>
      <c r="H40" s="851">
        <f>ROUND(PRODUCT(C40:G40),2)</f>
        <v>16</v>
      </c>
    </row>
    <row r="41" spans="1:8">
      <c r="A41" s="863"/>
      <c r="B41" s="862"/>
      <c r="C41" s="867"/>
      <c r="D41" s="865"/>
      <c r="E41" s="866"/>
      <c r="F41" s="866"/>
      <c r="G41" s="866"/>
      <c r="H41" s="866"/>
    </row>
    <row r="42" spans="1:8" ht="45">
      <c r="A42" s="863">
        <v>11</v>
      </c>
      <c r="B42" s="862" t="s">
        <v>4771</v>
      </c>
      <c r="C42" s="867"/>
      <c r="D42" s="865"/>
      <c r="E42" s="866"/>
      <c r="F42" s="866"/>
      <c r="G42" s="866"/>
      <c r="H42" s="866"/>
    </row>
    <row r="43" spans="1:8">
      <c r="A43" s="863"/>
      <c r="B43" s="862" t="s">
        <v>4772</v>
      </c>
      <c r="C43" s="867"/>
      <c r="D43" s="865"/>
      <c r="E43" s="866"/>
      <c r="F43" s="866"/>
      <c r="G43" s="866"/>
      <c r="H43" s="866"/>
    </row>
    <row r="44" spans="1:8">
      <c r="A44" s="863"/>
      <c r="B44" s="862" t="s">
        <v>4726</v>
      </c>
      <c r="C44" s="867">
        <v>1</v>
      </c>
      <c r="D44" s="865">
        <v>2</v>
      </c>
      <c r="E44" s="866"/>
      <c r="F44" s="866"/>
      <c r="G44" s="866"/>
      <c r="H44" s="851">
        <f>ROUND(PRODUCT(C44:G44),2)</f>
        <v>2</v>
      </c>
    </row>
    <row r="45" spans="1:8">
      <c r="A45" s="863"/>
      <c r="B45" s="862"/>
      <c r="C45" s="867"/>
      <c r="D45" s="865"/>
      <c r="E45" s="866"/>
      <c r="F45" s="866"/>
      <c r="G45" s="866"/>
      <c r="H45" s="866"/>
    </row>
    <row r="46" spans="1:8" ht="60">
      <c r="A46" s="863">
        <v>12</v>
      </c>
      <c r="B46" s="862" t="s">
        <v>4773</v>
      </c>
      <c r="C46" s="867"/>
      <c r="D46" s="865"/>
      <c r="E46" s="866"/>
      <c r="F46" s="866"/>
      <c r="G46" s="866"/>
      <c r="H46" s="866"/>
    </row>
    <row r="47" spans="1:8">
      <c r="A47" s="863"/>
      <c r="B47" s="862" t="s">
        <v>4726</v>
      </c>
      <c r="C47" s="867">
        <v>1</v>
      </c>
      <c r="D47" s="865">
        <v>1</v>
      </c>
      <c r="E47" s="866"/>
      <c r="F47" s="866"/>
      <c r="G47" s="866"/>
      <c r="H47" s="851">
        <f>ROUND(PRODUCT(C47:G47),2)</f>
        <v>1</v>
      </c>
    </row>
    <row r="48" spans="1:8">
      <c r="A48" s="863"/>
      <c r="B48" s="862"/>
      <c r="C48" s="867"/>
      <c r="D48" s="865"/>
      <c r="E48" s="866"/>
      <c r="F48" s="866"/>
      <c r="G48" s="866"/>
      <c r="H48" s="866"/>
    </row>
    <row r="49" spans="1:8">
      <c r="A49" s="863"/>
      <c r="B49" s="862"/>
      <c r="C49" s="867"/>
      <c r="D49" s="865"/>
      <c r="E49" s="866"/>
      <c r="F49" s="866"/>
      <c r="G49" s="866"/>
      <c r="H49" s="866"/>
    </row>
    <row r="50" spans="1:8">
      <c r="A50" s="863"/>
      <c r="B50" s="862"/>
      <c r="C50" s="867"/>
      <c r="D50" s="865"/>
      <c r="E50" s="866"/>
      <c r="F50" s="866"/>
      <c r="G50" s="866"/>
      <c r="H50" s="866"/>
    </row>
    <row r="51" spans="1:8">
      <c r="A51" s="863"/>
      <c r="B51" s="862"/>
      <c r="C51" s="867"/>
      <c r="D51" s="865"/>
      <c r="E51" s="866"/>
      <c r="F51" s="866"/>
      <c r="G51" s="866"/>
      <c r="H51" s="866"/>
    </row>
    <row r="52" spans="1:8">
      <c r="A52" s="863"/>
      <c r="B52" s="862"/>
      <c r="C52" s="867"/>
      <c r="D52" s="865"/>
      <c r="E52" s="866"/>
      <c r="F52" s="866"/>
      <c r="G52" s="866"/>
      <c r="H52" s="866"/>
    </row>
  </sheetData>
  <mergeCells count="3">
    <mergeCell ref="A1:H1"/>
    <mergeCell ref="A2:H2"/>
    <mergeCell ref="C3:D3"/>
  </mergeCells>
  <printOptions horizontalCentered="1"/>
  <pageMargins left="0.75" right="0.25" top="0.5" bottom="0.25" header="0.3" footer="0.3"/>
  <pageSetup paperSize="9" orientation="portrait" horizontalDpi="300" verticalDpi="300" r:id="rId1"/>
  <colBreaks count="1" manualBreakCount="1">
    <brk id="8" max="802" man="1"/>
  </colBreaks>
</worksheet>
</file>

<file path=xl/worksheets/sheet26.xml><?xml version="1.0" encoding="utf-8"?>
<worksheet xmlns="http://schemas.openxmlformats.org/spreadsheetml/2006/main" xmlns:r="http://schemas.openxmlformats.org/officeDocument/2006/relationships">
  <sheetPr>
    <tabColor rgb="FFFFFF00"/>
  </sheetPr>
  <dimension ref="A1:F15"/>
  <sheetViews>
    <sheetView view="pageBreakPreview" zoomScaleSheetLayoutView="100" workbookViewId="0">
      <selection sqref="A1:XFD1048576"/>
    </sheetView>
  </sheetViews>
  <sheetFormatPr defaultRowHeight="15.75"/>
  <cols>
    <col min="1" max="1" width="5" style="1009" customWidth="1"/>
    <col min="2" max="2" width="8" style="1009" customWidth="1"/>
    <col min="3" max="3" width="37.5546875" style="1101" customWidth="1"/>
    <col min="4" max="4" width="8.44140625" style="1009" customWidth="1"/>
    <col min="5" max="5" width="6.88671875" style="1009" customWidth="1"/>
    <col min="6" max="6" width="9.44140625" style="1009" customWidth="1"/>
    <col min="7" max="16384" width="8.88671875" style="1009"/>
  </cols>
  <sheetData>
    <row r="1" spans="1:6" ht="55.5" customHeight="1">
      <c r="A1" s="1278" t="str">
        <f>'G. Abstract'!A3:F3</f>
        <v>N/W: RENOVATION AND UPGRADING THE EXISTING WORKING WOMEN’S HOSTEL AT SOORAMANGALAM IN SALEM CITY UNDER SOCIAL WELFARE DEPARTMENT</v>
      </c>
      <c r="B1" s="1279"/>
      <c r="C1" s="1279"/>
      <c r="D1" s="1279"/>
      <c r="E1" s="1279"/>
      <c r="F1" s="1280"/>
    </row>
    <row r="2" spans="1:6" ht="21.75" customHeight="1">
      <c r="A2" s="1281" t="s">
        <v>4492</v>
      </c>
      <c r="B2" s="1281"/>
      <c r="C2" s="1281"/>
      <c r="D2" s="1281"/>
      <c r="E2" s="1281"/>
      <c r="F2" s="1281"/>
    </row>
    <row r="3" spans="1:6" ht="26.25" customHeight="1">
      <c r="A3" s="1166" t="s">
        <v>3747</v>
      </c>
      <c r="B3" s="1167" t="s">
        <v>1070</v>
      </c>
      <c r="C3" s="1167" t="s">
        <v>3748</v>
      </c>
      <c r="D3" s="1167" t="s">
        <v>100</v>
      </c>
      <c r="E3" s="1167" t="s">
        <v>3764</v>
      </c>
      <c r="F3" s="1167" t="s">
        <v>994</v>
      </c>
    </row>
    <row r="4" spans="1:6" ht="105">
      <c r="A4" s="1150">
        <v>1</v>
      </c>
      <c r="B4" s="1151">
        <f>'Plumbing Det'!H6</f>
        <v>23</v>
      </c>
      <c r="C4" s="1152" t="s">
        <v>4486</v>
      </c>
      <c r="D4" s="1151">
        <f>DATA2!F129</f>
        <v>3174.13</v>
      </c>
      <c r="E4" s="1153" t="s">
        <v>1458</v>
      </c>
      <c r="F4" s="1153">
        <f>ROUND(PRODUCT(B4*D4),2)</f>
        <v>73004.990000000005</v>
      </c>
    </row>
    <row r="5" spans="1:6" ht="90">
      <c r="A5" s="1150">
        <v>2</v>
      </c>
      <c r="B5" s="1151">
        <f>'Plumbing Det'!H9</f>
        <v>69</v>
      </c>
      <c r="C5" s="1152" t="s">
        <v>4648</v>
      </c>
      <c r="D5" s="1151">
        <v>112</v>
      </c>
      <c r="E5" s="1153" t="s">
        <v>840</v>
      </c>
      <c r="F5" s="1153">
        <f t="shared" ref="F5:F13" si="0">ROUND(PRODUCT(B5*D5),2)</f>
        <v>7728</v>
      </c>
    </row>
    <row r="6" spans="1:6" ht="57.75" customHeight="1">
      <c r="A6" s="1150">
        <v>3</v>
      </c>
      <c r="B6" s="1151">
        <f>'Plumbing Det'!H14</f>
        <v>125</v>
      </c>
      <c r="C6" s="1152" t="s">
        <v>4649</v>
      </c>
      <c r="D6" s="1151">
        <v>58.3</v>
      </c>
      <c r="E6" s="1169" t="s">
        <v>1458</v>
      </c>
      <c r="F6" s="1153">
        <f t="shared" si="0"/>
        <v>7287.5</v>
      </c>
    </row>
    <row r="7" spans="1:6" ht="58.5" customHeight="1">
      <c r="A7" s="1150">
        <v>4</v>
      </c>
      <c r="B7" s="1151">
        <f>'Plumbing Det'!H17</f>
        <v>46</v>
      </c>
      <c r="C7" s="1152" t="s">
        <v>4490</v>
      </c>
      <c r="D7" s="1151">
        <f>DATA2!F301</f>
        <v>884.35</v>
      </c>
      <c r="E7" s="1153" t="s">
        <v>1458</v>
      </c>
      <c r="F7" s="1153">
        <f t="shared" si="0"/>
        <v>40680.1</v>
      </c>
    </row>
    <row r="8" spans="1:6" ht="47.25" customHeight="1">
      <c r="A8" s="1150">
        <v>5</v>
      </c>
      <c r="B8" s="1151">
        <f>'Plumbing Det'!H20</f>
        <v>23</v>
      </c>
      <c r="C8" s="1152" t="s">
        <v>4491</v>
      </c>
      <c r="D8" s="1151">
        <f>DATA2!E145</f>
        <v>473</v>
      </c>
      <c r="E8" s="1153" t="s">
        <v>1458</v>
      </c>
      <c r="F8" s="1153">
        <f t="shared" si="0"/>
        <v>10879</v>
      </c>
    </row>
    <row r="9" spans="1:6" s="1010" customFormat="1" ht="47.25" customHeight="1">
      <c r="A9" s="1171">
        <v>6</v>
      </c>
      <c r="B9" s="1151">
        <f>'Plumbing Det'!H23</f>
        <v>23</v>
      </c>
      <c r="C9" s="1152" t="s">
        <v>4812</v>
      </c>
      <c r="D9" s="1151">
        <v>6500</v>
      </c>
      <c r="E9" s="1172" t="s">
        <v>1458</v>
      </c>
      <c r="F9" s="1172">
        <f t="shared" si="0"/>
        <v>149500</v>
      </c>
    </row>
    <row r="10" spans="1:6" s="1010" customFormat="1" ht="63.75" customHeight="1">
      <c r="A10" s="1171">
        <v>7</v>
      </c>
      <c r="B10" s="1151">
        <f>'Plumbing Det'!H26</f>
        <v>23</v>
      </c>
      <c r="C10" s="1152" t="s">
        <v>4706</v>
      </c>
      <c r="D10" s="1151">
        <v>204</v>
      </c>
      <c r="E10" s="1172" t="s">
        <v>1458</v>
      </c>
      <c r="F10" s="1172">
        <f t="shared" si="0"/>
        <v>4692</v>
      </c>
    </row>
    <row r="11" spans="1:6" s="1010" customFormat="1" ht="47.25" customHeight="1">
      <c r="A11" s="1171">
        <v>8</v>
      </c>
      <c r="B11" s="1151">
        <f>'Plumbing Det'!H29</f>
        <v>2</v>
      </c>
      <c r="C11" s="1152" t="s">
        <v>4816</v>
      </c>
      <c r="D11" s="1151">
        <v>30000</v>
      </c>
      <c r="E11" s="1172" t="s">
        <v>1458</v>
      </c>
      <c r="F11" s="1172">
        <f t="shared" si="0"/>
        <v>60000</v>
      </c>
    </row>
    <row r="12" spans="1:6" s="1010" customFormat="1" ht="47.25" customHeight="1">
      <c r="A12" s="1171">
        <v>9</v>
      </c>
      <c r="B12" s="1151">
        <f>'Plumbing Det'!H32</f>
        <v>1</v>
      </c>
      <c r="C12" s="1152" t="s">
        <v>4762</v>
      </c>
      <c r="D12" s="1151">
        <f>DATA2!F629</f>
        <v>6674.83</v>
      </c>
      <c r="E12" s="1172" t="s">
        <v>1458</v>
      </c>
      <c r="F12" s="1172">
        <f t="shared" si="0"/>
        <v>6674.83</v>
      </c>
    </row>
    <row r="13" spans="1:6">
      <c r="A13" s="1150"/>
      <c r="B13" s="1151"/>
      <c r="C13" s="1152"/>
      <c r="D13" s="1151"/>
      <c r="E13" s="1153"/>
      <c r="F13" s="1153">
        <f t="shared" si="0"/>
        <v>0</v>
      </c>
    </row>
    <row r="14" spans="1:6" ht="27" customHeight="1">
      <c r="A14" s="1150"/>
      <c r="B14" s="1151"/>
      <c r="C14" s="875" t="s">
        <v>2332</v>
      </c>
      <c r="D14" s="1151"/>
      <c r="E14" s="1153"/>
      <c r="F14" s="1170">
        <f>SUM(F4:F13)</f>
        <v>360446.42</v>
      </c>
    </row>
    <row r="15" spans="1:6">
      <c r="A15" s="1150"/>
      <c r="B15" s="1151"/>
      <c r="C15" s="1152"/>
      <c r="D15" s="1151"/>
      <c r="E15" s="1153"/>
      <c r="F15" s="1153"/>
    </row>
  </sheetData>
  <mergeCells count="2">
    <mergeCell ref="A1:F1"/>
    <mergeCell ref="A2:F2"/>
  </mergeCells>
  <printOptions horizontalCentered="1"/>
  <pageMargins left="0.75" right="0.25"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sheetPr>
    <tabColor rgb="FFFFFF00"/>
  </sheetPr>
  <dimension ref="A1:IT45"/>
  <sheetViews>
    <sheetView view="pageBreakPreview" topLeftCell="A28" zoomScale="90" zoomScaleSheetLayoutView="90" workbookViewId="0">
      <selection activeCell="B31" sqref="B31"/>
    </sheetView>
  </sheetViews>
  <sheetFormatPr defaultRowHeight="15.75"/>
  <cols>
    <col min="1" max="1" width="5" style="924" customWidth="1"/>
    <col min="2" max="2" width="27.4414062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9" ht="59.25" customHeight="1">
      <c r="A1" s="1283" t="str">
        <f>'EX. WS Abs'!A3:F3</f>
        <v>N/W: RENOVATION AND UPGRADING THE EXISTING WORKING WOMEN’S HOSTEL AT SOORAMANGALAM IN SALEM CITY UNDER SOCIAL WELFARE DEPARTMENT</v>
      </c>
      <c r="B1" s="1283"/>
      <c r="C1" s="1283"/>
      <c r="D1" s="1283"/>
      <c r="E1" s="1283"/>
      <c r="F1" s="1283"/>
      <c r="G1" s="1283"/>
      <c r="H1" s="1283"/>
      <c r="I1" s="920"/>
    </row>
    <row r="2" spans="1:9" ht="24.75" customHeight="1">
      <c r="A2" s="1262" t="s">
        <v>4493</v>
      </c>
      <c r="B2" s="1263"/>
      <c r="C2" s="1263"/>
      <c r="D2" s="1263"/>
      <c r="E2" s="1263"/>
      <c r="F2" s="1263"/>
      <c r="G2" s="1263"/>
      <c r="H2" s="1263"/>
      <c r="I2" s="920"/>
    </row>
    <row r="3" spans="1:9" s="922" customFormat="1" ht="17.25" customHeight="1">
      <c r="A3" s="1286" t="s">
        <v>3747</v>
      </c>
      <c r="B3" s="1286" t="s">
        <v>1860</v>
      </c>
      <c r="C3" s="1286" t="s">
        <v>4226</v>
      </c>
      <c r="D3" s="1286"/>
      <c r="E3" s="1287" t="s">
        <v>4227</v>
      </c>
      <c r="F3" s="1287"/>
      <c r="G3" s="1287"/>
      <c r="H3" s="1284" t="s">
        <v>4228</v>
      </c>
      <c r="I3" s="923"/>
    </row>
    <row r="4" spans="1:9" s="922" customFormat="1" ht="19.5" customHeight="1">
      <c r="A4" s="1286"/>
      <c r="B4" s="1286"/>
      <c r="C4" s="1286"/>
      <c r="D4" s="1286"/>
      <c r="E4" s="1108" t="s">
        <v>4229</v>
      </c>
      <c r="F4" s="1107" t="s">
        <v>4230</v>
      </c>
      <c r="G4" s="1108" t="s">
        <v>3753</v>
      </c>
      <c r="H4" s="1285"/>
      <c r="I4" s="923"/>
    </row>
    <row r="5" spans="1:9" ht="162.75" customHeight="1">
      <c r="A5" s="1086">
        <v>1</v>
      </c>
      <c r="B5" s="1119" t="s">
        <v>4486</v>
      </c>
      <c r="C5" s="1071"/>
      <c r="D5" s="1071"/>
      <c r="E5" s="1072"/>
      <c r="F5" s="1073"/>
      <c r="G5" s="1072"/>
      <c r="H5" s="1074"/>
      <c r="I5" s="920"/>
    </row>
    <row r="6" spans="1:9" ht="36" customHeight="1">
      <c r="A6" s="1086"/>
      <c r="B6" s="1118" t="s">
        <v>4760</v>
      </c>
      <c r="C6" s="1111">
        <v>1</v>
      </c>
      <c r="D6" s="1111">
        <v>23</v>
      </c>
      <c r="E6" s="1090"/>
      <c r="F6" s="1090"/>
      <c r="G6" s="1090"/>
      <c r="H6" s="1084">
        <f>PRODUCT(C6:G6)</f>
        <v>23</v>
      </c>
      <c r="I6" s="920"/>
    </row>
    <row r="7" spans="1:9" ht="17.100000000000001" customHeight="1">
      <c r="A7" s="1086"/>
      <c r="B7" s="1121"/>
      <c r="C7" s="1070"/>
      <c r="D7" s="1070"/>
      <c r="E7" s="1072"/>
      <c r="F7" s="1073"/>
      <c r="G7" s="1075"/>
      <c r="H7" s="1076"/>
      <c r="I7" s="920"/>
    </row>
    <row r="8" spans="1:9" ht="47.25">
      <c r="A8" s="1086">
        <v>2</v>
      </c>
      <c r="B8" s="1119" t="s">
        <v>4488</v>
      </c>
      <c r="C8" s="1070"/>
      <c r="D8" s="1070"/>
      <c r="E8" s="1072"/>
      <c r="F8" s="1073"/>
      <c r="G8" s="1072"/>
      <c r="H8" s="1077"/>
      <c r="I8" s="920"/>
    </row>
    <row r="9" spans="1:9" ht="31.5">
      <c r="A9" s="1086"/>
      <c r="B9" s="1118" t="s">
        <v>4760</v>
      </c>
      <c r="C9" s="1088">
        <v>1</v>
      </c>
      <c r="D9" s="1088">
        <v>23</v>
      </c>
      <c r="E9" s="1089">
        <v>3</v>
      </c>
      <c r="F9" s="1090"/>
      <c r="G9" s="1089"/>
      <c r="H9" s="1084">
        <f>PRODUCT(C9:G9)</f>
        <v>69</v>
      </c>
      <c r="I9" s="920"/>
    </row>
    <row r="10" spans="1:9" ht="17.100000000000001" customHeight="1">
      <c r="A10" s="1086"/>
      <c r="B10" s="1119"/>
      <c r="C10" s="1070"/>
      <c r="D10" s="1070"/>
      <c r="E10" s="1072"/>
      <c r="F10" s="1073"/>
      <c r="G10" s="1075"/>
      <c r="H10" s="1076"/>
      <c r="I10" s="920"/>
    </row>
    <row r="11" spans="1:9" ht="47.25">
      <c r="A11" s="1117">
        <v>3</v>
      </c>
      <c r="B11" s="1119" t="s">
        <v>4489</v>
      </c>
      <c r="C11" s="1070"/>
      <c r="D11" s="1070"/>
      <c r="E11" s="1072"/>
      <c r="F11" s="1073"/>
      <c r="G11" s="1072"/>
      <c r="H11" s="1077"/>
      <c r="I11" s="920"/>
    </row>
    <row r="12" spans="1:9">
      <c r="A12" s="1117"/>
      <c r="B12" s="1120" t="s">
        <v>4487</v>
      </c>
      <c r="C12" s="1088">
        <v>1</v>
      </c>
      <c r="D12" s="1088">
        <v>22</v>
      </c>
      <c r="E12" s="1089">
        <v>5</v>
      </c>
      <c r="F12" s="1073"/>
      <c r="G12" s="1072"/>
      <c r="H12" s="1078">
        <f>PRODUCT(C12:G12)</f>
        <v>110</v>
      </c>
      <c r="I12" s="920"/>
    </row>
    <row r="13" spans="1:9">
      <c r="A13" s="1117"/>
      <c r="B13" s="1119" t="s">
        <v>4761</v>
      </c>
      <c r="C13" s="1070">
        <v>1</v>
      </c>
      <c r="D13" s="1070">
        <v>1</v>
      </c>
      <c r="E13" s="1089">
        <v>15</v>
      </c>
      <c r="F13" s="1073"/>
      <c r="G13" s="1072"/>
      <c r="H13" s="1078">
        <f>PRODUCT(C13:G13)</f>
        <v>15</v>
      </c>
      <c r="I13" s="920"/>
    </row>
    <row r="14" spans="1:9" ht="16.5" customHeight="1">
      <c r="A14" s="1086"/>
      <c r="B14" s="1120"/>
      <c r="C14" s="1088"/>
      <c r="D14" s="1088"/>
      <c r="E14" s="1089"/>
      <c r="F14" s="1090"/>
      <c r="G14" s="1089"/>
      <c r="H14" s="1084">
        <f>SUM(H12:H13)</f>
        <v>125</v>
      </c>
      <c r="I14" s="920"/>
    </row>
    <row r="15" spans="1:9" ht="17.100000000000001" customHeight="1">
      <c r="A15" s="1109"/>
      <c r="B15" s="1121"/>
      <c r="C15" s="1070"/>
      <c r="D15" s="1070"/>
      <c r="E15" s="1074"/>
      <c r="F15" s="1074"/>
      <c r="G15" s="1075"/>
      <c r="H15" s="1076"/>
      <c r="I15" s="920"/>
    </row>
    <row r="16" spans="1:9" ht="63">
      <c r="A16" s="1117">
        <v>4</v>
      </c>
      <c r="B16" s="1119" t="s">
        <v>4490</v>
      </c>
      <c r="C16" s="1070"/>
      <c r="D16" s="1070"/>
      <c r="E16" s="1074"/>
      <c r="F16" s="1074"/>
      <c r="G16" s="1075"/>
      <c r="H16" s="1076"/>
      <c r="I16" s="920"/>
    </row>
    <row r="17" spans="1:254" ht="36.75" customHeight="1">
      <c r="A17" s="1110"/>
      <c r="B17" s="1118" t="s">
        <v>4760</v>
      </c>
      <c r="C17" s="1111">
        <v>2</v>
      </c>
      <c r="D17" s="1111">
        <v>23</v>
      </c>
      <c r="E17" s="1090"/>
      <c r="F17" s="1090"/>
      <c r="G17" s="1090"/>
      <c r="H17" s="1084">
        <f>PRODUCT(C17:G17)</f>
        <v>46</v>
      </c>
      <c r="I17" s="920"/>
    </row>
    <row r="18" spans="1:254" ht="17.100000000000001" customHeight="1">
      <c r="A18" s="1080"/>
      <c r="B18" s="1081"/>
      <c r="C18" s="1080"/>
      <c r="D18" s="1080"/>
      <c r="E18" s="1082"/>
      <c r="F18" s="1078"/>
      <c r="G18" s="1083"/>
      <c r="H18" s="1084"/>
      <c r="I18" s="923"/>
      <c r="J18" s="924"/>
      <c r="K18" s="924"/>
      <c r="L18" s="924"/>
      <c r="M18" s="924"/>
      <c r="N18" s="924"/>
      <c r="O18" s="924"/>
      <c r="P18" s="924"/>
      <c r="Q18" s="924"/>
      <c r="R18" s="924"/>
      <c r="S18" s="924"/>
      <c r="T18" s="924"/>
      <c r="U18" s="924"/>
      <c r="V18" s="924"/>
      <c r="W18" s="924"/>
      <c r="X18" s="924"/>
      <c r="Y18" s="924"/>
      <c r="Z18" s="924"/>
      <c r="AA18" s="924"/>
      <c r="AB18" s="924"/>
      <c r="AC18" s="924"/>
      <c r="AD18" s="924"/>
      <c r="AE18" s="924"/>
      <c r="AF18" s="924"/>
      <c r="AG18" s="924"/>
      <c r="AH18" s="924"/>
      <c r="AI18" s="924"/>
      <c r="AJ18" s="924"/>
      <c r="AK18" s="924"/>
      <c r="AL18" s="924"/>
      <c r="AM18" s="924"/>
      <c r="AN18" s="924"/>
      <c r="AO18" s="924"/>
      <c r="AP18" s="924"/>
      <c r="AQ18" s="924"/>
      <c r="AR18" s="924"/>
      <c r="AS18" s="924"/>
      <c r="AT18" s="924"/>
      <c r="AU18" s="924"/>
      <c r="AV18" s="924"/>
      <c r="AW18" s="924"/>
      <c r="AX18" s="924"/>
      <c r="AY18" s="924"/>
      <c r="AZ18" s="924"/>
      <c r="BA18" s="924"/>
      <c r="BB18" s="924"/>
      <c r="BC18" s="924"/>
      <c r="BD18" s="924"/>
      <c r="BE18" s="924"/>
      <c r="BF18" s="924"/>
      <c r="BG18" s="924"/>
      <c r="BH18" s="924"/>
      <c r="BI18" s="924"/>
      <c r="BJ18" s="924"/>
      <c r="BK18" s="924"/>
      <c r="BL18" s="924"/>
      <c r="BM18" s="924"/>
      <c r="BN18" s="924"/>
      <c r="BO18" s="924"/>
      <c r="BP18" s="924"/>
      <c r="BQ18" s="924"/>
      <c r="BR18" s="924"/>
      <c r="BS18" s="924"/>
      <c r="BT18" s="924"/>
      <c r="BU18" s="924"/>
      <c r="BV18" s="924"/>
      <c r="BW18" s="924"/>
      <c r="BX18" s="924"/>
      <c r="BY18" s="924"/>
      <c r="BZ18" s="924"/>
      <c r="CA18" s="924"/>
      <c r="CB18" s="924"/>
      <c r="CC18" s="924"/>
      <c r="CD18" s="924"/>
      <c r="CE18" s="924"/>
      <c r="CF18" s="924"/>
      <c r="CG18" s="924"/>
      <c r="CH18" s="924"/>
      <c r="CI18" s="924"/>
      <c r="CJ18" s="924"/>
      <c r="CK18" s="924"/>
      <c r="CL18" s="924"/>
      <c r="CM18" s="924"/>
      <c r="CN18" s="924"/>
      <c r="CO18" s="924"/>
      <c r="CP18" s="924"/>
      <c r="CQ18" s="924"/>
      <c r="CR18" s="924"/>
      <c r="CS18" s="924"/>
      <c r="CT18" s="924"/>
      <c r="CU18" s="924"/>
      <c r="CV18" s="924"/>
      <c r="CW18" s="924"/>
      <c r="CX18" s="924"/>
      <c r="CY18" s="924"/>
      <c r="CZ18" s="924"/>
      <c r="DA18" s="924"/>
      <c r="DB18" s="924"/>
      <c r="DC18" s="924"/>
      <c r="DD18" s="924"/>
      <c r="DE18" s="924"/>
      <c r="DF18" s="924"/>
      <c r="DG18" s="924"/>
      <c r="DH18" s="924"/>
      <c r="DI18" s="924"/>
      <c r="DJ18" s="924"/>
      <c r="DK18" s="924"/>
      <c r="DL18" s="924"/>
      <c r="DM18" s="924"/>
      <c r="DN18" s="924"/>
      <c r="DO18" s="924"/>
      <c r="DP18" s="924"/>
      <c r="DQ18" s="924"/>
      <c r="DR18" s="924"/>
      <c r="DS18" s="924"/>
      <c r="DT18" s="924"/>
      <c r="DU18" s="924"/>
      <c r="DV18" s="924"/>
      <c r="DW18" s="924"/>
      <c r="DX18" s="924"/>
      <c r="DY18" s="924"/>
      <c r="DZ18" s="924"/>
      <c r="EA18" s="924"/>
      <c r="EB18" s="924"/>
      <c r="EC18" s="924"/>
      <c r="ED18" s="924"/>
      <c r="EE18" s="924"/>
      <c r="EF18" s="924"/>
      <c r="EG18" s="924"/>
      <c r="EH18" s="924"/>
      <c r="EI18" s="924"/>
      <c r="EJ18" s="924"/>
      <c r="EK18" s="924"/>
      <c r="EL18" s="924"/>
      <c r="EM18" s="924"/>
      <c r="EN18" s="924"/>
      <c r="EO18" s="924"/>
      <c r="EP18" s="924"/>
      <c r="EQ18" s="924"/>
      <c r="ER18" s="924"/>
      <c r="ES18" s="924"/>
      <c r="ET18" s="924"/>
      <c r="EU18" s="924"/>
      <c r="EV18" s="924"/>
      <c r="EW18" s="924"/>
      <c r="EX18" s="924"/>
      <c r="EY18" s="924"/>
      <c r="EZ18" s="924"/>
      <c r="FA18" s="924"/>
      <c r="FB18" s="924"/>
      <c r="FC18" s="924"/>
      <c r="FD18" s="924"/>
      <c r="FE18" s="924"/>
      <c r="FF18" s="924"/>
      <c r="FG18" s="924"/>
      <c r="FH18" s="924"/>
      <c r="FI18" s="924"/>
      <c r="FJ18" s="924"/>
      <c r="FK18" s="924"/>
      <c r="FL18" s="924"/>
      <c r="FM18" s="924"/>
      <c r="FN18" s="924"/>
      <c r="FO18" s="924"/>
      <c r="FP18" s="924"/>
      <c r="FQ18" s="924"/>
      <c r="FR18" s="924"/>
      <c r="FS18" s="924"/>
      <c r="FT18" s="924"/>
      <c r="FU18" s="924"/>
      <c r="FV18" s="924"/>
      <c r="FW18" s="924"/>
      <c r="FX18" s="924"/>
      <c r="FY18" s="924"/>
      <c r="FZ18" s="924"/>
      <c r="GA18" s="924"/>
      <c r="GB18" s="924"/>
      <c r="GC18" s="924"/>
      <c r="GD18" s="924"/>
      <c r="GE18" s="924"/>
      <c r="GF18" s="924"/>
      <c r="GG18" s="924"/>
      <c r="GH18" s="924"/>
      <c r="GI18" s="924"/>
      <c r="GJ18" s="924"/>
      <c r="GK18" s="924"/>
      <c r="GL18" s="924"/>
      <c r="GM18" s="924"/>
      <c r="GN18" s="924"/>
      <c r="GO18" s="924"/>
      <c r="GP18" s="924"/>
      <c r="GQ18" s="924"/>
      <c r="GR18" s="924"/>
      <c r="GS18" s="924"/>
      <c r="GT18" s="924"/>
      <c r="GU18" s="924"/>
      <c r="GV18" s="924"/>
      <c r="GW18" s="924"/>
      <c r="GX18" s="924"/>
      <c r="GY18" s="924"/>
      <c r="GZ18" s="924"/>
      <c r="HA18" s="924"/>
      <c r="HB18" s="924"/>
      <c r="HC18" s="924"/>
      <c r="HD18" s="924"/>
      <c r="HE18" s="924"/>
      <c r="HF18" s="924"/>
      <c r="HG18" s="924"/>
      <c r="HH18" s="924"/>
      <c r="HI18" s="924"/>
      <c r="HJ18" s="924"/>
      <c r="HK18" s="924"/>
      <c r="HL18" s="924"/>
      <c r="HM18" s="924"/>
      <c r="HN18" s="924"/>
      <c r="HO18" s="924"/>
      <c r="HP18" s="924"/>
      <c r="HQ18" s="924"/>
      <c r="HR18" s="924"/>
      <c r="HS18" s="924"/>
      <c r="HT18" s="924"/>
      <c r="HU18" s="924"/>
      <c r="HV18" s="924"/>
      <c r="HW18" s="924"/>
      <c r="HX18" s="924"/>
      <c r="HY18" s="924"/>
      <c r="HZ18" s="924"/>
      <c r="IA18" s="924"/>
      <c r="IB18" s="924"/>
      <c r="IC18" s="924"/>
      <c r="ID18" s="924"/>
      <c r="IE18" s="924"/>
      <c r="IF18" s="924"/>
      <c r="IG18" s="924"/>
      <c r="IH18" s="924"/>
      <c r="II18" s="924"/>
      <c r="IJ18" s="924"/>
      <c r="IK18" s="924"/>
      <c r="IL18" s="924"/>
      <c r="IM18" s="924"/>
      <c r="IN18" s="924"/>
      <c r="IO18" s="924"/>
      <c r="IP18" s="924"/>
      <c r="IQ18" s="924"/>
      <c r="IR18" s="924"/>
      <c r="IS18" s="924"/>
      <c r="IT18" s="924"/>
    </row>
    <row r="19" spans="1:254" ht="47.25">
      <c r="A19" s="1086">
        <v>5</v>
      </c>
      <c r="B19" s="1119" t="s">
        <v>4491</v>
      </c>
      <c r="C19" s="1085"/>
      <c r="D19" s="1085"/>
      <c r="E19" s="1085"/>
      <c r="F19" s="1085"/>
      <c r="G19" s="1085"/>
      <c r="H19" s="1085"/>
      <c r="I19" s="920"/>
    </row>
    <row r="20" spans="1:254" ht="36" customHeight="1">
      <c r="A20" s="1086"/>
      <c r="B20" s="1118" t="s">
        <v>4760</v>
      </c>
      <c r="C20" s="1088">
        <v>1</v>
      </c>
      <c r="D20" s="1088">
        <v>23</v>
      </c>
      <c r="E20" s="1089"/>
      <c r="F20" s="1090"/>
      <c r="G20" s="1089"/>
      <c r="H20" s="1084">
        <f>PRODUCT(C20:G20)</f>
        <v>23</v>
      </c>
      <c r="I20" s="920"/>
    </row>
    <row r="21" spans="1:254" ht="17.100000000000001" customHeight="1">
      <c r="A21" s="1086"/>
      <c r="B21" s="1121"/>
      <c r="C21" s="1070"/>
      <c r="D21" s="1070"/>
      <c r="E21" s="1072"/>
      <c r="F21" s="1073"/>
      <c r="G21" s="1079"/>
      <c r="H21" s="1075"/>
      <c r="I21" s="920"/>
    </row>
    <row r="22" spans="1:254" ht="40.5" customHeight="1">
      <c r="A22" s="1086">
        <v>6</v>
      </c>
      <c r="B22" s="1119" t="s">
        <v>4812</v>
      </c>
      <c r="C22" s="1070"/>
      <c r="D22" s="1070"/>
      <c r="E22" s="1074"/>
      <c r="F22" s="1074"/>
      <c r="G22" s="1079"/>
      <c r="H22" s="1087"/>
      <c r="I22" s="920"/>
    </row>
    <row r="23" spans="1:254" ht="17.100000000000001" customHeight="1">
      <c r="A23" s="1111"/>
      <c r="B23" s="1120" t="s">
        <v>4487</v>
      </c>
      <c r="C23" s="1088">
        <v>1</v>
      </c>
      <c r="D23" s="1088">
        <v>23</v>
      </c>
      <c r="E23" s="1089"/>
      <c r="F23" s="1090"/>
      <c r="G23" s="1089"/>
      <c r="H23" s="1084">
        <f>PRODUCT(C23:G23)</f>
        <v>23</v>
      </c>
      <c r="I23" s="920"/>
    </row>
    <row r="24" spans="1:254" ht="17.100000000000001" customHeight="1">
      <c r="A24" s="1111"/>
      <c r="B24" s="1120"/>
      <c r="C24" s="1088"/>
      <c r="D24" s="1088"/>
      <c r="E24" s="1089"/>
      <c r="F24" s="1090"/>
      <c r="G24" s="1089"/>
      <c r="H24" s="1084"/>
      <c r="I24" s="920"/>
    </row>
    <row r="25" spans="1:254" ht="63">
      <c r="A25" s="1111">
        <v>7</v>
      </c>
      <c r="B25" s="1119" t="s">
        <v>4705</v>
      </c>
      <c r="C25" s="1088"/>
      <c r="D25" s="1088"/>
      <c r="E25" s="1089"/>
      <c r="F25" s="1090"/>
      <c r="G25" s="1089"/>
      <c r="H25" s="1084"/>
      <c r="I25" s="920"/>
    </row>
    <row r="26" spans="1:254" ht="36" customHeight="1">
      <c r="A26" s="1111"/>
      <c r="B26" s="1118" t="s">
        <v>4760</v>
      </c>
      <c r="C26" s="1088">
        <v>1</v>
      </c>
      <c r="D26" s="1088">
        <v>23</v>
      </c>
      <c r="E26" s="1089"/>
      <c r="F26" s="1090"/>
      <c r="G26" s="1089"/>
      <c r="H26" s="1084">
        <f>PRODUCT(C26:G26)</f>
        <v>23</v>
      </c>
      <c r="I26" s="920"/>
    </row>
    <row r="27" spans="1:254" ht="17.100000000000001" customHeight="1">
      <c r="A27" s="1111"/>
      <c r="B27" s="1120"/>
      <c r="C27" s="1088"/>
      <c r="D27" s="1088"/>
      <c r="E27" s="1089"/>
      <c r="F27" s="1090"/>
      <c r="G27" s="1089"/>
      <c r="H27" s="1084"/>
      <c r="I27" s="920"/>
    </row>
    <row r="28" spans="1:254" ht="52.5" customHeight="1">
      <c r="A28" s="1111">
        <v>8</v>
      </c>
      <c r="B28" s="1118" t="s">
        <v>4816</v>
      </c>
      <c r="C28" s="1088"/>
      <c r="D28" s="1088"/>
      <c r="E28" s="1089"/>
      <c r="F28" s="1090"/>
      <c r="G28" s="1089"/>
      <c r="H28" s="1084"/>
      <c r="I28" s="920"/>
    </row>
    <row r="29" spans="1:254" ht="17.100000000000001" customHeight="1">
      <c r="A29" s="1111"/>
      <c r="B29" s="1120" t="s">
        <v>4707</v>
      </c>
      <c r="C29" s="1088">
        <v>1</v>
      </c>
      <c r="D29" s="1088">
        <v>2</v>
      </c>
      <c r="E29" s="1089"/>
      <c r="F29" s="1090"/>
      <c r="G29" s="1089"/>
      <c r="H29" s="1084">
        <f>PRODUCT(C29:G29)</f>
        <v>2</v>
      </c>
      <c r="I29" s="920"/>
    </row>
    <row r="30" spans="1:254" ht="17.100000000000001" customHeight="1">
      <c r="A30" s="1111"/>
      <c r="B30" s="1120"/>
      <c r="C30" s="1088"/>
      <c r="D30" s="1088"/>
      <c r="E30" s="1089"/>
      <c r="F30" s="1090"/>
      <c r="G30" s="1089"/>
      <c r="H30" s="1084"/>
      <c r="I30" s="920"/>
    </row>
    <row r="31" spans="1:254" ht="59.25" customHeight="1">
      <c r="A31" s="1111">
        <v>9</v>
      </c>
      <c r="B31" s="1118" t="s">
        <v>4762</v>
      </c>
      <c r="C31" s="1088"/>
      <c r="D31" s="1088"/>
      <c r="E31" s="1089"/>
      <c r="F31" s="1090"/>
      <c r="G31" s="1089"/>
      <c r="H31" s="1084"/>
      <c r="I31" s="920"/>
    </row>
    <row r="32" spans="1:254" ht="17.100000000000001" customHeight="1">
      <c r="A32" s="1111"/>
      <c r="B32" s="1118" t="s">
        <v>4763</v>
      </c>
      <c r="C32" s="1088">
        <v>1</v>
      </c>
      <c r="D32" s="1088">
        <v>1</v>
      </c>
      <c r="E32" s="1089"/>
      <c r="F32" s="1090"/>
      <c r="G32" s="1089"/>
      <c r="H32" s="1084">
        <f>PRODUCT(C32:G32)</f>
        <v>1</v>
      </c>
      <c r="I32" s="920"/>
    </row>
    <row r="33" spans="1:254" ht="17.100000000000001" customHeight="1">
      <c r="A33" s="1111"/>
      <c r="B33" s="1120"/>
      <c r="C33" s="1088"/>
      <c r="D33" s="1088"/>
      <c r="E33" s="1089"/>
      <c r="F33" s="1090"/>
      <c r="G33" s="1089"/>
      <c r="H33" s="1084"/>
      <c r="I33" s="920"/>
    </row>
    <row r="34" spans="1:254" ht="17.100000000000001" customHeight="1">
      <c r="A34" s="1111"/>
      <c r="B34" s="1120"/>
      <c r="C34" s="1088"/>
      <c r="D34" s="1088"/>
      <c r="E34" s="1089"/>
      <c r="F34" s="1090"/>
      <c r="G34" s="1089"/>
      <c r="H34" s="1084"/>
      <c r="I34" s="920"/>
    </row>
    <row r="35" spans="1:254" ht="17.100000000000001" customHeight="1">
      <c r="A35" s="1111"/>
      <c r="B35" s="1120"/>
      <c r="C35" s="1088"/>
      <c r="D35" s="1088"/>
      <c r="E35" s="1089"/>
      <c r="F35" s="1090"/>
      <c r="G35" s="1089"/>
      <c r="H35" s="1084"/>
      <c r="I35" s="920"/>
    </row>
    <row r="36" spans="1:254" ht="17.100000000000001" customHeight="1">
      <c r="A36" s="1111"/>
      <c r="B36" s="1120"/>
      <c r="C36" s="1088"/>
      <c r="D36" s="1088"/>
      <c r="E36" s="1089"/>
      <c r="F36" s="1090"/>
      <c r="G36" s="1089"/>
      <c r="H36" s="1084"/>
      <c r="I36" s="920"/>
    </row>
    <row r="37" spans="1:254" ht="17.100000000000001" customHeight="1">
      <c r="A37" s="1111"/>
      <c r="B37" s="1091"/>
      <c r="C37" s="1093"/>
      <c r="D37" s="1093"/>
      <c r="E37" s="1094"/>
      <c r="F37" s="1094"/>
      <c r="G37" s="1095"/>
      <c r="H37" s="1096"/>
      <c r="I37" s="920"/>
      <c r="J37" s="925"/>
      <c r="K37" s="925"/>
      <c r="L37" s="925"/>
      <c r="M37" s="925"/>
      <c r="N37" s="925"/>
      <c r="O37" s="925"/>
      <c r="P37" s="925"/>
      <c r="Q37" s="925"/>
      <c r="R37" s="925"/>
      <c r="S37" s="925"/>
      <c r="T37" s="925"/>
      <c r="U37" s="925"/>
      <c r="V37" s="925"/>
      <c r="W37" s="925"/>
      <c r="X37" s="925"/>
      <c r="Y37" s="925"/>
      <c r="Z37" s="925"/>
      <c r="AA37" s="925"/>
      <c r="AB37" s="925"/>
      <c r="AC37" s="925"/>
      <c r="AD37" s="925"/>
      <c r="AE37" s="925"/>
      <c r="AF37" s="925"/>
      <c r="AG37" s="925"/>
      <c r="AH37" s="925"/>
      <c r="AI37" s="925"/>
      <c r="AJ37" s="925"/>
      <c r="AK37" s="925"/>
      <c r="AL37" s="925"/>
      <c r="AM37" s="925"/>
      <c r="AN37" s="925"/>
      <c r="AO37" s="925"/>
      <c r="AP37" s="925"/>
      <c r="AQ37" s="925"/>
      <c r="AR37" s="925"/>
      <c r="AS37" s="925"/>
      <c r="AT37" s="925"/>
      <c r="AU37" s="925"/>
      <c r="AV37" s="925"/>
      <c r="AW37" s="925"/>
      <c r="AX37" s="925"/>
      <c r="AY37" s="925"/>
      <c r="AZ37" s="925"/>
      <c r="BA37" s="925"/>
      <c r="BB37" s="925"/>
      <c r="BC37" s="925"/>
      <c r="BD37" s="925"/>
      <c r="BE37" s="925"/>
      <c r="BF37" s="925"/>
      <c r="BG37" s="925"/>
      <c r="BH37" s="925"/>
      <c r="BI37" s="925"/>
      <c r="BJ37" s="925"/>
      <c r="BK37" s="925"/>
      <c r="BL37" s="925"/>
      <c r="BM37" s="925"/>
      <c r="BN37" s="925"/>
      <c r="BO37" s="925"/>
      <c r="BP37" s="925"/>
      <c r="BQ37" s="925"/>
      <c r="BR37" s="925"/>
      <c r="BS37" s="925"/>
      <c r="BT37" s="925"/>
      <c r="BU37" s="925"/>
      <c r="BV37" s="925"/>
      <c r="BW37" s="925"/>
      <c r="BX37" s="925"/>
      <c r="BY37" s="925"/>
      <c r="BZ37" s="925"/>
      <c r="CA37" s="925"/>
      <c r="CB37" s="925"/>
      <c r="CC37" s="925"/>
      <c r="CD37" s="925"/>
      <c r="CE37" s="925"/>
      <c r="CF37" s="925"/>
      <c r="CG37" s="925"/>
      <c r="CH37" s="925"/>
      <c r="CI37" s="925"/>
      <c r="CJ37" s="925"/>
      <c r="CK37" s="925"/>
      <c r="CL37" s="925"/>
      <c r="CM37" s="925"/>
      <c r="CN37" s="925"/>
      <c r="CO37" s="925"/>
      <c r="CP37" s="925"/>
      <c r="CQ37" s="925"/>
      <c r="CR37" s="925"/>
      <c r="CS37" s="925"/>
      <c r="CT37" s="925"/>
      <c r="CU37" s="925"/>
      <c r="CV37" s="925"/>
      <c r="CW37" s="925"/>
      <c r="CX37" s="925"/>
      <c r="CY37" s="925"/>
      <c r="CZ37" s="925"/>
      <c r="DA37" s="925"/>
      <c r="DB37" s="925"/>
      <c r="DC37" s="925"/>
      <c r="DD37" s="925"/>
      <c r="DE37" s="925"/>
      <c r="DF37" s="925"/>
      <c r="DG37" s="925"/>
      <c r="DH37" s="925"/>
      <c r="DI37" s="925"/>
      <c r="DJ37" s="925"/>
      <c r="DK37" s="925"/>
      <c r="DL37" s="925"/>
      <c r="DM37" s="925"/>
      <c r="DN37" s="925"/>
      <c r="DO37" s="925"/>
      <c r="DP37" s="925"/>
      <c r="DQ37" s="925"/>
      <c r="DR37" s="925"/>
      <c r="DS37" s="925"/>
      <c r="DT37" s="925"/>
      <c r="DU37" s="925"/>
      <c r="DV37" s="925"/>
      <c r="DW37" s="925"/>
      <c r="DX37" s="925"/>
      <c r="DY37" s="925"/>
      <c r="DZ37" s="925"/>
      <c r="EA37" s="925"/>
      <c r="EB37" s="925"/>
      <c r="EC37" s="925"/>
      <c r="ED37" s="925"/>
      <c r="EE37" s="925"/>
      <c r="EF37" s="925"/>
      <c r="EG37" s="925"/>
      <c r="EH37" s="925"/>
      <c r="EI37" s="925"/>
      <c r="EJ37" s="925"/>
      <c r="EK37" s="925"/>
      <c r="EL37" s="925"/>
      <c r="EM37" s="925"/>
      <c r="EN37" s="925"/>
      <c r="EO37" s="925"/>
      <c r="EP37" s="925"/>
      <c r="EQ37" s="925"/>
      <c r="ER37" s="925"/>
      <c r="ES37" s="925"/>
      <c r="ET37" s="925"/>
      <c r="EU37" s="925"/>
      <c r="EV37" s="925"/>
      <c r="EW37" s="925"/>
      <c r="EX37" s="925"/>
      <c r="EY37" s="925"/>
      <c r="EZ37" s="925"/>
      <c r="FA37" s="925"/>
      <c r="FB37" s="925"/>
      <c r="FC37" s="925"/>
      <c r="FD37" s="925"/>
      <c r="FE37" s="925"/>
      <c r="FF37" s="925"/>
      <c r="FG37" s="925"/>
      <c r="FH37" s="925"/>
      <c r="FI37" s="925"/>
      <c r="FJ37" s="925"/>
      <c r="FK37" s="925"/>
      <c r="FL37" s="925"/>
      <c r="FM37" s="925"/>
      <c r="FN37" s="925"/>
      <c r="FO37" s="925"/>
      <c r="FP37" s="925"/>
      <c r="FQ37" s="925"/>
      <c r="FR37" s="925"/>
      <c r="FS37" s="925"/>
      <c r="FT37" s="925"/>
      <c r="FU37" s="925"/>
      <c r="FV37" s="925"/>
      <c r="FW37" s="925"/>
      <c r="FX37" s="925"/>
      <c r="FY37" s="925"/>
      <c r="FZ37" s="925"/>
      <c r="GA37" s="925"/>
      <c r="GB37" s="925"/>
      <c r="GC37" s="925"/>
      <c r="GD37" s="925"/>
      <c r="GE37" s="925"/>
      <c r="GF37" s="925"/>
      <c r="GG37" s="925"/>
      <c r="GH37" s="925"/>
      <c r="GI37" s="925"/>
      <c r="GJ37" s="925"/>
      <c r="GK37" s="925"/>
      <c r="GL37" s="925"/>
      <c r="GM37" s="925"/>
      <c r="GN37" s="925"/>
      <c r="GO37" s="925"/>
      <c r="GP37" s="925"/>
      <c r="GQ37" s="925"/>
      <c r="GR37" s="925"/>
      <c r="GS37" s="925"/>
      <c r="GT37" s="925"/>
      <c r="GU37" s="925"/>
      <c r="GV37" s="925"/>
      <c r="GW37" s="925"/>
      <c r="GX37" s="925"/>
      <c r="GY37" s="925"/>
      <c r="GZ37" s="925"/>
      <c r="HA37" s="925"/>
      <c r="HB37" s="925"/>
      <c r="HC37" s="925"/>
      <c r="HD37" s="925"/>
      <c r="HE37" s="925"/>
      <c r="HF37" s="925"/>
      <c r="HG37" s="925"/>
      <c r="HH37" s="925"/>
      <c r="HI37" s="925"/>
      <c r="HJ37" s="925"/>
      <c r="HK37" s="925"/>
      <c r="HL37" s="925"/>
      <c r="HM37" s="925"/>
      <c r="HN37" s="925"/>
      <c r="HO37" s="925"/>
      <c r="HP37" s="925"/>
      <c r="HQ37" s="925"/>
      <c r="HR37" s="925"/>
      <c r="HS37" s="925"/>
      <c r="HT37" s="925"/>
      <c r="HU37" s="925"/>
      <c r="HV37" s="925"/>
      <c r="HW37" s="925"/>
      <c r="HX37" s="925"/>
      <c r="HY37" s="925"/>
      <c r="HZ37" s="925"/>
      <c r="IA37" s="925"/>
      <c r="IB37" s="925"/>
      <c r="IC37" s="925"/>
      <c r="ID37" s="925"/>
      <c r="IE37" s="925"/>
      <c r="IF37" s="925"/>
      <c r="IG37" s="925"/>
      <c r="IH37" s="925"/>
      <c r="II37" s="925"/>
      <c r="IJ37" s="925"/>
      <c r="IK37" s="925"/>
      <c r="IL37" s="925"/>
      <c r="IM37" s="925"/>
      <c r="IN37" s="925"/>
      <c r="IO37" s="925"/>
      <c r="IP37" s="925"/>
      <c r="IQ37" s="925"/>
      <c r="IR37" s="925"/>
      <c r="IS37" s="925"/>
      <c r="IT37" s="925"/>
    </row>
    <row r="38" spans="1:254" ht="17.100000000000001" customHeight="1">
      <c r="A38" s="1113"/>
      <c r="B38" s="1123"/>
      <c r="C38" s="933"/>
      <c r="D38" s="933"/>
      <c r="E38" s="934"/>
      <c r="F38" s="934"/>
      <c r="G38" s="934"/>
      <c r="H38" s="935"/>
      <c r="I38" s="920"/>
    </row>
    <row r="39" spans="1:254" s="932" customFormat="1">
      <c r="A39" s="1114"/>
      <c r="B39" s="1124"/>
      <c r="C39" s="928"/>
      <c r="D39" s="928"/>
      <c r="E39" s="929"/>
      <c r="F39" s="929"/>
      <c r="G39" s="929"/>
      <c r="H39" s="930"/>
      <c r="I39" s="931"/>
      <c r="O39" s="931"/>
      <c r="P39" s="931"/>
      <c r="Q39" s="931"/>
      <c r="R39" s="931"/>
      <c r="S39" s="931"/>
      <c r="T39" s="931"/>
      <c r="U39" s="931"/>
      <c r="V39" s="931"/>
      <c r="W39" s="931"/>
      <c r="X39" s="931"/>
      <c r="Y39" s="931"/>
      <c r="Z39" s="931"/>
      <c r="AA39" s="931"/>
      <c r="AB39" s="931"/>
      <c r="AC39" s="931"/>
      <c r="AD39" s="931"/>
      <c r="AE39" s="931"/>
      <c r="AF39" s="931"/>
      <c r="AG39" s="931"/>
      <c r="AH39" s="931"/>
      <c r="AI39" s="931"/>
      <c r="AJ39" s="931"/>
      <c r="AK39" s="931"/>
      <c r="AL39" s="931"/>
      <c r="AM39" s="931"/>
      <c r="AN39" s="931"/>
      <c r="AO39" s="931"/>
      <c r="AP39" s="931"/>
      <c r="AQ39" s="931"/>
      <c r="AR39" s="931"/>
      <c r="AS39" s="931"/>
      <c r="AT39" s="931"/>
      <c r="AU39" s="931"/>
      <c r="AV39" s="931"/>
      <c r="AW39" s="931"/>
      <c r="AX39" s="931"/>
      <c r="AY39" s="931"/>
      <c r="AZ39" s="931"/>
      <c r="BA39" s="931"/>
      <c r="BB39" s="931"/>
      <c r="BC39" s="931"/>
      <c r="BD39" s="931"/>
      <c r="BE39" s="931"/>
      <c r="BF39" s="931"/>
      <c r="BG39" s="931"/>
      <c r="BH39" s="931"/>
      <c r="BI39" s="931"/>
      <c r="BJ39" s="931"/>
      <c r="BK39" s="931"/>
      <c r="BL39" s="931"/>
      <c r="BM39" s="931"/>
      <c r="BN39" s="931"/>
      <c r="BO39" s="931"/>
      <c r="BP39" s="931"/>
      <c r="BQ39" s="931"/>
      <c r="BR39" s="931"/>
      <c r="BS39" s="931"/>
      <c r="BT39" s="931"/>
      <c r="BU39" s="931"/>
      <c r="BV39" s="931"/>
      <c r="BW39" s="931"/>
      <c r="BX39" s="931"/>
      <c r="BY39" s="931"/>
      <c r="BZ39" s="931"/>
      <c r="CA39" s="931"/>
      <c r="CB39" s="931"/>
      <c r="CC39" s="931"/>
      <c r="CD39" s="931"/>
      <c r="CE39" s="931"/>
      <c r="CF39" s="931"/>
      <c r="CG39" s="931"/>
      <c r="CH39" s="931"/>
      <c r="CI39" s="931"/>
      <c r="CJ39" s="931"/>
      <c r="CK39" s="931"/>
      <c r="CL39" s="931"/>
      <c r="CM39" s="931"/>
      <c r="CN39" s="931"/>
      <c r="CO39" s="931"/>
      <c r="CP39" s="931"/>
      <c r="CQ39" s="931"/>
      <c r="CR39" s="931"/>
      <c r="CS39" s="931"/>
      <c r="CT39" s="931"/>
      <c r="CU39" s="931"/>
      <c r="CV39" s="931"/>
      <c r="CW39" s="931"/>
      <c r="CX39" s="931"/>
      <c r="CY39" s="931"/>
      <c r="CZ39" s="931"/>
      <c r="DA39" s="931"/>
      <c r="DB39" s="931"/>
      <c r="DC39" s="931"/>
      <c r="DD39" s="931"/>
      <c r="DE39" s="931"/>
      <c r="DF39" s="931"/>
      <c r="DG39" s="931"/>
      <c r="DH39" s="931"/>
      <c r="DI39" s="931"/>
      <c r="DJ39" s="931"/>
      <c r="DK39" s="931"/>
      <c r="DL39" s="931"/>
      <c r="DM39" s="931"/>
      <c r="DN39" s="931"/>
      <c r="DO39" s="931"/>
      <c r="DP39" s="931"/>
      <c r="DQ39" s="931"/>
      <c r="DR39" s="931"/>
      <c r="DS39" s="931"/>
      <c r="DT39" s="931"/>
      <c r="DU39" s="931"/>
      <c r="DV39" s="931"/>
      <c r="DW39" s="931"/>
      <c r="DX39" s="931"/>
      <c r="DY39" s="931"/>
      <c r="DZ39" s="931"/>
      <c r="EA39" s="931"/>
      <c r="EB39" s="931"/>
      <c r="EC39" s="931"/>
      <c r="ED39" s="931"/>
      <c r="EE39" s="931"/>
      <c r="EF39" s="931"/>
      <c r="EG39" s="931"/>
      <c r="EH39" s="931"/>
      <c r="EI39" s="931"/>
      <c r="EJ39" s="931"/>
      <c r="EK39" s="931"/>
      <c r="EL39" s="931"/>
      <c r="EM39" s="931"/>
      <c r="EN39" s="931"/>
      <c r="EO39" s="931"/>
      <c r="EP39" s="931"/>
      <c r="EQ39" s="931"/>
      <c r="ER39" s="931"/>
      <c r="ES39" s="931"/>
      <c r="ET39" s="931"/>
      <c r="EU39" s="931"/>
      <c r="EV39" s="931"/>
      <c r="EW39" s="931"/>
      <c r="EX39" s="931"/>
      <c r="EY39" s="931"/>
      <c r="EZ39" s="931"/>
      <c r="FA39" s="931"/>
      <c r="FB39" s="931"/>
      <c r="FC39" s="931"/>
      <c r="FD39" s="931"/>
      <c r="FE39" s="931"/>
      <c r="FF39" s="931"/>
      <c r="FG39" s="931"/>
      <c r="FH39" s="931"/>
      <c r="FI39" s="931"/>
      <c r="FJ39" s="931"/>
      <c r="FK39" s="931"/>
      <c r="FL39" s="931"/>
      <c r="FM39" s="931"/>
      <c r="FN39" s="931"/>
      <c r="FO39" s="931"/>
      <c r="FP39" s="931"/>
      <c r="FQ39" s="931"/>
      <c r="FR39" s="931"/>
      <c r="FS39" s="931"/>
      <c r="FT39" s="931"/>
      <c r="FU39" s="931"/>
      <c r="FV39" s="931"/>
      <c r="FW39" s="931"/>
      <c r="FX39" s="931"/>
      <c r="FY39" s="931"/>
      <c r="FZ39" s="931"/>
      <c r="GA39" s="931"/>
      <c r="GB39" s="931"/>
      <c r="GC39" s="931"/>
      <c r="GD39" s="931"/>
      <c r="GE39" s="931"/>
      <c r="GF39" s="931"/>
      <c r="GG39" s="931"/>
      <c r="GH39" s="931"/>
      <c r="GI39" s="931"/>
      <c r="GJ39" s="931"/>
      <c r="GK39" s="931"/>
      <c r="GL39" s="931"/>
      <c r="GM39" s="931"/>
      <c r="GN39" s="931"/>
      <c r="GO39" s="931"/>
      <c r="GP39" s="931"/>
      <c r="GQ39" s="931"/>
      <c r="GR39" s="931"/>
      <c r="GS39" s="931"/>
      <c r="GT39" s="931"/>
      <c r="GU39" s="931"/>
      <c r="GV39" s="931"/>
      <c r="GW39" s="931"/>
      <c r="GX39" s="931"/>
      <c r="GY39" s="931"/>
      <c r="GZ39" s="931"/>
      <c r="HA39" s="931"/>
      <c r="HB39" s="931"/>
      <c r="HC39" s="931"/>
      <c r="HD39" s="931"/>
      <c r="HE39" s="931"/>
      <c r="HF39" s="931"/>
      <c r="HG39" s="931"/>
      <c r="HH39" s="931"/>
      <c r="HI39" s="931"/>
      <c r="HJ39" s="931"/>
      <c r="HK39" s="931"/>
      <c r="HL39" s="931"/>
      <c r="HM39" s="931"/>
      <c r="HN39" s="931"/>
      <c r="HO39" s="931"/>
      <c r="HP39" s="931"/>
      <c r="HQ39" s="931"/>
      <c r="HR39" s="931"/>
      <c r="HS39" s="931"/>
      <c r="HT39" s="931"/>
      <c r="HU39" s="931"/>
      <c r="HV39" s="931"/>
      <c r="HW39" s="931"/>
      <c r="HX39" s="931"/>
      <c r="HY39" s="931"/>
      <c r="HZ39" s="931"/>
      <c r="IA39" s="931"/>
      <c r="IB39" s="931"/>
      <c r="IC39" s="931"/>
      <c r="ID39" s="931"/>
      <c r="IE39" s="931"/>
      <c r="IF39" s="931"/>
      <c r="IG39" s="931"/>
      <c r="IH39" s="931"/>
      <c r="II39" s="931"/>
      <c r="IJ39" s="931"/>
      <c r="IK39" s="931"/>
      <c r="IL39" s="931"/>
      <c r="IM39" s="931"/>
      <c r="IN39" s="931"/>
      <c r="IO39" s="931"/>
      <c r="IP39" s="931"/>
      <c r="IQ39" s="931"/>
      <c r="IR39" s="931"/>
      <c r="IS39" s="931"/>
      <c r="IT39" s="931"/>
    </row>
    <row r="40" spans="1:254" ht="14.1" customHeight="1">
      <c r="A40" s="1115"/>
      <c r="B40" s="1125"/>
      <c r="C40" s="933"/>
      <c r="D40" s="933"/>
      <c r="E40" s="934"/>
      <c r="F40" s="934"/>
      <c r="G40" s="934"/>
      <c r="H40" s="935"/>
      <c r="O40" s="936"/>
      <c r="P40" s="936"/>
      <c r="Q40" s="936"/>
      <c r="R40" s="936"/>
      <c r="S40" s="936"/>
      <c r="T40" s="936"/>
      <c r="U40" s="936"/>
      <c r="V40" s="936"/>
      <c r="W40" s="936"/>
      <c r="X40" s="936"/>
      <c r="Y40" s="936"/>
      <c r="Z40" s="936"/>
      <c r="AA40" s="936"/>
      <c r="AB40" s="936"/>
      <c r="AC40" s="936"/>
      <c r="AD40" s="936"/>
      <c r="AE40" s="936"/>
      <c r="AF40" s="936"/>
      <c r="AG40" s="936"/>
      <c r="AH40" s="936"/>
      <c r="AI40" s="936"/>
      <c r="AJ40" s="936"/>
      <c r="AK40" s="936"/>
      <c r="AL40" s="936"/>
      <c r="AM40" s="936"/>
      <c r="AN40" s="936"/>
      <c r="AO40" s="936"/>
      <c r="AP40" s="936"/>
      <c r="AQ40" s="936"/>
      <c r="AR40" s="936"/>
      <c r="AS40" s="936"/>
      <c r="AT40" s="936"/>
      <c r="AU40" s="936"/>
      <c r="AV40" s="936"/>
      <c r="AW40" s="936"/>
      <c r="AX40" s="936"/>
      <c r="AY40" s="936"/>
      <c r="AZ40" s="936"/>
      <c r="BA40" s="936"/>
      <c r="BB40" s="936"/>
      <c r="BC40" s="936"/>
      <c r="BD40" s="936"/>
      <c r="BE40" s="936"/>
      <c r="BF40" s="936"/>
      <c r="BG40" s="936"/>
      <c r="BH40" s="936"/>
      <c r="BI40" s="936"/>
      <c r="BJ40" s="936"/>
      <c r="BK40" s="936"/>
      <c r="BL40" s="936"/>
      <c r="BM40" s="936"/>
      <c r="BN40" s="936"/>
      <c r="BO40" s="936"/>
      <c r="BP40" s="936"/>
      <c r="BQ40" s="936"/>
      <c r="BR40" s="936"/>
      <c r="BS40" s="936"/>
      <c r="BT40" s="936"/>
      <c r="BU40" s="936"/>
      <c r="BV40" s="936"/>
      <c r="BW40" s="936"/>
      <c r="BX40" s="936"/>
      <c r="BY40" s="936"/>
      <c r="BZ40" s="936"/>
      <c r="CA40" s="936"/>
      <c r="CB40" s="936"/>
      <c r="CC40" s="936"/>
      <c r="CD40" s="936"/>
      <c r="CE40" s="936"/>
      <c r="CF40" s="936"/>
      <c r="CG40" s="936"/>
      <c r="CH40" s="936"/>
      <c r="CI40" s="936"/>
      <c r="CJ40" s="936"/>
      <c r="CK40" s="936"/>
      <c r="CL40" s="936"/>
      <c r="CM40" s="936"/>
      <c r="CN40" s="936"/>
      <c r="CO40" s="936"/>
      <c r="CP40" s="936"/>
      <c r="CQ40" s="936"/>
      <c r="CR40" s="936"/>
      <c r="CS40" s="936"/>
      <c r="CT40" s="936"/>
      <c r="CU40" s="936"/>
      <c r="CV40" s="936"/>
      <c r="CW40" s="936"/>
      <c r="CX40" s="936"/>
      <c r="CY40" s="936"/>
      <c r="CZ40" s="936"/>
      <c r="DA40" s="936"/>
      <c r="DB40" s="936"/>
      <c r="DC40" s="936"/>
      <c r="DD40" s="936"/>
      <c r="DE40" s="936"/>
      <c r="DF40" s="936"/>
      <c r="DG40" s="936"/>
      <c r="DH40" s="936"/>
      <c r="DI40" s="936"/>
      <c r="DJ40" s="936"/>
      <c r="DK40" s="936"/>
      <c r="DL40" s="936"/>
      <c r="DM40" s="936"/>
      <c r="DN40" s="936"/>
      <c r="DO40" s="936"/>
      <c r="DP40" s="936"/>
      <c r="DQ40" s="936"/>
      <c r="DR40" s="936"/>
      <c r="DS40" s="936"/>
      <c r="DT40" s="936"/>
      <c r="DU40" s="936"/>
      <c r="DV40" s="936"/>
      <c r="DW40" s="936"/>
      <c r="DX40" s="936"/>
      <c r="DY40" s="936"/>
      <c r="DZ40" s="936"/>
      <c r="EA40" s="936"/>
      <c r="EB40" s="936"/>
      <c r="EC40" s="936"/>
      <c r="ED40" s="936"/>
      <c r="EE40" s="936"/>
      <c r="EF40" s="936"/>
      <c r="EG40" s="936"/>
      <c r="EH40" s="936"/>
      <c r="EI40" s="936"/>
      <c r="EJ40" s="936"/>
      <c r="EK40" s="936"/>
      <c r="EL40" s="936"/>
      <c r="EM40" s="936"/>
      <c r="EN40" s="936"/>
      <c r="EO40" s="936"/>
      <c r="EP40" s="936"/>
      <c r="EQ40" s="936"/>
      <c r="ER40" s="936"/>
      <c r="ES40" s="936"/>
      <c r="ET40" s="936"/>
      <c r="EU40" s="936"/>
      <c r="EV40" s="936"/>
      <c r="EW40" s="936"/>
      <c r="EX40" s="936"/>
      <c r="EY40" s="936"/>
      <c r="EZ40" s="936"/>
      <c r="FA40" s="936"/>
      <c r="FB40" s="936"/>
      <c r="FC40" s="936"/>
      <c r="FD40" s="936"/>
      <c r="FE40" s="936"/>
      <c r="FF40" s="936"/>
      <c r="FG40" s="936"/>
      <c r="FH40" s="936"/>
      <c r="FI40" s="936"/>
      <c r="FJ40" s="936"/>
      <c r="FK40" s="936"/>
      <c r="FL40" s="936"/>
      <c r="FM40" s="936"/>
      <c r="FN40" s="936"/>
      <c r="FO40" s="936"/>
      <c r="FP40" s="936"/>
      <c r="FQ40" s="936"/>
      <c r="FR40" s="936"/>
      <c r="FS40" s="936"/>
      <c r="FT40" s="936"/>
      <c r="FU40" s="936"/>
      <c r="FV40" s="936"/>
      <c r="FW40" s="936"/>
      <c r="FX40" s="936"/>
      <c r="FY40" s="936"/>
      <c r="FZ40" s="936"/>
      <c r="GA40" s="936"/>
      <c r="GB40" s="936"/>
      <c r="GC40" s="936"/>
      <c r="GD40" s="936"/>
      <c r="GE40" s="936"/>
      <c r="GF40" s="936"/>
      <c r="GG40" s="936"/>
      <c r="GH40" s="936"/>
      <c r="GI40" s="936"/>
      <c r="GJ40" s="936"/>
      <c r="GK40" s="936"/>
      <c r="GL40" s="936"/>
      <c r="GM40" s="936"/>
      <c r="GN40" s="936"/>
      <c r="GO40" s="936"/>
      <c r="GP40" s="936"/>
      <c r="GQ40" s="936"/>
      <c r="GR40" s="936"/>
      <c r="GS40" s="936"/>
      <c r="GT40" s="936"/>
      <c r="GU40" s="936"/>
      <c r="GV40" s="936"/>
      <c r="GW40" s="936"/>
      <c r="GX40" s="936"/>
      <c r="GY40" s="936"/>
      <c r="GZ40" s="936"/>
      <c r="HA40" s="936"/>
      <c r="HB40" s="936"/>
      <c r="HC40" s="936"/>
      <c r="HD40" s="936"/>
      <c r="HE40" s="936"/>
      <c r="HF40" s="936"/>
      <c r="HG40" s="936"/>
      <c r="HH40" s="936"/>
      <c r="HI40" s="936"/>
      <c r="HJ40" s="936"/>
      <c r="HK40" s="936"/>
      <c r="HL40" s="936"/>
      <c r="HM40" s="936"/>
      <c r="HN40" s="936"/>
      <c r="HO40" s="936"/>
      <c r="HP40" s="936"/>
      <c r="HQ40" s="936"/>
      <c r="HR40" s="936"/>
      <c r="HS40" s="936"/>
      <c r="HT40" s="936"/>
      <c r="HU40" s="936"/>
      <c r="HV40" s="936"/>
      <c r="HW40" s="936"/>
      <c r="HX40" s="936"/>
      <c r="HY40" s="936"/>
      <c r="HZ40" s="936"/>
      <c r="IA40" s="936"/>
      <c r="IB40" s="936"/>
      <c r="IC40" s="936"/>
      <c r="ID40" s="936"/>
      <c r="IE40" s="936"/>
      <c r="IF40" s="936"/>
      <c r="IG40" s="936"/>
      <c r="IH40" s="936"/>
      <c r="II40" s="936"/>
      <c r="IJ40" s="936"/>
      <c r="IK40" s="936"/>
      <c r="IL40" s="936"/>
      <c r="IM40" s="936"/>
      <c r="IN40" s="936"/>
      <c r="IO40" s="936"/>
      <c r="IP40" s="936"/>
      <c r="IQ40" s="936"/>
      <c r="IR40" s="936"/>
      <c r="IS40" s="936"/>
      <c r="IT40" s="936"/>
    </row>
    <row r="41" spans="1:254" ht="14.1" customHeight="1">
      <c r="A41" s="1115"/>
      <c r="B41" s="1125"/>
      <c r="C41" s="933"/>
      <c r="D41" s="933"/>
      <c r="E41" s="937"/>
      <c r="F41" s="1282"/>
      <c r="G41" s="1282"/>
      <c r="H41" s="935"/>
      <c r="O41" s="936"/>
      <c r="P41" s="936"/>
      <c r="Q41" s="936"/>
      <c r="R41" s="936"/>
      <c r="S41" s="936"/>
      <c r="T41" s="936"/>
      <c r="U41" s="936"/>
      <c r="V41" s="936"/>
      <c r="W41" s="936"/>
      <c r="X41" s="936"/>
      <c r="Y41" s="936"/>
      <c r="Z41" s="936"/>
      <c r="AA41" s="936"/>
      <c r="AB41" s="936"/>
      <c r="AC41" s="936"/>
      <c r="AD41" s="936"/>
      <c r="AE41" s="936"/>
      <c r="AF41" s="936"/>
      <c r="AG41" s="936"/>
      <c r="AH41" s="936"/>
      <c r="AI41" s="936"/>
      <c r="AJ41" s="936"/>
      <c r="AK41" s="936"/>
      <c r="AL41" s="936"/>
      <c r="AM41" s="936"/>
      <c r="AN41" s="936"/>
      <c r="AO41" s="936"/>
      <c r="AP41" s="936"/>
      <c r="AQ41" s="936"/>
      <c r="AR41" s="936"/>
      <c r="AS41" s="936"/>
      <c r="AT41" s="936"/>
      <c r="AU41" s="936"/>
      <c r="AV41" s="936"/>
      <c r="AW41" s="936"/>
      <c r="AX41" s="936"/>
      <c r="AY41" s="936"/>
      <c r="AZ41" s="936"/>
      <c r="BA41" s="936"/>
      <c r="BB41" s="936"/>
      <c r="BC41" s="936"/>
      <c r="BD41" s="936"/>
      <c r="BE41" s="936"/>
      <c r="BF41" s="936"/>
      <c r="BG41" s="936"/>
      <c r="BH41" s="936"/>
      <c r="BI41" s="936"/>
      <c r="BJ41" s="936"/>
      <c r="BK41" s="936"/>
      <c r="BL41" s="936"/>
      <c r="BM41" s="936"/>
      <c r="BN41" s="936"/>
      <c r="BO41" s="936"/>
      <c r="BP41" s="936"/>
      <c r="BQ41" s="936"/>
      <c r="BR41" s="936"/>
      <c r="BS41" s="936"/>
      <c r="BT41" s="936"/>
      <c r="BU41" s="936"/>
      <c r="BV41" s="936"/>
      <c r="BW41" s="936"/>
      <c r="BX41" s="936"/>
      <c r="BY41" s="936"/>
      <c r="BZ41" s="936"/>
      <c r="CA41" s="936"/>
      <c r="CB41" s="936"/>
      <c r="CC41" s="936"/>
      <c r="CD41" s="936"/>
      <c r="CE41" s="936"/>
      <c r="CF41" s="936"/>
      <c r="CG41" s="936"/>
      <c r="CH41" s="936"/>
      <c r="CI41" s="936"/>
      <c r="CJ41" s="936"/>
      <c r="CK41" s="936"/>
      <c r="CL41" s="936"/>
      <c r="CM41" s="936"/>
      <c r="CN41" s="936"/>
      <c r="CO41" s="936"/>
      <c r="CP41" s="936"/>
      <c r="CQ41" s="936"/>
      <c r="CR41" s="936"/>
      <c r="CS41" s="936"/>
      <c r="CT41" s="936"/>
      <c r="CU41" s="936"/>
      <c r="CV41" s="936"/>
      <c r="CW41" s="936"/>
      <c r="CX41" s="936"/>
      <c r="CY41" s="936"/>
      <c r="CZ41" s="936"/>
      <c r="DA41" s="936"/>
      <c r="DB41" s="936"/>
      <c r="DC41" s="936"/>
      <c r="DD41" s="936"/>
      <c r="DE41" s="936"/>
      <c r="DF41" s="936"/>
      <c r="DG41" s="936"/>
      <c r="DH41" s="936"/>
      <c r="DI41" s="936"/>
      <c r="DJ41" s="936"/>
      <c r="DK41" s="936"/>
      <c r="DL41" s="936"/>
      <c r="DM41" s="936"/>
      <c r="DN41" s="936"/>
      <c r="DO41" s="936"/>
      <c r="DP41" s="936"/>
      <c r="DQ41" s="936"/>
      <c r="DR41" s="936"/>
      <c r="DS41" s="936"/>
      <c r="DT41" s="936"/>
      <c r="DU41" s="936"/>
      <c r="DV41" s="936"/>
      <c r="DW41" s="936"/>
      <c r="DX41" s="936"/>
      <c r="DY41" s="936"/>
      <c r="DZ41" s="936"/>
      <c r="EA41" s="936"/>
      <c r="EB41" s="936"/>
      <c r="EC41" s="936"/>
      <c r="ED41" s="936"/>
      <c r="EE41" s="936"/>
      <c r="EF41" s="936"/>
      <c r="EG41" s="936"/>
      <c r="EH41" s="936"/>
      <c r="EI41" s="936"/>
      <c r="EJ41" s="936"/>
      <c r="EK41" s="936"/>
      <c r="EL41" s="936"/>
      <c r="EM41" s="936"/>
      <c r="EN41" s="936"/>
      <c r="EO41" s="936"/>
      <c r="EP41" s="936"/>
      <c r="EQ41" s="936"/>
      <c r="ER41" s="936"/>
      <c r="ES41" s="936"/>
      <c r="ET41" s="936"/>
      <c r="EU41" s="936"/>
      <c r="EV41" s="936"/>
      <c r="EW41" s="936"/>
      <c r="EX41" s="936"/>
      <c r="EY41" s="936"/>
      <c r="EZ41" s="936"/>
      <c r="FA41" s="936"/>
      <c r="FB41" s="936"/>
      <c r="FC41" s="936"/>
      <c r="FD41" s="936"/>
      <c r="FE41" s="936"/>
      <c r="FF41" s="936"/>
      <c r="FG41" s="936"/>
      <c r="FH41" s="936"/>
      <c r="FI41" s="936"/>
      <c r="FJ41" s="936"/>
      <c r="FK41" s="936"/>
      <c r="FL41" s="936"/>
      <c r="FM41" s="936"/>
      <c r="FN41" s="936"/>
      <c r="FO41" s="936"/>
      <c r="FP41" s="936"/>
      <c r="FQ41" s="936"/>
      <c r="FR41" s="936"/>
      <c r="FS41" s="936"/>
      <c r="FT41" s="936"/>
      <c r="FU41" s="936"/>
      <c r="FV41" s="936"/>
      <c r="FW41" s="936"/>
      <c r="FX41" s="936"/>
      <c r="FY41" s="936"/>
      <c r="FZ41" s="936"/>
      <c r="GA41" s="936"/>
      <c r="GB41" s="936"/>
      <c r="GC41" s="936"/>
      <c r="GD41" s="936"/>
      <c r="GE41" s="936"/>
      <c r="GF41" s="936"/>
      <c r="GG41" s="936"/>
      <c r="GH41" s="936"/>
      <c r="GI41" s="936"/>
      <c r="GJ41" s="936"/>
      <c r="GK41" s="936"/>
      <c r="GL41" s="936"/>
      <c r="GM41" s="936"/>
      <c r="GN41" s="936"/>
      <c r="GO41" s="936"/>
      <c r="GP41" s="936"/>
      <c r="GQ41" s="936"/>
      <c r="GR41" s="936"/>
      <c r="GS41" s="936"/>
      <c r="GT41" s="936"/>
      <c r="GU41" s="936"/>
      <c r="GV41" s="936"/>
      <c r="GW41" s="936"/>
      <c r="GX41" s="936"/>
      <c r="GY41" s="936"/>
      <c r="GZ41" s="936"/>
      <c r="HA41" s="936"/>
      <c r="HB41" s="936"/>
      <c r="HC41" s="936"/>
      <c r="HD41" s="936"/>
      <c r="HE41" s="936"/>
      <c r="HF41" s="936"/>
      <c r="HG41" s="936"/>
      <c r="HH41" s="936"/>
      <c r="HI41" s="936"/>
      <c r="HJ41" s="936"/>
      <c r="HK41" s="936"/>
      <c r="HL41" s="936"/>
      <c r="HM41" s="936"/>
      <c r="HN41" s="936"/>
      <c r="HO41" s="936"/>
      <c r="HP41" s="936"/>
      <c r="HQ41" s="936"/>
      <c r="HR41" s="936"/>
      <c r="HS41" s="936"/>
      <c r="HT41" s="936"/>
      <c r="HU41" s="936"/>
      <c r="HV41" s="936"/>
      <c r="HW41" s="936"/>
      <c r="HX41" s="936"/>
      <c r="HY41" s="936"/>
      <c r="HZ41" s="936"/>
      <c r="IA41" s="936"/>
      <c r="IB41" s="936"/>
      <c r="IC41" s="936"/>
      <c r="ID41" s="936"/>
      <c r="IE41" s="936"/>
      <c r="IF41" s="936"/>
      <c r="IG41" s="936"/>
      <c r="IH41" s="936"/>
      <c r="II41" s="936"/>
      <c r="IJ41" s="936"/>
      <c r="IK41" s="936"/>
      <c r="IL41" s="936"/>
      <c r="IM41" s="936"/>
      <c r="IN41" s="936"/>
      <c r="IO41" s="936"/>
      <c r="IP41" s="936"/>
      <c r="IQ41" s="936"/>
      <c r="IR41" s="936"/>
      <c r="IS41" s="936"/>
      <c r="IT41" s="936"/>
    </row>
    <row r="42" spans="1:254" ht="14.1" customHeight="1">
      <c r="A42" s="1115"/>
      <c r="B42" s="1125"/>
      <c r="C42" s="933"/>
      <c r="D42" s="933"/>
      <c r="E42" s="934"/>
      <c r="F42" s="934"/>
      <c r="G42" s="934"/>
      <c r="H42" s="935"/>
      <c r="O42" s="936"/>
      <c r="P42" s="936"/>
      <c r="Q42" s="936"/>
      <c r="R42" s="936"/>
      <c r="S42" s="936"/>
      <c r="T42" s="936"/>
      <c r="U42" s="936"/>
      <c r="V42" s="936"/>
      <c r="W42" s="936"/>
      <c r="X42" s="936"/>
      <c r="Y42" s="936"/>
      <c r="Z42" s="936"/>
      <c r="AA42" s="936"/>
      <c r="AB42" s="936"/>
      <c r="AC42" s="936"/>
      <c r="AD42" s="936"/>
      <c r="AE42" s="936"/>
      <c r="AF42" s="936"/>
      <c r="AG42" s="936"/>
      <c r="AH42" s="936"/>
      <c r="AI42" s="936"/>
      <c r="AJ42" s="936"/>
      <c r="AK42" s="936"/>
      <c r="AL42" s="936"/>
      <c r="AM42" s="936"/>
      <c r="AN42" s="936"/>
      <c r="AO42" s="936"/>
      <c r="AP42" s="936"/>
      <c r="AQ42" s="936"/>
      <c r="AR42" s="936"/>
      <c r="AS42" s="936"/>
      <c r="AT42" s="936"/>
      <c r="AU42" s="936"/>
      <c r="AV42" s="936"/>
      <c r="AW42" s="936"/>
      <c r="AX42" s="936"/>
      <c r="AY42" s="936"/>
      <c r="AZ42" s="936"/>
      <c r="BA42" s="936"/>
      <c r="BB42" s="936"/>
      <c r="BC42" s="936"/>
      <c r="BD42" s="936"/>
      <c r="BE42" s="936"/>
      <c r="BF42" s="936"/>
      <c r="BG42" s="936"/>
      <c r="BH42" s="936"/>
      <c r="BI42" s="936"/>
      <c r="BJ42" s="936"/>
      <c r="BK42" s="936"/>
      <c r="BL42" s="936"/>
      <c r="BM42" s="936"/>
      <c r="BN42" s="936"/>
      <c r="BO42" s="936"/>
      <c r="BP42" s="936"/>
      <c r="BQ42" s="936"/>
      <c r="BR42" s="936"/>
      <c r="BS42" s="936"/>
      <c r="BT42" s="936"/>
      <c r="BU42" s="936"/>
      <c r="BV42" s="936"/>
      <c r="BW42" s="936"/>
      <c r="BX42" s="936"/>
      <c r="BY42" s="936"/>
      <c r="BZ42" s="936"/>
      <c r="CA42" s="936"/>
      <c r="CB42" s="936"/>
      <c r="CC42" s="936"/>
      <c r="CD42" s="936"/>
      <c r="CE42" s="936"/>
      <c r="CF42" s="936"/>
      <c r="CG42" s="936"/>
      <c r="CH42" s="936"/>
      <c r="CI42" s="936"/>
      <c r="CJ42" s="936"/>
      <c r="CK42" s="936"/>
      <c r="CL42" s="936"/>
      <c r="CM42" s="936"/>
      <c r="CN42" s="936"/>
      <c r="CO42" s="936"/>
      <c r="CP42" s="936"/>
      <c r="CQ42" s="936"/>
      <c r="CR42" s="936"/>
      <c r="CS42" s="936"/>
      <c r="CT42" s="936"/>
      <c r="CU42" s="936"/>
      <c r="CV42" s="936"/>
      <c r="CW42" s="936"/>
      <c r="CX42" s="936"/>
      <c r="CY42" s="936"/>
      <c r="CZ42" s="936"/>
      <c r="DA42" s="936"/>
      <c r="DB42" s="936"/>
      <c r="DC42" s="936"/>
      <c r="DD42" s="936"/>
      <c r="DE42" s="936"/>
      <c r="DF42" s="936"/>
      <c r="DG42" s="936"/>
      <c r="DH42" s="936"/>
      <c r="DI42" s="936"/>
      <c r="DJ42" s="936"/>
      <c r="DK42" s="936"/>
      <c r="DL42" s="936"/>
      <c r="DM42" s="936"/>
      <c r="DN42" s="936"/>
      <c r="DO42" s="936"/>
      <c r="DP42" s="936"/>
      <c r="DQ42" s="936"/>
      <c r="DR42" s="936"/>
      <c r="DS42" s="936"/>
      <c r="DT42" s="936"/>
      <c r="DU42" s="936"/>
      <c r="DV42" s="936"/>
      <c r="DW42" s="936"/>
      <c r="DX42" s="936"/>
      <c r="DY42" s="936"/>
      <c r="DZ42" s="936"/>
      <c r="EA42" s="936"/>
      <c r="EB42" s="936"/>
      <c r="EC42" s="936"/>
      <c r="ED42" s="936"/>
      <c r="EE42" s="936"/>
      <c r="EF42" s="936"/>
      <c r="EG42" s="936"/>
      <c r="EH42" s="936"/>
      <c r="EI42" s="936"/>
      <c r="EJ42" s="936"/>
      <c r="EK42" s="936"/>
      <c r="EL42" s="936"/>
      <c r="EM42" s="936"/>
      <c r="EN42" s="936"/>
      <c r="EO42" s="936"/>
      <c r="EP42" s="936"/>
      <c r="EQ42" s="936"/>
      <c r="ER42" s="936"/>
      <c r="ES42" s="936"/>
      <c r="ET42" s="936"/>
      <c r="EU42" s="936"/>
      <c r="EV42" s="936"/>
      <c r="EW42" s="936"/>
      <c r="EX42" s="936"/>
      <c r="EY42" s="936"/>
      <c r="EZ42" s="936"/>
      <c r="FA42" s="936"/>
      <c r="FB42" s="936"/>
      <c r="FC42" s="936"/>
      <c r="FD42" s="936"/>
      <c r="FE42" s="936"/>
      <c r="FF42" s="936"/>
      <c r="FG42" s="936"/>
      <c r="FH42" s="936"/>
      <c r="FI42" s="936"/>
      <c r="FJ42" s="936"/>
      <c r="FK42" s="936"/>
      <c r="FL42" s="936"/>
      <c r="FM42" s="936"/>
      <c r="FN42" s="936"/>
      <c r="FO42" s="936"/>
      <c r="FP42" s="936"/>
      <c r="FQ42" s="936"/>
      <c r="FR42" s="936"/>
      <c r="FS42" s="936"/>
      <c r="FT42" s="936"/>
      <c r="FU42" s="936"/>
      <c r="FV42" s="936"/>
      <c r="FW42" s="936"/>
      <c r="FX42" s="936"/>
      <c r="FY42" s="936"/>
      <c r="FZ42" s="936"/>
      <c r="GA42" s="936"/>
      <c r="GB42" s="936"/>
      <c r="GC42" s="936"/>
      <c r="GD42" s="936"/>
      <c r="GE42" s="936"/>
      <c r="GF42" s="936"/>
      <c r="GG42" s="936"/>
      <c r="GH42" s="936"/>
      <c r="GI42" s="936"/>
      <c r="GJ42" s="936"/>
      <c r="GK42" s="936"/>
      <c r="GL42" s="936"/>
      <c r="GM42" s="936"/>
      <c r="GN42" s="936"/>
      <c r="GO42" s="936"/>
      <c r="GP42" s="936"/>
      <c r="GQ42" s="936"/>
      <c r="GR42" s="936"/>
      <c r="GS42" s="936"/>
      <c r="GT42" s="936"/>
      <c r="GU42" s="936"/>
      <c r="GV42" s="936"/>
      <c r="GW42" s="936"/>
      <c r="GX42" s="936"/>
      <c r="GY42" s="936"/>
      <c r="GZ42" s="936"/>
      <c r="HA42" s="936"/>
      <c r="HB42" s="936"/>
      <c r="HC42" s="936"/>
      <c r="HD42" s="936"/>
      <c r="HE42" s="936"/>
      <c r="HF42" s="936"/>
      <c r="HG42" s="936"/>
      <c r="HH42" s="936"/>
      <c r="HI42" s="936"/>
      <c r="HJ42" s="936"/>
      <c r="HK42" s="936"/>
      <c r="HL42" s="936"/>
      <c r="HM42" s="936"/>
      <c r="HN42" s="936"/>
      <c r="HO42" s="936"/>
      <c r="HP42" s="936"/>
      <c r="HQ42" s="936"/>
      <c r="HR42" s="936"/>
      <c r="HS42" s="936"/>
      <c r="HT42" s="936"/>
      <c r="HU42" s="936"/>
      <c r="HV42" s="936"/>
      <c r="HW42" s="936"/>
      <c r="HX42" s="936"/>
      <c r="HY42" s="936"/>
      <c r="HZ42" s="936"/>
      <c r="IA42" s="936"/>
      <c r="IB42" s="936"/>
      <c r="IC42" s="936"/>
      <c r="ID42" s="936"/>
      <c r="IE42" s="936"/>
      <c r="IF42" s="936"/>
      <c r="IG42" s="936"/>
      <c r="IH42" s="936"/>
      <c r="II42" s="936"/>
      <c r="IJ42" s="936"/>
      <c r="IK42" s="936"/>
      <c r="IL42" s="936"/>
      <c r="IM42" s="936"/>
      <c r="IN42" s="936"/>
      <c r="IO42" s="936"/>
      <c r="IP42" s="936"/>
      <c r="IQ42" s="936"/>
      <c r="IR42" s="936"/>
      <c r="IS42" s="936"/>
      <c r="IT42" s="936"/>
    </row>
    <row r="43" spans="1:254" ht="14.1" customHeight="1">
      <c r="A43" s="1116"/>
      <c r="B43" s="1116"/>
      <c r="C43" s="938"/>
      <c r="D43" s="938"/>
      <c r="E43" s="938"/>
      <c r="F43" s="938"/>
      <c r="G43" s="938"/>
      <c r="H43" s="938"/>
      <c r="J43" s="936"/>
      <c r="K43" s="936"/>
      <c r="L43" s="936"/>
      <c r="M43" s="936"/>
      <c r="N43" s="936"/>
      <c r="O43" s="936"/>
      <c r="P43" s="936"/>
      <c r="Q43" s="936"/>
      <c r="R43" s="936"/>
      <c r="S43" s="936"/>
      <c r="T43" s="936"/>
      <c r="U43" s="936"/>
      <c r="V43" s="936"/>
      <c r="W43" s="936"/>
      <c r="X43" s="936"/>
      <c r="Y43" s="936"/>
      <c r="Z43" s="936"/>
      <c r="AA43" s="936"/>
      <c r="AB43" s="936"/>
      <c r="AC43" s="936"/>
      <c r="AD43" s="936"/>
      <c r="AE43" s="936"/>
      <c r="AF43" s="936"/>
      <c r="AG43" s="936"/>
      <c r="AH43" s="936"/>
      <c r="AI43" s="936"/>
      <c r="AJ43" s="936"/>
      <c r="AK43" s="936"/>
      <c r="AL43" s="936"/>
      <c r="AM43" s="936"/>
      <c r="AN43" s="936"/>
      <c r="AO43" s="936"/>
      <c r="AP43" s="936"/>
      <c r="AQ43" s="936"/>
      <c r="AR43" s="936"/>
      <c r="AS43" s="936"/>
      <c r="AT43" s="936"/>
      <c r="AU43" s="936"/>
      <c r="AV43" s="936"/>
      <c r="AW43" s="936"/>
      <c r="AX43" s="936"/>
      <c r="AY43" s="936"/>
      <c r="AZ43" s="936"/>
      <c r="BA43" s="936"/>
      <c r="BB43" s="936"/>
      <c r="BC43" s="936"/>
      <c r="BD43" s="936"/>
      <c r="BE43" s="936"/>
      <c r="BF43" s="936"/>
      <c r="BG43" s="936"/>
      <c r="BH43" s="936"/>
      <c r="BI43" s="936"/>
      <c r="BJ43" s="936"/>
      <c r="BK43" s="936"/>
      <c r="BL43" s="936"/>
      <c r="BM43" s="936"/>
      <c r="BN43" s="936"/>
      <c r="BO43" s="936"/>
      <c r="BP43" s="936"/>
      <c r="BQ43" s="936"/>
      <c r="BR43" s="936"/>
      <c r="BS43" s="936"/>
      <c r="BT43" s="936"/>
      <c r="BU43" s="936"/>
      <c r="BV43" s="936"/>
      <c r="BW43" s="936"/>
      <c r="BX43" s="936"/>
      <c r="BY43" s="936"/>
      <c r="BZ43" s="936"/>
      <c r="CA43" s="936"/>
      <c r="CB43" s="936"/>
      <c r="CC43" s="936"/>
      <c r="CD43" s="936"/>
      <c r="CE43" s="936"/>
      <c r="CF43" s="936"/>
      <c r="CG43" s="936"/>
      <c r="CH43" s="936"/>
      <c r="CI43" s="936"/>
      <c r="CJ43" s="936"/>
      <c r="CK43" s="936"/>
      <c r="CL43" s="936"/>
      <c r="CM43" s="936"/>
      <c r="CN43" s="936"/>
      <c r="CO43" s="936"/>
      <c r="CP43" s="936"/>
      <c r="CQ43" s="936"/>
      <c r="CR43" s="936"/>
      <c r="CS43" s="936"/>
      <c r="CT43" s="936"/>
      <c r="CU43" s="936"/>
      <c r="CV43" s="936"/>
      <c r="CW43" s="936"/>
      <c r="CX43" s="936"/>
      <c r="CY43" s="936"/>
      <c r="CZ43" s="936"/>
      <c r="DA43" s="936"/>
      <c r="DB43" s="936"/>
      <c r="DC43" s="936"/>
      <c r="DD43" s="936"/>
      <c r="DE43" s="936"/>
      <c r="DF43" s="936"/>
      <c r="DG43" s="936"/>
      <c r="DH43" s="936"/>
      <c r="DI43" s="936"/>
      <c r="DJ43" s="936"/>
      <c r="DK43" s="936"/>
      <c r="DL43" s="936"/>
      <c r="DM43" s="936"/>
      <c r="DN43" s="936"/>
      <c r="DO43" s="936"/>
      <c r="DP43" s="936"/>
      <c r="DQ43" s="936"/>
      <c r="DR43" s="936"/>
      <c r="DS43" s="936"/>
      <c r="DT43" s="936"/>
      <c r="DU43" s="936"/>
      <c r="DV43" s="936"/>
      <c r="DW43" s="936"/>
      <c r="DX43" s="936"/>
      <c r="DY43" s="936"/>
      <c r="DZ43" s="936"/>
      <c r="EA43" s="936"/>
      <c r="EB43" s="936"/>
      <c r="EC43" s="936"/>
      <c r="ED43" s="936"/>
      <c r="EE43" s="936"/>
      <c r="EF43" s="936"/>
      <c r="EG43" s="936"/>
      <c r="EH43" s="936"/>
      <c r="EI43" s="936"/>
      <c r="EJ43" s="936"/>
      <c r="EK43" s="936"/>
      <c r="EL43" s="936"/>
      <c r="EM43" s="936"/>
      <c r="EN43" s="936"/>
      <c r="EO43" s="936"/>
      <c r="EP43" s="936"/>
      <c r="EQ43" s="936"/>
      <c r="ER43" s="936"/>
      <c r="ES43" s="936"/>
      <c r="ET43" s="936"/>
      <c r="EU43" s="936"/>
      <c r="EV43" s="936"/>
      <c r="EW43" s="936"/>
      <c r="EX43" s="936"/>
      <c r="EY43" s="936"/>
      <c r="EZ43" s="936"/>
      <c r="FA43" s="936"/>
      <c r="FB43" s="936"/>
      <c r="FC43" s="936"/>
      <c r="FD43" s="936"/>
      <c r="FE43" s="936"/>
      <c r="FF43" s="936"/>
      <c r="FG43" s="936"/>
      <c r="FH43" s="936"/>
      <c r="FI43" s="936"/>
      <c r="FJ43" s="936"/>
      <c r="FK43" s="936"/>
      <c r="FL43" s="936"/>
      <c r="FM43" s="936"/>
      <c r="FN43" s="936"/>
      <c r="FO43" s="936"/>
      <c r="FP43" s="936"/>
      <c r="FQ43" s="936"/>
      <c r="FR43" s="936"/>
      <c r="FS43" s="936"/>
      <c r="FT43" s="936"/>
      <c r="FU43" s="936"/>
      <c r="FV43" s="936"/>
      <c r="FW43" s="936"/>
      <c r="FX43" s="936"/>
      <c r="FY43" s="936"/>
      <c r="FZ43" s="936"/>
      <c r="GA43" s="936"/>
      <c r="GB43" s="936"/>
      <c r="GC43" s="936"/>
      <c r="GD43" s="936"/>
      <c r="GE43" s="936"/>
      <c r="GF43" s="936"/>
      <c r="GG43" s="936"/>
      <c r="GH43" s="936"/>
      <c r="GI43" s="936"/>
      <c r="GJ43" s="936"/>
      <c r="GK43" s="936"/>
      <c r="GL43" s="936"/>
      <c r="GM43" s="936"/>
      <c r="GN43" s="936"/>
      <c r="GO43" s="936"/>
      <c r="GP43" s="936"/>
      <c r="GQ43" s="936"/>
      <c r="GR43" s="936"/>
      <c r="GS43" s="936"/>
      <c r="GT43" s="936"/>
      <c r="GU43" s="936"/>
      <c r="GV43" s="936"/>
      <c r="GW43" s="936"/>
      <c r="GX43" s="936"/>
      <c r="GY43" s="936"/>
      <c r="GZ43" s="936"/>
      <c r="HA43" s="936"/>
      <c r="HB43" s="936"/>
      <c r="HC43" s="936"/>
      <c r="HD43" s="936"/>
      <c r="HE43" s="936"/>
      <c r="HF43" s="936"/>
      <c r="HG43" s="936"/>
      <c r="HH43" s="936"/>
      <c r="HI43" s="936"/>
      <c r="HJ43" s="936"/>
      <c r="HK43" s="936"/>
      <c r="HL43" s="936"/>
      <c r="HM43" s="936"/>
      <c r="HN43" s="936"/>
      <c r="HO43" s="936"/>
      <c r="HP43" s="936"/>
      <c r="HQ43" s="936"/>
      <c r="HR43" s="936"/>
      <c r="HS43" s="936"/>
      <c r="HT43" s="936"/>
      <c r="HU43" s="936"/>
      <c r="HV43" s="936"/>
      <c r="HW43" s="936"/>
      <c r="HX43" s="936"/>
      <c r="HY43" s="936"/>
      <c r="HZ43" s="936"/>
      <c r="IA43" s="936"/>
      <c r="IB43" s="936"/>
      <c r="IC43" s="936"/>
      <c r="ID43" s="936"/>
      <c r="IE43" s="936"/>
      <c r="IF43" s="936"/>
      <c r="IG43" s="936"/>
      <c r="IH43" s="936"/>
      <c r="II43" s="936"/>
      <c r="IJ43" s="936"/>
      <c r="IK43" s="936"/>
      <c r="IL43" s="936"/>
      <c r="IM43" s="936"/>
      <c r="IN43" s="936"/>
      <c r="IO43" s="936"/>
      <c r="IP43" s="936"/>
      <c r="IQ43" s="936"/>
      <c r="IR43" s="936"/>
      <c r="IS43" s="936"/>
      <c r="IT43" s="936"/>
    </row>
    <row r="44" spans="1:254" ht="14.1" customHeight="1">
      <c r="A44" s="1116"/>
      <c r="B44" s="1116"/>
      <c r="C44" s="938"/>
      <c r="D44" s="938"/>
      <c r="E44" s="938"/>
      <c r="F44" s="938"/>
      <c r="G44" s="938"/>
      <c r="H44" s="938"/>
      <c r="J44" s="936"/>
      <c r="K44" s="936"/>
      <c r="L44" s="936"/>
      <c r="M44" s="936"/>
      <c r="N44" s="936"/>
      <c r="O44" s="936"/>
      <c r="P44" s="936"/>
      <c r="Q44" s="936"/>
      <c r="R44" s="936"/>
      <c r="S44" s="936"/>
      <c r="T44" s="936"/>
      <c r="U44" s="936"/>
      <c r="V44" s="936"/>
      <c r="W44" s="936"/>
      <c r="X44" s="936"/>
      <c r="Y44" s="936"/>
      <c r="Z44" s="936"/>
      <c r="AA44" s="936"/>
      <c r="AB44" s="936"/>
      <c r="AC44" s="936"/>
      <c r="AD44" s="936"/>
      <c r="AE44" s="936"/>
      <c r="AF44" s="936"/>
      <c r="AG44" s="936"/>
      <c r="AH44" s="936"/>
      <c r="AI44" s="936"/>
      <c r="AJ44" s="936"/>
      <c r="AK44" s="936"/>
      <c r="AL44" s="936"/>
      <c r="AM44" s="936"/>
      <c r="AN44" s="936"/>
      <c r="AO44" s="936"/>
      <c r="AP44" s="936"/>
      <c r="AQ44" s="936"/>
      <c r="AR44" s="936"/>
      <c r="AS44" s="936"/>
      <c r="AT44" s="936"/>
      <c r="AU44" s="936"/>
      <c r="AV44" s="936"/>
      <c r="AW44" s="936"/>
      <c r="AX44" s="936"/>
      <c r="AY44" s="936"/>
      <c r="AZ44" s="936"/>
      <c r="BA44" s="936"/>
      <c r="BB44" s="936"/>
      <c r="BC44" s="936"/>
      <c r="BD44" s="936"/>
      <c r="BE44" s="936"/>
      <c r="BF44" s="936"/>
      <c r="BG44" s="936"/>
      <c r="BH44" s="936"/>
      <c r="BI44" s="936"/>
      <c r="BJ44" s="936"/>
      <c r="BK44" s="936"/>
      <c r="BL44" s="936"/>
      <c r="BM44" s="936"/>
      <c r="BN44" s="936"/>
      <c r="BO44" s="936"/>
      <c r="BP44" s="936"/>
      <c r="BQ44" s="936"/>
      <c r="BR44" s="936"/>
      <c r="BS44" s="936"/>
      <c r="BT44" s="936"/>
      <c r="BU44" s="936"/>
      <c r="BV44" s="936"/>
      <c r="BW44" s="936"/>
      <c r="BX44" s="936"/>
      <c r="BY44" s="936"/>
      <c r="BZ44" s="936"/>
      <c r="CA44" s="936"/>
      <c r="CB44" s="936"/>
      <c r="CC44" s="936"/>
      <c r="CD44" s="936"/>
      <c r="CE44" s="936"/>
      <c r="CF44" s="936"/>
      <c r="CG44" s="936"/>
      <c r="CH44" s="936"/>
      <c r="CI44" s="936"/>
      <c r="CJ44" s="936"/>
      <c r="CK44" s="936"/>
      <c r="CL44" s="936"/>
      <c r="CM44" s="936"/>
      <c r="CN44" s="936"/>
      <c r="CO44" s="936"/>
      <c r="CP44" s="936"/>
      <c r="CQ44" s="936"/>
      <c r="CR44" s="936"/>
      <c r="CS44" s="936"/>
      <c r="CT44" s="936"/>
      <c r="CU44" s="936"/>
      <c r="CV44" s="936"/>
      <c r="CW44" s="936"/>
      <c r="CX44" s="936"/>
      <c r="CY44" s="936"/>
      <c r="CZ44" s="936"/>
      <c r="DA44" s="936"/>
      <c r="DB44" s="936"/>
      <c r="DC44" s="936"/>
      <c r="DD44" s="936"/>
      <c r="DE44" s="936"/>
      <c r="DF44" s="936"/>
      <c r="DG44" s="936"/>
      <c r="DH44" s="936"/>
      <c r="DI44" s="936"/>
      <c r="DJ44" s="936"/>
      <c r="DK44" s="936"/>
      <c r="DL44" s="936"/>
      <c r="DM44" s="936"/>
      <c r="DN44" s="936"/>
      <c r="DO44" s="936"/>
      <c r="DP44" s="936"/>
      <c r="DQ44" s="936"/>
      <c r="DR44" s="936"/>
      <c r="DS44" s="936"/>
      <c r="DT44" s="936"/>
      <c r="DU44" s="936"/>
      <c r="DV44" s="936"/>
      <c r="DW44" s="936"/>
      <c r="DX44" s="936"/>
      <c r="DY44" s="936"/>
      <c r="DZ44" s="936"/>
      <c r="EA44" s="936"/>
      <c r="EB44" s="936"/>
      <c r="EC44" s="936"/>
      <c r="ED44" s="936"/>
      <c r="EE44" s="936"/>
      <c r="EF44" s="936"/>
      <c r="EG44" s="936"/>
      <c r="EH44" s="936"/>
      <c r="EI44" s="936"/>
      <c r="EJ44" s="936"/>
      <c r="EK44" s="936"/>
      <c r="EL44" s="936"/>
      <c r="EM44" s="936"/>
      <c r="EN44" s="936"/>
      <c r="EO44" s="936"/>
      <c r="EP44" s="936"/>
      <c r="EQ44" s="936"/>
      <c r="ER44" s="936"/>
      <c r="ES44" s="936"/>
      <c r="ET44" s="936"/>
      <c r="EU44" s="936"/>
      <c r="EV44" s="936"/>
      <c r="EW44" s="936"/>
      <c r="EX44" s="936"/>
      <c r="EY44" s="936"/>
      <c r="EZ44" s="936"/>
      <c r="FA44" s="936"/>
      <c r="FB44" s="936"/>
      <c r="FC44" s="936"/>
      <c r="FD44" s="936"/>
      <c r="FE44" s="936"/>
      <c r="FF44" s="936"/>
      <c r="FG44" s="936"/>
      <c r="FH44" s="936"/>
      <c r="FI44" s="936"/>
      <c r="FJ44" s="936"/>
      <c r="FK44" s="936"/>
      <c r="FL44" s="936"/>
      <c r="FM44" s="936"/>
      <c r="FN44" s="936"/>
      <c r="FO44" s="936"/>
      <c r="FP44" s="936"/>
      <c r="FQ44" s="936"/>
      <c r="FR44" s="936"/>
      <c r="FS44" s="936"/>
      <c r="FT44" s="936"/>
      <c r="FU44" s="936"/>
      <c r="FV44" s="936"/>
      <c r="FW44" s="936"/>
      <c r="FX44" s="936"/>
      <c r="FY44" s="936"/>
      <c r="FZ44" s="936"/>
      <c r="GA44" s="936"/>
      <c r="GB44" s="936"/>
      <c r="GC44" s="936"/>
      <c r="GD44" s="936"/>
      <c r="GE44" s="936"/>
      <c r="GF44" s="936"/>
      <c r="GG44" s="936"/>
      <c r="GH44" s="936"/>
      <c r="GI44" s="936"/>
      <c r="GJ44" s="936"/>
      <c r="GK44" s="936"/>
      <c r="GL44" s="936"/>
      <c r="GM44" s="936"/>
      <c r="GN44" s="936"/>
      <c r="GO44" s="936"/>
      <c r="GP44" s="936"/>
      <c r="GQ44" s="936"/>
      <c r="GR44" s="936"/>
      <c r="GS44" s="936"/>
      <c r="GT44" s="936"/>
      <c r="GU44" s="936"/>
      <c r="GV44" s="936"/>
      <c r="GW44" s="936"/>
      <c r="GX44" s="936"/>
      <c r="GY44" s="936"/>
      <c r="GZ44" s="936"/>
      <c r="HA44" s="936"/>
      <c r="HB44" s="936"/>
      <c r="HC44" s="936"/>
      <c r="HD44" s="936"/>
      <c r="HE44" s="936"/>
      <c r="HF44" s="936"/>
      <c r="HG44" s="936"/>
      <c r="HH44" s="936"/>
      <c r="HI44" s="936"/>
      <c r="HJ44" s="936"/>
      <c r="HK44" s="936"/>
      <c r="HL44" s="936"/>
      <c r="HM44" s="936"/>
      <c r="HN44" s="936"/>
      <c r="HO44" s="936"/>
      <c r="HP44" s="936"/>
      <c r="HQ44" s="936"/>
      <c r="HR44" s="936"/>
      <c r="HS44" s="936"/>
      <c r="HT44" s="936"/>
      <c r="HU44" s="936"/>
      <c r="HV44" s="936"/>
      <c r="HW44" s="936"/>
      <c r="HX44" s="936"/>
      <c r="HY44" s="936"/>
      <c r="HZ44" s="936"/>
      <c r="IA44" s="936"/>
      <c r="IB44" s="936"/>
      <c r="IC44" s="936"/>
      <c r="ID44" s="936"/>
      <c r="IE44" s="936"/>
      <c r="IF44" s="936"/>
      <c r="IG44" s="936"/>
      <c r="IH44" s="936"/>
      <c r="II44" s="936"/>
      <c r="IJ44" s="936"/>
      <c r="IK44" s="936"/>
      <c r="IL44" s="936"/>
      <c r="IM44" s="936"/>
      <c r="IN44" s="936"/>
      <c r="IO44" s="936"/>
      <c r="IP44" s="936"/>
      <c r="IQ44" s="936"/>
      <c r="IR44" s="936"/>
      <c r="IS44" s="936"/>
      <c r="IT44" s="936"/>
    </row>
    <row r="45" spans="1:254" ht="14.1" customHeight="1">
      <c r="C45" s="940"/>
      <c r="D45" s="940"/>
      <c r="E45" s="939"/>
      <c r="F45" s="939"/>
      <c r="G45" s="939"/>
      <c r="H45" s="939"/>
      <c r="J45" s="936"/>
      <c r="K45" s="936"/>
      <c r="L45" s="936"/>
      <c r="M45" s="936"/>
      <c r="N45" s="936"/>
      <c r="O45" s="936"/>
      <c r="P45" s="936"/>
      <c r="Q45" s="936"/>
      <c r="R45" s="936"/>
      <c r="S45" s="936"/>
      <c r="T45" s="936"/>
      <c r="U45" s="936"/>
      <c r="V45" s="936"/>
      <c r="W45" s="936"/>
      <c r="X45" s="936"/>
      <c r="Y45" s="936"/>
      <c r="Z45" s="936"/>
      <c r="AA45" s="936"/>
      <c r="AB45" s="936"/>
      <c r="AC45" s="936"/>
      <c r="AD45" s="936"/>
      <c r="AE45" s="936"/>
      <c r="AF45" s="936"/>
      <c r="AG45" s="936"/>
      <c r="AH45" s="936"/>
      <c r="AI45" s="936"/>
      <c r="AJ45" s="936"/>
      <c r="AK45" s="936"/>
      <c r="AL45" s="936"/>
      <c r="AM45" s="936"/>
      <c r="AN45" s="936"/>
      <c r="AO45" s="936"/>
      <c r="AP45" s="936"/>
      <c r="AQ45" s="936"/>
      <c r="AR45" s="936"/>
      <c r="AS45" s="936"/>
      <c r="AT45" s="936"/>
      <c r="AU45" s="936"/>
      <c r="AV45" s="936"/>
      <c r="AW45" s="936"/>
      <c r="AX45" s="936"/>
      <c r="AY45" s="936"/>
      <c r="AZ45" s="936"/>
      <c r="BA45" s="936"/>
      <c r="BB45" s="936"/>
      <c r="BC45" s="936"/>
      <c r="BD45" s="936"/>
      <c r="BE45" s="936"/>
      <c r="BF45" s="936"/>
      <c r="BG45" s="936"/>
      <c r="BH45" s="936"/>
      <c r="BI45" s="936"/>
      <c r="BJ45" s="936"/>
      <c r="BK45" s="936"/>
      <c r="BL45" s="936"/>
      <c r="BM45" s="936"/>
      <c r="BN45" s="936"/>
      <c r="BO45" s="936"/>
      <c r="BP45" s="936"/>
      <c r="BQ45" s="936"/>
      <c r="BR45" s="936"/>
      <c r="BS45" s="936"/>
      <c r="BT45" s="936"/>
      <c r="BU45" s="936"/>
      <c r="BV45" s="936"/>
      <c r="BW45" s="936"/>
      <c r="BX45" s="936"/>
      <c r="BY45" s="936"/>
      <c r="BZ45" s="936"/>
      <c r="CA45" s="936"/>
      <c r="CB45" s="936"/>
      <c r="CC45" s="936"/>
      <c r="CD45" s="936"/>
      <c r="CE45" s="936"/>
      <c r="CF45" s="936"/>
      <c r="CG45" s="936"/>
      <c r="CH45" s="936"/>
      <c r="CI45" s="936"/>
      <c r="CJ45" s="936"/>
      <c r="CK45" s="936"/>
      <c r="CL45" s="936"/>
      <c r="CM45" s="936"/>
      <c r="CN45" s="936"/>
      <c r="CO45" s="936"/>
      <c r="CP45" s="936"/>
      <c r="CQ45" s="936"/>
      <c r="CR45" s="936"/>
      <c r="CS45" s="936"/>
      <c r="CT45" s="936"/>
      <c r="CU45" s="936"/>
      <c r="CV45" s="936"/>
      <c r="CW45" s="936"/>
      <c r="CX45" s="936"/>
      <c r="CY45" s="936"/>
      <c r="CZ45" s="936"/>
      <c r="DA45" s="936"/>
      <c r="DB45" s="936"/>
      <c r="DC45" s="936"/>
      <c r="DD45" s="936"/>
      <c r="DE45" s="936"/>
      <c r="DF45" s="936"/>
      <c r="DG45" s="936"/>
      <c r="DH45" s="936"/>
      <c r="DI45" s="936"/>
      <c r="DJ45" s="936"/>
      <c r="DK45" s="936"/>
      <c r="DL45" s="936"/>
      <c r="DM45" s="936"/>
      <c r="DN45" s="936"/>
      <c r="DO45" s="936"/>
      <c r="DP45" s="936"/>
      <c r="DQ45" s="936"/>
      <c r="DR45" s="936"/>
      <c r="DS45" s="936"/>
      <c r="DT45" s="936"/>
      <c r="DU45" s="936"/>
      <c r="DV45" s="936"/>
      <c r="DW45" s="936"/>
      <c r="DX45" s="936"/>
      <c r="DY45" s="936"/>
      <c r="DZ45" s="936"/>
      <c r="EA45" s="936"/>
      <c r="EB45" s="936"/>
      <c r="EC45" s="936"/>
      <c r="ED45" s="936"/>
      <c r="EE45" s="936"/>
      <c r="EF45" s="936"/>
      <c r="EG45" s="936"/>
      <c r="EH45" s="936"/>
      <c r="EI45" s="936"/>
      <c r="EJ45" s="936"/>
      <c r="EK45" s="936"/>
      <c r="EL45" s="936"/>
      <c r="EM45" s="936"/>
      <c r="EN45" s="936"/>
      <c r="EO45" s="936"/>
      <c r="EP45" s="936"/>
      <c r="EQ45" s="936"/>
      <c r="ER45" s="936"/>
      <c r="ES45" s="936"/>
      <c r="ET45" s="936"/>
      <c r="EU45" s="936"/>
      <c r="EV45" s="936"/>
      <c r="EW45" s="936"/>
      <c r="EX45" s="936"/>
      <c r="EY45" s="936"/>
      <c r="EZ45" s="936"/>
      <c r="FA45" s="936"/>
      <c r="FB45" s="936"/>
      <c r="FC45" s="936"/>
      <c r="FD45" s="936"/>
      <c r="FE45" s="936"/>
      <c r="FF45" s="936"/>
      <c r="FG45" s="936"/>
      <c r="FH45" s="936"/>
      <c r="FI45" s="936"/>
      <c r="FJ45" s="936"/>
      <c r="FK45" s="936"/>
      <c r="FL45" s="936"/>
      <c r="FM45" s="936"/>
      <c r="FN45" s="936"/>
      <c r="FO45" s="936"/>
      <c r="FP45" s="936"/>
      <c r="FQ45" s="936"/>
      <c r="FR45" s="936"/>
      <c r="FS45" s="936"/>
      <c r="FT45" s="936"/>
      <c r="FU45" s="936"/>
      <c r="FV45" s="936"/>
      <c r="FW45" s="936"/>
      <c r="FX45" s="936"/>
      <c r="FY45" s="936"/>
      <c r="FZ45" s="936"/>
      <c r="GA45" s="936"/>
      <c r="GB45" s="936"/>
      <c r="GC45" s="936"/>
      <c r="GD45" s="936"/>
      <c r="GE45" s="936"/>
      <c r="GF45" s="936"/>
      <c r="GG45" s="936"/>
      <c r="GH45" s="936"/>
      <c r="GI45" s="936"/>
      <c r="GJ45" s="936"/>
      <c r="GK45" s="936"/>
      <c r="GL45" s="936"/>
      <c r="GM45" s="936"/>
      <c r="GN45" s="936"/>
      <c r="GO45" s="936"/>
      <c r="GP45" s="936"/>
      <c r="GQ45" s="936"/>
      <c r="GR45" s="936"/>
      <c r="GS45" s="936"/>
      <c r="GT45" s="936"/>
      <c r="GU45" s="936"/>
      <c r="GV45" s="936"/>
      <c r="GW45" s="936"/>
      <c r="GX45" s="936"/>
      <c r="GY45" s="936"/>
      <c r="GZ45" s="936"/>
      <c r="HA45" s="936"/>
      <c r="HB45" s="936"/>
      <c r="HC45" s="936"/>
      <c r="HD45" s="936"/>
      <c r="HE45" s="936"/>
      <c r="HF45" s="936"/>
      <c r="HG45" s="936"/>
      <c r="HH45" s="936"/>
      <c r="HI45" s="936"/>
      <c r="HJ45" s="936"/>
      <c r="HK45" s="936"/>
      <c r="HL45" s="936"/>
      <c r="HM45" s="936"/>
      <c r="HN45" s="936"/>
      <c r="HO45" s="936"/>
      <c r="HP45" s="936"/>
      <c r="HQ45" s="936"/>
      <c r="HR45" s="936"/>
      <c r="HS45" s="936"/>
      <c r="HT45" s="936"/>
      <c r="HU45" s="936"/>
      <c r="HV45" s="936"/>
      <c r="HW45" s="936"/>
      <c r="HX45" s="936"/>
      <c r="HY45" s="936"/>
      <c r="HZ45" s="936"/>
      <c r="IA45" s="936"/>
      <c r="IB45" s="936"/>
      <c r="IC45" s="936"/>
      <c r="ID45" s="936"/>
      <c r="IE45" s="936"/>
      <c r="IF45" s="936"/>
      <c r="IG45" s="936"/>
      <c r="IH45" s="936"/>
      <c r="II45" s="936"/>
      <c r="IJ45" s="936"/>
      <c r="IK45" s="936"/>
      <c r="IL45" s="936"/>
      <c r="IM45" s="936"/>
      <c r="IN45" s="936"/>
      <c r="IO45" s="936"/>
      <c r="IP45" s="936"/>
      <c r="IQ45" s="936"/>
      <c r="IR45" s="936"/>
      <c r="IS45" s="936"/>
      <c r="IT45" s="936"/>
    </row>
  </sheetData>
  <mergeCells count="8">
    <mergeCell ref="F41:G41"/>
    <mergeCell ref="A1:H1"/>
    <mergeCell ref="H3:H4"/>
    <mergeCell ref="A3:A4"/>
    <mergeCell ref="B3:B4"/>
    <mergeCell ref="C3:D4"/>
    <mergeCell ref="E3:G3"/>
    <mergeCell ref="A2:H2"/>
  </mergeCells>
  <printOptions horizontalCentered="1"/>
  <pageMargins left="0.75" right="0.25"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sheetPr>
    <tabColor rgb="FFFFFF00"/>
  </sheetPr>
  <dimension ref="A1:F17"/>
  <sheetViews>
    <sheetView view="pageBreakPreview" zoomScaleSheetLayoutView="100" workbookViewId="0">
      <selection activeCell="C9" sqref="C9"/>
    </sheetView>
  </sheetViews>
  <sheetFormatPr defaultRowHeight="15.75"/>
  <cols>
    <col min="1" max="1" width="5" style="1009" customWidth="1"/>
    <col min="2" max="2" width="8" style="1009" customWidth="1"/>
    <col min="3" max="3" width="37.5546875" style="1101" customWidth="1"/>
    <col min="4" max="4" width="8.44140625" style="1009" customWidth="1"/>
    <col min="5" max="5" width="6.88671875" style="1009" customWidth="1"/>
    <col min="6" max="6" width="9.44140625" style="1009" customWidth="1"/>
    <col min="7" max="16384" width="8.88671875" style="1009"/>
  </cols>
  <sheetData>
    <row r="1" spans="1:6" ht="55.5" customHeight="1">
      <c r="A1" s="1278" t="str">
        <f>'G. Abstract'!A3</f>
        <v>N/W: RENOVATION AND UPGRADING THE EXISTING WORKING WOMEN’S HOSTEL AT SOORAMANGALAM IN SALEM CITY UNDER SOCIAL WELFARE DEPARTMENT</v>
      </c>
      <c r="B1" s="1279"/>
      <c r="C1" s="1279"/>
      <c r="D1" s="1279"/>
      <c r="E1" s="1279"/>
      <c r="F1" s="1280"/>
    </row>
    <row r="2" spans="1:6" ht="21.75" customHeight="1">
      <c r="A2" s="1281" t="s">
        <v>4471</v>
      </c>
      <c r="B2" s="1281"/>
      <c r="C2" s="1281"/>
      <c r="D2" s="1281"/>
      <c r="E2" s="1281"/>
      <c r="F2" s="1281"/>
    </row>
    <row r="3" spans="1:6" ht="26.25" customHeight="1">
      <c r="A3" s="1166" t="s">
        <v>3747</v>
      </c>
      <c r="B3" s="1167" t="s">
        <v>1070</v>
      </c>
      <c r="C3" s="1167" t="s">
        <v>3748</v>
      </c>
      <c r="D3" s="1167" t="s">
        <v>100</v>
      </c>
      <c r="E3" s="1167" t="s">
        <v>3764</v>
      </c>
      <c r="F3" s="1167" t="s">
        <v>994</v>
      </c>
    </row>
    <row r="4" spans="1:6" ht="66" customHeight="1">
      <c r="A4" s="1150">
        <v>1</v>
      </c>
      <c r="B4" s="1151">
        <f>'CCTV Det'!H6</f>
        <v>5</v>
      </c>
      <c r="C4" s="1152" t="s">
        <v>4821</v>
      </c>
      <c r="D4" s="1151">
        <v>3780</v>
      </c>
      <c r="E4" s="1153" t="s">
        <v>1458</v>
      </c>
      <c r="F4" s="1153">
        <f>ROUND(PRODUCT(B4*D4),2)</f>
        <v>18900</v>
      </c>
    </row>
    <row r="5" spans="1:6" ht="67.5" customHeight="1">
      <c r="A5" s="1150">
        <v>2</v>
      </c>
      <c r="B5" s="1151">
        <f>'CCTV Det'!H9</f>
        <v>1</v>
      </c>
      <c r="C5" s="1152" t="s">
        <v>4820</v>
      </c>
      <c r="D5" s="1151">
        <v>11776</v>
      </c>
      <c r="E5" s="1153" t="s">
        <v>1458</v>
      </c>
      <c r="F5" s="1153">
        <f t="shared" ref="F5:F15" si="0">ROUND(PRODUCT(B5*D5),2)</f>
        <v>11776</v>
      </c>
    </row>
    <row r="6" spans="1:6" ht="112.5" customHeight="1">
      <c r="A6" s="1150">
        <v>3</v>
      </c>
      <c r="B6" s="1151">
        <f>'CCTV Det'!H12</f>
        <v>1</v>
      </c>
      <c r="C6" s="850" t="s">
        <v>4829</v>
      </c>
      <c r="D6" s="1151">
        <v>19270</v>
      </c>
      <c r="E6" s="1169" t="s">
        <v>1458</v>
      </c>
      <c r="F6" s="1153">
        <f t="shared" si="0"/>
        <v>19270</v>
      </c>
    </row>
    <row r="7" spans="1:6" ht="55.5" customHeight="1">
      <c r="A7" s="1150">
        <v>4</v>
      </c>
      <c r="B7" s="1151">
        <f>'CCTV Det'!H15</f>
        <v>1</v>
      </c>
      <c r="C7" s="1152" t="s">
        <v>4823</v>
      </c>
      <c r="D7" s="1151">
        <v>5890</v>
      </c>
      <c r="E7" s="1153" t="s">
        <v>1458</v>
      </c>
      <c r="F7" s="1153">
        <f t="shared" si="0"/>
        <v>5890</v>
      </c>
    </row>
    <row r="8" spans="1:6" ht="51" customHeight="1">
      <c r="A8" s="1150">
        <v>5</v>
      </c>
      <c r="B8" s="1151">
        <f>'CCTV Det'!H18</f>
        <v>1</v>
      </c>
      <c r="C8" s="1152" t="s">
        <v>4824</v>
      </c>
      <c r="D8" s="1151">
        <v>2676</v>
      </c>
      <c r="E8" s="1153" t="s">
        <v>1458</v>
      </c>
      <c r="F8" s="1153">
        <f t="shared" si="0"/>
        <v>2676</v>
      </c>
    </row>
    <row r="9" spans="1:6" s="1010" customFormat="1" ht="52.5" customHeight="1">
      <c r="A9" s="1171">
        <v>6</v>
      </c>
      <c r="B9" s="1151">
        <f>'CCTV Det'!H21</f>
        <v>1</v>
      </c>
      <c r="C9" s="1152" t="s">
        <v>4844</v>
      </c>
      <c r="D9" s="1151">
        <v>24900</v>
      </c>
      <c r="E9" s="1172" t="s">
        <v>1458</v>
      </c>
      <c r="F9" s="1172">
        <f t="shared" si="0"/>
        <v>24900</v>
      </c>
    </row>
    <row r="10" spans="1:6" s="1010" customFormat="1" ht="45" customHeight="1">
      <c r="A10" s="1150">
        <v>7</v>
      </c>
      <c r="B10" s="1151">
        <f>'CCTV Det'!H24</f>
        <v>1</v>
      </c>
      <c r="C10" s="1152" t="s">
        <v>4830</v>
      </c>
      <c r="D10" s="1151">
        <v>275</v>
      </c>
      <c r="E10" s="1172" t="s">
        <v>1458</v>
      </c>
      <c r="F10" s="1172">
        <f t="shared" si="0"/>
        <v>275</v>
      </c>
    </row>
    <row r="11" spans="1:6" s="1010" customFormat="1" ht="58.5" customHeight="1">
      <c r="A11" s="1150">
        <v>8</v>
      </c>
      <c r="B11" s="1151">
        <f>'CCTV Det'!H27</f>
        <v>5</v>
      </c>
      <c r="C11" s="1173" t="s">
        <v>4846</v>
      </c>
      <c r="D11" s="1151">
        <v>1250</v>
      </c>
      <c r="E11" s="1172" t="s">
        <v>1458</v>
      </c>
      <c r="F11" s="1172">
        <f t="shared" si="0"/>
        <v>6250</v>
      </c>
    </row>
    <row r="12" spans="1:6" ht="39.75" customHeight="1">
      <c r="A12" s="1150">
        <v>9</v>
      </c>
      <c r="B12" s="1151">
        <f>'CCTV Det'!H30</f>
        <v>350</v>
      </c>
      <c r="C12" s="1154" t="s">
        <v>4837</v>
      </c>
      <c r="D12" s="1151">
        <v>105</v>
      </c>
      <c r="E12" s="1153" t="s">
        <v>840</v>
      </c>
      <c r="F12" s="1153">
        <f t="shared" si="0"/>
        <v>36750</v>
      </c>
    </row>
    <row r="13" spans="1:6" ht="36" customHeight="1">
      <c r="A13" s="1150">
        <v>10</v>
      </c>
      <c r="B13" s="1174">
        <f>'CCTV Det'!H33</f>
        <v>200</v>
      </c>
      <c r="C13" s="1154" t="s">
        <v>4838</v>
      </c>
      <c r="D13" s="1151">
        <v>39.700000000000003</v>
      </c>
      <c r="E13" s="1153" t="s">
        <v>840</v>
      </c>
      <c r="F13" s="1153">
        <f t="shared" si="0"/>
        <v>7940</v>
      </c>
    </row>
    <row r="14" spans="1:6" ht="52.5" customHeight="1">
      <c r="A14" s="1150">
        <v>11</v>
      </c>
      <c r="B14" s="1151">
        <f>'CCTV Det'!H36</f>
        <v>5</v>
      </c>
      <c r="C14" s="1152" t="s">
        <v>4826</v>
      </c>
      <c r="D14" s="1151">
        <v>750</v>
      </c>
      <c r="E14" s="1153" t="s">
        <v>1458</v>
      </c>
      <c r="F14" s="1153">
        <f t="shared" si="0"/>
        <v>3750</v>
      </c>
    </row>
    <row r="15" spans="1:6">
      <c r="A15" s="1150"/>
      <c r="B15" s="1151"/>
      <c r="C15" s="1152"/>
      <c r="D15" s="1151"/>
      <c r="E15" s="1153"/>
      <c r="F15" s="1153">
        <f t="shared" si="0"/>
        <v>0</v>
      </c>
    </row>
    <row r="16" spans="1:6" ht="30" customHeight="1">
      <c r="A16" s="1150"/>
      <c r="B16" s="1151"/>
      <c r="C16" s="875" t="s">
        <v>2332</v>
      </c>
      <c r="D16" s="1151"/>
      <c r="E16" s="1153"/>
      <c r="F16" s="1170">
        <f>SUM(F4:F15)</f>
        <v>138377</v>
      </c>
    </row>
    <row r="17" spans="1:6">
      <c r="A17" s="1150"/>
      <c r="B17" s="1151"/>
      <c r="C17" s="1152"/>
      <c r="D17" s="1151"/>
      <c r="E17" s="1153"/>
      <c r="F17" s="1153"/>
    </row>
  </sheetData>
  <mergeCells count="2">
    <mergeCell ref="A1:F1"/>
    <mergeCell ref="A2:F2"/>
  </mergeCells>
  <printOptions horizontalCentered="1"/>
  <pageMargins left="0.75" right="0.25" top="0.75" bottom="0.75" header="0.3" footer="0.3"/>
  <pageSetup paperSize="9" scale="95" orientation="portrait" r:id="rId1"/>
</worksheet>
</file>

<file path=xl/worksheets/sheet29.xml><?xml version="1.0" encoding="utf-8"?>
<worksheet xmlns="http://schemas.openxmlformats.org/spreadsheetml/2006/main" xmlns:r="http://schemas.openxmlformats.org/officeDocument/2006/relationships">
  <sheetPr>
    <tabColor rgb="FFFFFF00"/>
  </sheetPr>
  <dimension ref="A1:IT40"/>
  <sheetViews>
    <sheetView view="pageBreakPreview" zoomScale="90" zoomScaleSheetLayoutView="90" workbookViewId="0">
      <selection activeCell="A38" sqref="A38:XFD43"/>
    </sheetView>
  </sheetViews>
  <sheetFormatPr defaultRowHeight="15.75"/>
  <cols>
    <col min="1" max="1" width="5" style="924" customWidth="1"/>
    <col min="2" max="2" width="27.4414062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254" ht="52.5" customHeight="1">
      <c r="A1" s="1288" t="str">
        <f>'EX. WS Abs'!A3:F3</f>
        <v>N/W: RENOVATION AND UPGRADING THE EXISTING WORKING WOMEN’S HOSTEL AT SOORAMANGALAM IN SALEM CITY UNDER SOCIAL WELFARE DEPARTMENT</v>
      </c>
      <c r="B1" s="1288"/>
      <c r="C1" s="1288"/>
      <c r="D1" s="1288"/>
      <c r="E1" s="1288"/>
      <c r="F1" s="1288"/>
      <c r="G1" s="1288"/>
      <c r="H1" s="1288"/>
      <c r="I1" s="920"/>
    </row>
    <row r="2" spans="1:254" ht="24.75" customHeight="1">
      <c r="A2" s="1205" t="s">
        <v>4470</v>
      </c>
      <c r="B2" s="1205"/>
      <c r="C2" s="1205"/>
      <c r="D2" s="1205"/>
      <c r="E2" s="1205"/>
      <c r="F2" s="1205"/>
      <c r="G2" s="1205"/>
      <c r="H2" s="1205"/>
      <c r="I2" s="920"/>
    </row>
    <row r="3" spans="1:254" s="922" customFormat="1" ht="17.25" customHeight="1">
      <c r="A3" s="1286" t="s">
        <v>3747</v>
      </c>
      <c r="B3" s="1286" t="s">
        <v>1860</v>
      </c>
      <c r="C3" s="1286" t="s">
        <v>4226</v>
      </c>
      <c r="D3" s="1286"/>
      <c r="E3" s="1287" t="s">
        <v>4227</v>
      </c>
      <c r="F3" s="1287"/>
      <c r="G3" s="1287"/>
      <c r="H3" s="1289" t="s">
        <v>4228</v>
      </c>
      <c r="I3" s="923"/>
    </row>
    <row r="4" spans="1:254" s="922" customFormat="1" ht="19.5" customHeight="1">
      <c r="A4" s="1286"/>
      <c r="B4" s="1286"/>
      <c r="C4" s="1286"/>
      <c r="D4" s="1286"/>
      <c r="E4" s="1147" t="s">
        <v>4229</v>
      </c>
      <c r="F4" s="1146" t="s">
        <v>4230</v>
      </c>
      <c r="G4" s="1147" t="s">
        <v>3753</v>
      </c>
      <c r="H4" s="1289"/>
      <c r="I4" s="923"/>
    </row>
    <row r="5" spans="1:254" ht="78.75">
      <c r="A5" s="1086">
        <v>1</v>
      </c>
      <c r="B5" s="1119" t="s">
        <v>4822</v>
      </c>
      <c r="C5" s="1071"/>
      <c r="D5" s="1071"/>
      <c r="E5" s="1072"/>
      <c r="F5" s="1073"/>
      <c r="G5" s="1072"/>
      <c r="H5" s="1074"/>
      <c r="I5" s="920"/>
    </row>
    <row r="6" spans="1:254" ht="17.100000000000001" customHeight="1">
      <c r="A6" s="1086"/>
      <c r="B6" s="1120" t="s">
        <v>4469</v>
      </c>
      <c r="C6" s="1088">
        <v>1</v>
      </c>
      <c r="D6" s="1088">
        <v>5</v>
      </c>
      <c r="E6" s="1089"/>
      <c r="F6" s="1090"/>
      <c r="G6" s="1089"/>
      <c r="H6" s="1084">
        <f>PRODUCT(C6:G6)</f>
        <v>5</v>
      </c>
      <c r="I6" s="920"/>
    </row>
    <row r="7" spans="1:254" ht="17.100000000000001" customHeight="1">
      <c r="A7" s="1086"/>
      <c r="B7" s="1121"/>
      <c r="C7" s="1070"/>
      <c r="D7" s="1070"/>
      <c r="E7" s="1072"/>
      <c r="F7" s="1073"/>
      <c r="G7" s="1075"/>
      <c r="H7" s="1076"/>
      <c r="I7" s="920"/>
    </row>
    <row r="8" spans="1:254" ht="63">
      <c r="A8" s="1086">
        <v>2</v>
      </c>
      <c r="B8" s="1119" t="s">
        <v>4462</v>
      </c>
      <c r="C8" s="1070"/>
      <c r="D8" s="1070"/>
      <c r="E8" s="1072"/>
      <c r="F8" s="1073"/>
      <c r="G8" s="1072"/>
      <c r="H8" s="1077"/>
      <c r="I8" s="920"/>
    </row>
    <row r="9" spans="1:254" ht="17.100000000000001" customHeight="1">
      <c r="A9" s="1086"/>
      <c r="B9" s="1120" t="s">
        <v>4469</v>
      </c>
      <c r="C9" s="1088">
        <v>1</v>
      </c>
      <c r="D9" s="1088">
        <v>1</v>
      </c>
      <c r="E9" s="1089"/>
      <c r="F9" s="1090"/>
      <c r="G9" s="1089"/>
      <c r="H9" s="1084">
        <f>PRODUCT(C9:G9)</f>
        <v>1</v>
      </c>
      <c r="I9" s="920"/>
    </row>
    <row r="10" spans="1:254" ht="17.100000000000001" customHeight="1">
      <c r="A10" s="1086"/>
      <c r="B10" s="1119"/>
      <c r="C10" s="1070"/>
      <c r="D10" s="1070"/>
      <c r="E10" s="1072"/>
      <c r="F10" s="1073"/>
      <c r="G10" s="1075"/>
      <c r="H10" s="1076"/>
      <c r="I10" s="920"/>
    </row>
    <row r="11" spans="1:254" ht="141.75">
      <c r="A11" s="1117">
        <v>3</v>
      </c>
      <c r="B11" s="1118" t="s">
        <v>4463</v>
      </c>
      <c r="C11" s="1070"/>
      <c r="D11" s="1070"/>
      <c r="E11" s="1072"/>
      <c r="F11" s="1073"/>
      <c r="G11" s="1072"/>
      <c r="H11" s="1077"/>
      <c r="I11" s="920"/>
    </row>
    <row r="12" spans="1:254" ht="17.100000000000001" customHeight="1">
      <c r="A12" s="1086"/>
      <c r="B12" s="1120" t="s">
        <v>4469</v>
      </c>
      <c r="C12" s="1088">
        <v>1</v>
      </c>
      <c r="D12" s="1088">
        <v>1</v>
      </c>
      <c r="E12" s="1089"/>
      <c r="F12" s="1090"/>
      <c r="G12" s="1089"/>
      <c r="H12" s="1084">
        <f>PRODUCT(C12:G12)</f>
        <v>1</v>
      </c>
      <c r="I12" s="920"/>
    </row>
    <row r="13" spans="1:254" ht="17.100000000000001" customHeight="1">
      <c r="A13" s="1109"/>
      <c r="B13" s="1121"/>
      <c r="C13" s="1070"/>
      <c r="D13" s="1070"/>
      <c r="E13" s="1074"/>
      <c r="F13" s="1074"/>
      <c r="G13" s="1075"/>
      <c r="H13" s="1076"/>
      <c r="I13" s="920"/>
    </row>
    <row r="14" spans="1:254" ht="47.25">
      <c r="A14" s="1117">
        <v>4</v>
      </c>
      <c r="B14" s="1119" t="s">
        <v>4464</v>
      </c>
      <c r="C14" s="1070"/>
      <c r="D14" s="1070"/>
      <c r="E14" s="1074"/>
      <c r="F14" s="1074"/>
      <c r="G14" s="1075"/>
      <c r="H14" s="1076"/>
      <c r="I14" s="920"/>
    </row>
    <row r="15" spans="1:254" ht="17.100000000000001" customHeight="1">
      <c r="A15" s="1110"/>
      <c r="B15" s="1120" t="s">
        <v>4469</v>
      </c>
      <c r="C15" s="1088">
        <v>1</v>
      </c>
      <c r="D15" s="1088">
        <v>1</v>
      </c>
      <c r="E15" s="1089"/>
      <c r="F15" s="1090"/>
      <c r="G15" s="1089"/>
      <c r="H15" s="1084">
        <f>PRODUCT(C15:G15)</f>
        <v>1</v>
      </c>
      <c r="I15" s="920"/>
    </row>
    <row r="16" spans="1:254" ht="17.100000000000001" customHeight="1">
      <c r="A16" s="1080"/>
      <c r="B16" s="1081"/>
      <c r="C16" s="1080"/>
      <c r="D16" s="1080"/>
      <c r="E16" s="1082"/>
      <c r="F16" s="1078"/>
      <c r="G16" s="1083"/>
      <c r="H16" s="1084"/>
      <c r="I16" s="923"/>
      <c r="J16" s="924"/>
      <c r="K16" s="924"/>
      <c r="L16" s="924"/>
      <c r="M16" s="924"/>
      <c r="N16" s="924"/>
      <c r="O16" s="924"/>
      <c r="P16" s="924"/>
      <c r="Q16" s="924"/>
      <c r="R16" s="924"/>
      <c r="S16" s="924"/>
      <c r="T16" s="924"/>
      <c r="U16" s="924"/>
      <c r="V16" s="924"/>
      <c r="W16" s="924"/>
      <c r="X16" s="924"/>
      <c r="Y16" s="924"/>
      <c r="Z16" s="924"/>
      <c r="AA16" s="924"/>
      <c r="AB16" s="924"/>
      <c r="AC16" s="924"/>
      <c r="AD16" s="924"/>
      <c r="AE16" s="924"/>
      <c r="AF16" s="924"/>
      <c r="AG16" s="924"/>
      <c r="AH16" s="924"/>
      <c r="AI16" s="924"/>
      <c r="AJ16" s="924"/>
      <c r="AK16" s="924"/>
      <c r="AL16" s="924"/>
      <c r="AM16" s="924"/>
      <c r="AN16" s="924"/>
      <c r="AO16" s="924"/>
      <c r="AP16" s="924"/>
      <c r="AQ16" s="924"/>
      <c r="AR16" s="924"/>
      <c r="AS16" s="924"/>
      <c r="AT16" s="924"/>
      <c r="AU16" s="924"/>
      <c r="AV16" s="924"/>
      <c r="AW16" s="924"/>
      <c r="AX16" s="924"/>
      <c r="AY16" s="924"/>
      <c r="AZ16" s="924"/>
      <c r="BA16" s="924"/>
      <c r="BB16" s="924"/>
      <c r="BC16" s="924"/>
      <c r="BD16" s="924"/>
      <c r="BE16" s="924"/>
      <c r="BF16" s="924"/>
      <c r="BG16" s="924"/>
      <c r="BH16" s="924"/>
      <c r="BI16" s="924"/>
      <c r="BJ16" s="924"/>
      <c r="BK16" s="924"/>
      <c r="BL16" s="924"/>
      <c r="BM16" s="924"/>
      <c r="BN16" s="924"/>
      <c r="BO16" s="924"/>
      <c r="BP16" s="924"/>
      <c r="BQ16" s="924"/>
      <c r="BR16" s="924"/>
      <c r="BS16" s="924"/>
      <c r="BT16" s="924"/>
      <c r="BU16" s="924"/>
      <c r="BV16" s="924"/>
      <c r="BW16" s="924"/>
      <c r="BX16" s="924"/>
      <c r="BY16" s="924"/>
      <c r="BZ16" s="924"/>
      <c r="CA16" s="924"/>
      <c r="CB16" s="924"/>
      <c r="CC16" s="924"/>
      <c r="CD16" s="924"/>
      <c r="CE16" s="924"/>
      <c r="CF16" s="924"/>
      <c r="CG16" s="924"/>
      <c r="CH16" s="924"/>
      <c r="CI16" s="924"/>
      <c r="CJ16" s="924"/>
      <c r="CK16" s="924"/>
      <c r="CL16" s="924"/>
      <c r="CM16" s="924"/>
      <c r="CN16" s="924"/>
      <c r="CO16" s="924"/>
      <c r="CP16" s="924"/>
      <c r="CQ16" s="924"/>
      <c r="CR16" s="924"/>
      <c r="CS16" s="924"/>
      <c r="CT16" s="924"/>
      <c r="CU16" s="924"/>
      <c r="CV16" s="924"/>
      <c r="CW16" s="924"/>
      <c r="CX16" s="924"/>
      <c r="CY16" s="924"/>
      <c r="CZ16" s="924"/>
      <c r="DA16" s="924"/>
      <c r="DB16" s="924"/>
      <c r="DC16" s="924"/>
      <c r="DD16" s="924"/>
      <c r="DE16" s="924"/>
      <c r="DF16" s="924"/>
      <c r="DG16" s="924"/>
      <c r="DH16" s="924"/>
      <c r="DI16" s="924"/>
      <c r="DJ16" s="924"/>
      <c r="DK16" s="924"/>
      <c r="DL16" s="924"/>
      <c r="DM16" s="924"/>
      <c r="DN16" s="924"/>
      <c r="DO16" s="924"/>
      <c r="DP16" s="924"/>
      <c r="DQ16" s="924"/>
      <c r="DR16" s="924"/>
      <c r="DS16" s="924"/>
      <c r="DT16" s="924"/>
      <c r="DU16" s="924"/>
      <c r="DV16" s="924"/>
      <c r="DW16" s="924"/>
      <c r="DX16" s="924"/>
      <c r="DY16" s="924"/>
      <c r="DZ16" s="924"/>
      <c r="EA16" s="924"/>
      <c r="EB16" s="924"/>
      <c r="EC16" s="924"/>
      <c r="ED16" s="924"/>
      <c r="EE16" s="924"/>
      <c r="EF16" s="924"/>
      <c r="EG16" s="924"/>
      <c r="EH16" s="924"/>
      <c r="EI16" s="924"/>
      <c r="EJ16" s="924"/>
      <c r="EK16" s="924"/>
      <c r="EL16" s="924"/>
      <c r="EM16" s="924"/>
      <c r="EN16" s="924"/>
      <c r="EO16" s="924"/>
      <c r="EP16" s="924"/>
      <c r="EQ16" s="924"/>
      <c r="ER16" s="924"/>
      <c r="ES16" s="924"/>
      <c r="ET16" s="924"/>
      <c r="EU16" s="924"/>
      <c r="EV16" s="924"/>
      <c r="EW16" s="924"/>
      <c r="EX16" s="924"/>
      <c r="EY16" s="924"/>
      <c r="EZ16" s="924"/>
      <c r="FA16" s="924"/>
      <c r="FB16" s="924"/>
      <c r="FC16" s="924"/>
      <c r="FD16" s="924"/>
      <c r="FE16" s="924"/>
      <c r="FF16" s="924"/>
      <c r="FG16" s="924"/>
      <c r="FH16" s="924"/>
      <c r="FI16" s="924"/>
      <c r="FJ16" s="924"/>
      <c r="FK16" s="924"/>
      <c r="FL16" s="924"/>
      <c r="FM16" s="924"/>
      <c r="FN16" s="924"/>
      <c r="FO16" s="924"/>
      <c r="FP16" s="924"/>
      <c r="FQ16" s="924"/>
      <c r="FR16" s="924"/>
      <c r="FS16" s="924"/>
      <c r="FT16" s="924"/>
      <c r="FU16" s="924"/>
      <c r="FV16" s="924"/>
      <c r="FW16" s="924"/>
      <c r="FX16" s="924"/>
      <c r="FY16" s="924"/>
      <c r="FZ16" s="924"/>
      <c r="GA16" s="924"/>
      <c r="GB16" s="924"/>
      <c r="GC16" s="924"/>
      <c r="GD16" s="924"/>
      <c r="GE16" s="924"/>
      <c r="GF16" s="924"/>
      <c r="GG16" s="924"/>
      <c r="GH16" s="924"/>
      <c r="GI16" s="924"/>
      <c r="GJ16" s="924"/>
      <c r="GK16" s="924"/>
      <c r="GL16" s="924"/>
      <c r="GM16" s="924"/>
      <c r="GN16" s="924"/>
      <c r="GO16" s="924"/>
      <c r="GP16" s="924"/>
      <c r="GQ16" s="924"/>
      <c r="GR16" s="924"/>
      <c r="GS16" s="924"/>
      <c r="GT16" s="924"/>
      <c r="GU16" s="924"/>
      <c r="GV16" s="924"/>
      <c r="GW16" s="924"/>
      <c r="GX16" s="924"/>
      <c r="GY16" s="924"/>
      <c r="GZ16" s="924"/>
      <c r="HA16" s="924"/>
      <c r="HB16" s="924"/>
      <c r="HC16" s="924"/>
      <c r="HD16" s="924"/>
      <c r="HE16" s="924"/>
      <c r="HF16" s="924"/>
      <c r="HG16" s="924"/>
      <c r="HH16" s="924"/>
      <c r="HI16" s="924"/>
      <c r="HJ16" s="924"/>
      <c r="HK16" s="924"/>
      <c r="HL16" s="924"/>
      <c r="HM16" s="924"/>
      <c r="HN16" s="924"/>
      <c r="HO16" s="924"/>
      <c r="HP16" s="924"/>
      <c r="HQ16" s="924"/>
      <c r="HR16" s="924"/>
      <c r="HS16" s="924"/>
      <c r="HT16" s="924"/>
      <c r="HU16" s="924"/>
      <c r="HV16" s="924"/>
      <c r="HW16" s="924"/>
      <c r="HX16" s="924"/>
      <c r="HY16" s="924"/>
      <c r="HZ16" s="924"/>
      <c r="IA16" s="924"/>
      <c r="IB16" s="924"/>
      <c r="IC16" s="924"/>
      <c r="ID16" s="924"/>
      <c r="IE16" s="924"/>
      <c r="IF16" s="924"/>
      <c r="IG16" s="924"/>
      <c r="IH16" s="924"/>
      <c r="II16" s="924"/>
      <c r="IJ16" s="924"/>
      <c r="IK16" s="924"/>
      <c r="IL16" s="924"/>
      <c r="IM16" s="924"/>
      <c r="IN16" s="924"/>
      <c r="IO16" s="924"/>
      <c r="IP16" s="924"/>
      <c r="IQ16" s="924"/>
      <c r="IR16" s="924"/>
      <c r="IS16" s="924"/>
      <c r="IT16" s="924"/>
    </row>
    <row r="17" spans="1:254" ht="47.25">
      <c r="A17" s="1086">
        <v>5</v>
      </c>
      <c r="B17" s="1119" t="s">
        <v>4465</v>
      </c>
      <c r="C17" s="1085"/>
      <c r="D17" s="1085"/>
      <c r="E17" s="1085"/>
      <c r="F17" s="1085"/>
      <c r="G17" s="1085"/>
      <c r="H17" s="1085"/>
      <c r="I17" s="920"/>
    </row>
    <row r="18" spans="1:254" ht="15.75" customHeight="1">
      <c r="A18" s="1086"/>
      <c r="B18" s="1120" t="s">
        <v>4469</v>
      </c>
      <c r="C18" s="1088">
        <v>1</v>
      </c>
      <c r="D18" s="1088">
        <v>1</v>
      </c>
      <c r="E18" s="1089"/>
      <c r="F18" s="1090"/>
      <c r="G18" s="1089"/>
      <c r="H18" s="1084">
        <f>PRODUCT(C18:G18)</f>
        <v>1</v>
      </c>
      <c r="I18" s="920"/>
    </row>
    <row r="19" spans="1:254" ht="17.100000000000001" customHeight="1">
      <c r="A19" s="1086"/>
      <c r="B19" s="1121"/>
      <c r="C19" s="1070"/>
      <c r="D19" s="1070"/>
      <c r="E19" s="1072"/>
      <c r="F19" s="1073"/>
      <c r="G19" s="1079"/>
      <c r="H19" s="1075"/>
      <c r="I19" s="920"/>
    </row>
    <row r="20" spans="1:254" ht="67.5" customHeight="1">
      <c r="A20" s="1086">
        <v>6</v>
      </c>
      <c r="B20" s="1106" t="s">
        <v>4827</v>
      </c>
      <c r="C20" s="1070"/>
      <c r="D20" s="1070"/>
      <c r="E20" s="1074"/>
      <c r="F20" s="1074"/>
      <c r="G20" s="1079"/>
      <c r="H20" s="1087"/>
      <c r="I20" s="920"/>
    </row>
    <row r="21" spans="1:254" ht="17.100000000000001" customHeight="1">
      <c r="A21" s="1111"/>
      <c r="B21" s="1120" t="s">
        <v>4469</v>
      </c>
      <c r="C21" s="1088">
        <v>1</v>
      </c>
      <c r="D21" s="1088">
        <v>1</v>
      </c>
      <c r="E21" s="1089"/>
      <c r="F21" s="1090"/>
      <c r="G21" s="1089"/>
      <c r="H21" s="1084">
        <f>PRODUCT(C21:G21)</f>
        <v>1</v>
      </c>
      <c r="I21" s="920"/>
    </row>
    <row r="22" spans="1:254" ht="17.100000000000001" customHeight="1">
      <c r="A22" s="1111"/>
      <c r="B22" s="1091"/>
      <c r="C22" s="1093"/>
      <c r="D22" s="1093"/>
      <c r="E22" s="1094"/>
      <c r="F22" s="1094"/>
      <c r="G22" s="1095"/>
      <c r="H22" s="1096"/>
      <c r="I22" s="920"/>
      <c r="J22" s="925"/>
      <c r="K22" s="925"/>
      <c r="L22" s="925"/>
      <c r="M22" s="925"/>
      <c r="N22" s="925"/>
      <c r="O22" s="925"/>
      <c r="P22" s="925"/>
      <c r="Q22" s="925"/>
      <c r="R22" s="925"/>
      <c r="S22" s="925"/>
      <c r="T22" s="925"/>
      <c r="U22" s="925"/>
      <c r="V22" s="925"/>
      <c r="W22" s="925"/>
      <c r="X22" s="925"/>
      <c r="Y22" s="925"/>
      <c r="Z22" s="925"/>
      <c r="AA22" s="925"/>
      <c r="AB22" s="925"/>
      <c r="AC22" s="925"/>
      <c r="AD22" s="925"/>
      <c r="AE22" s="925"/>
      <c r="AF22" s="925"/>
      <c r="AG22" s="925"/>
      <c r="AH22" s="925"/>
      <c r="AI22" s="925"/>
      <c r="AJ22" s="925"/>
      <c r="AK22" s="925"/>
      <c r="AL22" s="925"/>
      <c r="AM22" s="925"/>
      <c r="AN22" s="925"/>
      <c r="AO22" s="925"/>
      <c r="AP22" s="925"/>
      <c r="AQ22" s="925"/>
      <c r="AR22" s="925"/>
      <c r="AS22" s="925"/>
      <c r="AT22" s="925"/>
      <c r="AU22" s="925"/>
      <c r="AV22" s="925"/>
      <c r="AW22" s="925"/>
      <c r="AX22" s="925"/>
      <c r="AY22" s="925"/>
      <c r="AZ22" s="925"/>
      <c r="BA22" s="925"/>
      <c r="BB22" s="925"/>
      <c r="BC22" s="925"/>
      <c r="BD22" s="925"/>
      <c r="BE22" s="925"/>
      <c r="BF22" s="925"/>
      <c r="BG22" s="925"/>
      <c r="BH22" s="925"/>
      <c r="BI22" s="925"/>
      <c r="BJ22" s="925"/>
      <c r="BK22" s="925"/>
      <c r="BL22" s="925"/>
      <c r="BM22" s="925"/>
      <c r="BN22" s="925"/>
      <c r="BO22" s="925"/>
      <c r="BP22" s="925"/>
      <c r="BQ22" s="925"/>
      <c r="BR22" s="925"/>
      <c r="BS22" s="925"/>
      <c r="BT22" s="925"/>
      <c r="BU22" s="925"/>
      <c r="BV22" s="925"/>
      <c r="BW22" s="925"/>
      <c r="BX22" s="925"/>
      <c r="BY22" s="925"/>
      <c r="BZ22" s="925"/>
      <c r="CA22" s="925"/>
      <c r="CB22" s="925"/>
      <c r="CC22" s="925"/>
      <c r="CD22" s="925"/>
      <c r="CE22" s="925"/>
      <c r="CF22" s="925"/>
      <c r="CG22" s="925"/>
      <c r="CH22" s="925"/>
      <c r="CI22" s="925"/>
      <c r="CJ22" s="925"/>
      <c r="CK22" s="925"/>
      <c r="CL22" s="925"/>
      <c r="CM22" s="925"/>
      <c r="CN22" s="925"/>
      <c r="CO22" s="925"/>
      <c r="CP22" s="925"/>
      <c r="CQ22" s="925"/>
      <c r="CR22" s="925"/>
      <c r="CS22" s="925"/>
      <c r="CT22" s="925"/>
      <c r="CU22" s="925"/>
      <c r="CV22" s="925"/>
      <c r="CW22" s="925"/>
      <c r="CX22" s="925"/>
      <c r="CY22" s="925"/>
      <c r="CZ22" s="925"/>
      <c r="DA22" s="925"/>
      <c r="DB22" s="925"/>
      <c r="DC22" s="925"/>
      <c r="DD22" s="925"/>
      <c r="DE22" s="925"/>
      <c r="DF22" s="925"/>
      <c r="DG22" s="925"/>
      <c r="DH22" s="925"/>
      <c r="DI22" s="925"/>
      <c r="DJ22" s="925"/>
      <c r="DK22" s="925"/>
      <c r="DL22" s="925"/>
      <c r="DM22" s="925"/>
      <c r="DN22" s="925"/>
      <c r="DO22" s="925"/>
      <c r="DP22" s="925"/>
      <c r="DQ22" s="925"/>
      <c r="DR22" s="925"/>
      <c r="DS22" s="925"/>
      <c r="DT22" s="925"/>
      <c r="DU22" s="925"/>
      <c r="DV22" s="925"/>
      <c r="DW22" s="925"/>
      <c r="DX22" s="925"/>
      <c r="DY22" s="925"/>
      <c r="DZ22" s="925"/>
      <c r="EA22" s="925"/>
      <c r="EB22" s="925"/>
      <c r="EC22" s="925"/>
      <c r="ED22" s="925"/>
      <c r="EE22" s="925"/>
      <c r="EF22" s="925"/>
      <c r="EG22" s="925"/>
      <c r="EH22" s="925"/>
      <c r="EI22" s="925"/>
      <c r="EJ22" s="925"/>
      <c r="EK22" s="925"/>
      <c r="EL22" s="925"/>
      <c r="EM22" s="925"/>
      <c r="EN22" s="925"/>
      <c r="EO22" s="925"/>
      <c r="EP22" s="925"/>
      <c r="EQ22" s="925"/>
      <c r="ER22" s="925"/>
      <c r="ES22" s="925"/>
      <c r="ET22" s="925"/>
      <c r="EU22" s="925"/>
      <c r="EV22" s="925"/>
      <c r="EW22" s="925"/>
      <c r="EX22" s="925"/>
      <c r="EY22" s="925"/>
      <c r="EZ22" s="925"/>
      <c r="FA22" s="925"/>
      <c r="FB22" s="925"/>
      <c r="FC22" s="925"/>
      <c r="FD22" s="925"/>
      <c r="FE22" s="925"/>
      <c r="FF22" s="925"/>
      <c r="FG22" s="925"/>
      <c r="FH22" s="925"/>
      <c r="FI22" s="925"/>
      <c r="FJ22" s="925"/>
      <c r="FK22" s="925"/>
      <c r="FL22" s="925"/>
      <c r="FM22" s="925"/>
      <c r="FN22" s="925"/>
      <c r="FO22" s="925"/>
      <c r="FP22" s="925"/>
      <c r="FQ22" s="925"/>
      <c r="FR22" s="925"/>
      <c r="FS22" s="925"/>
      <c r="FT22" s="925"/>
      <c r="FU22" s="925"/>
      <c r="FV22" s="925"/>
      <c r="FW22" s="925"/>
      <c r="FX22" s="925"/>
      <c r="FY22" s="925"/>
      <c r="FZ22" s="925"/>
      <c r="GA22" s="925"/>
      <c r="GB22" s="925"/>
      <c r="GC22" s="925"/>
      <c r="GD22" s="925"/>
      <c r="GE22" s="925"/>
      <c r="GF22" s="925"/>
      <c r="GG22" s="925"/>
      <c r="GH22" s="925"/>
      <c r="GI22" s="925"/>
      <c r="GJ22" s="925"/>
      <c r="GK22" s="925"/>
      <c r="GL22" s="925"/>
      <c r="GM22" s="925"/>
      <c r="GN22" s="925"/>
      <c r="GO22" s="925"/>
      <c r="GP22" s="925"/>
      <c r="GQ22" s="925"/>
      <c r="GR22" s="925"/>
      <c r="GS22" s="925"/>
      <c r="GT22" s="925"/>
      <c r="GU22" s="925"/>
      <c r="GV22" s="925"/>
      <c r="GW22" s="925"/>
      <c r="GX22" s="925"/>
      <c r="GY22" s="925"/>
      <c r="GZ22" s="925"/>
      <c r="HA22" s="925"/>
      <c r="HB22" s="925"/>
      <c r="HC22" s="925"/>
      <c r="HD22" s="925"/>
      <c r="HE22" s="925"/>
      <c r="HF22" s="925"/>
      <c r="HG22" s="925"/>
      <c r="HH22" s="925"/>
      <c r="HI22" s="925"/>
      <c r="HJ22" s="925"/>
      <c r="HK22" s="925"/>
      <c r="HL22" s="925"/>
      <c r="HM22" s="925"/>
      <c r="HN22" s="925"/>
      <c r="HO22" s="925"/>
      <c r="HP22" s="925"/>
      <c r="HQ22" s="925"/>
      <c r="HR22" s="925"/>
      <c r="HS22" s="925"/>
      <c r="HT22" s="925"/>
      <c r="HU22" s="925"/>
      <c r="HV22" s="925"/>
      <c r="HW22" s="925"/>
      <c r="HX22" s="925"/>
      <c r="HY22" s="925"/>
      <c r="HZ22" s="925"/>
      <c r="IA22" s="925"/>
      <c r="IB22" s="925"/>
      <c r="IC22" s="925"/>
      <c r="ID22" s="925"/>
      <c r="IE22" s="925"/>
      <c r="IF22" s="925"/>
      <c r="IG22" s="925"/>
      <c r="IH22" s="925"/>
      <c r="II22" s="925"/>
      <c r="IJ22" s="925"/>
      <c r="IK22" s="925"/>
      <c r="IL22" s="925"/>
      <c r="IM22" s="925"/>
      <c r="IN22" s="925"/>
      <c r="IO22" s="925"/>
      <c r="IP22" s="925"/>
      <c r="IQ22" s="925"/>
      <c r="IR22" s="925"/>
      <c r="IS22" s="925"/>
      <c r="IT22" s="925"/>
    </row>
    <row r="23" spans="1:254" ht="31.5">
      <c r="A23" s="1111">
        <v>7</v>
      </c>
      <c r="B23" s="1097" t="s">
        <v>4466</v>
      </c>
      <c r="C23" s="1093"/>
      <c r="D23" s="1093"/>
      <c r="E23" s="1094"/>
      <c r="F23" s="1094"/>
      <c r="G23" s="1095"/>
      <c r="H23" s="1096"/>
      <c r="I23" s="920"/>
      <c r="J23" s="925"/>
      <c r="K23" s="925"/>
      <c r="L23" s="925"/>
      <c r="M23" s="925"/>
      <c r="N23" s="925"/>
      <c r="O23" s="925"/>
      <c r="P23" s="925"/>
      <c r="Q23" s="925"/>
      <c r="R23" s="925"/>
      <c r="S23" s="925"/>
      <c r="T23" s="925"/>
      <c r="U23" s="925"/>
      <c r="V23" s="925"/>
      <c r="W23" s="925"/>
      <c r="X23" s="925"/>
      <c r="Y23" s="925"/>
      <c r="Z23" s="925"/>
      <c r="AA23" s="925"/>
      <c r="AB23" s="925"/>
      <c r="AC23" s="925"/>
      <c r="AD23" s="925"/>
      <c r="AE23" s="925"/>
      <c r="AF23" s="925"/>
      <c r="AG23" s="925"/>
      <c r="AH23" s="925"/>
      <c r="AI23" s="925"/>
      <c r="AJ23" s="925"/>
      <c r="AK23" s="925"/>
      <c r="AL23" s="925"/>
      <c r="AM23" s="925"/>
      <c r="AN23" s="925"/>
      <c r="AO23" s="925"/>
      <c r="AP23" s="925"/>
      <c r="AQ23" s="925"/>
      <c r="AR23" s="925"/>
      <c r="AS23" s="925"/>
      <c r="AT23" s="925"/>
      <c r="AU23" s="925"/>
      <c r="AV23" s="925"/>
      <c r="AW23" s="925"/>
      <c r="AX23" s="925"/>
      <c r="AY23" s="925"/>
      <c r="AZ23" s="925"/>
      <c r="BA23" s="925"/>
      <c r="BB23" s="925"/>
      <c r="BC23" s="925"/>
      <c r="BD23" s="925"/>
      <c r="BE23" s="925"/>
      <c r="BF23" s="925"/>
      <c r="BG23" s="925"/>
      <c r="BH23" s="925"/>
      <c r="BI23" s="925"/>
      <c r="BJ23" s="925"/>
      <c r="BK23" s="925"/>
      <c r="BL23" s="925"/>
      <c r="BM23" s="925"/>
      <c r="BN23" s="925"/>
      <c r="BO23" s="925"/>
      <c r="BP23" s="925"/>
      <c r="BQ23" s="925"/>
      <c r="BR23" s="925"/>
      <c r="BS23" s="925"/>
      <c r="BT23" s="925"/>
      <c r="BU23" s="925"/>
      <c r="BV23" s="925"/>
      <c r="BW23" s="925"/>
      <c r="BX23" s="925"/>
      <c r="BY23" s="925"/>
      <c r="BZ23" s="925"/>
      <c r="CA23" s="925"/>
      <c r="CB23" s="925"/>
      <c r="CC23" s="925"/>
      <c r="CD23" s="925"/>
      <c r="CE23" s="925"/>
      <c r="CF23" s="925"/>
      <c r="CG23" s="925"/>
      <c r="CH23" s="925"/>
      <c r="CI23" s="925"/>
      <c r="CJ23" s="925"/>
      <c r="CK23" s="925"/>
      <c r="CL23" s="925"/>
      <c r="CM23" s="925"/>
      <c r="CN23" s="925"/>
      <c r="CO23" s="925"/>
      <c r="CP23" s="925"/>
      <c r="CQ23" s="925"/>
      <c r="CR23" s="925"/>
      <c r="CS23" s="925"/>
      <c r="CT23" s="925"/>
      <c r="CU23" s="925"/>
      <c r="CV23" s="925"/>
      <c r="CW23" s="925"/>
      <c r="CX23" s="925"/>
      <c r="CY23" s="925"/>
      <c r="CZ23" s="925"/>
      <c r="DA23" s="925"/>
      <c r="DB23" s="925"/>
      <c r="DC23" s="925"/>
      <c r="DD23" s="925"/>
      <c r="DE23" s="925"/>
      <c r="DF23" s="925"/>
      <c r="DG23" s="925"/>
      <c r="DH23" s="925"/>
      <c r="DI23" s="925"/>
      <c r="DJ23" s="925"/>
      <c r="DK23" s="925"/>
      <c r="DL23" s="925"/>
      <c r="DM23" s="925"/>
      <c r="DN23" s="925"/>
      <c r="DO23" s="925"/>
      <c r="DP23" s="925"/>
      <c r="DQ23" s="925"/>
      <c r="DR23" s="925"/>
      <c r="DS23" s="925"/>
      <c r="DT23" s="925"/>
      <c r="DU23" s="925"/>
      <c r="DV23" s="925"/>
      <c r="DW23" s="925"/>
      <c r="DX23" s="925"/>
      <c r="DY23" s="925"/>
      <c r="DZ23" s="925"/>
      <c r="EA23" s="925"/>
      <c r="EB23" s="925"/>
      <c r="EC23" s="925"/>
      <c r="ED23" s="925"/>
      <c r="EE23" s="925"/>
      <c r="EF23" s="925"/>
      <c r="EG23" s="925"/>
      <c r="EH23" s="925"/>
      <c r="EI23" s="925"/>
      <c r="EJ23" s="925"/>
      <c r="EK23" s="925"/>
      <c r="EL23" s="925"/>
      <c r="EM23" s="925"/>
      <c r="EN23" s="925"/>
      <c r="EO23" s="925"/>
      <c r="EP23" s="925"/>
      <c r="EQ23" s="925"/>
      <c r="ER23" s="925"/>
      <c r="ES23" s="925"/>
      <c r="ET23" s="925"/>
      <c r="EU23" s="925"/>
      <c r="EV23" s="925"/>
      <c r="EW23" s="925"/>
      <c r="EX23" s="925"/>
      <c r="EY23" s="925"/>
      <c r="EZ23" s="925"/>
      <c r="FA23" s="925"/>
      <c r="FB23" s="925"/>
      <c r="FC23" s="925"/>
      <c r="FD23" s="925"/>
      <c r="FE23" s="925"/>
      <c r="FF23" s="925"/>
      <c r="FG23" s="925"/>
      <c r="FH23" s="925"/>
      <c r="FI23" s="925"/>
      <c r="FJ23" s="925"/>
      <c r="FK23" s="925"/>
      <c r="FL23" s="925"/>
      <c r="FM23" s="925"/>
      <c r="FN23" s="925"/>
      <c r="FO23" s="925"/>
      <c r="FP23" s="925"/>
      <c r="FQ23" s="925"/>
      <c r="FR23" s="925"/>
      <c r="FS23" s="925"/>
      <c r="FT23" s="925"/>
      <c r="FU23" s="925"/>
      <c r="FV23" s="925"/>
      <c r="FW23" s="925"/>
      <c r="FX23" s="925"/>
      <c r="FY23" s="925"/>
      <c r="FZ23" s="925"/>
      <c r="GA23" s="925"/>
      <c r="GB23" s="925"/>
      <c r="GC23" s="925"/>
      <c r="GD23" s="925"/>
      <c r="GE23" s="925"/>
      <c r="GF23" s="925"/>
      <c r="GG23" s="925"/>
      <c r="GH23" s="925"/>
      <c r="GI23" s="925"/>
      <c r="GJ23" s="925"/>
      <c r="GK23" s="925"/>
      <c r="GL23" s="925"/>
      <c r="GM23" s="925"/>
      <c r="GN23" s="925"/>
      <c r="GO23" s="925"/>
      <c r="GP23" s="925"/>
      <c r="GQ23" s="925"/>
      <c r="GR23" s="925"/>
      <c r="GS23" s="925"/>
      <c r="GT23" s="925"/>
      <c r="GU23" s="925"/>
      <c r="GV23" s="925"/>
      <c r="GW23" s="925"/>
      <c r="GX23" s="925"/>
      <c r="GY23" s="925"/>
      <c r="GZ23" s="925"/>
      <c r="HA23" s="925"/>
      <c r="HB23" s="925"/>
      <c r="HC23" s="925"/>
      <c r="HD23" s="925"/>
      <c r="HE23" s="925"/>
      <c r="HF23" s="925"/>
      <c r="HG23" s="925"/>
      <c r="HH23" s="925"/>
      <c r="HI23" s="925"/>
      <c r="HJ23" s="925"/>
      <c r="HK23" s="925"/>
      <c r="HL23" s="925"/>
      <c r="HM23" s="925"/>
      <c r="HN23" s="925"/>
      <c r="HO23" s="925"/>
      <c r="HP23" s="925"/>
      <c r="HQ23" s="925"/>
      <c r="HR23" s="925"/>
      <c r="HS23" s="925"/>
      <c r="HT23" s="925"/>
      <c r="HU23" s="925"/>
      <c r="HV23" s="925"/>
      <c r="HW23" s="925"/>
      <c r="HX23" s="925"/>
      <c r="HY23" s="925"/>
      <c r="HZ23" s="925"/>
      <c r="IA23" s="925"/>
      <c r="IB23" s="925"/>
      <c r="IC23" s="925"/>
      <c r="ID23" s="925"/>
      <c r="IE23" s="925"/>
      <c r="IF23" s="925"/>
      <c r="IG23" s="925"/>
      <c r="IH23" s="925"/>
      <c r="II23" s="925"/>
      <c r="IJ23" s="925"/>
      <c r="IK23" s="925"/>
      <c r="IL23" s="925"/>
      <c r="IM23" s="925"/>
      <c r="IN23" s="925"/>
      <c r="IO23" s="925"/>
      <c r="IP23" s="925"/>
      <c r="IQ23" s="925"/>
      <c r="IR23" s="925"/>
      <c r="IS23" s="925"/>
      <c r="IT23" s="925"/>
    </row>
    <row r="24" spans="1:254" ht="17.100000000000001" customHeight="1">
      <c r="A24" s="1111"/>
      <c r="B24" s="1120" t="s">
        <v>4469</v>
      </c>
      <c r="C24" s="1088">
        <v>1</v>
      </c>
      <c r="D24" s="1088">
        <v>1</v>
      </c>
      <c r="E24" s="1089"/>
      <c r="F24" s="1090"/>
      <c r="G24" s="1089"/>
      <c r="H24" s="1084">
        <f>PRODUCT(C24:G24)</f>
        <v>1</v>
      </c>
      <c r="I24" s="920"/>
      <c r="J24" s="925"/>
      <c r="K24" s="925"/>
      <c r="L24" s="925"/>
      <c r="M24" s="925"/>
      <c r="N24" s="925"/>
      <c r="O24" s="925"/>
      <c r="P24" s="925"/>
      <c r="Q24" s="925"/>
      <c r="R24" s="925"/>
      <c r="S24" s="925"/>
      <c r="T24" s="925"/>
      <c r="U24" s="925"/>
      <c r="V24" s="925"/>
      <c r="W24" s="925"/>
      <c r="X24" s="925"/>
      <c r="Y24" s="925"/>
      <c r="Z24" s="925"/>
      <c r="AA24" s="925"/>
      <c r="AB24" s="925"/>
      <c r="AC24" s="925"/>
      <c r="AD24" s="925"/>
      <c r="AE24" s="925"/>
      <c r="AF24" s="925"/>
      <c r="AG24" s="925"/>
      <c r="AH24" s="925"/>
      <c r="AI24" s="925"/>
      <c r="AJ24" s="925"/>
      <c r="AK24" s="925"/>
      <c r="AL24" s="925"/>
      <c r="AM24" s="925"/>
      <c r="AN24" s="925"/>
      <c r="AO24" s="925"/>
      <c r="AP24" s="925"/>
      <c r="AQ24" s="925"/>
      <c r="AR24" s="925"/>
      <c r="AS24" s="925"/>
      <c r="AT24" s="925"/>
      <c r="AU24" s="925"/>
      <c r="AV24" s="925"/>
      <c r="AW24" s="925"/>
      <c r="AX24" s="925"/>
      <c r="AY24" s="925"/>
      <c r="AZ24" s="925"/>
      <c r="BA24" s="925"/>
      <c r="BB24" s="925"/>
      <c r="BC24" s="925"/>
      <c r="BD24" s="925"/>
      <c r="BE24" s="925"/>
      <c r="BF24" s="925"/>
      <c r="BG24" s="925"/>
      <c r="BH24" s="925"/>
      <c r="BI24" s="925"/>
      <c r="BJ24" s="925"/>
      <c r="BK24" s="925"/>
      <c r="BL24" s="925"/>
      <c r="BM24" s="925"/>
      <c r="BN24" s="925"/>
      <c r="BO24" s="925"/>
      <c r="BP24" s="925"/>
      <c r="BQ24" s="925"/>
      <c r="BR24" s="925"/>
      <c r="BS24" s="925"/>
      <c r="BT24" s="925"/>
      <c r="BU24" s="925"/>
      <c r="BV24" s="925"/>
      <c r="BW24" s="925"/>
      <c r="BX24" s="925"/>
      <c r="BY24" s="925"/>
      <c r="BZ24" s="925"/>
      <c r="CA24" s="925"/>
      <c r="CB24" s="925"/>
      <c r="CC24" s="925"/>
      <c r="CD24" s="925"/>
      <c r="CE24" s="925"/>
      <c r="CF24" s="925"/>
      <c r="CG24" s="925"/>
      <c r="CH24" s="925"/>
      <c r="CI24" s="925"/>
      <c r="CJ24" s="925"/>
      <c r="CK24" s="925"/>
      <c r="CL24" s="925"/>
      <c r="CM24" s="925"/>
      <c r="CN24" s="925"/>
      <c r="CO24" s="925"/>
      <c r="CP24" s="925"/>
      <c r="CQ24" s="925"/>
      <c r="CR24" s="925"/>
      <c r="CS24" s="925"/>
      <c r="CT24" s="925"/>
      <c r="CU24" s="925"/>
      <c r="CV24" s="925"/>
      <c r="CW24" s="925"/>
      <c r="CX24" s="925"/>
      <c r="CY24" s="925"/>
      <c r="CZ24" s="925"/>
      <c r="DA24" s="925"/>
      <c r="DB24" s="925"/>
      <c r="DC24" s="925"/>
      <c r="DD24" s="925"/>
      <c r="DE24" s="925"/>
      <c r="DF24" s="925"/>
      <c r="DG24" s="925"/>
      <c r="DH24" s="925"/>
      <c r="DI24" s="925"/>
      <c r="DJ24" s="925"/>
      <c r="DK24" s="925"/>
      <c r="DL24" s="925"/>
      <c r="DM24" s="925"/>
      <c r="DN24" s="925"/>
      <c r="DO24" s="925"/>
      <c r="DP24" s="925"/>
      <c r="DQ24" s="925"/>
      <c r="DR24" s="925"/>
      <c r="DS24" s="925"/>
      <c r="DT24" s="925"/>
      <c r="DU24" s="925"/>
      <c r="DV24" s="925"/>
      <c r="DW24" s="925"/>
      <c r="DX24" s="925"/>
      <c r="DY24" s="925"/>
      <c r="DZ24" s="925"/>
      <c r="EA24" s="925"/>
      <c r="EB24" s="925"/>
      <c r="EC24" s="925"/>
      <c r="ED24" s="925"/>
      <c r="EE24" s="925"/>
      <c r="EF24" s="925"/>
      <c r="EG24" s="925"/>
      <c r="EH24" s="925"/>
      <c r="EI24" s="925"/>
      <c r="EJ24" s="925"/>
      <c r="EK24" s="925"/>
      <c r="EL24" s="925"/>
      <c r="EM24" s="925"/>
      <c r="EN24" s="925"/>
      <c r="EO24" s="925"/>
      <c r="EP24" s="925"/>
      <c r="EQ24" s="925"/>
      <c r="ER24" s="925"/>
      <c r="ES24" s="925"/>
      <c r="ET24" s="925"/>
      <c r="EU24" s="925"/>
      <c r="EV24" s="925"/>
      <c r="EW24" s="925"/>
      <c r="EX24" s="925"/>
      <c r="EY24" s="925"/>
      <c r="EZ24" s="925"/>
      <c r="FA24" s="925"/>
      <c r="FB24" s="925"/>
      <c r="FC24" s="925"/>
      <c r="FD24" s="925"/>
      <c r="FE24" s="925"/>
      <c r="FF24" s="925"/>
      <c r="FG24" s="925"/>
      <c r="FH24" s="925"/>
      <c r="FI24" s="925"/>
      <c r="FJ24" s="925"/>
      <c r="FK24" s="925"/>
      <c r="FL24" s="925"/>
      <c r="FM24" s="925"/>
      <c r="FN24" s="925"/>
      <c r="FO24" s="925"/>
      <c r="FP24" s="925"/>
      <c r="FQ24" s="925"/>
      <c r="FR24" s="925"/>
      <c r="FS24" s="925"/>
      <c r="FT24" s="925"/>
      <c r="FU24" s="925"/>
      <c r="FV24" s="925"/>
      <c r="FW24" s="925"/>
      <c r="FX24" s="925"/>
      <c r="FY24" s="925"/>
      <c r="FZ24" s="925"/>
      <c r="GA24" s="925"/>
      <c r="GB24" s="925"/>
      <c r="GC24" s="925"/>
      <c r="GD24" s="925"/>
      <c r="GE24" s="925"/>
      <c r="GF24" s="925"/>
      <c r="GG24" s="925"/>
      <c r="GH24" s="925"/>
      <c r="GI24" s="925"/>
      <c r="GJ24" s="925"/>
      <c r="GK24" s="925"/>
      <c r="GL24" s="925"/>
      <c r="GM24" s="925"/>
      <c r="GN24" s="925"/>
      <c r="GO24" s="925"/>
      <c r="GP24" s="925"/>
      <c r="GQ24" s="925"/>
      <c r="GR24" s="925"/>
      <c r="GS24" s="925"/>
      <c r="GT24" s="925"/>
      <c r="GU24" s="925"/>
      <c r="GV24" s="925"/>
      <c r="GW24" s="925"/>
      <c r="GX24" s="925"/>
      <c r="GY24" s="925"/>
      <c r="GZ24" s="925"/>
      <c r="HA24" s="925"/>
      <c r="HB24" s="925"/>
      <c r="HC24" s="925"/>
      <c r="HD24" s="925"/>
      <c r="HE24" s="925"/>
      <c r="HF24" s="925"/>
      <c r="HG24" s="925"/>
      <c r="HH24" s="925"/>
      <c r="HI24" s="925"/>
      <c r="HJ24" s="925"/>
      <c r="HK24" s="925"/>
      <c r="HL24" s="925"/>
      <c r="HM24" s="925"/>
      <c r="HN24" s="925"/>
      <c r="HO24" s="925"/>
      <c r="HP24" s="925"/>
      <c r="HQ24" s="925"/>
      <c r="HR24" s="925"/>
      <c r="HS24" s="925"/>
      <c r="HT24" s="925"/>
      <c r="HU24" s="925"/>
      <c r="HV24" s="925"/>
      <c r="HW24" s="925"/>
      <c r="HX24" s="925"/>
      <c r="HY24" s="925"/>
      <c r="HZ24" s="925"/>
      <c r="IA24" s="925"/>
      <c r="IB24" s="925"/>
      <c r="IC24" s="925"/>
      <c r="ID24" s="925"/>
      <c r="IE24" s="925"/>
      <c r="IF24" s="925"/>
      <c r="IG24" s="925"/>
      <c r="IH24" s="925"/>
      <c r="II24" s="925"/>
      <c r="IJ24" s="925"/>
      <c r="IK24" s="925"/>
      <c r="IL24" s="925"/>
      <c r="IM24" s="925"/>
      <c r="IN24" s="925"/>
      <c r="IO24" s="925"/>
      <c r="IP24" s="925"/>
      <c r="IQ24" s="925"/>
      <c r="IR24" s="925"/>
      <c r="IS24" s="925"/>
      <c r="IT24" s="925"/>
    </row>
    <row r="25" spans="1:254" ht="17.100000000000001" customHeight="1">
      <c r="A25" s="1111"/>
      <c r="B25" s="1091"/>
      <c r="C25" s="1093"/>
      <c r="D25" s="1093"/>
      <c r="E25" s="1094"/>
      <c r="F25" s="1094"/>
      <c r="G25" s="1095"/>
      <c r="H25" s="1096"/>
      <c r="I25" s="920"/>
      <c r="J25" s="925"/>
      <c r="K25" s="925"/>
      <c r="L25" s="925"/>
      <c r="M25" s="925"/>
      <c r="N25" s="925"/>
      <c r="O25" s="925"/>
      <c r="P25" s="925"/>
      <c r="Q25" s="925"/>
      <c r="R25" s="925"/>
      <c r="S25" s="925"/>
      <c r="T25" s="925"/>
      <c r="U25" s="925"/>
      <c r="V25" s="925"/>
      <c r="W25" s="925"/>
      <c r="X25" s="925"/>
      <c r="Y25" s="925"/>
      <c r="Z25" s="925"/>
      <c r="AA25" s="925"/>
      <c r="AB25" s="925"/>
      <c r="AC25" s="925"/>
      <c r="AD25" s="925"/>
      <c r="AE25" s="925"/>
      <c r="AF25" s="925"/>
      <c r="AG25" s="925"/>
      <c r="AH25" s="925"/>
      <c r="AI25" s="925"/>
      <c r="AJ25" s="925"/>
      <c r="AK25" s="925"/>
      <c r="AL25" s="925"/>
      <c r="AM25" s="925"/>
      <c r="AN25" s="925"/>
      <c r="AO25" s="925"/>
      <c r="AP25" s="925"/>
      <c r="AQ25" s="925"/>
      <c r="AR25" s="925"/>
      <c r="AS25" s="925"/>
      <c r="AT25" s="925"/>
      <c r="AU25" s="925"/>
      <c r="AV25" s="925"/>
      <c r="AW25" s="925"/>
      <c r="AX25" s="925"/>
      <c r="AY25" s="925"/>
      <c r="AZ25" s="925"/>
      <c r="BA25" s="925"/>
      <c r="BB25" s="925"/>
      <c r="BC25" s="925"/>
      <c r="BD25" s="925"/>
      <c r="BE25" s="925"/>
      <c r="BF25" s="925"/>
      <c r="BG25" s="925"/>
      <c r="BH25" s="925"/>
      <c r="BI25" s="925"/>
      <c r="BJ25" s="925"/>
      <c r="BK25" s="925"/>
      <c r="BL25" s="925"/>
      <c r="BM25" s="925"/>
      <c r="BN25" s="925"/>
      <c r="BO25" s="925"/>
      <c r="BP25" s="925"/>
      <c r="BQ25" s="925"/>
      <c r="BR25" s="925"/>
      <c r="BS25" s="925"/>
      <c r="BT25" s="925"/>
      <c r="BU25" s="925"/>
      <c r="BV25" s="925"/>
      <c r="BW25" s="925"/>
      <c r="BX25" s="925"/>
      <c r="BY25" s="925"/>
      <c r="BZ25" s="925"/>
      <c r="CA25" s="925"/>
      <c r="CB25" s="925"/>
      <c r="CC25" s="925"/>
      <c r="CD25" s="925"/>
      <c r="CE25" s="925"/>
      <c r="CF25" s="925"/>
      <c r="CG25" s="925"/>
      <c r="CH25" s="925"/>
      <c r="CI25" s="925"/>
      <c r="CJ25" s="925"/>
      <c r="CK25" s="925"/>
      <c r="CL25" s="925"/>
      <c r="CM25" s="925"/>
      <c r="CN25" s="925"/>
      <c r="CO25" s="925"/>
      <c r="CP25" s="925"/>
      <c r="CQ25" s="925"/>
      <c r="CR25" s="925"/>
      <c r="CS25" s="925"/>
      <c r="CT25" s="925"/>
      <c r="CU25" s="925"/>
      <c r="CV25" s="925"/>
      <c r="CW25" s="925"/>
      <c r="CX25" s="925"/>
      <c r="CY25" s="925"/>
      <c r="CZ25" s="925"/>
      <c r="DA25" s="925"/>
      <c r="DB25" s="925"/>
      <c r="DC25" s="925"/>
      <c r="DD25" s="925"/>
      <c r="DE25" s="925"/>
      <c r="DF25" s="925"/>
      <c r="DG25" s="925"/>
      <c r="DH25" s="925"/>
      <c r="DI25" s="925"/>
      <c r="DJ25" s="925"/>
      <c r="DK25" s="925"/>
      <c r="DL25" s="925"/>
      <c r="DM25" s="925"/>
      <c r="DN25" s="925"/>
      <c r="DO25" s="925"/>
      <c r="DP25" s="925"/>
      <c r="DQ25" s="925"/>
      <c r="DR25" s="925"/>
      <c r="DS25" s="925"/>
      <c r="DT25" s="925"/>
      <c r="DU25" s="925"/>
      <c r="DV25" s="925"/>
      <c r="DW25" s="925"/>
      <c r="DX25" s="925"/>
      <c r="DY25" s="925"/>
      <c r="DZ25" s="925"/>
      <c r="EA25" s="925"/>
      <c r="EB25" s="925"/>
      <c r="EC25" s="925"/>
      <c r="ED25" s="925"/>
      <c r="EE25" s="925"/>
      <c r="EF25" s="925"/>
      <c r="EG25" s="925"/>
      <c r="EH25" s="925"/>
      <c r="EI25" s="925"/>
      <c r="EJ25" s="925"/>
      <c r="EK25" s="925"/>
      <c r="EL25" s="925"/>
      <c r="EM25" s="925"/>
      <c r="EN25" s="925"/>
      <c r="EO25" s="925"/>
      <c r="EP25" s="925"/>
      <c r="EQ25" s="925"/>
      <c r="ER25" s="925"/>
      <c r="ES25" s="925"/>
      <c r="ET25" s="925"/>
      <c r="EU25" s="925"/>
      <c r="EV25" s="925"/>
      <c r="EW25" s="925"/>
      <c r="EX25" s="925"/>
      <c r="EY25" s="925"/>
      <c r="EZ25" s="925"/>
      <c r="FA25" s="925"/>
      <c r="FB25" s="925"/>
      <c r="FC25" s="925"/>
      <c r="FD25" s="925"/>
      <c r="FE25" s="925"/>
      <c r="FF25" s="925"/>
      <c r="FG25" s="925"/>
      <c r="FH25" s="925"/>
      <c r="FI25" s="925"/>
      <c r="FJ25" s="925"/>
      <c r="FK25" s="925"/>
      <c r="FL25" s="925"/>
      <c r="FM25" s="925"/>
      <c r="FN25" s="925"/>
      <c r="FO25" s="925"/>
      <c r="FP25" s="925"/>
      <c r="FQ25" s="925"/>
      <c r="FR25" s="925"/>
      <c r="FS25" s="925"/>
      <c r="FT25" s="925"/>
      <c r="FU25" s="925"/>
      <c r="FV25" s="925"/>
      <c r="FW25" s="925"/>
      <c r="FX25" s="925"/>
      <c r="FY25" s="925"/>
      <c r="FZ25" s="925"/>
      <c r="GA25" s="925"/>
      <c r="GB25" s="925"/>
      <c r="GC25" s="925"/>
      <c r="GD25" s="925"/>
      <c r="GE25" s="925"/>
      <c r="GF25" s="925"/>
      <c r="GG25" s="925"/>
      <c r="GH25" s="925"/>
      <c r="GI25" s="925"/>
      <c r="GJ25" s="925"/>
      <c r="GK25" s="925"/>
      <c r="GL25" s="925"/>
      <c r="GM25" s="925"/>
      <c r="GN25" s="925"/>
      <c r="GO25" s="925"/>
      <c r="GP25" s="925"/>
      <c r="GQ25" s="925"/>
      <c r="GR25" s="925"/>
      <c r="GS25" s="925"/>
      <c r="GT25" s="925"/>
      <c r="GU25" s="925"/>
      <c r="GV25" s="925"/>
      <c r="GW25" s="925"/>
      <c r="GX25" s="925"/>
      <c r="GY25" s="925"/>
      <c r="GZ25" s="925"/>
      <c r="HA25" s="925"/>
      <c r="HB25" s="925"/>
      <c r="HC25" s="925"/>
      <c r="HD25" s="925"/>
      <c r="HE25" s="925"/>
      <c r="HF25" s="925"/>
      <c r="HG25" s="925"/>
      <c r="HH25" s="925"/>
      <c r="HI25" s="925"/>
      <c r="HJ25" s="925"/>
      <c r="HK25" s="925"/>
      <c r="HL25" s="925"/>
      <c r="HM25" s="925"/>
      <c r="HN25" s="925"/>
      <c r="HO25" s="925"/>
      <c r="HP25" s="925"/>
      <c r="HQ25" s="925"/>
      <c r="HR25" s="925"/>
      <c r="HS25" s="925"/>
      <c r="HT25" s="925"/>
      <c r="HU25" s="925"/>
      <c r="HV25" s="925"/>
      <c r="HW25" s="925"/>
      <c r="HX25" s="925"/>
      <c r="HY25" s="925"/>
      <c r="HZ25" s="925"/>
      <c r="IA25" s="925"/>
      <c r="IB25" s="925"/>
      <c r="IC25" s="925"/>
      <c r="ID25" s="925"/>
      <c r="IE25" s="925"/>
      <c r="IF25" s="925"/>
      <c r="IG25" s="925"/>
      <c r="IH25" s="925"/>
      <c r="II25" s="925"/>
      <c r="IJ25" s="925"/>
      <c r="IK25" s="925"/>
      <c r="IL25" s="925"/>
      <c r="IM25" s="925"/>
      <c r="IN25" s="925"/>
      <c r="IO25" s="925"/>
      <c r="IP25" s="925"/>
      <c r="IQ25" s="925"/>
      <c r="IR25" s="925"/>
      <c r="IS25" s="925"/>
      <c r="IT25" s="925"/>
    </row>
    <row r="26" spans="1:254" ht="47.25">
      <c r="A26" s="1112">
        <v>8</v>
      </c>
      <c r="B26" s="1097" t="s">
        <v>4467</v>
      </c>
      <c r="C26" s="1088"/>
      <c r="D26" s="1088"/>
      <c r="E26" s="1097"/>
      <c r="F26" s="1097"/>
      <c r="G26" s="1097"/>
      <c r="H26" s="1092"/>
      <c r="I26" s="920"/>
      <c r="M26" s="1290"/>
      <c r="N26" s="1290"/>
    </row>
    <row r="27" spans="1:254" ht="17.100000000000001" customHeight="1">
      <c r="A27" s="1091"/>
      <c r="B27" s="1120" t="s">
        <v>4469</v>
      </c>
      <c r="C27" s="1088">
        <v>1</v>
      </c>
      <c r="D27" s="1088">
        <v>5</v>
      </c>
      <c r="E27" s="1089"/>
      <c r="F27" s="1090"/>
      <c r="G27" s="1089"/>
      <c r="H27" s="1084">
        <f>PRODUCT(C27:G27)</f>
        <v>5</v>
      </c>
      <c r="I27" s="920"/>
    </row>
    <row r="28" spans="1:254" s="927" customFormat="1" ht="17.100000000000001" customHeight="1">
      <c r="A28" s="1099"/>
      <c r="B28" s="1122"/>
      <c r="C28" s="1098"/>
      <c r="D28" s="1098"/>
      <c r="E28" s="1099"/>
      <c r="F28" s="1099"/>
      <c r="G28" s="1100"/>
      <c r="H28" s="1100"/>
      <c r="I28" s="926"/>
    </row>
    <row r="29" spans="1:254" ht="38.25" customHeight="1">
      <c r="A29" s="1086">
        <v>9</v>
      </c>
      <c r="B29" s="1118" t="s">
        <v>4468</v>
      </c>
      <c r="C29" s="1070"/>
      <c r="D29" s="1070"/>
      <c r="E29" s="1072"/>
      <c r="F29" s="1073"/>
      <c r="G29" s="1072"/>
      <c r="H29" s="1077"/>
      <c r="I29" s="920"/>
    </row>
    <row r="30" spans="1:254" ht="17.100000000000001" customHeight="1">
      <c r="A30" s="1086"/>
      <c r="B30" s="1119" t="s">
        <v>4469</v>
      </c>
      <c r="C30" s="1070">
        <v>1</v>
      </c>
      <c r="D30" s="1070">
        <v>1</v>
      </c>
      <c r="E30" s="1074">
        <v>350</v>
      </c>
      <c r="F30" s="1074"/>
      <c r="G30" s="1074"/>
      <c r="H30" s="1084">
        <f>PRODUCT(C30:G30)</f>
        <v>350</v>
      </c>
      <c r="I30" s="920"/>
    </row>
    <row r="31" spans="1:254" ht="17.100000000000001" customHeight="1">
      <c r="A31" s="1086"/>
      <c r="B31" s="1119"/>
      <c r="C31" s="1070"/>
      <c r="D31" s="1070"/>
      <c r="E31" s="1074"/>
      <c r="F31" s="1074"/>
      <c r="G31" s="1074"/>
      <c r="H31" s="1079"/>
      <c r="I31" s="920"/>
    </row>
    <row r="32" spans="1:254" ht="47.25">
      <c r="A32" s="1086">
        <v>10</v>
      </c>
      <c r="B32" s="1106" t="s">
        <v>4825</v>
      </c>
      <c r="C32" s="1070"/>
      <c r="D32" s="1070"/>
      <c r="E32" s="1074"/>
      <c r="F32" s="1074"/>
      <c r="G32" s="1074"/>
      <c r="H32" s="1079"/>
      <c r="I32" s="920"/>
    </row>
    <row r="33" spans="1:254">
      <c r="A33" s="1086"/>
      <c r="B33" s="1119" t="s">
        <v>4469</v>
      </c>
      <c r="C33" s="1070">
        <v>1</v>
      </c>
      <c r="D33" s="1070">
        <v>1</v>
      </c>
      <c r="E33" s="1074">
        <v>200</v>
      </c>
      <c r="F33" s="1074"/>
      <c r="G33" s="1074"/>
      <c r="H33" s="1084">
        <f>PRODUCT(C33:G33)</f>
        <v>200</v>
      </c>
      <c r="I33" s="920"/>
    </row>
    <row r="34" spans="1:254">
      <c r="A34" s="1086"/>
      <c r="B34" s="1119"/>
      <c r="C34" s="1070"/>
      <c r="D34" s="1070"/>
      <c r="E34" s="1074"/>
      <c r="F34" s="1074"/>
      <c r="G34" s="1074"/>
      <c r="H34" s="1079"/>
      <c r="I34" s="920"/>
    </row>
    <row r="35" spans="1:254" ht="63">
      <c r="A35" s="1086">
        <v>11</v>
      </c>
      <c r="B35" s="1119" t="s">
        <v>4828</v>
      </c>
      <c r="C35" s="1070"/>
      <c r="D35" s="1070"/>
      <c r="E35" s="1074"/>
      <c r="F35" s="1074"/>
      <c r="G35" s="1074"/>
      <c r="H35" s="1079"/>
      <c r="I35" s="920"/>
    </row>
    <row r="36" spans="1:254" ht="17.100000000000001" customHeight="1">
      <c r="A36" s="1086"/>
      <c r="B36" s="1119" t="s">
        <v>4469</v>
      </c>
      <c r="C36" s="1070">
        <v>1</v>
      </c>
      <c r="D36" s="1070">
        <v>5</v>
      </c>
      <c r="E36" s="1074"/>
      <c r="F36" s="1074"/>
      <c r="G36" s="1074"/>
      <c r="H36" s="1084">
        <f>PRODUCT(C36:G36)</f>
        <v>5</v>
      </c>
      <c r="I36" s="920"/>
    </row>
    <row r="37" spans="1:254" ht="17.100000000000001" customHeight="1">
      <c r="A37" s="1086"/>
      <c r="B37" s="1119"/>
      <c r="C37" s="1070"/>
      <c r="D37" s="1070"/>
      <c r="E37" s="1074"/>
      <c r="F37" s="1074"/>
      <c r="G37" s="1074"/>
      <c r="H37" s="1084"/>
      <c r="I37" s="920"/>
    </row>
    <row r="38" spans="1:254" ht="14.1" customHeight="1">
      <c r="A38" s="1116"/>
      <c r="B38" s="1116"/>
      <c r="C38" s="938"/>
      <c r="D38" s="938"/>
      <c r="E38" s="938"/>
      <c r="F38" s="938"/>
      <c r="G38" s="938"/>
      <c r="H38" s="938"/>
      <c r="J38" s="936"/>
      <c r="K38" s="936"/>
      <c r="L38" s="936"/>
      <c r="M38" s="936"/>
      <c r="N38" s="936"/>
      <c r="O38" s="936"/>
      <c r="P38" s="936"/>
      <c r="Q38" s="936"/>
      <c r="R38" s="936"/>
      <c r="S38" s="936"/>
      <c r="T38" s="936"/>
      <c r="U38" s="936"/>
      <c r="V38" s="936"/>
      <c r="W38" s="936"/>
      <c r="X38" s="936"/>
      <c r="Y38" s="936"/>
      <c r="Z38" s="936"/>
      <c r="AA38" s="936"/>
      <c r="AB38" s="936"/>
      <c r="AC38" s="936"/>
      <c r="AD38" s="936"/>
      <c r="AE38" s="936"/>
      <c r="AF38" s="936"/>
      <c r="AG38" s="936"/>
      <c r="AH38" s="936"/>
      <c r="AI38" s="936"/>
      <c r="AJ38" s="936"/>
      <c r="AK38" s="936"/>
      <c r="AL38" s="936"/>
      <c r="AM38" s="936"/>
      <c r="AN38" s="936"/>
      <c r="AO38" s="936"/>
      <c r="AP38" s="936"/>
      <c r="AQ38" s="936"/>
      <c r="AR38" s="936"/>
      <c r="AS38" s="936"/>
      <c r="AT38" s="936"/>
      <c r="AU38" s="936"/>
      <c r="AV38" s="936"/>
      <c r="AW38" s="936"/>
      <c r="AX38" s="936"/>
      <c r="AY38" s="936"/>
      <c r="AZ38" s="936"/>
      <c r="BA38" s="936"/>
      <c r="BB38" s="936"/>
      <c r="BC38" s="936"/>
      <c r="BD38" s="936"/>
      <c r="BE38" s="936"/>
      <c r="BF38" s="936"/>
      <c r="BG38" s="936"/>
      <c r="BH38" s="936"/>
      <c r="BI38" s="936"/>
      <c r="BJ38" s="936"/>
      <c r="BK38" s="936"/>
      <c r="BL38" s="936"/>
      <c r="BM38" s="936"/>
      <c r="BN38" s="936"/>
      <c r="BO38" s="936"/>
      <c r="BP38" s="936"/>
      <c r="BQ38" s="936"/>
      <c r="BR38" s="936"/>
      <c r="BS38" s="936"/>
      <c r="BT38" s="936"/>
      <c r="BU38" s="936"/>
      <c r="BV38" s="936"/>
      <c r="BW38" s="936"/>
      <c r="BX38" s="936"/>
      <c r="BY38" s="936"/>
      <c r="BZ38" s="936"/>
      <c r="CA38" s="936"/>
      <c r="CB38" s="936"/>
      <c r="CC38" s="936"/>
      <c r="CD38" s="936"/>
      <c r="CE38" s="936"/>
      <c r="CF38" s="936"/>
      <c r="CG38" s="936"/>
      <c r="CH38" s="936"/>
      <c r="CI38" s="936"/>
      <c r="CJ38" s="936"/>
      <c r="CK38" s="936"/>
      <c r="CL38" s="936"/>
      <c r="CM38" s="936"/>
      <c r="CN38" s="936"/>
      <c r="CO38" s="936"/>
      <c r="CP38" s="936"/>
      <c r="CQ38" s="936"/>
      <c r="CR38" s="936"/>
      <c r="CS38" s="936"/>
      <c r="CT38" s="936"/>
      <c r="CU38" s="936"/>
      <c r="CV38" s="936"/>
      <c r="CW38" s="936"/>
      <c r="CX38" s="936"/>
      <c r="CY38" s="936"/>
      <c r="CZ38" s="936"/>
      <c r="DA38" s="936"/>
      <c r="DB38" s="936"/>
      <c r="DC38" s="936"/>
      <c r="DD38" s="936"/>
      <c r="DE38" s="936"/>
      <c r="DF38" s="936"/>
      <c r="DG38" s="936"/>
      <c r="DH38" s="936"/>
      <c r="DI38" s="936"/>
      <c r="DJ38" s="936"/>
      <c r="DK38" s="936"/>
      <c r="DL38" s="936"/>
      <c r="DM38" s="936"/>
      <c r="DN38" s="936"/>
      <c r="DO38" s="936"/>
      <c r="DP38" s="936"/>
      <c r="DQ38" s="936"/>
      <c r="DR38" s="936"/>
      <c r="DS38" s="936"/>
      <c r="DT38" s="936"/>
      <c r="DU38" s="936"/>
      <c r="DV38" s="936"/>
      <c r="DW38" s="936"/>
      <c r="DX38" s="936"/>
      <c r="DY38" s="936"/>
      <c r="DZ38" s="936"/>
      <c r="EA38" s="936"/>
      <c r="EB38" s="936"/>
      <c r="EC38" s="936"/>
      <c r="ED38" s="936"/>
      <c r="EE38" s="936"/>
      <c r="EF38" s="936"/>
      <c r="EG38" s="936"/>
      <c r="EH38" s="936"/>
      <c r="EI38" s="936"/>
      <c r="EJ38" s="936"/>
      <c r="EK38" s="936"/>
      <c r="EL38" s="936"/>
      <c r="EM38" s="936"/>
      <c r="EN38" s="936"/>
      <c r="EO38" s="936"/>
      <c r="EP38" s="936"/>
      <c r="EQ38" s="936"/>
      <c r="ER38" s="936"/>
      <c r="ES38" s="936"/>
      <c r="ET38" s="936"/>
      <c r="EU38" s="936"/>
      <c r="EV38" s="936"/>
      <c r="EW38" s="936"/>
      <c r="EX38" s="936"/>
      <c r="EY38" s="936"/>
      <c r="EZ38" s="936"/>
      <c r="FA38" s="936"/>
      <c r="FB38" s="936"/>
      <c r="FC38" s="936"/>
      <c r="FD38" s="936"/>
      <c r="FE38" s="936"/>
      <c r="FF38" s="936"/>
      <c r="FG38" s="936"/>
      <c r="FH38" s="936"/>
      <c r="FI38" s="936"/>
      <c r="FJ38" s="936"/>
      <c r="FK38" s="936"/>
      <c r="FL38" s="936"/>
      <c r="FM38" s="936"/>
      <c r="FN38" s="936"/>
      <c r="FO38" s="936"/>
      <c r="FP38" s="936"/>
      <c r="FQ38" s="936"/>
      <c r="FR38" s="936"/>
      <c r="FS38" s="936"/>
      <c r="FT38" s="936"/>
      <c r="FU38" s="936"/>
      <c r="FV38" s="936"/>
      <c r="FW38" s="936"/>
      <c r="FX38" s="936"/>
      <c r="FY38" s="936"/>
      <c r="FZ38" s="936"/>
      <c r="GA38" s="936"/>
      <c r="GB38" s="936"/>
      <c r="GC38" s="936"/>
      <c r="GD38" s="936"/>
      <c r="GE38" s="936"/>
      <c r="GF38" s="936"/>
      <c r="GG38" s="936"/>
      <c r="GH38" s="936"/>
      <c r="GI38" s="936"/>
      <c r="GJ38" s="936"/>
      <c r="GK38" s="936"/>
      <c r="GL38" s="936"/>
      <c r="GM38" s="936"/>
      <c r="GN38" s="936"/>
      <c r="GO38" s="936"/>
      <c r="GP38" s="936"/>
      <c r="GQ38" s="936"/>
      <c r="GR38" s="936"/>
      <c r="GS38" s="936"/>
      <c r="GT38" s="936"/>
      <c r="GU38" s="936"/>
      <c r="GV38" s="936"/>
      <c r="GW38" s="936"/>
      <c r="GX38" s="936"/>
      <c r="GY38" s="936"/>
      <c r="GZ38" s="936"/>
      <c r="HA38" s="936"/>
      <c r="HB38" s="936"/>
      <c r="HC38" s="936"/>
      <c r="HD38" s="936"/>
      <c r="HE38" s="936"/>
      <c r="HF38" s="936"/>
      <c r="HG38" s="936"/>
      <c r="HH38" s="936"/>
      <c r="HI38" s="936"/>
      <c r="HJ38" s="936"/>
      <c r="HK38" s="936"/>
      <c r="HL38" s="936"/>
      <c r="HM38" s="936"/>
      <c r="HN38" s="936"/>
      <c r="HO38" s="936"/>
      <c r="HP38" s="936"/>
      <c r="HQ38" s="936"/>
      <c r="HR38" s="936"/>
      <c r="HS38" s="936"/>
      <c r="HT38" s="936"/>
      <c r="HU38" s="936"/>
      <c r="HV38" s="936"/>
      <c r="HW38" s="936"/>
      <c r="HX38" s="936"/>
      <c r="HY38" s="936"/>
      <c r="HZ38" s="936"/>
      <c r="IA38" s="936"/>
      <c r="IB38" s="936"/>
      <c r="IC38" s="936"/>
      <c r="ID38" s="936"/>
      <c r="IE38" s="936"/>
      <c r="IF38" s="936"/>
      <c r="IG38" s="936"/>
      <c r="IH38" s="936"/>
      <c r="II38" s="936"/>
      <c r="IJ38" s="936"/>
      <c r="IK38" s="936"/>
      <c r="IL38" s="936"/>
      <c r="IM38" s="936"/>
      <c r="IN38" s="936"/>
      <c r="IO38" s="936"/>
      <c r="IP38" s="936"/>
      <c r="IQ38" s="936"/>
      <c r="IR38" s="936"/>
      <c r="IS38" s="936"/>
      <c r="IT38" s="936"/>
    </row>
    <row r="39" spans="1:254" ht="14.1" customHeight="1">
      <c r="A39" s="1116"/>
      <c r="B39" s="1116"/>
      <c r="C39" s="938"/>
      <c r="D39" s="938"/>
      <c r="E39" s="938"/>
      <c r="F39" s="938"/>
      <c r="G39" s="938"/>
      <c r="H39" s="938"/>
      <c r="J39" s="936"/>
      <c r="K39" s="936"/>
      <c r="L39" s="936"/>
      <c r="M39" s="936"/>
      <c r="N39" s="936"/>
      <c r="O39" s="936"/>
      <c r="P39" s="936"/>
      <c r="Q39" s="936"/>
      <c r="R39" s="936"/>
      <c r="S39" s="936"/>
      <c r="T39" s="936"/>
      <c r="U39" s="936"/>
      <c r="V39" s="936"/>
      <c r="W39" s="936"/>
      <c r="X39" s="936"/>
      <c r="Y39" s="936"/>
      <c r="Z39" s="936"/>
      <c r="AA39" s="936"/>
      <c r="AB39" s="936"/>
      <c r="AC39" s="936"/>
      <c r="AD39" s="936"/>
      <c r="AE39" s="936"/>
      <c r="AF39" s="936"/>
      <c r="AG39" s="936"/>
      <c r="AH39" s="936"/>
      <c r="AI39" s="936"/>
      <c r="AJ39" s="936"/>
      <c r="AK39" s="936"/>
      <c r="AL39" s="936"/>
      <c r="AM39" s="936"/>
      <c r="AN39" s="936"/>
      <c r="AO39" s="936"/>
      <c r="AP39" s="936"/>
      <c r="AQ39" s="936"/>
      <c r="AR39" s="936"/>
      <c r="AS39" s="936"/>
      <c r="AT39" s="936"/>
      <c r="AU39" s="936"/>
      <c r="AV39" s="936"/>
      <c r="AW39" s="936"/>
      <c r="AX39" s="936"/>
      <c r="AY39" s="936"/>
      <c r="AZ39" s="936"/>
      <c r="BA39" s="936"/>
      <c r="BB39" s="936"/>
      <c r="BC39" s="936"/>
      <c r="BD39" s="936"/>
      <c r="BE39" s="936"/>
      <c r="BF39" s="936"/>
      <c r="BG39" s="936"/>
      <c r="BH39" s="936"/>
      <c r="BI39" s="936"/>
      <c r="BJ39" s="936"/>
      <c r="BK39" s="936"/>
      <c r="BL39" s="936"/>
      <c r="BM39" s="936"/>
      <c r="BN39" s="936"/>
      <c r="BO39" s="936"/>
      <c r="BP39" s="936"/>
      <c r="BQ39" s="936"/>
      <c r="BR39" s="936"/>
      <c r="BS39" s="936"/>
      <c r="BT39" s="936"/>
      <c r="BU39" s="936"/>
      <c r="BV39" s="936"/>
      <c r="BW39" s="936"/>
      <c r="BX39" s="936"/>
      <c r="BY39" s="936"/>
      <c r="BZ39" s="936"/>
      <c r="CA39" s="936"/>
      <c r="CB39" s="936"/>
      <c r="CC39" s="936"/>
      <c r="CD39" s="936"/>
      <c r="CE39" s="936"/>
      <c r="CF39" s="936"/>
      <c r="CG39" s="936"/>
      <c r="CH39" s="936"/>
      <c r="CI39" s="936"/>
      <c r="CJ39" s="936"/>
      <c r="CK39" s="936"/>
      <c r="CL39" s="936"/>
      <c r="CM39" s="936"/>
      <c r="CN39" s="936"/>
      <c r="CO39" s="936"/>
      <c r="CP39" s="936"/>
      <c r="CQ39" s="936"/>
      <c r="CR39" s="936"/>
      <c r="CS39" s="936"/>
      <c r="CT39" s="936"/>
      <c r="CU39" s="936"/>
      <c r="CV39" s="936"/>
      <c r="CW39" s="936"/>
      <c r="CX39" s="936"/>
      <c r="CY39" s="936"/>
      <c r="CZ39" s="936"/>
      <c r="DA39" s="936"/>
      <c r="DB39" s="936"/>
      <c r="DC39" s="936"/>
      <c r="DD39" s="936"/>
      <c r="DE39" s="936"/>
      <c r="DF39" s="936"/>
      <c r="DG39" s="936"/>
      <c r="DH39" s="936"/>
      <c r="DI39" s="936"/>
      <c r="DJ39" s="936"/>
      <c r="DK39" s="936"/>
      <c r="DL39" s="936"/>
      <c r="DM39" s="936"/>
      <c r="DN39" s="936"/>
      <c r="DO39" s="936"/>
      <c r="DP39" s="936"/>
      <c r="DQ39" s="936"/>
      <c r="DR39" s="936"/>
      <c r="DS39" s="936"/>
      <c r="DT39" s="936"/>
      <c r="DU39" s="936"/>
      <c r="DV39" s="936"/>
      <c r="DW39" s="936"/>
      <c r="DX39" s="936"/>
      <c r="DY39" s="936"/>
      <c r="DZ39" s="936"/>
      <c r="EA39" s="936"/>
      <c r="EB39" s="936"/>
      <c r="EC39" s="936"/>
      <c r="ED39" s="936"/>
      <c r="EE39" s="936"/>
      <c r="EF39" s="936"/>
      <c r="EG39" s="936"/>
      <c r="EH39" s="936"/>
      <c r="EI39" s="936"/>
      <c r="EJ39" s="936"/>
      <c r="EK39" s="936"/>
      <c r="EL39" s="936"/>
      <c r="EM39" s="936"/>
      <c r="EN39" s="936"/>
      <c r="EO39" s="936"/>
      <c r="EP39" s="936"/>
      <c r="EQ39" s="936"/>
      <c r="ER39" s="936"/>
      <c r="ES39" s="936"/>
      <c r="ET39" s="936"/>
      <c r="EU39" s="936"/>
      <c r="EV39" s="936"/>
      <c r="EW39" s="936"/>
      <c r="EX39" s="936"/>
      <c r="EY39" s="936"/>
      <c r="EZ39" s="936"/>
      <c r="FA39" s="936"/>
      <c r="FB39" s="936"/>
      <c r="FC39" s="936"/>
      <c r="FD39" s="936"/>
      <c r="FE39" s="936"/>
      <c r="FF39" s="936"/>
      <c r="FG39" s="936"/>
      <c r="FH39" s="936"/>
      <c r="FI39" s="936"/>
      <c r="FJ39" s="936"/>
      <c r="FK39" s="936"/>
      <c r="FL39" s="936"/>
      <c r="FM39" s="936"/>
      <c r="FN39" s="936"/>
      <c r="FO39" s="936"/>
      <c r="FP39" s="936"/>
      <c r="FQ39" s="936"/>
      <c r="FR39" s="936"/>
      <c r="FS39" s="936"/>
      <c r="FT39" s="936"/>
      <c r="FU39" s="936"/>
      <c r="FV39" s="936"/>
      <c r="FW39" s="936"/>
      <c r="FX39" s="936"/>
      <c r="FY39" s="936"/>
      <c r="FZ39" s="936"/>
      <c r="GA39" s="936"/>
      <c r="GB39" s="936"/>
      <c r="GC39" s="936"/>
      <c r="GD39" s="936"/>
      <c r="GE39" s="936"/>
      <c r="GF39" s="936"/>
      <c r="GG39" s="936"/>
      <c r="GH39" s="936"/>
      <c r="GI39" s="936"/>
      <c r="GJ39" s="936"/>
      <c r="GK39" s="936"/>
      <c r="GL39" s="936"/>
      <c r="GM39" s="936"/>
      <c r="GN39" s="936"/>
      <c r="GO39" s="936"/>
      <c r="GP39" s="936"/>
      <c r="GQ39" s="936"/>
      <c r="GR39" s="936"/>
      <c r="GS39" s="936"/>
      <c r="GT39" s="936"/>
      <c r="GU39" s="936"/>
      <c r="GV39" s="936"/>
      <c r="GW39" s="936"/>
      <c r="GX39" s="936"/>
      <c r="GY39" s="936"/>
      <c r="GZ39" s="936"/>
      <c r="HA39" s="936"/>
      <c r="HB39" s="936"/>
      <c r="HC39" s="936"/>
      <c r="HD39" s="936"/>
      <c r="HE39" s="936"/>
      <c r="HF39" s="936"/>
      <c r="HG39" s="936"/>
      <c r="HH39" s="936"/>
      <c r="HI39" s="936"/>
      <c r="HJ39" s="936"/>
      <c r="HK39" s="936"/>
      <c r="HL39" s="936"/>
      <c r="HM39" s="936"/>
      <c r="HN39" s="936"/>
      <c r="HO39" s="936"/>
      <c r="HP39" s="936"/>
      <c r="HQ39" s="936"/>
      <c r="HR39" s="936"/>
      <c r="HS39" s="936"/>
      <c r="HT39" s="936"/>
      <c r="HU39" s="936"/>
      <c r="HV39" s="936"/>
      <c r="HW39" s="936"/>
      <c r="HX39" s="936"/>
      <c r="HY39" s="936"/>
      <c r="HZ39" s="936"/>
      <c r="IA39" s="936"/>
      <c r="IB39" s="936"/>
      <c r="IC39" s="936"/>
      <c r="ID39" s="936"/>
      <c r="IE39" s="936"/>
      <c r="IF39" s="936"/>
      <c r="IG39" s="936"/>
      <c r="IH39" s="936"/>
      <c r="II39" s="936"/>
      <c r="IJ39" s="936"/>
      <c r="IK39" s="936"/>
      <c r="IL39" s="936"/>
      <c r="IM39" s="936"/>
      <c r="IN39" s="936"/>
      <c r="IO39" s="936"/>
      <c r="IP39" s="936"/>
      <c r="IQ39" s="936"/>
      <c r="IR39" s="936"/>
      <c r="IS39" s="936"/>
      <c r="IT39" s="936"/>
    </row>
    <row r="40" spans="1:254" ht="14.1" customHeight="1">
      <c r="C40" s="940"/>
      <c r="D40" s="940"/>
      <c r="E40" s="939"/>
      <c r="F40" s="939"/>
      <c r="G40" s="939"/>
      <c r="H40" s="939"/>
      <c r="J40" s="936"/>
      <c r="K40" s="936"/>
      <c r="L40" s="936"/>
      <c r="M40" s="936"/>
      <c r="N40" s="936"/>
      <c r="O40" s="936"/>
      <c r="P40" s="936"/>
      <c r="Q40" s="936"/>
      <c r="R40" s="936"/>
      <c r="S40" s="936"/>
      <c r="T40" s="936"/>
      <c r="U40" s="936"/>
      <c r="V40" s="936"/>
      <c r="W40" s="936"/>
      <c r="X40" s="936"/>
      <c r="Y40" s="936"/>
      <c r="Z40" s="936"/>
      <c r="AA40" s="936"/>
      <c r="AB40" s="936"/>
      <c r="AC40" s="936"/>
      <c r="AD40" s="936"/>
      <c r="AE40" s="936"/>
      <c r="AF40" s="936"/>
      <c r="AG40" s="936"/>
      <c r="AH40" s="936"/>
      <c r="AI40" s="936"/>
      <c r="AJ40" s="936"/>
      <c r="AK40" s="936"/>
      <c r="AL40" s="936"/>
      <c r="AM40" s="936"/>
      <c r="AN40" s="936"/>
      <c r="AO40" s="936"/>
      <c r="AP40" s="936"/>
      <c r="AQ40" s="936"/>
      <c r="AR40" s="936"/>
      <c r="AS40" s="936"/>
      <c r="AT40" s="936"/>
      <c r="AU40" s="936"/>
      <c r="AV40" s="936"/>
      <c r="AW40" s="936"/>
      <c r="AX40" s="936"/>
      <c r="AY40" s="936"/>
      <c r="AZ40" s="936"/>
      <c r="BA40" s="936"/>
      <c r="BB40" s="936"/>
      <c r="BC40" s="936"/>
      <c r="BD40" s="936"/>
      <c r="BE40" s="936"/>
      <c r="BF40" s="936"/>
      <c r="BG40" s="936"/>
      <c r="BH40" s="936"/>
      <c r="BI40" s="936"/>
      <c r="BJ40" s="936"/>
      <c r="BK40" s="936"/>
      <c r="BL40" s="936"/>
      <c r="BM40" s="936"/>
      <c r="BN40" s="936"/>
      <c r="BO40" s="936"/>
      <c r="BP40" s="936"/>
      <c r="BQ40" s="936"/>
      <c r="BR40" s="936"/>
      <c r="BS40" s="936"/>
      <c r="BT40" s="936"/>
      <c r="BU40" s="936"/>
      <c r="BV40" s="936"/>
      <c r="BW40" s="936"/>
      <c r="BX40" s="936"/>
      <c r="BY40" s="936"/>
      <c r="BZ40" s="936"/>
      <c r="CA40" s="936"/>
      <c r="CB40" s="936"/>
      <c r="CC40" s="936"/>
      <c r="CD40" s="936"/>
      <c r="CE40" s="936"/>
      <c r="CF40" s="936"/>
      <c r="CG40" s="936"/>
      <c r="CH40" s="936"/>
      <c r="CI40" s="936"/>
      <c r="CJ40" s="936"/>
      <c r="CK40" s="936"/>
      <c r="CL40" s="936"/>
      <c r="CM40" s="936"/>
      <c r="CN40" s="936"/>
      <c r="CO40" s="936"/>
      <c r="CP40" s="936"/>
      <c r="CQ40" s="936"/>
      <c r="CR40" s="936"/>
      <c r="CS40" s="936"/>
      <c r="CT40" s="936"/>
      <c r="CU40" s="936"/>
      <c r="CV40" s="936"/>
      <c r="CW40" s="936"/>
      <c r="CX40" s="936"/>
      <c r="CY40" s="936"/>
      <c r="CZ40" s="936"/>
      <c r="DA40" s="936"/>
      <c r="DB40" s="936"/>
      <c r="DC40" s="936"/>
      <c r="DD40" s="936"/>
      <c r="DE40" s="936"/>
      <c r="DF40" s="936"/>
      <c r="DG40" s="936"/>
      <c r="DH40" s="936"/>
      <c r="DI40" s="936"/>
      <c r="DJ40" s="936"/>
      <c r="DK40" s="936"/>
      <c r="DL40" s="936"/>
      <c r="DM40" s="936"/>
      <c r="DN40" s="936"/>
      <c r="DO40" s="936"/>
      <c r="DP40" s="936"/>
      <c r="DQ40" s="936"/>
      <c r="DR40" s="936"/>
      <c r="DS40" s="936"/>
      <c r="DT40" s="936"/>
      <c r="DU40" s="936"/>
      <c r="DV40" s="936"/>
      <c r="DW40" s="936"/>
      <c r="DX40" s="936"/>
      <c r="DY40" s="936"/>
      <c r="DZ40" s="936"/>
      <c r="EA40" s="936"/>
      <c r="EB40" s="936"/>
      <c r="EC40" s="936"/>
      <c r="ED40" s="936"/>
      <c r="EE40" s="936"/>
      <c r="EF40" s="936"/>
      <c r="EG40" s="936"/>
      <c r="EH40" s="936"/>
      <c r="EI40" s="936"/>
      <c r="EJ40" s="936"/>
      <c r="EK40" s="936"/>
      <c r="EL40" s="936"/>
      <c r="EM40" s="936"/>
      <c r="EN40" s="936"/>
      <c r="EO40" s="936"/>
      <c r="EP40" s="936"/>
      <c r="EQ40" s="936"/>
      <c r="ER40" s="936"/>
      <c r="ES40" s="936"/>
      <c r="ET40" s="936"/>
      <c r="EU40" s="936"/>
      <c r="EV40" s="936"/>
      <c r="EW40" s="936"/>
      <c r="EX40" s="936"/>
      <c r="EY40" s="936"/>
      <c r="EZ40" s="936"/>
      <c r="FA40" s="936"/>
      <c r="FB40" s="936"/>
      <c r="FC40" s="936"/>
      <c r="FD40" s="936"/>
      <c r="FE40" s="936"/>
      <c r="FF40" s="936"/>
      <c r="FG40" s="936"/>
      <c r="FH40" s="936"/>
      <c r="FI40" s="936"/>
      <c r="FJ40" s="936"/>
      <c r="FK40" s="936"/>
      <c r="FL40" s="936"/>
      <c r="FM40" s="936"/>
      <c r="FN40" s="936"/>
      <c r="FO40" s="936"/>
      <c r="FP40" s="936"/>
      <c r="FQ40" s="936"/>
      <c r="FR40" s="936"/>
      <c r="FS40" s="936"/>
      <c r="FT40" s="936"/>
      <c r="FU40" s="936"/>
      <c r="FV40" s="936"/>
      <c r="FW40" s="936"/>
      <c r="FX40" s="936"/>
      <c r="FY40" s="936"/>
      <c r="FZ40" s="936"/>
      <c r="GA40" s="936"/>
      <c r="GB40" s="936"/>
      <c r="GC40" s="936"/>
      <c r="GD40" s="936"/>
      <c r="GE40" s="936"/>
      <c r="GF40" s="936"/>
      <c r="GG40" s="936"/>
      <c r="GH40" s="936"/>
      <c r="GI40" s="936"/>
      <c r="GJ40" s="936"/>
      <c r="GK40" s="936"/>
      <c r="GL40" s="936"/>
      <c r="GM40" s="936"/>
      <c r="GN40" s="936"/>
      <c r="GO40" s="936"/>
      <c r="GP40" s="936"/>
      <c r="GQ40" s="936"/>
      <c r="GR40" s="936"/>
      <c r="GS40" s="936"/>
      <c r="GT40" s="936"/>
      <c r="GU40" s="936"/>
      <c r="GV40" s="936"/>
      <c r="GW40" s="936"/>
      <c r="GX40" s="936"/>
      <c r="GY40" s="936"/>
      <c r="GZ40" s="936"/>
      <c r="HA40" s="936"/>
      <c r="HB40" s="936"/>
      <c r="HC40" s="936"/>
      <c r="HD40" s="936"/>
      <c r="HE40" s="936"/>
      <c r="HF40" s="936"/>
      <c r="HG40" s="936"/>
      <c r="HH40" s="936"/>
      <c r="HI40" s="936"/>
      <c r="HJ40" s="936"/>
      <c r="HK40" s="936"/>
      <c r="HL40" s="936"/>
      <c r="HM40" s="936"/>
      <c r="HN40" s="936"/>
      <c r="HO40" s="936"/>
      <c r="HP40" s="936"/>
      <c r="HQ40" s="936"/>
      <c r="HR40" s="936"/>
      <c r="HS40" s="936"/>
      <c r="HT40" s="936"/>
      <c r="HU40" s="936"/>
      <c r="HV40" s="936"/>
      <c r="HW40" s="936"/>
      <c r="HX40" s="936"/>
      <c r="HY40" s="936"/>
      <c r="HZ40" s="936"/>
      <c r="IA40" s="936"/>
      <c r="IB40" s="936"/>
      <c r="IC40" s="936"/>
      <c r="ID40" s="936"/>
      <c r="IE40" s="936"/>
      <c r="IF40" s="936"/>
      <c r="IG40" s="936"/>
      <c r="IH40" s="936"/>
      <c r="II40" s="936"/>
      <c r="IJ40" s="936"/>
      <c r="IK40" s="936"/>
      <c r="IL40" s="936"/>
      <c r="IM40" s="936"/>
      <c r="IN40" s="936"/>
      <c r="IO40" s="936"/>
      <c r="IP40" s="936"/>
      <c r="IQ40" s="936"/>
      <c r="IR40" s="936"/>
      <c r="IS40" s="936"/>
      <c r="IT40" s="936"/>
    </row>
  </sheetData>
  <mergeCells count="8">
    <mergeCell ref="A1:H1"/>
    <mergeCell ref="H3:H4"/>
    <mergeCell ref="M26:N26"/>
    <mergeCell ref="A2:H2"/>
    <mergeCell ref="A3:A4"/>
    <mergeCell ref="B3:B4"/>
    <mergeCell ref="C3:D4"/>
    <mergeCell ref="E3:G3"/>
  </mergeCells>
  <printOptions horizontalCentered="1"/>
  <pageMargins left="0.75" right="0.25" top="0.75" bottom="0.5" header="0.3" footer="0.3"/>
  <pageSetup paperSize="9" orientation="portrait" r:id="rId1"/>
</worksheet>
</file>

<file path=xl/worksheets/sheet30.xml><?xml version="1.0" encoding="utf-8"?>
<worksheet xmlns="http://schemas.openxmlformats.org/spreadsheetml/2006/main" xmlns:r="http://schemas.openxmlformats.org/officeDocument/2006/relationships">
  <sheetPr>
    <tabColor rgb="FFFFFF00"/>
  </sheetPr>
  <dimension ref="A1:F9"/>
  <sheetViews>
    <sheetView view="pageBreakPreview" zoomScaleSheetLayoutView="100" workbookViewId="0">
      <selection sqref="A1:F1"/>
    </sheetView>
  </sheetViews>
  <sheetFormatPr defaultRowHeight="15.75"/>
  <cols>
    <col min="1" max="1" width="5" customWidth="1"/>
    <col min="2" max="2" width="8" customWidth="1"/>
    <col min="3" max="3" width="37.5546875" style="813" customWidth="1"/>
    <col min="4" max="4" width="8.44140625" customWidth="1"/>
    <col min="5" max="5" width="6.88671875" customWidth="1"/>
    <col min="6" max="6" width="9.44140625" customWidth="1"/>
  </cols>
  <sheetData>
    <row r="1" spans="1:6" ht="55.5" customHeight="1">
      <c r="A1" s="1262" t="str">
        <f>'G. Abstract'!A3:F3</f>
        <v>N/W: RENOVATION AND UPGRADING THE EXISTING WORKING WOMEN’S HOSTEL AT SOORAMANGALAM IN SALEM CITY UNDER SOCIAL WELFARE DEPARTMENT</v>
      </c>
      <c r="B1" s="1263"/>
      <c r="C1" s="1263"/>
      <c r="D1" s="1263"/>
      <c r="E1" s="1263"/>
      <c r="F1" s="1264"/>
    </row>
    <row r="2" spans="1:6" ht="21.75" customHeight="1">
      <c r="A2" s="1205" t="s">
        <v>4496</v>
      </c>
      <c r="B2" s="1205"/>
      <c r="C2" s="1205"/>
      <c r="D2" s="1205"/>
      <c r="E2" s="1205"/>
      <c r="F2" s="1205"/>
    </row>
    <row r="3" spans="1:6" ht="26.25" customHeight="1">
      <c r="A3" s="878" t="s">
        <v>3747</v>
      </c>
      <c r="B3" s="879" t="s">
        <v>1070</v>
      </c>
      <c r="C3" s="879" t="s">
        <v>3748</v>
      </c>
      <c r="D3" s="879" t="s">
        <v>100</v>
      </c>
      <c r="E3" s="879" t="s">
        <v>3764</v>
      </c>
      <c r="F3" s="879" t="s">
        <v>994</v>
      </c>
    </row>
    <row r="4" spans="1:6" ht="108" customHeight="1">
      <c r="A4" s="822">
        <v>1</v>
      </c>
      <c r="B4" s="870">
        <f>'Fire Det'!H6</f>
        <v>1</v>
      </c>
      <c r="C4" s="1126" t="s">
        <v>4651</v>
      </c>
      <c r="D4" s="870">
        <v>6666</v>
      </c>
      <c r="E4" s="844" t="s">
        <v>1458</v>
      </c>
      <c r="F4" s="844">
        <f>ROUND(PRODUCT(B4*D4),2)</f>
        <v>6666</v>
      </c>
    </row>
    <row r="5" spans="1:6" ht="184.5" customHeight="1">
      <c r="A5" s="822">
        <v>2</v>
      </c>
      <c r="B5" s="870">
        <f>'Fire Det'!H9</f>
        <v>4</v>
      </c>
      <c r="C5" s="1126" t="s">
        <v>4652</v>
      </c>
      <c r="D5" s="870">
        <v>4999</v>
      </c>
      <c r="E5" s="844" t="s">
        <v>1458</v>
      </c>
      <c r="F5" s="844">
        <f>ROUND(PRODUCT(B5*D5),2)</f>
        <v>19996</v>
      </c>
    </row>
    <row r="6" spans="1:6" ht="45.75" customHeight="1">
      <c r="A6" s="822">
        <v>3</v>
      </c>
      <c r="B6" s="870">
        <f>'Fire Det'!H12</f>
        <v>4</v>
      </c>
      <c r="C6" s="850" t="s">
        <v>4653</v>
      </c>
      <c r="D6" s="870">
        <v>1696</v>
      </c>
      <c r="E6" s="871" t="s">
        <v>1458</v>
      </c>
      <c r="F6" s="844">
        <f>ROUND(PRODUCT(B6*D6),2)</f>
        <v>6784</v>
      </c>
    </row>
    <row r="7" spans="1:6">
      <c r="A7" s="822"/>
      <c r="B7" s="870"/>
      <c r="C7" s="909"/>
      <c r="D7" s="870"/>
      <c r="E7" s="844"/>
      <c r="F7" s="844">
        <f t="shared" ref="F7" si="0">ROUND(PRODUCT(B7*D7),2)</f>
        <v>0</v>
      </c>
    </row>
    <row r="8" spans="1:6" ht="25.5" customHeight="1">
      <c r="A8" s="822"/>
      <c r="B8" s="870"/>
      <c r="C8" s="875" t="s">
        <v>2332</v>
      </c>
      <c r="D8" s="870"/>
      <c r="E8" s="844"/>
      <c r="F8" s="820">
        <f>SUM(F4:F7)</f>
        <v>33446</v>
      </c>
    </row>
    <row r="9" spans="1:6">
      <c r="A9" s="822"/>
      <c r="B9" s="870"/>
      <c r="C9" s="909"/>
      <c r="D9" s="870"/>
      <c r="E9" s="844"/>
      <c r="F9" s="844"/>
    </row>
  </sheetData>
  <mergeCells count="2">
    <mergeCell ref="A1:F1"/>
    <mergeCell ref="A2:F2"/>
  </mergeCells>
  <printOptions horizontalCentered="1"/>
  <pageMargins left="0.75" right="0.25"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sheetPr>
    <tabColor rgb="FFFFFF00"/>
  </sheetPr>
  <dimension ref="A1:IT22"/>
  <sheetViews>
    <sheetView view="pageBreakPreview" zoomScale="90" zoomScaleSheetLayoutView="90" workbookViewId="0">
      <selection activeCell="C5" sqref="C5"/>
    </sheetView>
  </sheetViews>
  <sheetFormatPr defaultRowHeight="15.75"/>
  <cols>
    <col min="1" max="1" width="5" style="924" customWidth="1"/>
    <col min="2" max="2" width="27.4414062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254" ht="52.5" customHeight="1">
      <c r="A1" s="1283" t="str">
        <f>'EX. WS Abs'!A3:F3</f>
        <v>N/W: RENOVATION AND UPGRADING THE EXISTING WORKING WOMEN’S HOSTEL AT SOORAMANGALAM IN SALEM CITY UNDER SOCIAL WELFARE DEPARTMENT</v>
      </c>
      <c r="B1" s="1283"/>
      <c r="C1" s="1283"/>
      <c r="D1" s="1283"/>
      <c r="E1" s="1283"/>
      <c r="F1" s="1283"/>
      <c r="G1" s="1283"/>
      <c r="H1" s="1283"/>
      <c r="I1" s="920"/>
    </row>
    <row r="2" spans="1:254" ht="24.75" customHeight="1">
      <c r="A2" s="1205" t="s">
        <v>4497</v>
      </c>
      <c r="B2" s="1205"/>
      <c r="C2" s="1205"/>
      <c r="D2" s="1205"/>
      <c r="E2" s="1205"/>
      <c r="F2" s="1205"/>
      <c r="G2" s="1205"/>
      <c r="H2" s="1205"/>
      <c r="I2" s="920"/>
    </row>
    <row r="3" spans="1:254" s="922" customFormat="1" ht="17.25" customHeight="1">
      <c r="A3" s="1286" t="s">
        <v>3747</v>
      </c>
      <c r="B3" s="1286" t="s">
        <v>1860</v>
      </c>
      <c r="C3" s="1286" t="s">
        <v>4226</v>
      </c>
      <c r="D3" s="1286"/>
      <c r="E3" s="1287" t="s">
        <v>4227</v>
      </c>
      <c r="F3" s="1287"/>
      <c r="G3" s="1287"/>
      <c r="H3" s="1284" t="s">
        <v>4228</v>
      </c>
      <c r="I3" s="923"/>
    </row>
    <row r="4" spans="1:254" s="922" customFormat="1" ht="19.5" customHeight="1">
      <c r="A4" s="1286"/>
      <c r="B4" s="1286"/>
      <c r="C4" s="1286"/>
      <c r="D4" s="1286"/>
      <c r="E4" s="1108" t="s">
        <v>4229</v>
      </c>
      <c r="F4" s="1107" t="s">
        <v>4230</v>
      </c>
      <c r="G4" s="1108" t="s">
        <v>3753</v>
      </c>
      <c r="H4" s="1285"/>
      <c r="I4" s="923"/>
    </row>
    <row r="5" spans="1:254" ht="141.75">
      <c r="A5" s="1086">
        <v>1</v>
      </c>
      <c r="B5" s="1119" t="s">
        <v>4494</v>
      </c>
      <c r="C5" s="1071"/>
      <c r="D5" s="1071"/>
      <c r="E5" s="1072"/>
      <c r="F5" s="1073"/>
      <c r="G5" s="1072"/>
      <c r="H5" s="1074"/>
      <c r="I5" s="920"/>
    </row>
    <row r="6" spans="1:254" ht="17.100000000000001" customHeight="1">
      <c r="A6" s="1086"/>
      <c r="B6" s="1120" t="s">
        <v>4469</v>
      </c>
      <c r="C6" s="1088">
        <v>1</v>
      </c>
      <c r="D6" s="1088">
        <v>1</v>
      </c>
      <c r="E6" s="1089"/>
      <c r="F6" s="1090"/>
      <c r="G6" s="1089"/>
      <c r="H6" s="1084">
        <f>PRODUCT(C6:G6)</f>
        <v>1</v>
      </c>
      <c r="I6" s="920"/>
    </row>
    <row r="7" spans="1:254" ht="17.100000000000001" customHeight="1">
      <c r="A7" s="1086"/>
      <c r="B7" s="1121"/>
      <c r="C7" s="1070"/>
      <c r="D7" s="1070"/>
      <c r="E7" s="1072"/>
      <c r="F7" s="1073"/>
      <c r="G7" s="1075"/>
      <c r="H7" s="1076"/>
      <c r="I7" s="920"/>
    </row>
    <row r="8" spans="1:254" ht="267.75">
      <c r="A8" s="1086">
        <v>2</v>
      </c>
      <c r="B8" s="1119" t="s">
        <v>4495</v>
      </c>
      <c r="C8" s="1070"/>
      <c r="D8" s="1070"/>
      <c r="E8" s="1072"/>
      <c r="F8" s="1073"/>
      <c r="G8" s="1072"/>
      <c r="H8" s="1077"/>
      <c r="I8" s="920"/>
    </row>
    <row r="9" spans="1:254" ht="17.100000000000001" customHeight="1">
      <c r="A9" s="1086"/>
      <c r="B9" s="1120" t="s">
        <v>4469</v>
      </c>
      <c r="C9" s="1088">
        <v>1</v>
      </c>
      <c r="D9" s="1088">
        <v>4</v>
      </c>
      <c r="E9" s="1089"/>
      <c r="F9" s="1090"/>
      <c r="G9" s="1089"/>
      <c r="H9" s="1084">
        <f>PRODUCT(C9:G9)</f>
        <v>4</v>
      </c>
      <c r="I9" s="920"/>
    </row>
    <row r="10" spans="1:254" ht="17.100000000000001" customHeight="1">
      <c r="A10" s="1086"/>
      <c r="B10" s="1119"/>
      <c r="C10" s="1070"/>
      <c r="D10" s="1070"/>
      <c r="E10" s="1072"/>
      <c r="F10" s="1073"/>
      <c r="G10" s="1075"/>
      <c r="H10" s="1076"/>
      <c r="I10" s="920"/>
    </row>
    <row r="11" spans="1:254" ht="47.25">
      <c r="A11" s="1086">
        <v>3</v>
      </c>
      <c r="B11" s="1118" t="s">
        <v>4555</v>
      </c>
      <c r="C11" s="1088"/>
      <c r="D11" s="1088"/>
      <c r="E11" s="1089"/>
      <c r="F11" s="1090"/>
      <c r="G11" s="1089"/>
      <c r="H11" s="1084"/>
      <c r="I11" s="920"/>
    </row>
    <row r="12" spans="1:254" ht="17.100000000000001" customHeight="1">
      <c r="A12" s="1109"/>
      <c r="B12" s="1120" t="s">
        <v>4469</v>
      </c>
      <c r="C12" s="1088">
        <v>1</v>
      </c>
      <c r="D12" s="1088">
        <v>4</v>
      </c>
      <c r="E12" s="1089"/>
      <c r="F12" s="1090"/>
      <c r="G12" s="1089"/>
      <c r="H12" s="1084">
        <f>PRODUCT(C12:G12)</f>
        <v>4</v>
      </c>
      <c r="I12" s="920"/>
    </row>
    <row r="13" spans="1:254" ht="17.100000000000001" customHeight="1">
      <c r="A13" s="1086"/>
      <c r="B13" s="1119"/>
      <c r="C13" s="1070"/>
      <c r="D13" s="1070"/>
      <c r="E13" s="1074"/>
      <c r="F13" s="1074"/>
      <c r="G13" s="1074"/>
      <c r="H13" s="1084"/>
      <c r="I13" s="920"/>
    </row>
    <row r="14" spans="1:254" ht="17.100000000000001" customHeight="1">
      <c r="A14" s="1113"/>
      <c r="B14" s="1123"/>
      <c r="C14" s="933"/>
      <c r="D14" s="933"/>
      <c r="E14" s="934"/>
      <c r="F14" s="934"/>
      <c r="G14" s="934"/>
      <c r="H14" s="935"/>
      <c r="I14" s="920"/>
    </row>
    <row r="15" spans="1:254" ht="17.100000000000001" customHeight="1">
      <c r="A15" s="1113"/>
      <c r="B15" s="1123"/>
      <c r="C15" s="933"/>
      <c r="D15" s="933"/>
      <c r="E15" s="934"/>
      <c r="F15" s="934"/>
      <c r="G15" s="934"/>
      <c r="H15" s="935"/>
      <c r="I15" s="920"/>
    </row>
    <row r="16" spans="1:254" s="932" customFormat="1">
      <c r="A16" s="1114"/>
      <c r="B16" s="1124"/>
      <c r="C16" s="928"/>
      <c r="D16" s="928"/>
      <c r="E16" s="929"/>
      <c r="F16" s="929"/>
      <c r="G16" s="929"/>
      <c r="H16" s="930"/>
      <c r="I16" s="931"/>
      <c r="O16" s="931"/>
      <c r="P16" s="931"/>
      <c r="Q16" s="931"/>
      <c r="R16" s="931"/>
      <c r="S16" s="931"/>
      <c r="T16" s="931"/>
      <c r="U16" s="931"/>
      <c r="V16" s="931"/>
      <c r="W16" s="931"/>
      <c r="X16" s="931"/>
      <c r="Y16" s="931"/>
      <c r="Z16" s="931"/>
      <c r="AA16" s="931"/>
      <c r="AB16" s="931"/>
      <c r="AC16" s="931"/>
      <c r="AD16" s="931"/>
      <c r="AE16" s="931"/>
      <c r="AF16" s="931"/>
      <c r="AG16" s="931"/>
      <c r="AH16" s="931"/>
      <c r="AI16" s="931"/>
      <c r="AJ16" s="931"/>
      <c r="AK16" s="931"/>
      <c r="AL16" s="931"/>
      <c r="AM16" s="931"/>
      <c r="AN16" s="931"/>
      <c r="AO16" s="931"/>
      <c r="AP16" s="931"/>
      <c r="AQ16" s="931"/>
      <c r="AR16" s="931"/>
      <c r="AS16" s="931"/>
      <c r="AT16" s="931"/>
      <c r="AU16" s="931"/>
      <c r="AV16" s="931"/>
      <c r="AW16" s="931"/>
      <c r="AX16" s="931"/>
      <c r="AY16" s="931"/>
      <c r="AZ16" s="931"/>
      <c r="BA16" s="931"/>
      <c r="BB16" s="931"/>
      <c r="BC16" s="931"/>
      <c r="BD16" s="931"/>
      <c r="BE16" s="931"/>
      <c r="BF16" s="931"/>
      <c r="BG16" s="931"/>
      <c r="BH16" s="931"/>
      <c r="BI16" s="931"/>
      <c r="BJ16" s="931"/>
      <c r="BK16" s="931"/>
      <c r="BL16" s="931"/>
      <c r="BM16" s="931"/>
      <c r="BN16" s="931"/>
      <c r="BO16" s="931"/>
      <c r="BP16" s="931"/>
      <c r="BQ16" s="931"/>
      <c r="BR16" s="931"/>
      <c r="BS16" s="931"/>
      <c r="BT16" s="931"/>
      <c r="BU16" s="931"/>
      <c r="BV16" s="931"/>
      <c r="BW16" s="931"/>
      <c r="BX16" s="931"/>
      <c r="BY16" s="931"/>
      <c r="BZ16" s="931"/>
      <c r="CA16" s="931"/>
      <c r="CB16" s="931"/>
      <c r="CC16" s="931"/>
      <c r="CD16" s="931"/>
      <c r="CE16" s="931"/>
      <c r="CF16" s="931"/>
      <c r="CG16" s="931"/>
      <c r="CH16" s="931"/>
      <c r="CI16" s="931"/>
      <c r="CJ16" s="931"/>
      <c r="CK16" s="931"/>
      <c r="CL16" s="931"/>
      <c r="CM16" s="931"/>
      <c r="CN16" s="931"/>
      <c r="CO16" s="931"/>
      <c r="CP16" s="931"/>
      <c r="CQ16" s="931"/>
      <c r="CR16" s="931"/>
      <c r="CS16" s="931"/>
      <c r="CT16" s="931"/>
      <c r="CU16" s="931"/>
      <c r="CV16" s="931"/>
      <c r="CW16" s="931"/>
      <c r="CX16" s="931"/>
      <c r="CY16" s="931"/>
      <c r="CZ16" s="931"/>
      <c r="DA16" s="931"/>
      <c r="DB16" s="931"/>
      <c r="DC16" s="931"/>
      <c r="DD16" s="931"/>
      <c r="DE16" s="931"/>
      <c r="DF16" s="931"/>
      <c r="DG16" s="931"/>
      <c r="DH16" s="931"/>
      <c r="DI16" s="931"/>
      <c r="DJ16" s="931"/>
      <c r="DK16" s="931"/>
      <c r="DL16" s="931"/>
      <c r="DM16" s="931"/>
      <c r="DN16" s="931"/>
      <c r="DO16" s="931"/>
      <c r="DP16" s="931"/>
      <c r="DQ16" s="931"/>
      <c r="DR16" s="931"/>
      <c r="DS16" s="931"/>
      <c r="DT16" s="931"/>
      <c r="DU16" s="931"/>
      <c r="DV16" s="931"/>
      <c r="DW16" s="931"/>
      <c r="DX16" s="931"/>
      <c r="DY16" s="931"/>
      <c r="DZ16" s="931"/>
      <c r="EA16" s="931"/>
      <c r="EB16" s="931"/>
      <c r="EC16" s="931"/>
      <c r="ED16" s="931"/>
      <c r="EE16" s="931"/>
      <c r="EF16" s="931"/>
      <c r="EG16" s="931"/>
      <c r="EH16" s="931"/>
      <c r="EI16" s="931"/>
      <c r="EJ16" s="931"/>
      <c r="EK16" s="931"/>
      <c r="EL16" s="931"/>
      <c r="EM16" s="931"/>
      <c r="EN16" s="931"/>
      <c r="EO16" s="931"/>
      <c r="EP16" s="931"/>
      <c r="EQ16" s="931"/>
      <c r="ER16" s="931"/>
      <c r="ES16" s="931"/>
      <c r="ET16" s="931"/>
      <c r="EU16" s="931"/>
      <c r="EV16" s="931"/>
      <c r="EW16" s="931"/>
      <c r="EX16" s="931"/>
      <c r="EY16" s="931"/>
      <c r="EZ16" s="931"/>
      <c r="FA16" s="931"/>
      <c r="FB16" s="931"/>
      <c r="FC16" s="931"/>
      <c r="FD16" s="931"/>
      <c r="FE16" s="931"/>
      <c r="FF16" s="931"/>
      <c r="FG16" s="931"/>
      <c r="FH16" s="931"/>
      <c r="FI16" s="931"/>
      <c r="FJ16" s="931"/>
      <c r="FK16" s="931"/>
      <c r="FL16" s="931"/>
      <c r="FM16" s="931"/>
      <c r="FN16" s="931"/>
      <c r="FO16" s="931"/>
      <c r="FP16" s="931"/>
      <c r="FQ16" s="931"/>
      <c r="FR16" s="931"/>
      <c r="FS16" s="931"/>
      <c r="FT16" s="931"/>
      <c r="FU16" s="931"/>
      <c r="FV16" s="931"/>
      <c r="FW16" s="931"/>
      <c r="FX16" s="931"/>
      <c r="FY16" s="931"/>
      <c r="FZ16" s="931"/>
      <c r="GA16" s="931"/>
      <c r="GB16" s="931"/>
      <c r="GC16" s="931"/>
      <c r="GD16" s="931"/>
      <c r="GE16" s="931"/>
      <c r="GF16" s="931"/>
      <c r="GG16" s="931"/>
      <c r="GH16" s="931"/>
      <c r="GI16" s="931"/>
      <c r="GJ16" s="931"/>
      <c r="GK16" s="931"/>
      <c r="GL16" s="931"/>
      <c r="GM16" s="931"/>
      <c r="GN16" s="931"/>
      <c r="GO16" s="931"/>
      <c r="GP16" s="931"/>
      <c r="GQ16" s="931"/>
      <c r="GR16" s="931"/>
      <c r="GS16" s="931"/>
      <c r="GT16" s="931"/>
      <c r="GU16" s="931"/>
      <c r="GV16" s="931"/>
      <c r="GW16" s="931"/>
      <c r="GX16" s="931"/>
      <c r="GY16" s="931"/>
      <c r="GZ16" s="931"/>
      <c r="HA16" s="931"/>
      <c r="HB16" s="931"/>
      <c r="HC16" s="931"/>
      <c r="HD16" s="931"/>
      <c r="HE16" s="931"/>
      <c r="HF16" s="931"/>
      <c r="HG16" s="931"/>
      <c r="HH16" s="931"/>
      <c r="HI16" s="931"/>
      <c r="HJ16" s="931"/>
      <c r="HK16" s="931"/>
      <c r="HL16" s="931"/>
      <c r="HM16" s="931"/>
      <c r="HN16" s="931"/>
      <c r="HO16" s="931"/>
      <c r="HP16" s="931"/>
      <c r="HQ16" s="931"/>
      <c r="HR16" s="931"/>
      <c r="HS16" s="931"/>
      <c r="HT16" s="931"/>
      <c r="HU16" s="931"/>
      <c r="HV16" s="931"/>
      <c r="HW16" s="931"/>
      <c r="HX16" s="931"/>
      <c r="HY16" s="931"/>
      <c r="HZ16" s="931"/>
      <c r="IA16" s="931"/>
      <c r="IB16" s="931"/>
      <c r="IC16" s="931"/>
      <c r="ID16" s="931"/>
      <c r="IE16" s="931"/>
      <c r="IF16" s="931"/>
      <c r="IG16" s="931"/>
      <c r="IH16" s="931"/>
      <c r="II16" s="931"/>
      <c r="IJ16" s="931"/>
      <c r="IK16" s="931"/>
      <c r="IL16" s="931"/>
      <c r="IM16" s="931"/>
      <c r="IN16" s="931"/>
      <c r="IO16" s="931"/>
      <c r="IP16" s="931"/>
      <c r="IQ16" s="931"/>
      <c r="IR16" s="931"/>
      <c r="IS16" s="931"/>
      <c r="IT16" s="931"/>
    </row>
    <row r="17" spans="1:254" ht="14.1" customHeight="1">
      <c r="A17" s="1115"/>
      <c r="B17" s="1125"/>
      <c r="C17" s="933"/>
      <c r="D17" s="933"/>
      <c r="E17" s="934"/>
      <c r="F17" s="934"/>
      <c r="G17" s="934"/>
      <c r="H17" s="935"/>
      <c r="O17" s="936"/>
      <c r="P17" s="936"/>
      <c r="Q17" s="936"/>
      <c r="R17" s="936"/>
      <c r="S17" s="936"/>
      <c r="T17" s="936"/>
      <c r="U17" s="936"/>
      <c r="V17" s="936"/>
      <c r="W17" s="936"/>
      <c r="X17" s="936"/>
      <c r="Y17" s="936"/>
      <c r="Z17" s="936"/>
      <c r="AA17" s="936"/>
      <c r="AB17" s="936"/>
      <c r="AC17" s="936"/>
      <c r="AD17" s="936"/>
      <c r="AE17" s="936"/>
      <c r="AF17" s="936"/>
      <c r="AG17" s="936"/>
      <c r="AH17" s="936"/>
      <c r="AI17" s="936"/>
      <c r="AJ17" s="936"/>
      <c r="AK17" s="936"/>
      <c r="AL17" s="936"/>
      <c r="AM17" s="936"/>
      <c r="AN17" s="936"/>
      <c r="AO17" s="936"/>
      <c r="AP17" s="936"/>
      <c r="AQ17" s="936"/>
      <c r="AR17" s="936"/>
      <c r="AS17" s="936"/>
      <c r="AT17" s="936"/>
      <c r="AU17" s="936"/>
      <c r="AV17" s="936"/>
      <c r="AW17" s="936"/>
      <c r="AX17" s="936"/>
      <c r="AY17" s="936"/>
      <c r="AZ17" s="936"/>
      <c r="BA17" s="936"/>
      <c r="BB17" s="936"/>
      <c r="BC17" s="936"/>
      <c r="BD17" s="936"/>
      <c r="BE17" s="936"/>
      <c r="BF17" s="936"/>
      <c r="BG17" s="936"/>
      <c r="BH17" s="936"/>
      <c r="BI17" s="936"/>
      <c r="BJ17" s="936"/>
      <c r="BK17" s="936"/>
      <c r="BL17" s="936"/>
      <c r="BM17" s="936"/>
      <c r="BN17" s="936"/>
      <c r="BO17" s="936"/>
      <c r="BP17" s="936"/>
      <c r="BQ17" s="936"/>
      <c r="BR17" s="936"/>
      <c r="BS17" s="936"/>
      <c r="BT17" s="936"/>
      <c r="BU17" s="936"/>
      <c r="BV17" s="936"/>
      <c r="BW17" s="936"/>
      <c r="BX17" s="936"/>
      <c r="BY17" s="936"/>
      <c r="BZ17" s="936"/>
      <c r="CA17" s="936"/>
      <c r="CB17" s="936"/>
      <c r="CC17" s="936"/>
      <c r="CD17" s="936"/>
      <c r="CE17" s="936"/>
      <c r="CF17" s="936"/>
      <c r="CG17" s="936"/>
      <c r="CH17" s="936"/>
      <c r="CI17" s="936"/>
      <c r="CJ17" s="936"/>
      <c r="CK17" s="936"/>
      <c r="CL17" s="936"/>
      <c r="CM17" s="936"/>
      <c r="CN17" s="936"/>
      <c r="CO17" s="936"/>
      <c r="CP17" s="936"/>
      <c r="CQ17" s="936"/>
      <c r="CR17" s="936"/>
      <c r="CS17" s="936"/>
      <c r="CT17" s="936"/>
      <c r="CU17" s="936"/>
      <c r="CV17" s="936"/>
      <c r="CW17" s="936"/>
      <c r="CX17" s="936"/>
      <c r="CY17" s="936"/>
      <c r="CZ17" s="936"/>
      <c r="DA17" s="936"/>
      <c r="DB17" s="936"/>
      <c r="DC17" s="936"/>
      <c r="DD17" s="936"/>
      <c r="DE17" s="936"/>
      <c r="DF17" s="936"/>
      <c r="DG17" s="936"/>
      <c r="DH17" s="936"/>
      <c r="DI17" s="936"/>
      <c r="DJ17" s="936"/>
      <c r="DK17" s="936"/>
      <c r="DL17" s="936"/>
      <c r="DM17" s="936"/>
      <c r="DN17" s="936"/>
      <c r="DO17" s="936"/>
      <c r="DP17" s="936"/>
      <c r="DQ17" s="936"/>
      <c r="DR17" s="936"/>
      <c r="DS17" s="936"/>
      <c r="DT17" s="936"/>
      <c r="DU17" s="936"/>
      <c r="DV17" s="936"/>
      <c r="DW17" s="936"/>
      <c r="DX17" s="936"/>
      <c r="DY17" s="936"/>
      <c r="DZ17" s="936"/>
      <c r="EA17" s="936"/>
      <c r="EB17" s="936"/>
      <c r="EC17" s="936"/>
      <c r="ED17" s="936"/>
      <c r="EE17" s="936"/>
      <c r="EF17" s="936"/>
      <c r="EG17" s="936"/>
      <c r="EH17" s="936"/>
      <c r="EI17" s="936"/>
      <c r="EJ17" s="936"/>
      <c r="EK17" s="936"/>
      <c r="EL17" s="936"/>
      <c r="EM17" s="936"/>
      <c r="EN17" s="936"/>
      <c r="EO17" s="936"/>
      <c r="EP17" s="936"/>
      <c r="EQ17" s="936"/>
      <c r="ER17" s="936"/>
      <c r="ES17" s="936"/>
      <c r="ET17" s="936"/>
      <c r="EU17" s="936"/>
      <c r="EV17" s="936"/>
      <c r="EW17" s="936"/>
      <c r="EX17" s="936"/>
      <c r="EY17" s="936"/>
      <c r="EZ17" s="936"/>
      <c r="FA17" s="936"/>
      <c r="FB17" s="936"/>
      <c r="FC17" s="936"/>
      <c r="FD17" s="936"/>
      <c r="FE17" s="936"/>
      <c r="FF17" s="936"/>
      <c r="FG17" s="936"/>
      <c r="FH17" s="936"/>
      <c r="FI17" s="936"/>
      <c r="FJ17" s="936"/>
      <c r="FK17" s="936"/>
      <c r="FL17" s="936"/>
      <c r="FM17" s="936"/>
      <c r="FN17" s="936"/>
      <c r="FO17" s="936"/>
      <c r="FP17" s="936"/>
      <c r="FQ17" s="936"/>
      <c r="FR17" s="936"/>
      <c r="FS17" s="936"/>
      <c r="FT17" s="936"/>
      <c r="FU17" s="936"/>
      <c r="FV17" s="936"/>
      <c r="FW17" s="936"/>
      <c r="FX17" s="936"/>
      <c r="FY17" s="936"/>
      <c r="FZ17" s="936"/>
      <c r="GA17" s="936"/>
      <c r="GB17" s="936"/>
      <c r="GC17" s="936"/>
      <c r="GD17" s="936"/>
      <c r="GE17" s="936"/>
      <c r="GF17" s="936"/>
      <c r="GG17" s="936"/>
      <c r="GH17" s="936"/>
      <c r="GI17" s="936"/>
      <c r="GJ17" s="936"/>
      <c r="GK17" s="936"/>
      <c r="GL17" s="936"/>
      <c r="GM17" s="936"/>
      <c r="GN17" s="936"/>
      <c r="GO17" s="936"/>
      <c r="GP17" s="936"/>
      <c r="GQ17" s="936"/>
      <c r="GR17" s="936"/>
      <c r="GS17" s="936"/>
      <c r="GT17" s="936"/>
      <c r="GU17" s="936"/>
      <c r="GV17" s="936"/>
      <c r="GW17" s="936"/>
      <c r="GX17" s="936"/>
      <c r="GY17" s="936"/>
      <c r="GZ17" s="936"/>
      <c r="HA17" s="936"/>
      <c r="HB17" s="936"/>
      <c r="HC17" s="936"/>
      <c r="HD17" s="936"/>
      <c r="HE17" s="936"/>
      <c r="HF17" s="936"/>
      <c r="HG17" s="936"/>
      <c r="HH17" s="936"/>
      <c r="HI17" s="936"/>
      <c r="HJ17" s="936"/>
      <c r="HK17" s="936"/>
      <c r="HL17" s="936"/>
      <c r="HM17" s="936"/>
      <c r="HN17" s="936"/>
      <c r="HO17" s="936"/>
      <c r="HP17" s="936"/>
      <c r="HQ17" s="936"/>
      <c r="HR17" s="936"/>
      <c r="HS17" s="936"/>
      <c r="HT17" s="936"/>
      <c r="HU17" s="936"/>
      <c r="HV17" s="936"/>
      <c r="HW17" s="936"/>
      <c r="HX17" s="936"/>
      <c r="HY17" s="936"/>
      <c r="HZ17" s="936"/>
      <c r="IA17" s="936"/>
      <c r="IB17" s="936"/>
      <c r="IC17" s="936"/>
      <c r="ID17" s="936"/>
      <c r="IE17" s="936"/>
      <c r="IF17" s="936"/>
      <c r="IG17" s="936"/>
      <c r="IH17" s="936"/>
      <c r="II17" s="936"/>
      <c r="IJ17" s="936"/>
      <c r="IK17" s="936"/>
      <c r="IL17" s="936"/>
      <c r="IM17" s="936"/>
      <c r="IN17" s="936"/>
      <c r="IO17" s="936"/>
      <c r="IP17" s="936"/>
      <c r="IQ17" s="936"/>
      <c r="IR17" s="936"/>
      <c r="IS17" s="936"/>
      <c r="IT17" s="936"/>
    </row>
    <row r="18" spans="1:254" ht="14.1" customHeight="1">
      <c r="A18" s="1115"/>
      <c r="B18" s="1125"/>
      <c r="C18" s="933"/>
      <c r="D18" s="933"/>
      <c r="E18" s="937"/>
      <c r="F18" s="1282"/>
      <c r="G18" s="1282"/>
      <c r="H18" s="935"/>
      <c r="O18" s="936"/>
      <c r="P18" s="936"/>
      <c r="Q18" s="936"/>
      <c r="R18" s="936"/>
      <c r="S18" s="936"/>
      <c r="T18" s="936"/>
      <c r="U18" s="936"/>
      <c r="V18" s="936"/>
      <c r="W18" s="936"/>
      <c r="X18" s="936"/>
      <c r="Y18" s="936"/>
      <c r="Z18" s="936"/>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c r="BU18" s="936"/>
      <c r="BV18" s="936"/>
      <c r="BW18" s="936"/>
      <c r="BX18" s="936"/>
      <c r="BY18" s="936"/>
      <c r="BZ18" s="936"/>
      <c r="CA18" s="936"/>
      <c r="CB18" s="936"/>
      <c r="CC18" s="936"/>
      <c r="CD18" s="936"/>
      <c r="CE18" s="936"/>
      <c r="CF18" s="936"/>
      <c r="CG18" s="936"/>
      <c r="CH18" s="936"/>
      <c r="CI18" s="936"/>
      <c r="CJ18" s="936"/>
      <c r="CK18" s="936"/>
      <c r="CL18" s="936"/>
      <c r="CM18" s="936"/>
      <c r="CN18" s="936"/>
      <c r="CO18" s="936"/>
      <c r="CP18" s="936"/>
      <c r="CQ18" s="936"/>
      <c r="CR18" s="936"/>
      <c r="CS18" s="936"/>
      <c r="CT18" s="936"/>
      <c r="CU18" s="936"/>
      <c r="CV18" s="936"/>
      <c r="CW18" s="936"/>
      <c r="CX18" s="936"/>
      <c r="CY18" s="936"/>
      <c r="CZ18" s="936"/>
      <c r="DA18" s="936"/>
      <c r="DB18" s="936"/>
      <c r="DC18" s="936"/>
      <c r="DD18" s="936"/>
      <c r="DE18" s="936"/>
      <c r="DF18" s="936"/>
      <c r="DG18" s="936"/>
      <c r="DH18" s="936"/>
      <c r="DI18" s="936"/>
      <c r="DJ18" s="936"/>
      <c r="DK18" s="936"/>
      <c r="DL18" s="936"/>
      <c r="DM18" s="936"/>
      <c r="DN18" s="936"/>
      <c r="DO18" s="936"/>
      <c r="DP18" s="936"/>
      <c r="DQ18" s="936"/>
      <c r="DR18" s="936"/>
      <c r="DS18" s="936"/>
      <c r="DT18" s="936"/>
      <c r="DU18" s="936"/>
      <c r="DV18" s="936"/>
      <c r="DW18" s="936"/>
      <c r="DX18" s="936"/>
      <c r="DY18" s="936"/>
      <c r="DZ18" s="936"/>
      <c r="EA18" s="936"/>
      <c r="EB18" s="936"/>
      <c r="EC18" s="936"/>
      <c r="ED18" s="936"/>
      <c r="EE18" s="936"/>
      <c r="EF18" s="936"/>
      <c r="EG18" s="936"/>
      <c r="EH18" s="936"/>
      <c r="EI18" s="936"/>
      <c r="EJ18" s="936"/>
      <c r="EK18" s="936"/>
      <c r="EL18" s="936"/>
      <c r="EM18" s="936"/>
      <c r="EN18" s="936"/>
      <c r="EO18" s="936"/>
      <c r="EP18" s="936"/>
      <c r="EQ18" s="936"/>
      <c r="ER18" s="936"/>
      <c r="ES18" s="936"/>
      <c r="ET18" s="936"/>
      <c r="EU18" s="936"/>
      <c r="EV18" s="936"/>
      <c r="EW18" s="936"/>
      <c r="EX18" s="936"/>
      <c r="EY18" s="936"/>
      <c r="EZ18" s="936"/>
      <c r="FA18" s="936"/>
      <c r="FB18" s="936"/>
      <c r="FC18" s="936"/>
      <c r="FD18" s="936"/>
      <c r="FE18" s="936"/>
      <c r="FF18" s="936"/>
      <c r="FG18" s="936"/>
      <c r="FH18" s="936"/>
      <c r="FI18" s="936"/>
      <c r="FJ18" s="936"/>
      <c r="FK18" s="936"/>
      <c r="FL18" s="936"/>
      <c r="FM18" s="936"/>
      <c r="FN18" s="936"/>
      <c r="FO18" s="936"/>
      <c r="FP18" s="936"/>
      <c r="FQ18" s="936"/>
      <c r="FR18" s="936"/>
      <c r="FS18" s="936"/>
      <c r="FT18" s="936"/>
      <c r="FU18" s="936"/>
      <c r="FV18" s="936"/>
      <c r="FW18" s="936"/>
      <c r="FX18" s="936"/>
      <c r="FY18" s="936"/>
      <c r="FZ18" s="936"/>
      <c r="GA18" s="936"/>
      <c r="GB18" s="936"/>
      <c r="GC18" s="936"/>
      <c r="GD18" s="936"/>
      <c r="GE18" s="936"/>
      <c r="GF18" s="936"/>
      <c r="GG18" s="936"/>
      <c r="GH18" s="936"/>
      <c r="GI18" s="936"/>
      <c r="GJ18" s="936"/>
      <c r="GK18" s="936"/>
      <c r="GL18" s="936"/>
      <c r="GM18" s="936"/>
      <c r="GN18" s="936"/>
      <c r="GO18" s="936"/>
      <c r="GP18" s="936"/>
      <c r="GQ18" s="936"/>
      <c r="GR18" s="936"/>
      <c r="GS18" s="936"/>
      <c r="GT18" s="936"/>
      <c r="GU18" s="936"/>
      <c r="GV18" s="936"/>
      <c r="GW18" s="936"/>
      <c r="GX18" s="936"/>
      <c r="GY18" s="936"/>
      <c r="GZ18" s="936"/>
      <c r="HA18" s="936"/>
      <c r="HB18" s="936"/>
      <c r="HC18" s="936"/>
      <c r="HD18" s="936"/>
      <c r="HE18" s="936"/>
      <c r="HF18" s="936"/>
      <c r="HG18" s="936"/>
      <c r="HH18" s="936"/>
      <c r="HI18" s="936"/>
      <c r="HJ18" s="936"/>
      <c r="HK18" s="936"/>
      <c r="HL18" s="936"/>
      <c r="HM18" s="936"/>
      <c r="HN18" s="936"/>
      <c r="HO18" s="936"/>
      <c r="HP18" s="936"/>
      <c r="HQ18" s="936"/>
      <c r="HR18" s="936"/>
      <c r="HS18" s="936"/>
      <c r="HT18" s="936"/>
      <c r="HU18" s="936"/>
      <c r="HV18" s="936"/>
      <c r="HW18" s="936"/>
      <c r="HX18" s="936"/>
      <c r="HY18" s="936"/>
      <c r="HZ18" s="936"/>
      <c r="IA18" s="936"/>
      <c r="IB18" s="936"/>
      <c r="IC18" s="936"/>
      <c r="ID18" s="936"/>
      <c r="IE18" s="936"/>
      <c r="IF18" s="936"/>
      <c r="IG18" s="936"/>
      <c r="IH18" s="936"/>
      <c r="II18" s="936"/>
      <c r="IJ18" s="936"/>
      <c r="IK18" s="936"/>
      <c r="IL18" s="936"/>
      <c r="IM18" s="936"/>
      <c r="IN18" s="936"/>
      <c r="IO18" s="936"/>
      <c r="IP18" s="936"/>
      <c r="IQ18" s="936"/>
      <c r="IR18" s="936"/>
      <c r="IS18" s="936"/>
      <c r="IT18" s="936"/>
    </row>
    <row r="19" spans="1:254" ht="14.1" customHeight="1">
      <c r="A19" s="1115"/>
      <c r="B19" s="1125"/>
      <c r="C19" s="933"/>
      <c r="D19" s="933"/>
      <c r="E19" s="934"/>
      <c r="F19" s="934"/>
      <c r="G19" s="934"/>
      <c r="H19" s="935"/>
      <c r="O19" s="936"/>
      <c r="P19" s="936"/>
      <c r="Q19" s="936"/>
      <c r="R19" s="936"/>
      <c r="S19" s="936"/>
      <c r="T19" s="936"/>
      <c r="U19" s="936"/>
      <c r="V19" s="936"/>
      <c r="W19" s="936"/>
      <c r="X19" s="936"/>
      <c r="Y19" s="936"/>
      <c r="Z19" s="936"/>
      <c r="AA19" s="936"/>
      <c r="AB19" s="936"/>
      <c r="AC19" s="936"/>
      <c r="AD19" s="936"/>
      <c r="AE19" s="936"/>
      <c r="AF19" s="936"/>
      <c r="AG19" s="936"/>
      <c r="AH19" s="936"/>
      <c r="AI19" s="936"/>
      <c r="AJ19" s="936"/>
      <c r="AK19" s="936"/>
      <c r="AL19" s="936"/>
      <c r="AM19" s="936"/>
      <c r="AN19" s="936"/>
      <c r="AO19" s="936"/>
      <c r="AP19" s="936"/>
      <c r="AQ19" s="936"/>
      <c r="AR19" s="936"/>
      <c r="AS19" s="936"/>
      <c r="AT19" s="936"/>
      <c r="AU19" s="936"/>
      <c r="AV19" s="936"/>
      <c r="AW19" s="936"/>
      <c r="AX19" s="936"/>
      <c r="AY19" s="936"/>
      <c r="AZ19" s="936"/>
      <c r="BA19" s="936"/>
      <c r="BB19" s="936"/>
      <c r="BC19" s="936"/>
      <c r="BD19" s="936"/>
      <c r="BE19" s="936"/>
      <c r="BF19" s="936"/>
      <c r="BG19" s="936"/>
      <c r="BH19" s="936"/>
      <c r="BI19" s="936"/>
      <c r="BJ19" s="936"/>
      <c r="BK19" s="936"/>
      <c r="BL19" s="936"/>
      <c r="BM19" s="936"/>
      <c r="BN19" s="936"/>
      <c r="BO19" s="936"/>
      <c r="BP19" s="936"/>
      <c r="BQ19" s="936"/>
      <c r="BR19" s="936"/>
      <c r="BS19" s="936"/>
      <c r="BT19" s="936"/>
      <c r="BU19" s="936"/>
      <c r="BV19" s="936"/>
      <c r="BW19" s="936"/>
      <c r="BX19" s="936"/>
      <c r="BY19" s="936"/>
      <c r="BZ19" s="936"/>
      <c r="CA19" s="936"/>
      <c r="CB19" s="936"/>
      <c r="CC19" s="936"/>
      <c r="CD19" s="936"/>
      <c r="CE19" s="936"/>
      <c r="CF19" s="936"/>
      <c r="CG19" s="936"/>
      <c r="CH19" s="936"/>
      <c r="CI19" s="936"/>
      <c r="CJ19" s="936"/>
      <c r="CK19" s="936"/>
      <c r="CL19" s="936"/>
      <c r="CM19" s="936"/>
      <c r="CN19" s="936"/>
      <c r="CO19" s="936"/>
      <c r="CP19" s="936"/>
      <c r="CQ19" s="936"/>
      <c r="CR19" s="936"/>
      <c r="CS19" s="936"/>
      <c r="CT19" s="936"/>
      <c r="CU19" s="936"/>
      <c r="CV19" s="936"/>
      <c r="CW19" s="936"/>
      <c r="CX19" s="936"/>
      <c r="CY19" s="936"/>
      <c r="CZ19" s="936"/>
      <c r="DA19" s="936"/>
      <c r="DB19" s="936"/>
      <c r="DC19" s="936"/>
      <c r="DD19" s="936"/>
      <c r="DE19" s="936"/>
      <c r="DF19" s="936"/>
      <c r="DG19" s="936"/>
      <c r="DH19" s="936"/>
      <c r="DI19" s="936"/>
      <c r="DJ19" s="936"/>
      <c r="DK19" s="936"/>
      <c r="DL19" s="936"/>
      <c r="DM19" s="936"/>
      <c r="DN19" s="936"/>
      <c r="DO19" s="936"/>
      <c r="DP19" s="936"/>
      <c r="DQ19" s="936"/>
      <c r="DR19" s="936"/>
      <c r="DS19" s="936"/>
      <c r="DT19" s="936"/>
      <c r="DU19" s="936"/>
      <c r="DV19" s="936"/>
      <c r="DW19" s="936"/>
      <c r="DX19" s="936"/>
      <c r="DY19" s="936"/>
      <c r="DZ19" s="936"/>
      <c r="EA19" s="936"/>
      <c r="EB19" s="936"/>
      <c r="EC19" s="936"/>
      <c r="ED19" s="936"/>
      <c r="EE19" s="936"/>
      <c r="EF19" s="936"/>
      <c r="EG19" s="936"/>
      <c r="EH19" s="936"/>
      <c r="EI19" s="936"/>
      <c r="EJ19" s="936"/>
      <c r="EK19" s="936"/>
      <c r="EL19" s="936"/>
      <c r="EM19" s="936"/>
      <c r="EN19" s="936"/>
      <c r="EO19" s="936"/>
      <c r="EP19" s="936"/>
      <c r="EQ19" s="936"/>
      <c r="ER19" s="936"/>
      <c r="ES19" s="936"/>
      <c r="ET19" s="936"/>
      <c r="EU19" s="936"/>
      <c r="EV19" s="936"/>
      <c r="EW19" s="936"/>
      <c r="EX19" s="936"/>
      <c r="EY19" s="936"/>
      <c r="EZ19" s="936"/>
      <c r="FA19" s="936"/>
      <c r="FB19" s="936"/>
      <c r="FC19" s="936"/>
      <c r="FD19" s="936"/>
      <c r="FE19" s="936"/>
      <c r="FF19" s="936"/>
      <c r="FG19" s="936"/>
      <c r="FH19" s="936"/>
      <c r="FI19" s="936"/>
      <c r="FJ19" s="936"/>
      <c r="FK19" s="936"/>
      <c r="FL19" s="936"/>
      <c r="FM19" s="936"/>
      <c r="FN19" s="936"/>
      <c r="FO19" s="936"/>
      <c r="FP19" s="936"/>
      <c r="FQ19" s="936"/>
      <c r="FR19" s="936"/>
      <c r="FS19" s="936"/>
      <c r="FT19" s="936"/>
      <c r="FU19" s="936"/>
      <c r="FV19" s="936"/>
      <c r="FW19" s="936"/>
      <c r="FX19" s="936"/>
      <c r="FY19" s="936"/>
      <c r="FZ19" s="936"/>
      <c r="GA19" s="936"/>
      <c r="GB19" s="936"/>
      <c r="GC19" s="936"/>
      <c r="GD19" s="936"/>
      <c r="GE19" s="936"/>
      <c r="GF19" s="936"/>
      <c r="GG19" s="936"/>
      <c r="GH19" s="936"/>
      <c r="GI19" s="936"/>
      <c r="GJ19" s="936"/>
      <c r="GK19" s="936"/>
      <c r="GL19" s="936"/>
      <c r="GM19" s="936"/>
      <c r="GN19" s="936"/>
      <c r="GO19" s="936"/>
      <c r="GP19" s="936"/>
      <c r="GQ19" s="936"/>
      <c r="GR19" s="936"/>
      <c r="GS19" s="936"/>
      <c r="GT19" s="936"/>
      <c r="GU19" s="936"/>
      <c r="GV19" s="936"/>
      <c r="GW19" s="936"/>
      <c r="GX19" s="936"/>
      <c r="GY19" s="936"/>
      <c r="GZ19" s="936"/>
      <c r="HA19" s="936"/>
      <c r="HB19" s="936"/>
      <c r="HC19" s="936"/>
      <c r="HD19" s="936"/>
      <c r="HE19" s="936"/>
      <c r="HF19" s="936"/>
      <c r="HG19" s="936"/>
      <c r="HH19" s="936"/>
      <c r="HI19" s="936"/>
      <c r="HJ19" s="936"/>
      <c r="HK19" s="936"/>
      <c r="HL19" s="936"/>
      <c r="HM19" s="936"/>
      <c r="HN19" s="936"/>
      <c r="HO19" s="936"/>
      <c r="HP19" s="936"/>
      <c r="HQ19" s="936"/>
      <c r="HR19" s="936"/>
      <c r="HS19" s="936"/>
      <c r="HT19" s="936"/>
      <c r="HU19" s="936"/>
      <c r="HV19" s="936"/>
      <c r="HW19" s="936"/>
      <c r="HX19" s="936"/>
      <c r="HY19" s="936"/>
      <c r="HZ19" s="936"/>
      <c r="IA19" s="936"/>
      <c r="IB19" s="936"/>
      <c r="IC19" s="936"/>
      <c r="ID19" s="936"/>
      <c r="IE19" s="936"/>
      <c r="IF19" s="936"/>
      <c r="IG19" s="936"/>
      <c r="IH19" s="936"/>
      <c r="II19" s="936"/>
      <c r="IJ19" s="936"/>
      <c r="IK19" s="936"/>
      <c r="IL19" s="936"/>
      <c r="IM19" s="936"/>
      <c r="IN19" s="936"/>
      <c r="IO19" s="936"/>
      <c r="IP19" s="936"/>
      <c r="IQ19" s="936"/>
      <c r="IR19" s="936"/>
      <c r="IS19" s="936"/>
      <c r="IT19" s="936"/>
    </row>
    <row r="20" spans="1:254" ht="14.1" customHeight="1">
      <c r="A20" s="1116"/>
      <c r="B20" s="1116"/>
      <c r="C20" s="938"/>
      <c r="D20" s="938"/>
      <c r="E20" s="938"/>
      <c r="F20" s="938"/>
      <c r="G20" s="938"/>
      <c r="H20" s="938"/>
      <c r="J20" s="936"/>
      <c r="K20" s="936"/>
      <c r="L20" s="936"/>
      <c r="M20" s="936"/>
      <c r="N20" s="936"/>
      <c r="O20" s="936"/>
      <c r="P20" s="936"/>
      <c r="Q20" s="936"/>
      <c r="R20" s="936"/>
      <c r="S20" s="936"/>
      <c r="T20" s="936"/>
      <c r="U20" s="936"/>
      <c r="V20" s="936"/>
      <c r="W20" s="936"/>
      <c r="X20" s="936"/>
      <c r="Y20" s="936"/>
      <c r="Z20" s="936"/>
      <c r="AA20" s="936"/>
      <c r="AB20" s="936"/>
      <c r="AC20" s="936"/>
      <c r="AD20" s="936"/>
      <c r="AE20" s="936"/>
      <c r="AF20" s="936"/>
      <c r="AG20" s="936"/>
      <c r="AH20" s="936"/>
      <c r="AI20" s="936"/>
      <c r="AJ20" s="936"/>
      <c r="AK20" s="936"/>
      <c r="AL20" s="936"/>
      <c r="AM20" s="936"/>
      <c r="AN20" s="936"/>
      <c r="AO20" s="936"/>
      <c r="AP20" s="936"/>
      <c r="AQ20" s="936"/>
      <c r="AR20" s="936"/>
      <c r="AS20" s="936"/>
      <c r="AT20" s="936"/>
      <c r="AU20" s="936"/>
      <c r="AV20" s="936"/>
      <c r="AW20" s="936"/>
      <c r="AX20" s="936"/>
      <c r="AY20" s="936"/>
      <c r="AZ20" s="936"/>
      <c r="BA20" s="936"/>
      <c r="BB20" s="936"/>
      <c r="BC20" s="936"/>
      <c r="BD20" s="936"/>
      <c r="BE20" s="936"/>
      <c r="BF20" s="936"/>
      <c r="BG20" s="936"/>
      <c r="BH20" s="936"/>
      <c r="BI20" s="936"/>
      <c r="BJ20" s="936"/>
      <c r="BK20" s="936"/>
      <c r="BL20" s="936"/>
      <c r="BM20" s="936"/>
      <c r="BN20" s="936"/>
      <c r="BO20" s="936"/>
      <c r="BP20" s="936"/>
      <c r="BQ20" s="936"/>
      <c r="BR20" s="936"/>
      <c r="BS20" s="936"/>
      <c r="BT20" s="936"/>
      <c r="BU20" s="936"/>
      <c r="BV20" s="936"/>
      <c r="BW20" s="936"/>
      <c r="BX20" s="936"/>
      <c r="BY20" s="936"/>
      <c r="BZ20" s="936"/>
      <c r="CA20" s="936"/>
      <c r="CB20" s="936"/>
      <c r="CC20" s="936"/>
      <c r="CD20" s="936"/>
      <c r="CE20" s="936"/>
      <c r="CF20" s="936"/>
      <c r="CG20" s="936"/>
      <c r="CH20" s="936"/>
      <c r="CI20" s="936"/>
      <c r="CJ20" s="936"/>
      <c r="CK20" s="936"/>
      <c r="CL20" s="936"/>
      <c r="CM20" s="936"/>
      <c r="CN20" s="936"/>
      <c r="CO20" s="936"/>
      <c r="CP20" s="936"/>
      <c r="CQ20" s="936"/>
      <c r="CR20" s="936"/>
      <c r="CS20" s="936"/>
      <c r="CT20" s="936"/>
      <c r="CU20" s="936"/>
      <c r="CV20" s="936"/>
      <c r="CW20" s="936"/>
      <c r="CX20" s="936"/>
      <c r="CY20" s="936"/>
      <c r="CZ20" s="936"/>
      <c r="DA20" s="936"/>
      <c r="DB20" s="936"/>
      <c r="DC20" s="936"/>
      <c r="DD20" s="936"/>
      <c r="DE20" s="936"/>
      <c r="DF20" s="936"/>
      <c r="DG20" s="936"/>
      <c r="DH20" s="936"/>
      <c r="DI20" s="936"/>
      <c r="DJ20" s="936"/>
      <c r="DK20" s="936"/>
      <c r="DL20" s="936"/>
      <c r="DM20" s="936"/>
      <c r="DN20" s="936"/>
      <c r="DO20" s="936"/>
      <c r="DP20" s="936"/>
      <c r="DQ20" s="936"/>
      <c r="DR20" s="936"/>
      <c r="DS20" s="936"/>
      <c r="DT20" s="936"/>
      <c r="DU20" s="936"/>
      <c r="DV20" s="936"/>
      <c r="DW20" s="936"/>
      <c r="DX20" s="936"/>
      <c r="DY20" s="936"/>
      <c r="DZ20" s="936"/>
      <c r="EA20" s="936"/>
      <c r="EB20" s="936"/>
      <c r="EC20" s="936"/>
      <c r="ED20" s="936"/>
      <c r="EE20" s="936"/>
      <c r="EF20" s="936"/>
      <c r="EG20" s="936"/>
      <c r="EH20" s="936"/>
      <c r="EI20" s="936"/>
      <c r="EJ20" s="936"/>
      <c r="EK20" s="936"/>
      <c r="EL20" s="936"/>
      <c r="EM20" s="936"/>
      <c r="EN20" s="936"/>
      <c r="EO20" s="936"/>
      <c r="EP20" s="936"/>
      <c r="EQ20" s="936"/>
      <c r="ER20" s="936"/>
      <c r="ES20" s="936"/>
      <c r="ET20" s="936"/>
      <c r="EU20" s="936"/>
      <c r="EV20" s="936"/>
      <c r="EW20" s="936"/>
      <c r="EX20" s="936"/>
      <c r="EY20" s="936"/>
      <c r="EZ20" s="936"/>
      <c r="FA20" s="936"/>
      <c r="FB20" s="936"/>
      <c r="FC20" s="936"/>
      <c r="FD20" s="936"/>
      <c r="FE20" s="936"/>
      <c r="FF20" s="936"/>
      <c r="FG20" s="936"/>
      <c r="FH20" s="936"/>
      <c r="FI20" s="936"/>
      <c r="FJ20" s="936"/>
      <c r="FK20" s="936"/>
      <c r="FL20" s="936"/>
      <c r="FM20" s="936"/>
      <c r="FN20" s="936"/>
      <c r="FO20" s="936"/>
      <c r="FP20" s="936"/>
      <c r="FQ20" s="936"/>
      <c r="FR20" s="936"/>
      <c r="FS20" s="936"/>
      <c r="FT20" s="936"/>
      <c r="FU20" s="936"/>
      <c r="FV20" s="936"/>
      <c r="FW20" s="936"/>
      <c r="FX20" s="936"/>
      <c r="FY20" s="936"/>
      <c r="FZ20" s="936"/>
      <c r="GA20" s="936"/>
      <c r="GB20" s="936"/>
      <c r="GC20" s="936"/>
      <c r="GD20" s="936"/>
      <c r="GE20" s="936"/>
      <c r="GF20" s="936"/>
      <c r="GG20" s="936"/>
      <c r="GH20" s="936"/>
      <c r="GI20" s="936"/>
      <c r="GJ20" s="936"/>
      <c r="GK20" s="936"/>
      <c r="GL20" s="936"/>
      <c r="GM20" s="936"/>
      <c r="GN20" s="936"/>
      <c r="GO20" s="936"/>
      <c r="GP20" s="936"/>
      <c r="GQ20" s="936"/>
      <c r="GR20" s="936"/>
      <c r="GS20" s="936"/>
      <c r="GT20" s="936"/>
      <c r="GU20" s="936"/>
      <c r="GV20" s="936"/>
      <c r="GW20" s="936"/>
      <c r="GX20" s="936"/>
      <c r="GY20" s="936"/>
      <c r="GZ20" s="936"/>
      <c r="HA20" s="936"/>
      <c r="HB20" s="936"/>
      <c r="HC20" s="936"/>
      <c r="HD20" s="936"/>
      <c r="HE20" s="936"/>
      <c r="HF20" s="936"/>
      <c r="HG20" s="936"/>
      <c r="HH20" s="936"/>
      <c r="HI20" s="936"/>
      <c r="HJ20" s="936"/>
      <c r="HK20" s="936"/>
      <c r="HL20" s="936"/>
      <c r="HM20" s="936"/>
      <c r="HN20" s="936"/>
      <c r="HO20" s="936"/>
      <c r="HP20" s="936"/>
      <c r="HQ20" s="936"/>
      <c r="HR20" s="936"/>
      <c r="HS20" s="936"/>
      <c r="HT20" s="936"/>
      <c r="HU20" s="936"/>
      <c r="HV20" s="936"/>
      <c r="HW20" s="936"/>
      <c r="HX20" s="936"/>
      <c r="HY20" s="936"/>
      <c r="HZ20" s="936"/>
      <c r="IA20" s="936"/>
      <c r="IB20" s="936"/>
      <c r="IC20" s="936"/>
      <c r="ID20" s="936"/>
      <c r="IE20" s="936"/>
      <c r="IF20" s="936"/>
      <c r="IG20" s="936"/>
      <c r="IH20" s="936"/>
      <c r="II20" s="936"/>
      <c r="IJ20" s="936"/>
      <c r="IK20" s="936"/>
      <c r="IL20" s="936"/>
      <c r="IM20" s="936"/>
      <c r="IN20" s="936"/>
      <c r="IO20" s="936"/>
      <c r="IP20" s="936"/>
      <c r="IQ20" s="936"/>
      <c r="IR20" s="936"/>
      <c r="IS20" s="936"/>
      <c r="IT20" s="936"/>
    </row>
    <row r="21" spans="1:254" ht="14.1" customHeight="1">
      <c r="A21" s="1116"/>
      <c r="B21" s="1116"/>
      <c r="C21" s="938"/>
      <c r="D21" s="938"/>
      <c r="E21" s="938"/>
      <c r="F21" s="938"/>
      <c r="G21" s="938"/>
      <c r="H21" s="938"/>
      <c r="J21" s="936"/>
      <c r="K21" s="936"/>
      <c r="L21" s="936"/>
      <c r="M21" s="936"/>
      <c r="N21" s="936"/>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c r="DC21" s="936"/>
      <c r="DD21" s="936"/>
      <c r="DE21" s="936"/>
      <c r="DF21" s="936"/>
      <c r="DG21" s="936"/>
      <c r="DH21" s="936"/>
      <c r="DI21" s="936"/>
      <c r="DJ21" s="936"/>
      <c r="DK21" s="936"/>
      <c r="DL21" s="936"/>
      <c r="DM21" s="936"/>
      <c r="DN21" s="936"/>
      <c r="DO21" s="936"/>
      <c r="DP21" s="936"/>
      <c r="DQ21" s="936"/>
      <c r="DR21" s="936"/>
      <c r="DS21" s="936"/>
      <c r="DT21" s="936"/>
      <c r="DU21" s="936"/>
      <c r="DV21" s="936"/>
      <c r="DW21" s="936"/>
      <c r="DX21" s="936"/>
      <c r="DY21" s="936"/>
      <c r="DZ21" s="936"/>
      <c r="EA21" s="936"/>
      <c r="EB21" s="936"/>
      <c r="EC21" s="936"/>
      <c r="ED21" s="936"/>
      <c r="EE21" s="936"/>
      <c r="EF21" s="936"/>
      <c r="EG21" s="936"/>
      <c r="EH21" s="936"/>
      <c r="EI21" s="936"/>
      <c r="EJ21" s="936"/>
      <c r="EK21" s="936"/>
      <c r="EL21" s="936"/>
      <c r="EM21" s="936"/>
      <c r="EN21" s="936"/>
      <c r="EO21" s="936"/>
      <c r="EP21" s="936"/>
      <c r="EQ21" s="936"/>
      <c r="ER21" s="936"/>
      <c r="ES21" s="936"/>
      <c r="ET21" s="936"/>
      <c r="EU21" s="936"/>
      <c r="EV21" s="936"/>
      <c r="EW21" s="936"/>
      <c r="EX21" s="936"/>
      <c r="EY21" s="936"/>
      <c r="EZ21" s="936"/>
      <c r="FA21" s="936"/>
      <c r="FB21" s="936"/>
      <c r="FC21" s="936"/>
      <c r="FD21" s="936"/>
      <c r="FE21" s="936"/>
      <c r="FF21" s="936"/>
      <c r="FG21" s="936"/>
      <c r="FH21" s="936"/>
      <c r="FI21" s="936"/>
      <c r="FJ21" s="936"/>
      <c r="FK21" s="936"/>
      <c r="FL21" s="936"/>
      <c r="FM21" s="936"/>
      <c r="FN21" s="936"/>
      <c r="FO21" s="936"/>
      <c r="FP21" s="936"/>
      <c r="FQ21" s="936"/>
      <c r="FR21" s="936"/>
      <c r="FS21" s="936"/>
      <c r="FT21" s="936"/>
      <c r="FU21" s="936"/>
      <c r="FV21" s="936"/>
      <c r="FW21" s="936"/>
      <c r="FX21" s="936"/>
      <c r="FY21" s="936"/>
      <c r="FZ21" s="936"/>
      <c r="GA21" s="936"/>
      <c r="GB21" s="936"/>
      <c r="GC21" s="936"/>
      <c r="GD21" s="936"/>
      <c r="GE21" s="936"/>
      <c r="GF21" s="936"/>
      <c r="GG21" s="936"/>
      <c r="GH21" s="936"/>
      <c r="GI21" s="936"/>
      <c r="GJ21" s="936"/>
      <c r="GK21" s="936"/>
      <c r="GL21" s="936"/>
      <c r="GM21" s="936"/>
      <c r="GN21" s="936"/>
      <c r="GO21" s="936"/>
      <c r="GP21" s="936"/>
      <c r="GQ21" s="936"/>
      <c r="GR21" s="936"/>
      <c r="GS21" s="936"/>
      <c r="GT21" s="936"/>
      <c r="GU21" s="936"/>
      <c r="GV21" s="936"/>
      <c r="GW21" s="936"/>
      <c r="GX21" s="936"/>
      <c r="GY21" s="936"/>
      <c r="GZ21" s="936"/>
      <c r="HA21" s="936"/>
      <c r="HB21" s="936"/>
      <c r="HC21" s="936"/>
      <c r="HD21" s="936"/>
      <c r="HE21" s="936"/>
      <c r="HF21" s="936"/>
      <c r="HG21" s="936"/>
      <c r="HH21" s="936"/>
      <c r="HI21" s="936"/>
      <c r="HJ21" s="936"/>
      <c r="HK21" s="936"/>
      <c r="HL21" s="936"/>
      <c r="HM21" s="936"/>
      <c r="HN21" s="936"/>
      <c r="HO21" s="936"/>
      <c r="HP21" s="936"/>
      <c r="HQ21" s="936"/>
      <c r="HR21" s="936"/>
      <c r="HS21" s="936"/>
      <c r="HT21" s="936"/>
      <c r="HU21" s="936"/>
      <c r="HV21" s="936"/>
      <c r="HW21" s="936"/>
      <c r="HX21" s="936"/>
      <c r="HY21" s="936"/>
      <c r="HZ21" s="936"/>
      <c r="IA21" s="936"/>
      <c r="IB21" s="936"/>
      <c r="IC21" s="936"/>
      <c r="ID21" s="936"/>
      <c r="IE21" s="936"/>
      <c r="IF21" s="936"/>
      <c r="IG21" s="936"/>
      <c r="IH21" s="936"/>
      <c r="II21" s="936"/>
      <c r="IJ21" s="936"/>
      <c r="IK21" s="936"/>
      <c r="IL21" s="936"/>
      <c r="IM21" s="936"/>
      <c r="IN21" s="936"/>
      <c r="IO21" s="936"/>
      <c r="IP21" s="936"/>
      <c r="IQ21" s="936"/>
      <c r="IR21" s="936"/>
      <c r="IS21" s="936"/>
      <c r="IT21" s="936"/>
    </row>
    <row r="22" spans="1:254" ht="14.1" customHeight="1">
      <c r="C22" s="940"/>
      <c r="D22" s="940"/>
      <c r="E22" s="939"/>
      <c r="F22" s="939"/>
      <c r="G22" s="939"/>
      <c r="H22" s="939"/>
      <c r="J22" s="936"/>
      <c r="K22" s="936"/>
      <c r="L22" s="936"/>
      <c r="M22" s="936"/>
      <c r="N22" s="936"/>
      <c r="O22" s="936"/>
      <c r="P22" s="936"/>
      <c r="Q22" s="936"/>
      <c r="R22" s="936"/>
      <c r="S22" s="936"/>
      <c r="T22" s="936"/>
      <c r="U22" s="936"/>
      <c r="V22" s="936"/>
      <c r="W22" s="936"/>
      <c r="X22" s="936"/>
      <c r="Y22" s="936"/>
      <c r="Z22" s="936"/>
      <c r="AA22" s="936"/>
      <c r="AB22" s="936"/>
      <c r="AC22" s="936"/>
      <c r="AD22" s="936"/>
      <c r="AE22" s="936"/>
      <c r="AF22" s="936"/>
      <c r="AG22" s="936"/>
      <c r="AH22" s="936"/>
      <c r="AI22" s="936"/>
      <c r="AJ22" s="936"/>
      <c r="AK22" s="936"/>
      <c r="AL22" s="936"/>
      <c r="AM22" s="936"/>
      <c r="AN22" s="936"/>
      <c r="AO22" s="936"/>
      <c r="AP22" s="936"/>
      <c r="AQ22" s="936"/>
      <c r="AR22" s="936"/>
      <c r="AS22" s="936"/>
      <c r="AT22" s="936"/>
      <c r="AU22" s="936"/>
      <c r="AV22" s="936"/>
      <c r="AW22" s="936"/>
      <c r="AX22" s="936"/>
      <c r="AY22" s="936"/>
      <c r="AZ22" s="936"/>
      <c r="BA22" s="936"/>
      <c r="BB22" s="936"/>
      <c r="BC22" s="936"/>
      <c r="BD22" s="936"/>
      <c r="BE22" s="936"/>
      <c r="BF22" s="936"/>
      <c r="BG22" s="936"/>
      <c r="BH22" s="936"/>
      <c r="BI22" s="936"/>
      <c r="BJ22" s="936"/>
      <c r="BK22" s="936"/>
      <c r="BL22" s="936"/>
      <c r="BM22" s="936"/>
      <c r="BN22" s="936"/>
      <c r="BO22" s="936"/>
      <c r="BP22" s="936"/>
      <c r="BQ22" s="936"/>
      <c r="BR22" s="936"/>
      <c r="BS22" s="936"/>
      <c r="BT22" s="936"/>
      <c r="BU22" s="936"/>
      <c r="BV22" s="936"/>
      <c r="BW22" s="936"/>
      <c r="BX22" s="936"/>
      <c r="BY22" s="936"/>
      <c r="BZ22" s="936"/>
      <c r="CA22" s="936"/>
      <c r="CB22" s="936"/>
      <c r="CC22" s="936"/>
      <c r="CD22" s="936"/>
      <c r="CE22" s="936"/>
      <c r="CF22" s="936"/>
      <c r="CG22" s="936"/>
      <c r="CH22" s="936"/>
      <c r="CI22" s="936"/>
      <c r="CJ22" s="936"/>
      <c r="CK22" s="936"/>
      <c r="CL22" s="936"/>
      <c r="CM22" s="936"/>
      <c r="CN22" s="936"/>
      <c r="CO22" s="936"/>
      <c r="CP22" s="936"/>
      <c r="CQ22" s="936"/>
      <c r="CR22" s="936"/>
      <c r="CS22" s="936"/>
      <c r="CT22" s="936"/>
      <c r="CU22" s="936"/>
      <c r="CV22" s="936"/>
      <c r="CW22" s="936"/>
      <c r="CX22" s="936"/>
      <c r="CY22" s="936"/>
      <c r="CZ22" s="936"/>
      <c r="DA22" s="936"/>
      <c r="DB22" s="936"/>
      <c r="DC22" s="936"/>
      <c r="DD22" s="936"/>
      <c r="DE22" s="936"/>
      <c r="DF22" s="936"/>
      <c r="DG22" s="936"/>
      <c r="DH22" s="936"/>
      <c r="DI22" s="936"/>
      <c r="DJ22" s="936"/>
      <c r="DK22" s="936"/>
      <c r="DL22" s="936"/>
      <c r="DM22" s="936"/>
      <c r="DN22" s="936"/>
      <c r="DO22" s="936"/>
      <c r="DP22" s="936"/>
      <c r="DQ22" s="936"/>
      <c r="DR22" s="936"/>
      <c r="DS22" s="936"/>
      <c r="DT22" s="936"/>
      <c r="DU22" s="936"/>
      <c r="DV22" s="936"/>
      <c r="DW22" s="936"/>
      <c r="DX22" s="936"/>
      <c r="DY22" s="936"/>
      <c r="DZ22" s="936"/>
      <c r="EA22" s="936"/>
      <c r="EB22" s="936"/>
      <c r="EC22" s="936"/>
      <c r="ED22" s="936"/>
      <c r="EE22" s="936"/>
      <c r="EF22" s="936"/>
      <c r="EG22" s="936"/>
      <c r="EH22" s="936"/>
      <c r="EI22" s="936"/>
      <c r="EJ22" s="936"/>
      <c r="EK22" s="936"/>
      <c r="EL22" s="936"/>
      <c r="EM22" s="936"/>
      <c r="EN22" s="936"/>
      <c r="EO22" s="936"/>
      <c r="EP22" s="936"/>
      <c r="EQ22" s="936"/>
      <c r="ER22" s="936"/>
      <c r="ES22" s="936"/>
      <c r="ET22" s="936"/>
      <c r="EU22" s="936"/>
      <c r="EV22" s="936"/>
      <c r="EW22" s="936"/>
      <c r="EX22" s="936"/>
      <c r="EY22" s="936"/>
      <c r="EZ22" s="936"/>
      <c r="FA22" s="936"/>
      <c r="FB22" s="936"/>
      <c r="FC22" s="936"/>
      <c r="FD22" s="936"/>
      <c r="FE22" s="936"/>
      <c r="FF22" s="936"/>
      <c r="FG22" s="936"/>
      <c r="FH22" s="936"/>
      <c r="FI22" s="936"/>
      <c r="FJ22" s="936"/>
      <c r="FK22" s="936"/>
      <c r="FL22" s="936"/>
      <c r="FM22" s="936"/>
      <c r="FN22" s="936"/>
      <c r="FO22" s="936"/>
      <c r="FP22" s="936"/>
      <c r="FQ22" s="936"/>
      <c r="FR22" s="936"/>
      <c r="FS22" s="936"/>
      <c r="FT22" s="936"/>
      <c r="FU22" s="936"/>
      <c r="FV22" s="936"/>
      <c r="FW22" s="936"/>
      <c r="FX22" s="936"/>
      <c r="FY22" s="936"/>
      <c r="FZ22" s="936"/>
      <c r="GA22" s="936"/>
      <c r="GB22" s="936"/>
      <c r="GC22" s="936"/>
      <c r="GD22" s="936"/>
      <c r="GE22" s="936"/>
      <c r="GF22" s="936"/>
      <c r="GG22" s="936"/>
      <c r="GH22" s="936"/>
      <c r="GI22" s="936"/>
      <c r="GJ22" s="936"/>
      <c r="GK22" s="936"/>
      <c r="GL22" s="936"/>
      <c r="GM22" s="936"/>
      <c r="GN22" s="936"/>
      <c r="GO22" s="936"/>
      <c r="GP22" s="936"/>
      <c r="GQ22" s="936"/>
      <c r="GR22" s="936"/>
      <c r="GS22" s="936"/>
      <c r="GT22" s="936"/>
      <c r="GU22" s="936"/>
      <c r="GV22" s="936"/>
      <c r="GW22" s="936"/>
      <c r="GX22" s="936"/>
      <c r="GY22" s="936"/>
      <c r="GZ22" s="936"/>
      <c r="HA22" s="936"/>
      <c r="HB22" s="936"/>
      <c r="HC22" s="936"/>
      <c r="HD22" s="936"/>
      <c r="HE22" s="936"/>
      <c r="HF22" s="936"/>
      <c r="HG22" s="936"/>
      <c r="HH22" s="936"/>
      <c r="HI22" s="936"/>
      <c r="HJ22" s="936"/>
      <c r="HK22" s="936"/>
      <c r="HL22" s="936"/>
      <c r="HM22" s="936"/>
      <c r="HN22" s="936"/>
      <c r="HO22" s="936"/>
      <c r="HP22" s="936"/>
      <c r="HQ22" s="936"/>
      <c r="HR22" s="936"/>
      <c r="HS22" s="936"/>
      <c r="HT22" s="936"/>
      <c r="HU22" s="936"/>
      <c r="HV22" s="936"/>
      <c r="HW22" s="936"/>
      <c r="HX22" s="936"/>
      <c r="HY22" s="936"/>
      <c r="HZ22" s="936"/>
      <c r="IA22" s="936"/>
      <c r="IB22" s="936"/>
      <c r="IC22" s="936"/>
      <c r="ID22" s="936"/>
      <c r="IE22" s="936"/>
      <c r="IF22" s="936"/>
      <c r="IG22" s="936"/>
      <c r="IH22" s="936"/>
      <c r="II22" s="936"/>
      <c r="IJ22" s="936"/>
      <c r="IK22" s="936"/>
      <c r="IL22" s="936"/>
      <c r="IM22" s="936"/>
      <c r="IN22" s="936"/>
      <c r="IO22" s="936"/>
      <c r="IP22" s="936"/>
      <c r="IQ22" s="936"/>
      <c r="IR22" s="936"/>
      <c r="IS22" s="936"/>
      <c r="IT22" s="936"/>
    </row>
  </sheetData>
  <mergeCells count="8">
    <mergeCell ref="F18:G18"/>
    <mergeCell ref="A1:H1"/>
    <mergeCell ref="H3:H4"/>
    <mergeCell ref="A2:H2"/>
    <mergeCell ref="A3:A4"/>
    <mergeCell ref="B3:B4"/>
    <mergeCell ref="C3:D4"/>
    <mergeCell ref="E3:G3"/>
  </mergeCells>
  <printOptions horizontalCentered="1"/>
  <pageMargins left="0.75" right="0.25" top="0.75" bottom="0.75" header="0.3" footer="0.3"/>
  <pageSetup paperSize="9" scale="95" orientation="portrait" r:id="rId1"/>
</worksheet>
</file>

<file path=xl/worksheets/sheet32.xml><?xml version="1.0" encoding="utf-8"?>
<worksheet xmlns="http://schemas.openxmlformats.org/spreadsheetml/2006/main" xmlns:r="http://schemas.openxmlformats.org/officeDocument/2006/relationships">
  <sheetPr>
    <tabColor rgb="FFFFFF00"/>
  </sheetPr>
  <dimension ref="A1:F10"/>
  <sheetViews>
    <sheetView view="pageBreakPreview" zoomScaleSheetLayoutView="100" workbookViewId="0">
      <selection sqref="A1:XFD1048576"/>
    </sheetView>
  </sheetViews>
  <sheetFormatPr defaultRowHeight="15.75"/>
  <cols>
    <col min="1" max="1" width="5" style="1009" customWidth="1"/>
    <col min="2" max="2" width="8" style="1009" customWidth="1"/>
    <col min="3" max="3" width="37.5546875" style="1101" customWidth="1"/>
    <col min="4" max="4" width="8.44140625" style="1009" customWidth="1"/>
    <col min="5" max="5" width="6.88671875" style="1009" customWidth="1"/>
    <col min="6" max="6" width="9.44140625" style="1009" customWidth="1"/>
    <col min="7" max="16384" width="8.88671875" style="1009"/>
  </cols>
  <sheetData>
    <row r="1" spans="1:6" ht="55.5" customHeight="1">
      <c r="A1" s="1278" t="str">
        <f>'G. Abstract'!A3:F3</f>
        <v>N/W: RENOVATION AND UPGRADING THE EXISTING WORKING WOMEN’S HOSTEL AT SOORAMANGALAM IN SALEM CITY UNDER SOCIAL WELFARE DEPARTMENT</v>
      </c>
      <c r="B1" s="1279"/>
      <c r="C1" s="1279"/>
      <c r="D1" s="1279"/>
      <c r="E1" s="1279"/>
      <c r="F1" s="1280"/>
    </row>
    <row r="2" spans="1:6" ht="21.75" customHeight="1">
      <c r="A2" s="1281" t="s">
        <v>4472</v>
      </c>
      <c r="B2" s="1281"/>
      <c r="C2" s="1281"/>
      <c r="D2" s="1281"/>
      <c r="E2" s="1281"/>
      <c r="F2" s="1281"/>
    </row>
    <row r="3" spans="1:6" ht="26.25" customHeight="1">
      <c r="A3" s="1166" t="s">
        <v>3747</v>
      </c>
      <c r="B3" s="1167" t="s">
        <v>1070</v>
      </c>
      <c r="C3" s="1167" t="s">
        <v>3748</v>
      </c>
      <c r="D3" s="1167" t="s">
        <v>100</v>
      </c>
      <c r="E3" s="1167" t="s">
        <v>3764</v>
      </c>
      <c r="F3" s="1167" t="s">
        <v>994</v>
      </c>
    </row>
    <row r="4" spans="1:6" ht="125.25" customHeight="1">
      <c r="A4" s="1150">
        <v>1</v>
      </c>
      <c r="B4" s="1151">
        <f>'Inverter Det'!H6</f>
        <v>1</v>
      </c>
      <c r="C4" s="1175" t="s">
        <v>4831</v>
      </c>
      <c r="D4" s="1151">
        <v>38500</v>
      </c>
      <c r="E4" s="1153" t="s">
        <v>1458</v>
      </c>
      <c r="F4" s="1153">
        <f>ROUND(PRODUCT(B4*D4),2)</f>
        <v>38500</v>
      </c>
    </row>
    <row r="5" spans="1:6" ht="128.25" customHeight="1">
      <c r="A5" s="1150">
        <v>2</v>
      </c>
      <c r="B5" s="1151">
        <f>'Inverter Det'!H9</f>
        <v>6</v>
      </c>
      <c r="C5" s="1175" t="s">
        <v>4832</v>
      </c>
      <c r="D5" s="1151">
        <v>8900</v>
      </c>
      <c r="E5" s="1153" t="s">
        <v>1458</v>
      </c>
      <c r="F5" s="1153">
        <f>ROUND(PRODUCT(B5*D5),2)</f>
        <v>53400</v>
      </c>
    </row>
    <row r="6" spans="1:6" ht="85.5" customHeight="1">
      <c r="A6" s="1150">
        <v>3</v>
      </c>
      <c r="B6" s="1151">
        <f>'Inverter Det'!H12</f>
        <v>1</v>
      </c>
      <c r="C6" s="850" t="s">
        <v>4833</v>
      </c>
      <c r="D6" s="1151">
        <v>3000</v>
      </c>
      <c r="E6" s="1169" t="s">
        <v>1458</v>
      </c>
      <c r="F6" s="1153">
        <f>ROUND(PRODUCT(B6*D6),2)</f>
        <v>3000</v>
      </c>
    </row>
    <row r="7" spans="1:6" ht="34.5" customHeight="1">
      <c r="A7" s="1150">
        <v>4</v>
      </c>
      <c r="B7" s="1151">
        <f>'Inverter Det'!H15</f>
        <v>1</v>
      </c>
      <c r="C7" s="850" t="s">
        <v>4834</v>
      </c>
      <c r="D7" s="1151">
        <v>2500</v>
      </c>
      <c r="E7" s="1169" t="s">
        <v>1458</v>
      </c>
      <c r="F7" s="1153">
        <f>ROUND(PRODUCT(B7*D7),2)</f>
        <v>2500</v>
      </c>
    </row>
    <row r="8" spans="1:6">
      <c r="A8" s="1150"/>
      <c r="B8" s="1151"/>
      <c r="C8" s="1152"/>
      <c r="D8" s="1151"/>
      <c r="E8" s="1153"/>
      <c r="F8" s="1153">
        <f t="shared" ref="F8" si="0">ROUND(PRODUCT(B8*D8),2)</f>
        <v>0</v>
      </c>
    </row>
    <row r="9" spans="1:6" ht="30" customHeight="1">
      <c r="A9" s="1150"/>
      <c r="B9" s="1151"/>
      <c r="C9" s="875" t="s">
        <v>2332</v>
      </c>
      <c r="D9" s="1151"/>
      <c r="E9" s="1153"/>
      <c r="F9" s="1170">
        <f>SUM(F4:F8)</f>
        <v>97400</v>
      </c>
    </row>
    <row r="10" spans="1:6">
      <c r="A10" s="1150"/>
      <c r="B10" s="1151"/>
      <c r="C10" s="1152"/>
      <c r="D10" s="1151"/>
      <c r="E10" s="1153"/>
      <c r="F10" s="1153"/>
    </row>
  </sheetData>
  <mergeCells count="2">
    <mergeCell ref="A1:F1"/>
    <mergeCell ref="A2:F2"/>
  </mergeCells>
  <printOptions horizontalCentered="1"/>
  <pageMargins left="0.75" right="0.25"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sheetPr>
    <tabColor rgb="FFFFFF00"/>
  </sheetPr>
  <dimension ref="A1:IT26"/>
  <sheetViews>
    <sheetView view="pageBreakPreview" zoomScale="90" zoomScaleSheetLayoutView="90" workbookViewId="0">
      <selection activeCell="B15" sqref="B15:H15"/>
    </sheetView>
  </sheetViews>
  <sheetFormatPr defaultRowHeight="15.75"/>
  <cols>
    <col min="1" max="1" width="5" style="924" customWidth="1"/>
    <col min="2" max="2" width="30.10937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9" ht="52.5" customHeight="1">
      <c r="A1" s="1283" t="str">
        <f>'EX. WS Abs'!A3:F3</f>
        <v>N/W: RENOVATION AND UPGRADING THE EXISTING WORKING WOMEN’S HOSTEL AT SOORAMANGALAM IN SALEM CITY UNDER SOCIAL WELFARE DEPARTMENT</v>
      </c>
      <c r="B1" s="1283"/>
      <c r="C1" s="1283"/>
      <c r="D1" s="1283"/>
      <c r="E1" s="1283"/>
      <c r="F1" s="1283"/>
      <c r="G1" s="1283"/>
      <c r="H1" s="1283"/>
      <c r="I1" s="920"/>
    </row>
    <row r="2" spans="1:9" ht="24.75" customHeight="1">
      <c r="A2" s="1205" t="s">
        <v>4473</v>
      </c>
      <c r="B2" s="1205"/>
      <c r="C2" s="1205"/>
      <c r="D2" s="1205"/>
      <c r="E2" s="1205"/>
      <c r="F2" s="1205"/>
      <c r="G2" s="1205"/>
      <c r="H2" s="1205"/>
      <c r="I2" s="920"/>
    </row>
    <row r="3" spans="1:9" s="922" customFormat="1" ht="17.25" customHeight="1">
      <c r="A3" s="1286" t="s">
        <v>3747</v>
      </c>
      <c r="B3" s="1286" t="s">
        <v>1860</v>
      </c>
      <c r="C3" s="1286" t="s">
        <v>4226</v>
      </c>
      <c r="D3" s="1286"/>
      <c r="E3" s="1287" t="s">
        <v>4227</v>
      </c>
      <c r="F3" s="1287"/>
      <c r="G3" s="1287"/>
      <c r="H3" s="1289" t="s">
        <v>4228</v>
      </c>
      <c r="I3" s="923"/>
    </row>
    <row r="4" spans="1:9" s="922" customFormat="1" ht="19.5" customHeight="1">
      <c r="A4" s="1286"/>
      <c r="B4" s="1286"/>
      <c r="C4" s="1286"/>
      <c r="D4" s="1286"/>
      <c r="E4" s="1108" t="s">
        <v>4229</v>
      </c>
      <c r="F4" s="1107" t="s">
        <v>4230</v>
      </c>
      <c r="G4" s="1108" t="s">
        <v>3753</v>
      </c>
      <c r="H4" s="1289"/>
      <c r="I4" s="923"/>
    </row>
    <row r="5" spans="1:9" ht="138.75" customHeight="1">
      <c r="A5" s="1086">
        <v>1</v>
      </c>
      <c r="B5" s="1119" t="s">
        <v>4831</v>
      </c>
      <c r="C5" s="1071"/>
      <c r="D5" s="1071"/>
      <c r="E5" s="1072"/>
      <c r="F5" s="1073"/>
      <c r="G5" s="1072"/>
      <c r="H5" s="1074"/>
      <c r="I5" s="920"/>
    </row>
    <row r="6" spans="1:9" ht="17.100000000000001" customHeight="1">
      <c r="A6" s="1086"/>
      <c r="B6" s="1120" t="s">
        <v>4469</v>
      </c>
      <c r="C6" s="1088">
        <v>1</v>
      </c>
      <c r="D6" s="1088">
        <v>1</v>
      </c>
      <c r="E6" s="1089"/>
      <c r="F6" s="1090"/>
      <c r="G6" s="1089"/>
      <c r="H6" s="1084">
        <f>PRODUCT(C6:G6)</f>
        <v>1</v>
      </c>
      <c r="I6" s="920"/>
    </row>
    <row r="7" spans="1:9" ht="17.100000000000001" customHeight="1">
      <c r="A7" s="1086"/>
      <c r="B7" s="1121"/>
      <c r="C7" s="1070"/>
      <c r="D7" s="1070"/>
      <c r="E7" s="1072"/>
      <c r="F7" s="1073"/>
      <c r="G7" s="1075"/>
      <c r="H7" s="1076"/>
      <c r="I7" s="920"/>
    </row>
    <row r="8" spans="1:9" ht="126">
      <c r="A8" s="1086">
        <v>2</v>
      </c>
      <c r="B8" s="1119" t="s">
        <v>4832</v>
      </c>
      <c r="C8" s="1070"/>
      <c r="D8" s="1070"/>
      <c r="E8" s="1072"/>
      <c r="F8" s="1073"/>
      <c r="G8" s="1072"/>
      <c r="H8" s="1077"/>
      <c r="I8" s="920"/>
    </row>
    <row r="9" spans="1:9" ht="17.100000000000001" customHeight="1">
      <c r="A9" s="1086"/>
      <c r="B9" s="1120" t="s">
        <v>4469</v>
      </c>
      <c r="C9" s="1088">
        <v>1</v>
      </c>
      <c r="D9" s="1088">
        <v>6</v>
      </c>
      <c r="E9" s="1089"/>
      <c r="F9" s="1090"/>
      <c r="G9" s="1089"/>
      <c r="H9" s="1084">
        <f>PRODUCT(C9:G9)</f>
        <v>6</v>
      </c>
      <c r="I9" s="920"/>
    </row>
    <row r="10" spans="1:9" ht="17.100000000000001" customHeight="1">
      <c r="A10" s="1086"/>
      <c r="B10" s="1119"/>
      <c r="C10" s="1070"/>
      <c r="D10" s="1070"/>
      <c r="E10" s="1072"/>
      <c r="F10" s="1073"/>
      <c r="G10" s="1075"/>
      <c r="H10" s="1076"/>
      <c r="I10" s="920"/>
    </row>
    <row r="11" spans="1:9" ht="93.75" customHeight="1">
      <c r="A11" s="1117">
        <v>3</v>
      </c>
      <c r="B11" s="1118" t="s">
        <v>4833</v>
      </c>
      <c r="C11" s="1070"/>
      <c r="D11" s="1070"/>
      <c r="E11" s="1072"/>
      <c r="F11" s="1073"/>
      <c r="G11" s="1072"/>
      <c r="H11" s="1077"/>
      <c r="I11" s="920"/>
    </row>
    <row r="12" spans="1:9" ht="17.100000000000001" customHeight="1">
      <c r="A12" s="1086"/>
      <c r="B12" s="1120" t="s">
        <v>4469</v>
      </c>
      <c r="C12" s="1088">
        <v>1</v>
      </c>
      <c r="D12" s="1088">
        <v>1</v>
      </c>
      <c r="E12" s="1089"/>
      <c r="F12" s="1090"/>
      <c r="G12" s="1089"/>
      <c r="H12" s="1084">
        <f>PRODUCT(C12:G12)</f>
        <v>1</v>
      </c>
      <c r="I12" s="920"/>
    </row>
    <row r="13" spans="1:9" ht="17.100000000000001" customHeight="1">
      <c r="A13" s="1109"/>
      <c r="B13" s="1121"/>
      <c r="C13" s="1070"/>
      <c r="D13" s="1070"/>
      <c r="E13" s="1074"/>
      <c r="F13" s="1074"/>
      <c r="G13" s="1075"/>
      <c r="H13" s="1076"/>
      <c r="I13" s="920"/>
    </row>
    <row r="14" spans="1:9" ht="31.5">
      <c r="A14" s="1109">
        <v>4</v>
      </c>
      <c r="B14" s="1119" t="s">
        <v>4834</v>
      </c>
      <c r="C14" s="1070"/>
      <c r="D14" s="1070"/>
      <c r="E14" s="1074"/>
      <c r="F14" s="1074"/>
      <c r="G14" s="1075"/>
      <c r="H14" s="1076"/>
      <c r="I14" s="920"/>
    </row>
    <row r="15" spans="1:9" ht="17.100000000000001" customHeight="1">
      <c r="A15" s="1109"/>
      <c r="B15" s="1120" t="s">
        <v>4469</v>
      </c>
      <c r="C15" s="1088">
        <v>1</v>
      </c>
      <c r="D15" s="1088">
        <v>1</v>
      </c>
      <c r="E15" s="1089"/>
      <c r="F15" s="1090"/>
      <c r="G15" s="1089"/>
      <c r="H15" s="1084">
        <f>PRODUCT(C15:G15)</f>
        <v>1</v>
      </c>
      <c r="I15" s="920"/>
    </row>
    <row r="16" spans="1:9" ht="17.100000000000001" customHeight="1">
      <c r="A16" s="1109"/>
      <c r="B16" s="1121"/>
      <c r="C16" s="1070"/>
      <c r="D16" s="1070"/>
      <c r="E16" s="1074"/>
      <c r="F16" s="1074"/>
      <c r="G16" s="1075"/>
      <c r="H16" s="1076"/>
      <c r="I16" s="920"/>
    </row>
    <row r="17" spans="1:254" ht="17.100000000000001" customHeight="1">
      <c r="A17" s="1086"/>
      <c r="B17" s="1119"/>
      <c r="C17" s="1070"/>
      <c r="D17" s="1070"/>
      <c r="E17" s="1074"/>
      <c r="F17" s="1074"/>
      <c r="G17" s="1074"/>
      <c r="H17" s="1084"/>
      <c r="I17" s="920"/>
    </row>
    <row r="18" spans="1:254" ht="17.100000000000001" customHeight="1">
      <c r="A18" s="1113"/>
      <c r="B18" s="1123"/>
      <c r="C18" s="933"/>
      <c r="D18" s="933"/>
      <c r="E18" s="934"/>
      <c r="F18" s="934"/>
      <c r="G18" s="934"/>
      <c r="H18" s="935"/>
      <c r="I18" s="920"/>
    </row>
    <row r="19" spans="1:254" ht="17.100000000000001" customHeight="1">
      <c r="A19" s="1113"/>
      <c r="B19" s="1123"/>
      <c r="C19" s="933"/>
      <c r="D19" s="933"/>
      <c r="E19" s="934"/>
      <c r="F19" s="934"/>
      <c r="G19" s="934"/>
      <c r="H19" s="935"/>
      <c r="I19" s="920"/>
    </row>
    <row r="20" spans="1:254" s="932" customFormat="1">
      <c r="A20" s="1114"/>
      <c r="B20" s="1124"/>
      <c r="C20" s="928"/>
      <c r="D20" s="928"/>
      <c r="E20" s="929"/>
      <c r="F20" s="929"/>
      <c r="G20" s="929"/>
      <c r="H20" s="930"/>
      <c r="I20" s="931"/>
      <c r="O20" s="931"/>
      <c r="P20" s="931"/>
      <c r="Q20" s="931"/>
      <c r="R20" s="931"/>
      <c r="S20" s="931"/>
      <c r="T20" s="931"/>
      <c r="U20" s="931"/>
      <c r="V20" s="931"/>
      <c r="W20" s="931"/>
      <c r="X20" s="931"/>
      <c r="Y20" s="931"/>
      <c r="Z20" s="931"/>
      <c r="AA20" s="931"/>
      <c r="AB20" s="931"/>
      <c r="AC20" s="931"/>
      <c r="AD20" s="931"/>
      <c r="AE20" s="931"/>
      <c r="AF20" s="931"/>
      <c r="AG20" s="931"/>
      <c r="AH20" s="931"/>
      <c r="AI20" s="931"/>
      <c r="AJ20" s="931"/>
      <c r="AK20" s="931"/>
      <c r="AL20" s="931"/>
      <c r="AM20" s="931"/>
      <c r="AN20" s="931"/>
      <c r="AO20" s="931"/>
      <c r="AP20" s="931"/>
      <c r="AQ20" s="931"/>
      <c r="AR20" s="931"/>
      <c r="AS20" s="931"/>
      <c r="AT20" s="931"/>
      <c r="AU20" s="931"/>
      <c r="AV20" s="931"/>
      <c r="AW20" s="931"/>
      <c r="AX20" s="931"/>
      <c r="AY20" s="931"/>
      <c r="AZ20" s="931"/>
      <c r="BA20" s="931"/>
      <c r="BB20" s="931"/>
      <c r="BC20" s="931"/>
      <c r="BD20" s="931"/>
      <c r="BE20" s="931"/>
      <c r="BF20" s="931"/>
      <c r="BG20" s="931"/>
      <c r="BH20" s="931"/>
      <c r="BI20" s="931"/>
      <c r="BJ20" s="931"/>
      <c r="BK20" s="931"/>
      <c r="BL20" s="931"/>
      <c r="BM20" s="931"/>
      <c r="BN20" s="931"/>
      <c r="BO20" s="931"/>
      <c r="BP20" s="931"/>
      <c r="BQ20" s="931"/>
      <c r="BR20" s="931"/>
      <c r="BS20" s="931"/>
      <c r="BT20" s="931"/>
      <c r="BU20" s="931"/>
      <c r="BV20" s="931"/>
      <c r="BW20" s="931"/>
      <c r="BX20" s="931"/>
      <c r="BY20" s="931"/>
      <c r="BZ20" s="931"/>
      <c r="CA20" s="931"/>
      <c r="CB20" s="931"/>
      <c r="CC20" s="931"/>
      <c r="CD20" s="931"/>
      <c r="CE20" s="931"/>
      <c r="CF20" s="931"/>
      <c r="CG20" s="931"/>
      <c r="CH20" s="931"/>
      <c r="CI20" s="931"/>
      <c r="CJ20" s="931"/>
      <c r="CK20" s="931"/>
      <c r="CL20" s="931"/>
      <c r="CM20" s="931"/>
      <c r="CN20" s="931"/>
      <c r="CO20" s="931"/>
      <c r="CP20" s="931"/>
      <c r="CQ20" s="931"/>
      <c r="CR20" s="931"/>
      <c r="CS20" s="931"/>
      <c r="CT20" s="931"/>
      <c r="CU20" s="931"/>
      <c r="CV20" s="931"/>
      <c r="CW20" s="931"/>
      <c r="CX20" s="931"/>
      <c r="CY20" s="931"/>
      <c r="CZ20" s="931"/>
      <c r="DA20" s="931"/>
      <c r="DB20" s="931"/>
      <c r="DC20" s="931"/>
      <c r="DD20" s="931"/>
      <c r="DE20" s="931"/>
      <c r="DF20" s="931"/>
      <c r="DG20" s="931"/>
      <c r="DH20" s="931"/>
      <c r="DI20" s="931"/>
      <c r="DJ20" s="931"/>
      <c r="DK20" s="931"/>
      <c r="DL20" s="931"/>
      <c r="DM20" s="931"/>
      <c r="DN20" s="931"/>
      <c r="DO20" s="931"/>
      <c r="DP20" s="931"/>
      <c r="DQ20" s="931"/>
      <c r="DR20" s="931"/>
      <c r="DS20" s="931"/>
      <c r="DT20" s="931"/>
      <c r="DU20" s="931"/>
      <c r="DV20" s="931"/>
      <c r="DW20" s="931"/>
      <c r="DX20" s="931"/>
      <c r="DY20" s="931"/>
      <c r="DZ20" s="931"/>
      <c r="EA20" s="931"/>
      <c r="EB20" s="931"/>
      <c r="EC20" s="931"/>
      <c r="ED20" s="931"/>
      <c r="EE20" s="931"/>
      <c r="EF20" s="931"/>
      <c r="EG20" s="931"/>
      <c r="EH20" s="931"/>
      <c r="EI20" s="931"/>
      <c r="EJ20" s="931"/>
      <c r="EK20" s="931"/>
      <c r="EL20" s="931"/>
      <c r="EM20" s="931"/>
      <c r="EN20" s="931"/>
      <c r="EO20" s="931"/>
      <c r="EP20" s="931"/>
      <c r="EQ20" s="931"/>
      <c r="ER20" s="931"/>
      <c r="ES20" s="931"/>
      <c r="ET20" s="931"/>
      <c r="EU20" s="931"/>
      <c r="EV20" s="931"/>
      <c r="EW20" s="931"/>
      <c r="EX20" s="931"/>
      <c r="EY20" s="931"/>
      <c r="EZ20" s="931"/>
      <c r="FA20" s="931"/>
      <c r="FB20" s="931"/>
      <c r="FC20" s="931"/>
      <c r="FD20" s="931"/>
      <c r="FE20" s="931"/>
      <c r="FF20" s="931"/>
      <c r="FG20" s="931"/>
      <c r="FH20" s="931"/>
      <c r="FI20" s="931"/>
      <c r="FJ20" s="931"/>
      <c r="FK20" s="931"/>
      <c r="FL20" s="931"/>
      <c r="FM20" s="931"/>
      <c r="FN20" s="931"/>
      <c r="FO20" s="931"/>
      <c r="FP20" s="931"/>
      <c r="FQ20" s="931"/>
      <c r="FR20" s="931"/>
      <c r="FS20" s="931"/>
      <c r="FT20" s="931"/>
      <c r="FU20" s="931"/>
      <c r="FV20" s="931"/>
      <c r="FW20" s="931"/>
      <c r="FX20" s="931"/>
      <c r="FY20" s="931"/>
      <c r="FZ20" s="931"/>
      <c r="GA20" s="931"/>
      <c r="GB20" s="931"/>
      <c r="GC20" s="931"/>
      <c r="GD20" s="931"/>
      <c r="GE20" s="931"/>
      <c r="GF20" s="931"/>
      <c r="GG20" s="931"/>
      <c r="GH20" s="931"/>
      <c r="GI20" s="931"/>
      <c r="GJ20" s="931"/>
      <c r="GK20" s="931"/>
      <c r="GL20" s="931"/>
      <c r="GM20" s="931"/>
      <c r="GN20" s="931"/>
      <c r="GO20" s="931"/>
      <c r="GP20" s="931"/>
      <c r="GQ20" s="931"/>
      <c r="GR20" s="931"/>
      <c r="GS20" s="931"/>
      <c r="GT20" s="931"/>
      <c r="GU20" s="931"/>
      <c r="GV20" s="931"/>
      <c r="GW20" s="931"/>
      <c r="GX20" s="931"/>
      <c r="GY20" s="931"/>
      <c r="GZ20" s="931"/>
      <c r="HA20" s="931"/>
      <c r="HB20" s="931"/>
      <c r="HC20" s="931"/>
      <c r="HD20" s="931"/>
      <c r="HE20" s="931"/>
      <c r="HF20" s="931"/>
      <c r="HG20" s="931"/>
      <c r="HH20" s="931"/>
      <c r="HI20" s="931"/>
      <c r="HJ20" s="931"/>
      <c r="HK20" s="931"/>
      <c r="HL20" s="931"/>
      <c r="HM20" s="931"/>
      <c r="HN20" s="931"/>
      <c r="HO20" s="931"/>
      <c r="HP20" s="931"/>
      <c r="HQ20" s="931"/>
      <c r="HR20" s="931"/>
      <c r="HS20" s="931"/>
      <c r="HT20" s="931"/>
      <c r="HU20" s="931"/>
      <c r="HV20" s="931"/>
      <c r="HW20" s="931"/>
      <c r="HX20" s="931"/>
      <c r="HY20" s="931"/>
      <c r="HZ20" s="931"/>
      <c r="IA20" s="931"/>
      <c r="IB20" s="931"/>
      <c r="IC20" s="931"/>
      <c r="ID20" s="931"/>
      <c r="IE20" s="931"/>
      <c r="IF20" s="931"/>
      <c r="IG20" s="931"/>
      <c r="IH20" s="931"/>
      <c r="II20" s="931"/>
      <c r="IJ20" s="931"/>
      <c r="IK20" s="931"/>
      <c r="IL20" s="931"/>
      <c r="IM20" s="931"/>
      <c r="IN20" s="931"/>
      <c r="IO20" s="931"/>
      <c r="IP20" s="931"/>
      <c r="IQ20" s="931"/>
      <c r="IR20" s="931"/>
      <c r="IS20" s="931"/>
      <c r="IT20" s="931"/>
    </row>
    <row r="21" spans="1:254" ht="14.1" customHeight="1">
      <c r="A21" s="1115"/>
      <c r="B21" s="1125"/>
      <c r="C21" s="933"/>
      <c r="D21" s="933"/>
      <c r="E21" s="934"/>
      <c r="F21" s="934"/>
      <c r="G21" s="934"/>
      <c r="H21" s="935"/>
      <c r="O21" s="936"/>
      <c r="P21" s="936"/>
      <c r="Q21" s="936"/>
      <c r="R21" s="936"/>
      <c r="S21" s="936"/>
      <c r="T21" s="936"/>
      <c r="U21" s="936"/>
      <c r="V21" s="936"/>
      <c r="W21" s="936"/>
      <c r="X21" s="936"/>
      <c r="Y21" s="936"/>
      <c r="Z21" s="936"/>
      <c r="AA21" s="936"/>
      <c r="AB21" s="936"/>
      <c r="AC21" s="936"/>
      <c r="AD21" s="936"/>
      <c r="AE21" s="936"/>
      <c r="AF21" s="936"/>
      <c r="AG21" s="936"/>
      <c r="AH21" s="936"/>
      <c r="AI21" s="936"/>
      <c r="AJ21" s="936"/>
      <c r="AK21" s="936"/>
      <c r="AL21" s="936"/>
      <c r="AM21" s="936"/>
      <c r="AN21" s="936"/>
      <c r="AO21" s="936"/>
      <c r="AP21" s="936"/>
      <c r="AQ21" s="936"/>
      <c r="AR21" s="936"/>
      <c r="AS21" s="936"/>
      <c r="AT21" s="936"/>
      <c r="AU21" s="936"/>
      <c r="AV21" s="936"/>
      <c r="AW21" s="936"/>
      <c r="AX21" s="936"/>
      <c r="AY21" s="936"/>
      <c r="AZ21" s="936"/>
      <c r="BA21" s="936"/>
      <c r="BB21" s="936"/>
      <c r="BC21" s="936"/>
      <c r="BD21" s="936"/>
      <c r="BE21" s="936"/>
      <c r="BF21" s="936"/>
      <c r="BG21" s="936"/>
      <c r="BH21" s="936"/>
      <c r="BI21" s="936"/>
      <c r="BJ21" s="936"/>
      <c r="BK21" s="936"/>
      <c r="BL21" s="936"/>
      <c r="BM21" s="936"/>
      <c r="BN21" s="936"/>
      <c r="BO21" s="936"/>
      <c r="BP21" s="936"/>
      <c r="BQ21" s="936"/>
      <c r="BR21" s="936"/>
      <c r="BS21" s="936"/>
      <c r="BT21" s="936"/>
      <c r="BU21" s="936"/>
      <c r="BV21" s="936"/>
      <c r="BW21" s="936"/>
      <c r="BX21" s="936"/>
      <c r="BY21" s="936"/>
      <c r="BZ21" s="936"/>
      <c r="CA21" s="936"/>
      <c r="CB21" s="936"/>
      <c r="CC21" s="936"/>
      <c r="CD21" s="936"/>
      <c r="CE21" s="936"/>
      <c r="CF21" s="936"/>
      <c r="CG21" s="936"/>
      <c r="CH21" s="936"/>
      <c r="CI21" s="936"/>
      <c r="CJ21" s="936"/>
      <c r="CK21" s="936"/>
      <c r="CL21" s="936"/>
      <c r="CM21" s="936"/>
      <c r="CN21" s="936"/>
      <c r="CO21" s="936"/>
      <c r="CP21" s="936"/>
      <c r="CQ21" s="936"/>
      <c r="CR21" s="936"/>
      <c r="CS21" s="936"/>
      <c r="CT21" s="936"/>
      <c r="CU21" s="936"/>
      <c r="CV21" s="936"/>
      <c r="CW21" s="936"/>
      <c r="CX21" s="936"/>
      <c r="CY21" s="936"/>
      <c r="CZ21" s="936"/>
      <c r="DA21" s="936"/>
      <c r="DB21" s="936"/>
      <c r="DC21" s="936"/>
      <c r="DD21" s="936"/>
      <c r="DE21" s="936"/>
      <c r="DF21" s="936"/>
      <c r="DG21" s="936"/>
      <c r="DH21" s="936"/>
      <c r="DI21" s="936"/>
      <c r="DJ21" s="936"/>
      <c r="DK21" s="936"/>
      <c r="DL21" s="936"/>
      <c r="DM21" s="936"/>
      <c r="DN21" s="936"/>
      <c r="DO21" s="936"/>
      <c r="DP21" s="936"/>
      <c r="DQ21" s="936"/>
      <c r="DR21" s="936"/>
      <c r="DS21" s="936"/>
      <c r="DT21" s="936"/>
      <c r="DU21" s="936"/>
      <c r="DV21" s="936"/>
      <c r="DW21" s="936"/>
      <c r="DX21" s="936"/>
      <c r="DY21" s="936"/>
      <c r="DZ21" s="936"/>
      <c r="EA21" s="936"/>
      <c r="EB21" s="936"/>
      <c r="EC21" s="936"/>
      <c r="ED21" s="936"/>
      <c r="EE21" s="936"/>
      <c r="EF21" s="936"/>
      <c r="EG21" s="936"/>
      <c r="EH21" s="936"/>
      <c r="EI21" s="936"/>
      <c r="EJ21" s="936"/>
      <c r="EK21" s="936"/>
      <c r="EL21" s="936"/>
      <c r="EM21" s="936"/>
      <c r="EN21" s="936"/>
      <c r="EO21" s="936"/>
      <c r="EP21" s="936"/>
      <c r="EQ21" s="936"/>
      <c r="ER21" s="936"/>
      <c r="ES21" s="936"/>
      <c r="ET21" s="936"/>
      <c r="EU21" s="936"/>
      <c r="EV21" s="936"/>
      <c r="EW21" s="936"/>
      <c r="EX21" s="936"/>
      <c r="EY21" s="936"/>
      <c r="EZ21" s="936"/>
      <c r="FA21" s="936"/>
      <c r="FB21" s="936"/>
      <c r="FC21" s="936"/>
      <c r="FD21" s="936"/>
      <c r="FE21" s="936"/>
      <c r="FF21" s="936"/>
      <c r="FG21" s="936"/>
      <c r="FH21" s="936"/>
      <c r="FI21" s="936"/>
      <c r="FJ21" s="936"/>
      <c r="FK21" s="936"/>
      <c r="FL21" s="936"/>
      <c r="FM21" s="936"/>
      <c r="FN21" s="936"/>
      <c r="FO21" s="936"/>
      <c r="FP21" s="936"/>
      <c r="FQ21" s="936"/>
      <c r="FR21" s="936"/>
      <c r="FS21" s="936"/>
      <c r="FT21" s="936"/>
      <c r="FU21" s="936"/>
      <c r="FV21" s="936"/>
      <c r="FW21" s="936"/>
      <c r="FX21" s="936"/>
      <c r="FY21" s="936"/>
      <c r="FZ21" s="936"/>
      <c r="GA21" s="936"/>
      <c r="GB21" s="936"/>
      <c r="GC21" s="936"/>
      <c r="GD21" s="936"/>
      <c r="GE21" s="936"/>
      <c r="GF21" s="936"/>
      <c r="GG21" s="936"/>
      <c r="GH21" s="936"/>
      <c r="GI21" s="936"/>
      <c r="GJ21" s="936"/>
      <c r="GK21" s="936"/>
      <c r="GL21" s="936"/>
      <c r="GM21" s="936"/>
      <c r="GN21" s="936"/>
      <c r="GO21" s="936"/>
      <c r="GP21" s="936"/>
      <c r="GQ21" s="936"/>
      <c r="GR21" s="936"/>
      <c r="GS21" s="936"/>
      <c r="GT21" s="936"/>
      <c r="GU21" s="936"/>
      <c r="GV21" s="936"/>
      <c r="GW21" s="936"/>
      <c r="GX21" s="936"/>
      <c r="GY21" s="936"/>
      <c r="GZ21" s="936"/>
      <c r="HA21" s="936"/>
      <c r="HB21" s="936"/>
      <c r="HC21" s="936"/>
      <c r="HD21" s="936"/>
      <c r="HE21" s="936"/>
      <c r="HF21" s="936"/>
      <c r="HG21" s="936"/>
      <c r="HH21" s="936"/>
      <c r="HI21" s="936"/>
      <c r="HJ21" s="936"/>
      <c r="HK21" s="936"/>
      <c r="HL21" s="936"/>
      <c r="HM21" s="936"/>
      <c r="HN21" s="936"/>
      <c r="HO21" s="936"/>
      <c r="HP21" s="936"/>
      <c r="HQ21" s="936"/>
      <c r="HR21" s="936"/>
      <c r="HS21" s="936"/>
      <c r="HT21" s="936"/>
      <c r="HU21" s="936"/>
      <c r="HV21" s="936"/>
      <c r="HW21" s="936"/>
      <c r="HX21" s="936"/>
      <c r="HY21" s="936"/>
      <c r="HZ21" s="936"/>
      <c r="IA21" s="936"/>
      <c r="IB21" s="936"/>
      <c r="IC21" s="936"/>
      <c r="ID21" s="936"/>
      <c r="IE21" s="936"/>
      <c r="IF21" s="936"/>
      <c r="IG21" s="936"/>
      <c r="IH21" s="936"/>
      <c r="II21" s="936"/>
      <c r="IJ21" s="936"/>
      <c r="IK21" s="936"/>
      <c r="IL21" s="936"/>
      <c r="IM21" s="936"/>
      <c r="IN21" s="936"/>
      <c r="IO21" s="936"/>
      <c r="IP21" s="936"/>
      <c r="IQ21" s="936"/>
      <c r="IR21" s="936"/>
      <c r="IS21" s="936"/>
      <c r="IT21" s="936"/>
    </row>
    <row r="22" spans="1:254" ht="14.1" customHeight="1">
      <c r="A22" s="1115"/>
      <c r="B22" s="1125"/>
      <c r="C22" s="933"/>
      <c r="D22" s="933"/>
      <c r="E22" s="937"/>
      <c r="F22" s="1282"/>
      <c r="G22" s="1282"/>
      <c r="H22" s="935"/>
      <c r="O22" s="936"/>
      <c r="P22" s="936"/>
      <c r="Q22" s="936"/>
      <c r="R22" s="936"/>
      <c r="S22" s="936"/>
      <c r="T22" s="936"/>
      <c r="U22" s="936"/>
      <c r="V22" s="936"/>
      <c r="W22" s="936"/>
      <c r="X22" s="936"/>
      <c r="Y22" s="936"/>
      <c r="Z22" s="936"/>
      <c r="AA22" s="936"/>
      <c r="AB22" s="936"/>
      <c r="AC22" s="936"/>
      <c r="AD22" s="936"/>
      <c r="AE22" s="936"/>
      <c r="AF22" s="936"/>
      <c r="AG22" s="936"/>
      <c r="AH22" s="936"/>
      <c r="AI22" s="936"/>
      <c r="AJ22" s="936"/>
      <c r="AK22" s="936"/>
      <c r="AL22" s="936"/>
      <c r="AM22" s="936"/>
      <c r="AN22" s="936"/>
      <c r="AO22" s="936"/>
      <c r="AP22" s="936"/>
      <c r="AQ22" s="936"/>
      <c r="AR22" s="936"/>
      <c r="AS22" s="936"/>
      <c r="AT22" s="936"/>
      <c r="AU22" s="936"/>
      <c r="AV22" s="936"/>
      <c r="AW22" s="936"/>
      <c r="AX22" s="936"/>
      <c r="AY22" s="936"/>
      <c r="AZ22" s="936"/>
      <c r="BA22" s="936"/>
      <c r="BB22" s="936"/>
      <c r="BC22" s="936"/>
      <c r="BD22" s="936"/>
      <c r="BE22" s="936"/>
      <c r="BF22" s="936"/>
      <c r="BG22" s="936"/>
      <c r="BH22" s="936"/>
      <c r="BI22" s="936"/>
      <c r="BJ22" s="936"/>
      <c r="BK22" s="936"/>
      <c r="BL22" s="936"/>
      <c r="BM22" s="936"/>
      <c r="BN22" s="936"/>
      <c r="BO22" s="936"/>
      <c r="BP22" s="936"/>
      <c r="BQ22" s="936"/>
      <c r="BR22" s="936"/>
      <c r="BS22" s="936"/>
      <c r="BT22" s="936"/>
      <c r="BU22" s="936"/>
      <c r="BV22" s="936"/>
      <c r="BW22" s="936"/>
      <c r="BX22" s="936"/>
      <c r="BY22" s="936"/>
      <c r="BZ22" s="936"/>
      <c r="CA22" s="936"/>
      <c r="CB22" s="936"/>
      <c r="CC22" s="936"/>
      <c r="CD22" s="936"/>
      <c r="CE22" s="936"/>
      <c r="CF22" s="936"/>
      <c r="CG22" s="936"/>
      <c r="CH22" s="936"/>
      <c r="CI22" s="936"/>
      <c r="CJ22" s="936"/>
      <c r="CK22" s="936"/>
      <c r="CL22" s="936"/>
      <c r="CM22" s="936"/>
      <c r="CN22" s="936"/>
      <c r="CO22" s="936"/>
      <c r="CP22" s="936"/>
      <c r="CQ22" s="936"/>
      <c r="CR22" s="936"/>
      <c r="CS22" s="936"/>
      <c r="CT22" s="936"/>
      <c r="CU22" s="936"/>
      <c r="CV22" s="936"/>
      <c r="CW22" s="936"/>
      <c r="CX22" s="936"/>
      <c r="CY22" s="936"/>
      <c r="CZ22" s="936"/>
      <c r="DA22" s="936"/>
      <c r="DB22" s="936"/>
      <c r="DC22" s="936"/>
      <c r="DD22" s="936"/>
      <c r="DE22" s="936"/>
      <c r="DF22" s="936"/>
      <c r="DG22" s="936"/>
      <c r="DH22" s="936"/>
      <c r="DI22" s="936"/>
      <c r="DJ22" s="936"/>
      <c r="DK22" s="936"/>
      <c r="DL22" s="936"/>
      <c r="DM22" s="936"/>
      <c r="DN22" s="936"/>
      <c r="DO22" s="936"/>
      <c r="DP22" s="936"/>
      <c r="DQ22" s="936"/>
      <c r="DR22" s="936"/>
      <c r="DS22" s="936"/>
      <c r="DT22" s="936"/>
      <c r="DU22" s="936"/>
      <c r="DV22" s="936"/>
      <c r="DW22" s="936"/>
      <c r="DX22" s="936"/>
      <c r="DY22" s="936"/>
      <c r="DZ22" s="936"/>
      <c r="EA22" s="936"/>
      <c r="EB22" s="936"/>
      <c r="EC22" s="936"/>
      <c r="ED22" s="936"/>
      <c r="EE22" s="936"/>
      <c r="EF22" s="936"/>
      <c r="EG22" s="936"/>
      <c r="EH22" s="936"/>
      <c r="EI22" s="936"/>
      <c r="EJ22" s="936"/>
      <c r="EK22" s="936"/>
      <c r="EL22" s="936"/>
      <c r="EM22" s="936"/>
      <c r="EN22" s="936"/>
      <c r="EO22" s="936"/>
      <c r="EP22" s="936"/>
      <c r="EQ22" s="936"/>
      <c r="ER22" s="936"/>
      <c r="ES22" s="936"/>
      <c r="ET22" s="936"/>
      <c r="EU22" s="936"/>
      <c r="EV22" s="936"/>
      <c r="EW22" s="936"/>
      <c r="EX22" s="936"/>
      <c r="EY22" s="936"/>
      <c r="EZ22" s="936"/>
      <c r="FA22" s="936"/>
      <c r="FB22" s="936"/>
      <c r="FC22" s="936"/>
      <c r="FD22" s="936"/>
      <c r="FE22" s="936"/>
      <c r="FF22" s="936"/>
      <c r="FG22" s="936"/>
      <c r="FH22" s="936"/>
      <c r="FI22" s="936"/>
      <c r="FJ22" s="936"/>
      <c r="FK22" s="936"/>
      <c r="FL22" s="936"/>
      <c r="FM22" s="936"/>
      <c r="FN22" s="936"/>
      <c r="FO22" s="936"/>
      <c r="FP22" s="936"/>
      <c r="FQ22" s="936"/>
      <c r="FR22" s="936"/>
      <c r="FS22" s="936"/>
      <c r="FT22" s="936"/>
      <c r="FU22" s="936"/>
      <c r="FV22" s="936"/>
      <c r="FW22" s="936"/>
      <c r="FX22" s="936"/>
      <c r="FY22" s="936"/>
      <c r="FZ22" s="936"/>
      <c r="GA22" s="936"/>
      <c r="GB22" s="936"/>
      <c r="GC22" s="936"/>
      <c r="GD22" s="936"/>
      <c r="GE22" s="936"/>
      <c r="GF22" s="936"/>
      <c r="GG22" s="936"/>
      <c r="GH22" s="936"/>
      <c r="GI22" s="936"/>
      <c r="GJ22" s="936"/>
      <c r="GK22" s="936"/>
      <c r="GL22" s="936"/>
      <c r="GM22" s="936"/>
      <c r="GN22" s="936"/>
      <c r="GO22" s="936"/>
      <c r="GP22" s="936"/>
      <c r="GQ22" s="936"/>
      <c r="GR22" s="936"/>
      <c r="GS22" s="936"/>
      <c r="GT22" s="936"/>
      <c r="GU22" s="936"/>
      <c r="GV22" s="936"/>
      <c r="GW22" s="936"/>
      <c r="GX22" s="936"/>
      <c r="GY22" s="936"/>
      <c r="GZ22" s="936"/>
      <c r="HA22" s="936"/>
      <c r="HB22" s="936"/>
      <c r="HC22" s="936"/>
      <c r="HD22" s="936"/>
      <c r="HE22" s="936"/>
      <c r="HF22" s="936"/>
      <c r="HG22" s="936"/>
      <c r="HH22" s="936"/>
      <c r="HI22" s="936"/>
      <c r="HJ22" s="936"/>
      <c r="HK22" s="936"/>
      <c r="HL22" s="936"/>
      <c r="HM22" s="936"/>
      <c r="HN22" s="936"/>
      <c r="HO22" s="936"/>
      <c r="HP22" s="936"/>
      <c r="HQ22" s="936"/>
      <c r="HR22" s="936"/>
      <c r="HS22" s="936"/>
      <c r="HT22" s="936"/>
      <c r="HU22" s="936"/>
      <c r="HV22" s="936"/>
      <c r="HW22" s="936"/>
      <c r="HX22" s="936"/>
      <c r="HY22" s="936"/>
      <c r="HZ22" s="936"/>
      <c r="IA22" s="936"/>
      <c r="IB22" s="936"/>
      <c r="IC22" s="936"/>
      <c r="ID22" s="936"/>
      <c r="IE22" s="936"/>
      <c r="IF22" s="936"/>
      <c r="IG22" s="936"/>
      <c r="IH22" s="936"/>
      <c r="II22" s="936"/>
      <c r="IJ22" s="936"/>
      <c r="IK22" s="936"/>
      <c r="IL22" s="936"/>
      <c r="IM22" s="936"/>
      <c r="IN22" s="936"/>
      <c r="IO22" s="936"/>
      <c r="IP22" s="936"/>
      <c r="IQ22" s="936"/>
      <c r="IR22" s="936"/>
      <c r="IS22" s="936"/>
      <c r="IT22" s="936"/>
    </row>
    <row r="23" spans="1:254" ht="14.1" customHeight="1">
      <c r="A23" s="1115"/>
      <c r="B23" s="1125"/>
      <c r="C23" s="933"/>
      <c r="D23" s="933"/>
      <c r="E23" s="934"/>
      <c r="F23" s="934"/>
      <c r="G23" s="934"/>
      <c r="H23" s="935"/>
      <c r="O23" s="936"/>
      <c r="P23" s="936"/>
      <c r="Q23" s="936"/>
      <c r="R23" s="936"/>
      <c r="S23" s="936"/>
      <c r="T23" s="936"/>
      <c r="U23" s="936"/>
      <c r="V23" s="936"/>
      <c r="W23" s="936"/>
      <c r="X23" s="936"/>
      <c r="Y23" s="936"/>
      <c r="Z23" s="936"/>
      <c r="AA23" s="936"/>
      <c r="AB23" s="936"/>
      <c r="AC23" s="936"/>
      <c r="AD23" s="936"/>
      <c r="AE23" s="936"/>
      <c r="AF23" s="936"/>
      <c r="AG23" s="936"/>
      <c r="AH23" s="936"/>
      <c r="AI23" s="936"/>
      <c r="AJ23" s="936"/>
      <c r="AK23" s="936"/>
      <c r="AL23" s="936"/>
      <c r="AM23" s="936"/>
      <c r="AN23" s="936"/>
      <c r="AO23" s="936"/>
      <c r="AP23" s="936"/>
      <c r="AQ23" s="936"/>
      <c r="AR23" s="936"/>
      <c r="AS23" s="936"/>
      <c r="AT23" s="936"/>
      <c r="AU23" s="936"/>
      <c r="AV23" s="936"/>
      <c r="AW23" s="936"/>
      <c r="AX23" s="936"/>
      <c r="AY23" s="936"/>
      <c r="AZ23" s="936"/>
      <c r="BA23" s="936"/>
      <c r="BB23" s="936"/>
      <c r="BC23" s="936"/>
      <c r="BD23" s="936"/>
      <c r="BE23" s="936"/>
      <c r="BF23" s="936"/>
      <c r="BG23" s="936"/>
      <c r="BH23" s="936"/>
      <c r="BI23" s="936"/>
      <c r="BJ23" s="936"/>
      <c r="BK23" s="936"/>
      <c r="BL23" s="936"/>
      <c r="BM23" s="936"/>
      <c r="BN23" s="936"/>
      <c r="BO23" s="936"/>
      <c r="BP23" s="936"/>
      <c r="BQ23" s="936"/>
      <c r="BR23" s="936"/>
      <c r="BS23" s="936"/>
      <c r="BT23" s="936"/>
      <c r="BU23" s="936"/>
      <c r="BV23" s="936"/>
      <c r="BW23" s="936"/>
      <c r="BX23" s="936"/>
      <c r="BY23" s="936"/>
      <c r="BZ23" s="936"/>
      <c r="CA23" s="936"/>
      <c r="CB23" s="936"/>
      <c r="CC23" s="936"/>
      <c r="CD23" s="936"/>
      <c r="CE23" s="936"/>
      <c r="CF23" s="936"/>
      <c r="CG23" s="936"/>
      <c r="CH23" s="936"/>
      <c r="CI23" s="936"/>
      <c r="CJ23" s="936"/>
      <c r="CK23" s="936"/>
      <c r="CL23" s="936"/>
      <c r="CM23" s="936"/>
      <c r="CN23" s="936"/>
      <c r="CO23" s="936"/>
      <c r="CP23" s="936"/>
      <c r="CQ23" s="936"/>
      <c r="CR23" s="936"/>
      <c r="CS23" s="936"/>
      <c r="CT23" s="936"/>
      <c r="CU23" s="936"/>
      <c r="CV23" s="936"/>
      <c r="CW23" s="936"/>
      <c r="CX23" s="936"/>
      <c r="CY23" s="936"/>
      <c r="CZ23" s="936"/>
      <c r="DA23" s="936"/>
      <c r="DB23" s="936"/>
      <c r="DC23" s="936"/>
      <c r="DD23" s="936"/>
      <c r="DE23" s="936"/>
      <c r="DF23" s="936"/>
      <c r="DG23" s="936"/>
      <c r="DH23" s="936"/>
      <c r="DI23" s="936"/>
      <c r="DJ23" s="936"/>
      <c r="DK23" s="936"/>
      <c r="DL23" s="936"/>
      <c r="DM23" s="936"/>
      <c r="DN23" s="936"/>
      <c r="DO23" s="936"/>
      <c r="DP23" s="936"/>
      <c r="DQ23" s="936"/>
      <c r="DR23" s="936"/>
      <c r="DS23" s="936"/>
      <c r="DT23" s="936"/>
      <c r="DU23" s="936"/>
      <c r="DV23" s="936"/>
      <c r="DW23" s="936"/>
      <c r="DX23" s="936"/>
      <c r="DY23" s="936"/>
      <c r="DZ23" s="936"/>
      <c r="EA23" s="936"/>
      <c r="EB23" s="936"/>
      <c r="EC23" s="936"/>
      <c r="ED23" s="936"/>
      <c r="EE23" s="936"/>
      <c r="EF23" s="936"/>
      <c r="EG23" s="936"/>
      <c r="EH23" s="936"/>
      <c r="EI23" s="936"/>
      <c r="EJ23" s="936"/>
      <c r="EK23" s="936"/>
      <c r="EL23" s="936"/>
      <c r="EM23" s="936"/>
      <c r="EN23" s="936"/>
      <c r="EO23" s="936"/>
      <c r="EP23" s="936"/>
      <c r="EQ23" s="936"/>
      <c r="ER23" s="936"/>
      <c r="ES23" s="936"/>
      <c r="ET23" s="936"/>
      <c r="EU23" s="936"/>
      <c r="EV23" s="936"/>
      <c r="EW23" s="936"/>
      <c r="EX23" s="936"/>
      <c r="EY23" s="936"/>
      <c r="EZ23" s="936"/>
      <c r="FA23" s="936"/>
      <c r="FB23" s="936"/>
      <c r="FC23" s="936"/>
      <c r="FD23" s="936"/>
      <c r="FE23" s="936"/>
      <c r="FF23" s="936"/>
      <c r="FG23" s="936"/>
      <c r="FH23" s="936"/>
      <c r="FI23" s="936"/>
      <c r="FJ23" s="936"/>
      <c r="FK23" s="936"/>
      <c r="FL23" s="936"/>
      <c r="FM23" s="936"/>
      <c r="FN23" s="936"/>
      <c r="FO23" s="936"/>
      <c r="FP23" s="936"/>
      <c r="FQ23" s="936"/>
      <c r="FR23" s="936"/>
      <c r="FS23" s="936"/>
      <c r="FT23" s="936"/>
      <c r="FU23" s="936"/>
      <c r="FV23" s="936"/>
      <c r="FW23" s="936"/>
      <c r="FX23" s="936"/>
      <c r="FY23" s="936"/>
      <c r="FZ23" s="936"/>
      <c r="GA23" s="936"/>
      <c r="GB23" s="936"/>
      <c r="GC23" s="936"/>
      <c r="GD23" s="936"/>
      <c r="GE23" s="936"/>
      <c r="GF23" s="936"/>
      <c r="GG23" s="936"/>
      <c r="GH23" s="936"/>
      <c r="GI23" s="936"/>
      <c r="GJ23" s="936"/>
      <c r="GK23" s="936"/>
      <c r="GL23" s="936"/>
      <c r="GM23" s="936"/>
      <c r="GN23" s="936"/>
      <c r="GO23" s="936"/>
      <c r="GP23" s="936"/>
      <c r="GQ23" s="936"/>
      <c r="GR23" s="936"/>
      <c r="GS23" s="936"/>
      <c r="GT23" s="936"/>
      <c r="GU23" s="936"/>
      <c r="GV23" s="936"/>
      <c r="GW23" s="936"/>
      <c r="GX23" s="936"/>
      <c r="GY23" s="936"/>
      <c r="GZ23" s="936"/>
      <c r="HA23" s="936"/>
      <c r="HB23" s="936"/>
      <c r="HC23" s="936"/>
      <c r="HD23" s="936"/>
      <c r="HE23" s="936"/>
      <c r="HF23" s="936"/>
      <c r="HG23" s="936"/>
      <c r="HH23" s="936"/>
      <c r="HI23" s="936"/>
      <c r="HJ23" s="936"/>
      <c r="HK23" s="936"/>
      <c r="HL23" s="936"/>
      <c r="HM23" s="936"/>
      <c r="HN23" s="936"/>
      <c r="HO23" s="936"/>
      <c r="HP23" s="936"/>
      <c r="HQ23" s="936"/>
      <c r="HR23" s="936"/>
      <c r="HS23" s="936"/>
      <c r="HT23" s="936"/>
      <c r="HU23" s="936"/>
      <c r="HV23" s="936"/>
      <c r="HW23" s="936"/>
      <c r="HX23" s="936"/>
      <c r="HY23" s="936"/>
      <c r="HZ23" s="936"/>
      <c r="IA23" s="936"/>
      <c r="IB23" s="936"/>
      <c r="IC23" s="936"/>
      <c r="ID23" s="936"/>
      <c r="IE23" s="936"/>
      <c r="IF23" s="936"/>
      <c r="IG23" s="936"/>
      <c r="IH23" s="936"/>
      <c r="II23" s="936"/>
      <c r="IJ23" s="936"/>
      <c r="IK23" s="936"/>
      <c r="IL23" s="936"/>
      <c r="IM23" s="936"/>
      <c r="IN23" s="936"/>
      <c r="IO23" s="936"/>
      <c r="IP23" s="936"/>
      <c r="IQ23" s="936"/>
      <c r="IR23" s="936"/>
      <c r="IS23" s="936"/>
      <c r="IT23" s="936"/>
    </row>
    <row r="24" spans="1:254" ht="14.1" customHeight="1">
      <c r="A24" s="1116"/>
      <c r="B24" s="1116"/>
      <c r="C24" s="938"/>
      <c r="D24" s="938"/>
      <c r="E24" s="938"/>
      <c r="F24" s="938"/>
      <c r="G24" s="938"/>
      <c r="H24" s="938"/>
      <c r="J24" s="936"/>
      <c r="K24" s="936"/>
      <c r="L24" s="936"/>
      <c r="M24" s="936"/>
      <c r="N24" s="936"/>
      <c r="O24" s="936"/>
      <c r="P24" s="936"/>
      <c r="Q24" s="936"/>
      <c r="R24" s="936"/>
      <c r="S24" s="936"/>
      <c r="T24" s="936"/>
      <c r="U24" s="936"/>
      <c r="V24" s="936"/>
      <c r="W24" s="936"/>
      <c r="X24" s="936"/>
      <c r="Y24" s="936"/>
      <c r="Z24" s="936"/>
      <c r="AA24" s="936"/>
      <c r="AB24" s="936"/>
      <c r="AC24" s="936"/>
      <c r="AD24" s="936"/>
      <c r="AE24" s="936"/>
      <c r="AF24" s="936"/>
      <c r="AG24" s="936"/>
      <c r="AH24" s="936"/>
      <c r="AI24" s="936"/>
      <c r="AJ24" s="936"/>
      <c r="AK24" s="936"/>
      <c r="AL24" s="936"/>
      <c r="AM24" s="936"/>
      <c r="AN24" s="936"/>
      <c r="AO24" s="936"/>
      <c r="AP24" s="936"/>
      <c r="AQ24" s="936"/>
      <c r="AR24" s="936"/>
      <c r="AS24" s="936"/>
      <c r="AT24" s="936"/>
      <c r="AU24" s="936"/>
      <c r="AV24" s="936"/>
      <c r="AW24" s="936"/>
      <c r="AX24" s="936"/>
      <c r="AY24" s="936"/>
      <c r="AZ24" s="936"/>
      <c r="BA24" s="936"/>
      <c r="BB24" s="936"/>
      <c r="BC24" s="936"/>
      <c r="BD24" s="936"/>
      <c r="BE24" s="936"/>
      <c r="BF24" s="936"/>
      <c r="BG24" s="936"/>
      <c r="BH24" s="936"/>
      <c r="BI24" s="936"/>
      <c r="BJ24" s="936"/>
      <c r="BK24" s="936"/>
      <c r="BL24" s="936"/>
      <c r="BM24" s="936"/>
      <c r="BN24" s="936"/>
      <c r="BO24" s="936"/>
      <c r="BP24" s="936"/>
      <c r="BQ24" s="936"/>
      <c r="BR24" s="936"/>
      <c r="BS24" s="936"/>
      <c r="BT24" s="936"/>
      <c r="BU24" s="936"/>
      <c r="BV24" s="936"/>
      <c r="BW24" s="936"/>
      <c r="BX24" s="936"/>
      <c r="BY24" s="936"/>
      <c r="BZ24" s="936"/>
      <c r="CA24" s="936"/>
      <c r="CB24" s="936"/>
      <c r="CC24" s="936"/>
      <c r="CD24" s="936"/>
      <c r="CE24" s="936"/>
      <c r="CF24" s="936"/>
      <c r="CG24" s="936"/>
      <c r="CH24" s="936"/>
      <c r="CI24" s="936"/>
      <c r="CJ24" s="936"/>
      <c r="CK24" s="936"/>
      <c r="CL24" s="936"/>
      <c r="CM24" s="936"/>
      <c r="CN24" s="936"/>
      <c r="CO24" s="936"/>
      <c r="CP24" s="936"/>
      <c r="CQ24" s="936"/>
      <c r="CR24" s="936"/>
      <c r="CS24" s="936"/>
      <c r="CT24" s="936"/>
      <c r="CU24" s="936"/>
      <c r="CV24" s="936"/>
      <c r="CW24" s="936"/>
      <c r="CX24" s="936"/>
      <c r="CY24" s="936"/>
      <c r="CZ24" s="936"/>
      <c r="DA24" s="936"/>
      <c r="DB24" s="936"/>
      <c r="DC24" s="936"/>
      <c r="DD24" s="936"/>
      <c r="DE24" s="936"/>
      <c r="DF24" s="936"/>
      <c r="DG24" s="936"/>
      <c r="DH24" s="936"/>
      <c r="DI24" s="936"/>
      <c r="DJ24" s="936"/>
      <c r="DK24" s="936"/>
      <c r="DL24" s="936"/>
      <c r="DM24" s="936"/>
      <c r="DN24" s="936"/>
      <c r="DO24" s="936"/>
      <c r="DP24" s="936"/>
      <c r="DQ24" s="936"/>
      <c r="DR24" s="936"/>
      <c r="DS24" s="936"/>
      <c r="DT24" s="936"/>
      <c r="DU24" s="936"/>
      <c r="DV24" s="936"/>
      <c r="DW24" s="936"/>
      <c r="DX24" s="936"/>
      <c r="DY24" s="936"/>
      <c r="DZ24" s="936"/>
      <c r="EA24" s="936"/>
      <c r="EB24" s="936"/>
      <c r="EC24" s="936"/>
      <c r="ED24" s="936"/>
      <c r="EE24" s="936"/>
      <c r="EF24" s="936"/>
      <c r="EG24" s="936"/>
      <c r="EH24" s="936"/>
      <c r="EI24" s="936"/>
      <c r="EJ24" s="936"/>
      <c r="EK24" s="936"/>
      <c r="EL24" s="936"/>
      <c r="EM24" s="936"/>
      <c r="EN24" s="936"/>
      <c r="EO24" s="936"/>
      <c r="EP24" s="936"/>
      <c r="EQ24" s="936"/>
      <c r="ER24" s="936"/>
      <c r="ES24" s="936"/>
      <c r="ET24" s="936"/>
      <c r="EU24" s="936"/>
      <c r="EV24" s="936"/>
      <c r="EW24" s="936"/>
      <c r="EX24" s="936"/>
      <c r="EY24" s="936"/>
      <c r="EZ24" s="936"/>
      <c r="FA24" s="936"/>
      <c r="FB24" s="936"/>
      <c r="FC24" s="936"/>
      <c r="FD24" s="936"/>
      <c r="FE24" s="936"/>
      <c r="FF24" s="936"/>
      <c r="FG24" s="936"/>
      <c r="FH24" s="936"/>
      <c r="FI24" s="936"/>
      <c r="FJ24" s="936"/>
      <c r="FK24" s="936"/>
      <c r="FL24" s="936"/>
      <c r="FM24" s="936"/>
      <c r="FN24" s="936"/>
      <c r="FO24" s="936"/>
      <c r="FP24" s="936"/>
      <c r="FQ24" s="936"/>
      <c r="FR24" s="936"/>
      <c r="FS24" s="936"/>
      <c r="FT24" s="936"/>
      <c r="FU24" s="936"/>
      <c r="FV24" s="936"/>
      <c r="FW24" s="936"/>
      <c r="FX24" s="936"/>
      <c r="FY24" s="936"/>
      <c r="FZ24" s="936"/>
      <c r="GA24" s="936"/>
      <c r="GB24" s="936"/>
      <c r="GC24" s="936"/>
      <c r="GD24" s="936"/>
      <c r="GE24" s="936"/>
      <c r="GF24" s="936"/>
      <c r="GG24" s="936"/>
      <c r="GH24" s="936"/>
      <c r="GI24" s="936"/>
      <c r="GJ24" s="936"/>
      <c r="GK24" s="936"/>
      <c r="GL24" s="936"/>
      <c r="GM24" s="936"/>
      <c r="GN24" s="936"/>
      <c r="GO24" s="936"/>
      <c r="GP24" s="936"/>
      <c r="GQ24" s="936"/>
      <c r="GR24" s="936"/>
      <c r="GS24" s="936"/>
      <c r="GT24" s="936"/>
      <c r="GU24" s="936"/>
      <c r="GV24" s="936"/>
      <c r="GW24" s="936"/>
      <c r="GX24" s="936"/>
      <c r="GY24" s="936"/>
      <c r="GZ24" s="936"/>
      <c r="HA24" s="936"/>
      <c r="HB24" s="936"/>
      <c r="HC24" s="936"/>
      <c r="HD24" s="936"/>
      <c r="HE24" s="936"/>
      <c r="HF24" s="936"/>
      <c r="HG24" s="936"/>
      <c r="HH24" s="936"/>
      <c r="HI24" s="936"/>
      <c r="HJ24" s="936"/>
      <c r="HK24" s="936"/>
      <c r="HL24" s="936"/>
      <c r="HM24" s="936"/>
      <c r="HN24" s="936"/>
      <c r="HO24" s="936"/>
      <c r="HP24" s="936"/>
      <c r="HQ24" s="936"/>
      <c r="HR24" s="936"/>
      <c r="HS24" s="936"/>
      <c r="HT24" s="936"/>
      <c r="HU24" s="936"/>
      <c r="HV24" s="936"/>
      <c r="HW24" s="936"/>
      <c r="HX24" s="936"/>
      <c r="HY24" s="936"/>
      <c r="HZ24" s="936"/>
      <c r="IA24" s="936"/>
      <c r="IB24" s="936"/>
      <c r="IC24" s="936"/>
      <c r="ID24" s="936"/>
      <c r="IE24" s="936"/>
      <c r="IF24" s="936"/>
      <c r="IG24" s="936"/>
      <c r="IH24" s="936"/>
      <c r="II24" s="936"/>
      <c r="IJ24" s="936"/>
      <c r="IK24" s="936"/>
      <c r="IL24" s="936"/>
      <c r="IM24" s="936"/>
      <c r="IN24" s="936"/>
      <c r="IO24" s="936"/>
      <c r="IP24" s="936"/>
      <c r="IQ24" s="936"/>
      <c r="IR24" s="936"/>
      <c r="IS24" s="936"/>
      <c r="IT24" s="936"/>
    </row>
    <row r="25" spans="1:254" ht="14.1" customHeight="1">
      <c r="A25" s="1116"/>
      <c r="B25" s="1116"/>
      <c r="C25" s="938"/>
      <c r="D25" s="938"/>
      <c r="E25" s="938"/>
      <c r="F25" s="938"/>
      <c r="G25" s="938"/>
      <c r="H25" s="938"/>
      <c r="J25" s="936"/>
      <c r="K25" s="936"/>
      <c r="L25" s="936"/>
      <c r="M25" s="936"/>
      <c r="N25" s="936"/>
      <c r="O25" s="936"/>
      <c r="P25" s="936"/>
      <c r="Q25" s="936"/>
      <c r="R25" s="936"/>
      <c r="S25" s="936"/>
      <c r="T25" s="936"/>
      <c r="U25" s="936"/>
      <c r="V25" s="936"/>
      <c r="W25" s="936"/>
      <c r="X25" s="936"/>
      <c r="Y25" s="936"/>
      <c r="Z25" s="936"/>
      <c r="AA25" s="936"/>
      <c r="AB25" s="936"/>
      <c r="AC25" s="936"/>
      <c r="AD25" s="936"/>
      <c r="AE25" s="936"/>
      <c r="AF25" s="936"/>
      <c r="AG25" s="936"/>
      <c r="AH25" s="936"/>
      <c r="AI25" s="936"/>
      <c r="AJ25" s="936"/>
      <c r="AK25" s="936"/>
      <c r="AL25" s="936"/>
      <c r="AM25" s="936"/>
      <c r="AN25" s="936"/>
      <c r="AO25" s="936"/>
      <c r="AP25" s="936"/>
      <c r="AQ25" s="936"/>
      <c r="AR25" s="936"/>
      <c r="AS25" s="936"/>
      <c r="AT25" s="936"/>
      <c r="AU25" s="936"/>
      <c r="AV25" s="936"/>
      <c r="AW25" s="936"/>
      <c r="AX25" s="936"/>
      <c r="AY25" s="936"/>
      <c r="AZ25" s="936"/>
      <c r="BA25" s="936"/>
      <c r="BB25" s="936"/>
      <c r="BC25" s="936"/>
      <c r="BD25" s="936"/>
      <c r="BE25" s="936"/>
      <c r="BF25" s="936"/>
      <c r="BG25" s="936"/>
      <c r="BH25" s="936"/>
      <c r="BI25" s="936"/>
      <c r="BJ25" s="936"/>
      <c r="BK25" s="936"/>
      <c r="BL25" s="936"/>
      <c r="BM25" s="936"/>
      <c r="BN25" s="936"/>
      <c r="BO25" s="936"/>
      <c r="BP25" s="936"/>
      <c r="BQ25" s="936"/>
      <c r="BR25" s="936"/>
      <c r="BS25" s="936"/>
      <c r="BT25" s="936"/>
      <c r="BU25" s="936"/>
      <c r="BV25" s="936"/>
      <c r="BW25" s="936"/>
      <c r="BX25" s="936"/>
      <c r="BY25" s="936"/>
      <c r="BZ25" s="936"/>
      <c r="CA25" s="936"/>
      <c r="CB25" s="936"/>
      <c r="CC25" s="936"/>
      <c r="CD25" s="936"/>
      <c r="CE25" s="936"/>
      <c r="CF25" s="936"/>
      <c r="CG25" s="936"/>
      <c r="CH25" s="936"/>
      <c r="CI25" s="936"/>
      <c r="CJ25" s="936"/>
      <c r="CK25" s="936"/>
      <c r="CL25" s="936"/>
      <c r="CM25" s="936"/>
      <c r="CN25" s="936"/>
      <c r="CO25" s="936"/>
      <c r="CP25" s="936"/>
      <c r="CQ25" s="936"/>
      <c r="CR25" s="936"/>
      <c r="CS25" s="936"/>
      <c r="CT25" s="936"/>
      <c r="CU25" s="936"/>
      <c r="CV25" s="936"/>
      <c r="CW25" s="936"/>
      <c r="CX25" s="936"/>
      <c r="CY25" s="936"/>
      <c r="CZ25" s="936"/>
      <c r="DA25" s="936"/>
      <c r="DB25" s="936"/>
      <c r="DC25" s="936"/>
      <c r="DD25" s="936"/>
      <c r="DE25" s="936"/>
      <c r="DF25" s="936"/>
      <c r="DG25" s="936"/>
      <c r="DH25" s="936"/>
      <c r="DI25" s="936"/>
      <c r="DJ25" s="936"/>
      <c r="DK25" s="936"/>
      <c r="DL25" s="936"/>
      <c r="DM25" s="936"/>
      <c r="DN25" s="936"/>
      <c r="DO25" s="936"/>
      <c r="DP25" s="936"/>
      <c r="DQ25" s="936"/>
      <c r="DR25" s="936"/>
      <c r="DS25" s="936"/>
      <c r="DT25" s="936"/>
      <c r="DU25" s="936"/>
      <c r="DV25" s="936"/>
      <c r="DW25" s="936"/>
      <c r="DX25" s="936"/>
      <c r="DY25" s="936"/>
      <c r="DZ25" s="936"/>
      <c r="EA25" s="936"/>
      <c r="EB25" s="936"/>
      <c r="EC25" s="936"/>
      <c r="ED25" s="936"/>
      <c r="EE25" s="936"/>
      <c r="EF25" s="936"/>
      <c r="EG25" s="936"/>
      <c r="EH25" s="936"/>
      <c r="EI25" s="936"/>
      <c r="EJ25" s="936"/>
      <c r="EK25" s="936"/>
      <c r="EL25" s="936"/>
      <c r="EM25" s="936"/>
      <c r="EN25" s="936"/>
      <c r="EO25" s="936"/>
      <c r="EP25" s="936"/>
      <c r="EQ25" s="936"/>
      <c r="ER25" s="936"/>
      <c r="ES25" s="936"/>
      <c r="ET25" s="936"/>
      <c r="EU25" s="936"/>
      <c r="EV25" s="936"/>
      <c r="EW25" s="936"/>
      <c r="EX25" s="936"/>
      <c r="EY25" s="936"/>
      <c r="EZ25" s="936"/>
      <c r="FA25" s="936"/>
      <c r="FB25" s="936"/>
      <c r="FC25" s="936"/>
      <c r="FD25" s="936"/>
      <c r="FE25" s="936"/>
      <c r="FF25" s="936"/>
      <c r="FG25" s="936"/>
      <c r="FH25" s="936"/>
      <c r="FI25" s="936"/>
      <c r="FJ25" s="936"/>
      <c r="FK25" s="936"/>
      <c r="FL25" s="936"/>
      <c r="FM25" s="936"/>
      <c r="FN25" s="936"/>
      <c r="FO25" s="936"/>
      <c r="FP25" s="936"/>
      <c r="FQ25" s="936"/>
      <c r="FR25" s="936"/>
      <c r="FS25" s="936"/>
      <c r="FT25" s="936"/>
      <c r="FU25" s="936"/>
      <c r="FV25" s="936"/>
      <c r="FW25" s="936"/>
      <c r="FX25" s="936"/>
      <c r="FY25" s="936"/>
      <c r="FZ25" s="936"/>
      <c r="GA25" s="936"/>
      <c r="GB25" s="936"/>
      <c r="GC25" s="936"/>
      <c r="GD25" s="936"/>
      <c r="GE25" s="936"/>
      <c r="GF25" s="936"/>
      <c r="GG25" s="936"/>
      <c r="GH25" s="936"/>
      <c r="GI25" s="936"/>
      <c r="GJ25" s="936"/>
      <c r="GK25" s="936"/>
      <c r="GL25" s="936"/>
      <c r="GM25" s="936"/>
      <c r="GN25" s="936"/>
      <c r="GO25" s="936"/>
      <c r="GP25" s="936"/>
      <c r="GQ25" s="936"/>
      <c r="GR25" s="936"/>
      <c r="GS25" s="936"/>
      <c r="GT25" s="936"/>
      <c r="GU25" s="936"/>
      <c r="GV25" s="936"/>
      <c r="GW25" s="936"/>
      <c r="GX25" s="936"/>
      <c r="GY25" s="936"/>
      <c r="GZ25" s="936"/>
      <c r="HA25" s="936"/>
      <c r="HB25" s="936"/>
      <c r="HC25" s="936"/>
      <c r="HD25" s="936"/>
      <c r="HE25" s="936"/>
      <c r="HF25" s="936"/>
      <c r="HG25" s="936"/>
      <c r="HH25" s="936"/>
      <c r="HI25" s="936"/>
      <c r="HJ25" s="936"/>
      <c r="HK25" s="936"/>
      <c r="HL25" s="936"/>
      <c r="HM25" s="936"/>
      <c r="HN25" s="936"/>
      <c r="HO25" s="936"/>
      <c r="HP25" s="936"/>
      <c r="HQ25" s="936"/>
      <c r="HR25" s="936"/>
      <c r="HS25" s="936"/>
      <c r="HT25" s="936"/>
      <c r="HU25" s="936"/>
      <c r="HV25" s="936"/>
      <c r="HW25" s="936"/>
      <c r="HX25" s="936"/>
      <c r="HY25" s="936"/>
      <c r="HZ25" s="936"/>
      <c r="IA25" s="936"/>
      <c r="IB25" s="936"/>
      <c r="IC25" s="936"/>
      <c r="ID25" s="936"/>
      <c r="IE25" s="936"/>
      <c r="IF25" s="936"/>
      <c r="IG25" s="936"/>
      <c r="IH25" s="936"/>
      <c r="II25" s="936"/>
      <c r="IJ25" s="936"/>
      <c r="IK25" s="936"/>
      <c r="IL25" s="936"/>
      <c r="IM25" s="936"/>
      <c r="IN25" s="936"/>
      <c r="IO25" s="936"/>
      <c r="IP25" s="936"/>
      <c r="IQ25" s="936"/>
      <c r="IR25" s="936"/>
      <c r="IS25" s="936"/>
      <c r="IT25" s="936"/>
    </row>
    <row r="26" spans="1:254" ht="14.1" customHeight="1">
      <c r="C26" s="940"/>
      <c r="D26" s="940"/>
      <c r="E26" s="939"/>
      <c r="F26" s="939"/>
      <c r="G26" s="939"/>
      <c r="H26" s="939"/>
      <c r="J26" s="936"/>
      <c r="K26" s="936"/>
      <c r="L26" s="936"/>
      <c r="M26" s="936"/>
      <c r="N26" s="936"/>
      <c r="O26" s="936"/>
      <c r="P26" s="936"/>
      <c r="Q26" s="936"/>
      <c r="R26" s="936"/>
      <c r="S26" s="936"/>
      <c r="T26" s="936"/>
      <c r="U26" s="936"/>
      <c r="V26" s="936"/>
      <c r="W26" s="936"/>
      <c r="X26" s="936"/>
      <c r="Y26" s="936"/>
      <c r="Z26" s="936"/>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936"/>
      <c r="BB26" s="936"/>
      <c r="BC26" s="936"/>
      <c r="BD26" s="936"/>
      <c r="BE26" s="936"/>
      <c r="BF26" s="936"/>
      <c r="BG26" s="936"/>
      <c r="BH26" s="936"/>
      <c r="BI26" s="936"/>
      <c r="BJ26" s="936"/>
      <c r="BK26" s="936"/>
      <c r="BL26" s="936"/>
      <c r="BM26" s="936"/>
      <c r="BN26" s="936"/>
      <c r="BO26" s="936"/>
      <c r="BP26" s="936"/>
      <c r="BQ26" s="936"/>
      <c r="BR26" s="936"/>
      <c r="BS26" s="936"/>
      <c r="BT26" s="936"/>
      <c r="BU26" s="936"/>
      <c r="BV26" s="936"/>
      <c r="BW26" s="936"/>
      <c r="BX26" s="936"/>
      <c r="BY26" s="936"/>
      <c r="BZ26" s="936"/>
      <c r="CA26" s="936"/>
      <c r="CB26" s="936"/>
      <c r="CC26" s="936"/>
      <c r="CD26" s="936"/>
      <c r="CE26" s="936"/>
      <c r="CF26" s="936"/>
      <c r="CG26" s="936"/>
      <c r="CH26" s="936"/>
      <c r="CI26" s="936"/>
      <c r="CJ26" s="936"/>
      <c r="CK26" s="936"/>
      <c r="CL26" s="936"/>
      <c r="CM26" s="936"/>
      <c r="CN26" s="936"/>
      <c r="CO26" s="936"/>
      <c r="CP26" s="936"/>
      <c r="CQ26" s="936"/>
      <c r="CR26" s="936"/>
      <c r="CS26" s="936"/>
      <c r="CT26" s="936"/>
      <c r="CU26" s="936"/>
      <c r="CV26" s="936"/>
      <c r="CW26" s="936"/>
      <c r="CX26" s="936"/>
      <c r="CY26" s="936"/>
      <c r="CZ26" s="936"/>
      <c r="DA26" s="936"/>
      <c r="DB26" s="936"/>
      <c r="DC26" s="936"/>
      <c r="DD26" s="936"/>
      <c r="DE26" s="936"/>
      <c r="DF26" s="936"/>
      <c r="DG26" s="936"/>
      <c r="DH26" s="936"/>
      <c r="DI26" s="936"/>
      <c r="DJ26" s="936"/>
      <c r="DK26" s="936"/>
      <c r="DL26" s="936"/>
      <c r="DM26" s="936"/>
      <c r="DN26" s="936"/>
      <c r="DO26" s="936"/>
      <c r="DP26" s="936"/>
      <c r="DQ26" s="936"/>
      <c r="DR26" s="936"/>
      <c r="DS26" s="936"/>
      <c r="DT26" s="936"/>
      <c r="DU26" s="936"/>
      <c r="DV26" s="936"/>
      <c r="DW26" s="936"/>
      <c r="DX26" s="936"/>
      <c r="DY26" s="936"/>
      <c r="DZ26" s="936"/>
      <c r="EA26" s="936"/>
      <c r="EB26" s="936"/>
      <c r="EC26" s="936"/>
      <c r="ED26" s="936"/>
      <c r="EE26" s="936"/>
      <c r="EF26" s="936"/>
      <c r="EG26" s="936"/>
      <c r="EH26" s="936"/>
      <c r="EI26" s="936"/>
      <c r="EJ26" s="936"/>
      <c r="EK26" s="936"/>
      <c r="EL26" s="936"/>
      <c r="EM26" s="936"/>
      <c r="EN26" s="936"/>
      <c r="EO26" s="936"/>
      <c r="EP26" s="936"/>
      <c r="EQ26" s="936"/>
      <c r="ER26" s="936"/>
      <c r="ES26" s="936"/>
      <c r="ET26" s="936"/>
      <c r="EU26" s="936"/>
      <c r="EV26" s="936"/>
      <c r="EW26" s="936"/>
      <c r="EX26" s="936"/>
      <c r="EY26" s="936"/>
      <c r="EZ26" s="936"/>
      <c r="FA26" s="936"/>
      <c r="FB26" s="936"/>
      <c r="FC26" s="936"/>
      <c r="FD26" s="936"/>
      <c r="FE26" s="936"/>
      <c r="FF26" s="936"/>
      <c r="FG26" s="936"/>
      <c r="FH26" s="936"/>
      <c r="FI26" s="936"/>
      <c r="FJ26" s="936"/>
      <c r="FK26" s="936"/>
      <c r="FL26" s="936"/>
      <c r="FM26" s="936"/>
      <c r="FN26" s="936"/>
      <c r="FO26" s="936"/>
      <c r="FP26" s="936"/>
      <c r="FQ26" s="936"/>
      <c r="FR26" s="936"/>
      <c r="FS26" s="936"/>
      <c r="FT26" s="936"/>
      <c r="FU26" s="936"/>
      <c r="FV26" s="936"/>
      <c r="FW26" s="936"/>
      <c r="FX26" s="936"/>
      <c r="FY26" s="936"/>
      <c r="FZ26" s="936"/>
      <c r="GA26" s="936"/>
      <c r="GB26" s="936"/>
      <c r="GC26" s="936"/>
      <c r="GD26" s="936"/>
      <c r="GE26" s="936"/>
      <c r="GF26" s="936"/>
      <c r="GG26" s="936"/>
      <c r="GH26" s="936"/>
      <c r="GI26" s="936"/>
      <c r="GJ26" s="936"/>
      <c r="GK26" s="936"/>
      <c r="GL26" s="936"/>
      <c r="GM26" s="936"/>
      <c r="GN26" s="936"/>
      <c r="GO26" s="936"/>
      <c r="GP26" s="936"/>
      <c r="GQ26" s="936"/>
      <c r="GR26" s="936"/>
      <c r="GS26" s="936"/>
      <c r="GT26" s="936"/>
      <c r="GU26" s="936"/>
      <c r="GV26" s="936"/>
      <c r="GW26" s="936"/>
      <c r="GX26" s="936"/>
      <c r="GY26" s="936"/>
      <c r="GZ26" s="936"/>
      <c r="HA26" s="936"/>
      <c r="HB26" s="936"/>
      <c r="HC26" s="936"/>
      <c r="HD26" s="936"/>
      <c r="HE26" s="936"/>
      <c r="HF26" s="936"/>
      <c r="HG26" s="936"/>
      <c r="HH26" s="936"/>
      <c r="HI26" s="936"/>
      <c r="HJ26" s="936"/>
      <c r="HK26" s="936"/>
      <c r="HL26" s="936"/>
      <c r="HM26" s="936"/>
      <c r="HN26" s="936"/>
      <c r="HO26" s="936"/>
      <c r="HP26" s="936"/>
      <c r="HQ26" s="936"/>
      <c r="HR26" s="936"/>
      <c r="HS26" s="936"/>
      <c r="HT26" s="936"/>
      <c r="HU26" s="936"/>
      <c r="HV26" s="936"/>
      <c r="HW26" s="936"/>
      <c r="HX26" s="936"/>
      <c r="HY26" s="936"/>
      <c r="HZ26" s="936"/>
      <c r="IA26" s="936"/>
      <c r="IB26" s="936"/>
      <c r="IC26" s="936"/>
      <c r="ID26" s="936"/>
      <c r="IE26" s="936"/>
      <c r="IF26" s="936"/>
      <c r="IG26" s="936"/>
      <c r="IH26" s="936"/>
      <c r="II26" s="936"/>
      <c r="IJ26" s="936"/>
      <c r="IK26" s="936"/>
      <c r="IL26" s="936"/>
      <c r="IM26" s="936"/>
      <c r="IN26" s="936"/>
      <c r="IO26" s="936"/>
      <c r="IP26" s="936"/>
      <c r="IQ26" s="936"/>
      <c r="IR26" s="936"/>
      <c r="IS26" s="936"/>
      <c r="IT26" s="936"/>
    </row>
  </sheetData>
  <mergeCells count="8">
    <mergeCell ref="F22:G22"/>
    <mergeCell ref="A2:H2"/>
    <mergeCell ref="A1:H1"/>
    <mergeCell ref="A3:A4"/>
    <mergeCell ref="B3:B4"/>
    <mergeCell ref="C3:D4"/>
    <mergeCell ref="E3:G3"/>
    <mergeCell ref="H3:H4"/>
  </mergeCells>
  <printOptions horizontalCentered="1"/>
  <pageMargins left="0.75" right="0.25"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sheetPr>
    <tabColor rgb="FFFFFF00"/>
  </sheetPr>
  <dimension ref="A1:F17"/>
  <sheetViews>
    <sheetView view="pageBreakPreview" zoomScaleSheetLayoutView="100" workbookViewId="0">
      <selection activeCell="C10" sqref="C10"/>
    </sheetView>
  </sheetViews>
  <sheetFormatPr defaultRowHeight="15.75"/>
  <cols>
    <col min="1" max="1" width="5" style="1009" customWidth="1"/>
    <col min="2" max="2" width="8" style="1009" customWidth="1"/>
    <col min="3" max="3" width="37.5546875" style="1101" customWidth="1"/>
    <col min="4" max="4" width="8.44140625" style="1009" customWidth="1"/>
    <col min="5" max="5" width="6.88671875" style="1009" customWidth="1"/>
    <col min="6" max="6" width="9.44140625" style="1009" customWidth="1"/>
    <col min="7" max="16384" width="8.88671875" style="1009"/>
  </cols>
  <sheetData>
    <row r="1" spans="1:6" ht="55.5" customHeight="1">
      <c r="A1" s="1278" t="str">
        <f>'G. Abstract'!A3:F3</f>
        <v>N/W: RENOVATION AND UPGRADING THE EXISTING WORKING WOMEN’S HOSTEL AT SOORAMANGALAM IN SALEM CITY UNDER SOCIAL WELFARE DEPARTMENT</v>
      </c>
      <c r="B1" s="1279"/>
      <c r="C1" s="1279"/>
      <c r="D1" s="1279"/>
      <c r="E1" s="1279"/>
      <c r="F1" s="1280"/>
    </row>
    <row r="2" spans="1:6" ht="21.75" customHeight="1">
      <c r="A2" s="1281" t="s">
        <v>4484</v>
      </c>
      <c r="B2" s="1281"/>
      <c r="C2" s="1281"/>
      <c r="D2" s="1281"/>
      <c r="E2" s="1281"/>
      <c r="F2" s="1281"/>
    </row>
    <row r="3" spans="1:6" ht="26.25" customHeight="1">
      <c r="A3" s="1166" t="s">
        <v>3747</v>
      </c>
      <c r="B3" s="1167" t="s">
        <v>1070</v>
      </c>
      <c r="C3" s="1167" t="s">
        <v>3748</v>
      </c>
      <c r="D3" s="1167" t="s">
        <v>100</v>
      </c>
      <c r="E3" s="1167" t="s">
        <v>3764</v>
      </c>
      <c r="F3" s="1167" t="s">
        <v>994</v>
      </c>
    </row>
    <row r="4" spans="1:6" ht="63.75" customHeight="1">
      <c r="A4" s="1150">
        <v>1</v>
      </c>
      <c r="B4" s="1151">
        <f>'Computer Det'!H6</f>
        <v>1</v>
      </c>
      <c r="C4" s="1152" t="s">
        <v>4809</v>
      </c>
      <c r="D4" s="1151">
        <v>35000</v>
      </c>
      <c r="E4" s="1153" t="s">
        <v>1458</v>
      </c>
      <c r="F4" s="1153">
        <f>ROUND(PRODUCT(B4*D4),2)</f>
        <v>35000</v>
      </c>
    </row>
    <row r="5" spans="1:6" ht="43.5" customHeight="1">
      <c r="A5" s="1150">
        <v>2</v>
      </c>
      <c r="B5" s="1151"/>
      <c r="C5" s="1152" t="s">
        <v>4475</v>
      </c>
      <c r="D5" s="1151"/>
      <c r="E5" s="1153"/>
      <c r="F5" s="1153">
        <f t="shared" ref="F5:F15" si="0">ROUND(PRODUCT(B5*D5),2)</f>
        <v>0</v>
      </c>
    </row>
    <row r="6" spans="1:6" ht="36.75" customHeight="1">
      <c r="A6" s="1150"/>
      <c r="B6" s="1151">
        <f>'Computer Det'!H10</f>
        <v>7</v>
      </c>
      <c r="C6" s="850" t="s">
        <v>4480</v>
      </c>
      <c r="D6" s="1151">
        <v>14500</v>
      </c>
      <c r="E6" s="1169" t="s">
        <v>1458</v>
      </c>
      <c r="F6" s="1153">
        <f t="shared" si="0"/>
        <v>101500</v>
      </c>
    </row>
    <row r="7" spans="1:6" ht="48.75" customHeight="1">
      <c r="A7" s="1150"/>
      <c r="B7" s="1151">
        <f>'Computer Det'!H13</f>
        <v>350</v>
      </c>
      <c r="C7" s="1152" t="s">
        <v>4839</v>
      </c>
      <c r="D7" s="1151">
        <v>105</v>
      </c>
      <c r="E7" s="1153" t="s">
        <v>840</v>
      </c>
      <c r="F7" s="1153">
        <f t="shared" si="0"/>
        <v>36750</v>
      </c>
    </row>
    <row r="8" spans="1:6" ht="39" customHeight="1">
      <c r="A8" s="1150"/>
      <c r="B8" s="1151">
        <f>'Computer Det'!H16</f>
        <v>1</v>
      </c>
      <c r="C8" s="1152" t="s">
        <v>4840</v>
      </c>
      <c r="D8" s="1151">
        <v>1927</v>
      </c>
      <c r="E8" s="1153" t="s">
        <v>1458</v>
      </c>
      <c r="F8" s="1153">
        <f t="shared" si="0"/>
        <v>1927</v>
      </c>
    </row>
    <row r="9" spans="1:6" s="1010" customFormat="1" ht="36" customHeight="1">
      <c r="A9" s="1171"/>
      <c r="B9" s="1151">
        <f>'Computer Det'!H19</f>
        <v>2</v>
      </c>
      <c r="C9" s="1152" t="s">
        <v>4841</v>
      </c>
      <c r="D9" s="1151">
        <v>1981</v>
      </c>
      <c r="E9" s="1172" t="s">
        <v>1458</v>
      </c>
      <c r="F9" s="1172">
        <f t="shared" si="0"/>
        <v>3962</v>
      </c>
    </row>
    <row r="10" spans="1:6" s="1010" customFormat="1" ht="51.75" customHeight="1">
      <c r="A10" s="1150">
        <v>3</v>
      </c>
      <c r="B10" s="1151">
        <f>'Computer Det'!H22</f>
        <v>1</v>
      </c>
      <c r="C10" s="1152" t="s">
        <v>4845</v>
      </c>
      <c r="D10" s="1151">
        <v>39000</v>
      </c>
      <c r="E10" s="1172" t="s">
        <v>1458</v>
      </c>
      <c r="F10" s="1172">
        <f t="shared" si="0"/>
        <v>39000</v>
      </c>
    </row>
    <row r="11" spans="1:6" s="1010" customFormat="1" ht="39.75" customHeight="1">
      <c r="A11" s="1150">
        <v>4</v>
      </c>
      <c r="B11" s="1151">
        <f>'Computer Det'!H25</f>
        <v>1</v>
      </c>
      <c r="C11" s="1173" t="s">
        <v>4811</v>
      </c>
      <c r="D11" s="1151">
        <v>16000</v>
      </c>
      <c r="E11" s="1172" t="s">
        <v>1458</v>
      </c>
      <c r="F11" s="1172">
        <f t="shared" si="0"/>
        <v>16000</v>
      </c>
    </row>
    <row r="12" spans="1:6" ht="36.75" customHeight="1">
      <c r="A12" s="1150">
        <v>5</v>
      </c>
      <c r="B12" s="1151">
        <f>'Computer Det'!H28</f>
        <v>1</v>
      </c>
      <c r="C12" s="1154" t="s">
        <v>4810</v>
      </c>
      <c r="D12" s="1151">
        <v>2590</v>
      </c>
      <c r="E12" s="1153" t="s">
        <v>1458</v>
      </c>
      <c r="F12" s="1153">
        <f t="shared" si="0"/>
        <v>2590</v>
      </c>
    </row>
    <row r="13" spans="1:6" ht="36" customHeight="1">
      <c r="A13" s="1150">
        <v>6</v>
      </c>
      <c r="B13" s="1151">
        <f>'Computer Det'!H31</f>
        <v>1</v>
      </c>
      <c r="C13" s="1154" t="s">
        <v>4478</v>
      </c>
      <c r="D13" s="1151">
        <v>2900</v>
      </c>
      <c r="E13" s="1153" t="s">
        <v>1458</v>
      </c>
      <c r="F13" s="1153">
        <f t="shared" si="0"/>
        <v>2900</v>
      </c>
    </row>
    <row r="14" spans="1:6" ht="34.5" customHeight="1">
      <c r="A14" s="1150">
        <v>7</v>
      </c>
      <c r="B14" s="1151">
        <f>'Computer Det'!H34</f>
        <v>10</v>
      </c>
      <c r="C14" s="1152" t="s">
        <v>4479</v>
      </c>
      <c r="D14" s="1151">
        <v>1350</v>
      </c>
      <c r="E14" s="1153" t="s">
        <v>1458</v>
      </c>
      <c r="F14" s="1153">
        <f t="shared" si="0"/>
        <v>13500</v>
      </c>
    </row>
    <row r="15" spans="1:6">
      <c r="A15" s="1150"/>
      <c r="B15" s="1151"/>
      <c r="C15" s="1152"/>
      <c r="D15" s="1151"/>
      <c r="E15" s="1153"/>
      <c r="F15" s="1153">
        <f t="shared" si="0"/>
        <v>0</v>
      </c>
    </row>
    <row r="16" spans="1:6" ht="31.5" customHeight="1">
      <c r="A16" s="1150"/>
      <c r="B16" s="1151"/>
      <c r="C16" s="875" t="s">
        <v>2332</v>
      </c>
      <c r="D16" s="1151"/>
      <c r="E16" s="1153"/>
      <c r="F16" s="1170">
        <f>SUM(F4:F15)</f>
        <v>253129</v>
      </c>
    </row>
    <row r="17" spans="1:6">
      <c r="A17" s="1150"/>
      <c r="B17" s="1151"/>
      <c r="C17" s="1152"/>
      <c r="D17" s="1151"/>
      <c r="E17" s="1153"/>
      <c r="F17" s="1153"/>
    </row>
  </sheetData>
  <mergeCells count="2">
    <mergeCell ref="A1:F1"/>
    <mergeCell ref="A2:F2"/>
  </mergeCells>
  <printOptions horizontalCentered="1"/>
  <pageMargins left="0.75" right="0.25"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sheetPr>
    <tabColor rgb="FFFFFF00"/>
  </sheetPr>
  <dimension ref="A1:IT40"/>
  <sheetViews>
    <sheetView view="pageBreakPreview" zoomScale="90" zoomScaleSheetLayoutView="90" workbookViewId="0">
      <selection activeCell="A36" sqref="A36:XFD38"/>
    </sheetView>
  </sheetViews>
  <sheetFormatPr defaultRowHeight="15.75"/>
  <cols>
    <col min="1" max="1" width="5" style="924" customWidth="1"/>
    <col min="2" max="2" width="27.4414062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9" ht="52.5" customHeight="1">
      <c r="A1" s="1283" t="str">
        <f>'EX. WS Abs'!A3:F3</f>
        <v>N/W: RENOVATION AND UPGRADING THE EXISTING WORKING WOMEN’S HOSTEL AT SOORAMANGALAM IN SALEM CITY UNDER SOCIAL WELFARE DEPARTMENT</v>
      </c>
      <c r="B1" s="1283"/>
      <c r="C1" s="1283"/>
      <c r="D1" s="1283"/>
      <c r="E1" s="1283"/>
      <c r="F1" s="1283"/>
      <c r="G1" s="1283"/>
      <c r="H1" s="1283"/>
      <c r="I1" s="920"/>
    </row>
    <row r="2" spans="1:9" ht="24.75" customHeight="1">
      <c r="A2" s="1205" t="s">
        <v>4485</v>
      </c>
      <c r="B2" s="1205"/>
      <c r="C2" s="1205"/>
      <c r="D2" s="1205"/>
      <c r="E2" s="1205"/>
      <c r="F2" s="1205"/>
      <c r="G2" s="1205"/>
      <c r="H2" s="1205"/>
      <c r="I2" s="920"/>
    </row>
    <row r="3" spans="1:9" s="922" customFormat="1" ht="17.25" customHeight="1">
      <c r="A3" s="1286" t="s">
        <v>3747</v>
      </c>
      <c r="B3" s="1286" t="s">
        <v>1860</v>
      </c>
      <c r="C3" s="1286" t="s">
        <v>4226</v>
      </c>
      <c r="D3" s="1286"/>
      <c r="E3" s="1287" t="s">
        <v>4227</v>
      </c>
      <c r="F3" s="1287"/>
      <c r="G3" s="1287"/>
      <c r="H3" s="1289" t="s">
        <v>4228</v>
      </c>
      <c r="I3" s="923"/>
    </row>
    <row r="4" spans="1:9" s="922" customFormat="1" ht="19.5" customHeight="1">
      <c r="A4" s="1286"/>
      <c r="B4" s="1286"/>
      <c r="C4" s="1286"/>
      <c r="D4" s="1286"/>
      <c r="E4" s="1108" t="s">
        <v>4229</v>
      </c>
      <c r="F4" s="1107" t="s">
        <v>4230</v>
      </c>
      <c r="G4" s="1108" t="s">
        <v>3753</v>
      </c>
      <c r="H4" s="1289"/>
      <c r="I4" s="923"/>
    </row>
    <row r="5" spans="1:9" ht="47.25">
      <c r="A5" s="1086">
        <v>1</v>
      </c>
      <c r="B5" s="1119" t="s">
        <v>4474</v>
      </c>
      <c r="C5" s="1071"/>
      <c r="D5" s="1071"/>
      <c r="E5" s="1072"/>
      <c r="F5" s="1073"/>
      <c r="G5" s="1072"/>
      <c r="H5" s="1074"/>
      <c r="I5" s="920"/>
    </row>
    <row r="6" spans="1:9" ht="17.100000000000001" customHeight="1">
      <c r="A6" s="1086"/>
      <c r="B6" s="1120" t="s">
        <v>4469</v>
      </c>
      <c r="C6" s="1088">
        <v>1</v>
      </c>
      <c r="D6" s="1088">
        <v>1</v>
      </c>
      <c r="E6" s="1089"/>
      <c r="F6" s="1090"/>
      <c r="G6" s="1089"/>
      <c r="H6" s="1084">
        <f>PRODUCT(C6:G6)</f>
        <v>1</v>
      </c>
      <c r="I6" s="920"/>
    </row>
    <row r="7" spans="1:9" ht="17.100000000000001" customHeight="1">
      <c r="A7" s="1086"/>
      <c r="B7" s="1121"/>
      <c r="C7" s="1070"/>
      <c r="D7" s="1070"/>
      <c r="E7" s="1072"/>
      <c r="F7" s="1073"/>
      <c r="G7" s="1075"/>
      <c r="H7" s="1076"/>
      <c r="I7" s="920"/>
    </row>
    <row r="8" spans="1:9" ht="47.25">
      <c r="A8" s="1086">
        <v>2</v>
      </c>
      <c r="B8" s="1119" t="s">
        <v>4475</v>
      </c>
      <c r="C8" s="1070"/>
      <c r="D8" s="1070"/>
      <c r="E8" s="1072"/>
      <c r="F8" s="1073"/>
      <c r="G8" s="1072"/>
      <c r="H8" s="1077"/>
      <c r="I8" s="920"/>
    </row>
    <row r="9" spans="1:9" ht="47.25">
      <c r="A9" s="1086"/>
      <c r="B9" s="1119" t="s">
        <v>4480</v>
      </c>
      <c r="C9" s="1070"/>
      <c r="D9" s="1070"/>
      <c r="E9" s="1072"/>
      <c r="F9" s="1073"/>
      <c r="G9" s="1072"/>
      <c r="H9" s="1077"/>
      <c r="I9" s="920"/>
    </row>
    <row r="10" spans="1:9" ht="17.100000000000001" customHeight="1">
      <c r="A10" s="1086"/>
      <c r="B10" s="1120" t="s">
        <v>4469</v>
      </c>
      <c r="C10" s="1088">
        <v>1</v>
      </c>
      <c r="D10" s="1088">
        <v>7</v>
      </c>
      <c r="E10" s="1089"/>
      <c r="F10" s="1090"/>
      <c r="G10" s="1089"/>
      <c r="H10" s="1084">
        <f>PRODUCT(C10:G10)</f>
        <v>7</v>
      </c>
      <c r="I10" s="920"/>
    </row>
    <row r="11" spans="1:9" ht="17.100000000000001" customHeight="1">
      <c r="A11" s="1086"/>
      <c r="B11" s="1119"/>
      <c r="C11" s="1070"/>
      <c r="D11" s="1070"/>
      <c r="E11" s="1072"/>
      <c r="F11" s="1073"/>
      <c r="G11" s="1075"/>
      <c r="H11" s="1076"/>
      <c r="I11" s="920"/>
    </row>
    <row r="12" spans="1:9">
      <c r="A12" s="1117"/>
      <c r="B12" s="1118" t="s">
        <v>4481</v>
      </c>
      <c r="C12" s="1070"/>
      <c r="D12" s="1070"/>
      <c r="E12" s="1072"/>
      <c r="F12" s="1073"/>
      <c r="G12" s="1072"/>
      <c r="H12" s="1077"/>
      <c r="I12" s="920"/>
    </row>
    <row r="13" spans="1:9" ht="17.100000000000001" customHeight="1">
      <c r="A13" s="1086"/>
      <c r="B13" s="1120" t="s">
        <v>4469</v>
      </c>
      <c r="C13" s="1088">
        <v>1</v>
      </c>
      <c r="D13" s="1088">
        <v>1</v>
      </c>
      <c r="E13" s="1089">
        <v>350</v>
      </c>
      <c r="F13" s="1090"/>
      <c r="G13" s="1089"/>
      <c r="H13" s="1084">
        <f>PRODUCT(C13:G13)</f>
        <v>350</v>
      </c>
      <c r="I13" s="920"/>
    </row>
    <row r="14" spans="1:9" ht="17.100000000000001" customHeight="1">
      <c r="A14" s="1109"/>
      <c r="B14" s="1121"/>
      <c r="C14" s="1070"/>
      <c r="D14" s="1070"/>
      <c r="E14" s="1074"/>
      <c r="F14" s="1074"/>
      <c r="G14" s="1075"/>
      <c r="H14" s="1076"/>
      <c r="I14" s="920"/>
    </row>
    <row r="15" spans="1:9" ht="31.5">
      <c r="A15" s="1117"/>
      <c r="B15" s="1119" t="s">
        <v>4483</v>
      </c>
      <c r="C15" s="1070"/>
      <c r="D15" s="1070"/>
      <c r="E15" s="1074"/>
      <c r="F15" s="1074"/>
      <c r="G15" s="1075"/>
      <c r="H15" s="1076"/>
      <c r="I15" s="920"/>
    </row>
    <row r="16" spans="1:9" ht="17.100000000000001" customHeight="1">
      <c r="A16" s="1110"/>
      <c r="B16" s="1120" t="s">
        <v>4469</v>
      </c>
      <c r="C16" s="1088">
        <v>1</v>
      </c>
      <c r="D16" s="1088">
        <v>1</v>
      </c>
      <c r="E16" s="1089"/>
      <c r="F16" s="1090"/>
      <c r="G16" s="1089"/>
      <c r="H16" s="1084">
        <f>PRODUCT(C16:G16)</f>
        <v>1</v>
      </c>
      <c r="I16" s="920"/>
    </row>
    <row r="17" spans="1:254" ht="17.100000000000001" customHeight="1">
      <c r="A17" s="1080"/>
      <c r="B17" s="1081"/>
      <c r="C17" s="1080"/>
      <c r="D17" s="1080"/>
      <c r="E17" s="1082"/>
      <c r="F17" s="1078"/>
      <c r="G17" s="1083"/>
      <c r="H17" s="1084"/>
      <c r="I17" s="923"/>
      <c r="J17" s="924"/>
      <c r="K17" s="924"/>
      <c r="L17" s="924"/>
      <c r="M17" s="924"/>
      <c r="N17" s="924"/>
      <c r="O17" s="924"/>
      <c r="P17" s="924"/>
      <c r="Q17" s="924"/>
      <c r="R17" s="924"/>
      <c r="S17" s="924"/>
      <c r="T17" s="924"/>
      <c r="U17" s="924"/>
      <c r="V17" s="924"/>
      <c r="W17" s="924"/>
      <c r="X17" s="924"/>
      <c r="Y17" s="924"/>
      <c r="Z17" s="924"/>
      <c r="AA17" s="924"/>
      <c r="AB17" s="924"/>
      <c r="AC17" s="924"/>
      <c r="AD17" s="924"/>
      <c r="AE17" s="924"/>
      <c r="AF17" s="924"/>
      <c r="AG17" s="924"/>
      <c r="AH17" s="924"/>
      <c r="AI17" s="924"/>
      <c r="AJ17" s="924"/>
      <c r="AK17" s="924"/>
      <c r="AL17" s="924"/>
      <c r="AM17" s="924"/>
      <c r="AN17" s="924"/>
      <c r="AO17" s="924"/>
      <c r="AP17" s="924"/>
      <c r="AQ17" s="924"/>
      <c r="AR17" s="924"/>
      <c r="AS17" s="924"/>
      <c r="AT17" s="924"/>
      <c r="AU17" s="924"/>
      <c r="AV17" s="924"/>
      <c r="AW17" s="924"/>
      <c r="AX17" s="924"/>
      <c r="AY17" s="924"/>
      <c r="AZ17" s="924"/>
      <c r="BA17" s="924"/>
      <c r="BB17" s="924"/>
      <c r="BC17" s="924"/>
      <c r="BD17" s="924"/>
      <c r="BE17" s="924"/>
      <c r="BF17" s="924"/>
      <c r="BG17" s="924"/>
      <c r="BH17" s="924"/>
      <c r="BI17" s="924"/>
      <c r="BJ17" s="924"/>
      <c r="BK17" s="924"/>
      <c r="BL17" s="924"/>
      <c r="BM17" s="924"/>
      <c r="BN17" s="924"/>
      <c r="BO17" s="924"/>
      <c r="BP17" s="924"/>
      <c r="BQ17" s="924"/>
      <c r="BR17" s="924"/>
      <c r="BS17" s="924"/>
      <c r="BT17" s="924"/>
      <c r="BU17" s="924"/>
      <c r="BV17" s="924"/>
      <c r="BW17" s="924"/>
      <c r="BX17" s="924"/>
      <c r="BY17" s="924"/>
      <c r="BZ17" s="924"/>
      <c r="CA17" s="924"/>
      <c r="CB17" s="924"/>
      <c r="CC17" s="924"/>
      <c r="CD17" s="924"/>
      <c r="CE17" s="924"/>
      <c r="CF17" s="924"/>
      <c r="CG17" s="924"/>
      <c r="CH17" s="924"/>
      <c r="CI17" s="924"/>
      <c r="CJ17" s="924"/>
      <c r="CK17" s="924"/>
      <c r="CL17" s="924"/>
      <c r="CM17" s="924"/>
      <c r="CN17" s="924"/>
      <c r="CO17" s="924"/>
      <c r="CP17" s="924"/>
      <c r="CQ17" s="924"/>
      <c r="CR17" s="924"/>
      <c r="CS17" s="924"/>
      <c r="CT17" s="924"/>
      <c r="CU17" s="924"/>
      <c r="CV17" s="924"/>
      <c r="CW17" s="924"/>
      <c r="CX17" s="924"/>
      <c r="CY17" s="924"/>
      <c r="CZ17" s="924"/>
      <c r="DA17" s="924"/>
      <c r="DB17" s="924"/>
      <c r="DC17" s="924"/>
      <c r="DD17" s="924"/>
      <c r="DE17" s="924"/>
      <c r="DF17" s="924"/>
      <c r="DG17" s="924"/>
      <c r="DH17" s="924"/>
      <c r="DI17" s="924"/>
      <c r="DJ17" s="924"/>
      <c r="DK17" s="924"/>
      <c r="DL17" s="924"/>
      <c r="DM17" s="924"/>
      <c r="DN17" s="924"/>
      <c r="DO17" s="924"/>
      <c r="DP17" s="924"/>
      <c r="DQ17" s="924"/>
      <c r="DR17" s="924"/>
      <c r="DS17" s="924"/>
      <c r="DT17" s="924"/>
      <c r="DU17" s="924"/>
      <c r="DV17" s="924"/>
      <c r="DW17" s="924"/>
      <c r="DX17" s="924"/>
      <c r="DY17" s="924"/>
      <c r="DZ17" s="924"/>
      <c r="EA17" s="924"/>
      <c r="EB17" s="924"/>
      <c r="EC17" s="924"/>
      <c r="ED17" s="924"/>
      <c r="EE17" s="924"/>
      <c r="EF17" s="924"/>
      <c r="EG17" s="924"/>
      <c r="EH17" s="924"/>
      <c r="EI17" s="924"/>
      <c r="EJ17" s="924"/>
      <c r="EK17" s="924"/>
      <c r="EL17" s="924"/>
      <c r="EM17" s="924"/>
      <c r="EN17" s="924"/>
      <c r="EO17" s="924"/>
      <c r="EP17" s="924"/>
      <c r="EQ17" s="924"/>
      <c r="ER17" s="924"/>
      <c r="ES17" s="924"/>
      <c r="ET17" s="924"/>
      <c r="EU17" s="924"/>
      <c r="EV17" s="924"/>
      <c r="EW17" s="924"/>
      <c r="EX17" s="924"/>
      <c r="EY17" s="924"/>
      <c r="EZ17" s="924"/>
      <c r="FA17" s="924"/>
      <c r="FB17" s="924"/>
      <c r="FC17" s="924"/>
      <c r="FD17" s="924"/>
      <c r="FE17" s="924"/>
      <c r="FF17" s="924"/>
      <c r="FG17" s="924"/>
      <c r="FH17" s="924"/>
      <c r="FI17" s="924"/>
      <c r="FJ17" s="924"/>
      <c r="FK17" s="924"/>
      <c r="FL17" s="924"/>
      <c r="FM17" s="924"/>
      <c r="FN17" s="924"/>
      <c r="FO17" s="924"/>
      <c r="FP17" s="924"/>
      <c r="FQ17" s="924"/>
      <c r="FR17" s="924"/>
      <c r="FS17" s="924"/>
      <c r="FT17" s="924"/>
      <c r="FU17" s="924"/>
      <c r="FV17" s="924"/>
      <c r="FW17" s="924"/>
      <c r="FX17" s="924"/>
      <c r="FY17" s="924"/>
      <c r="FZ17" s="924"/>
      <c r="GA17" s="924"/>
      <c r="GB17" s="924"/>
      <c r="GC17" s="924"/>
      <c r="GD17" s="924"/>
      <c r="GE17" s="924"/>
      <c r="GF17" s="924"/>
      <c r="GG17" s="924"/>
      <c r="GH17" s="924"/>
      <c r="GI17" s="924"/>
      <c r="GJ17" s="924"/>
      <c r="GK17" s="924"/>
      <c r="GL17" s="924"/>
      <c r="GM17" s="924"/>
      <c r="GN17" s="924"/>
      <c r="GO17" s="924"/>
      <c r="GP17" s="924"/>
      <c r="GQ17" s="924"/>
      <c r="GR17" s="924"/>
      <c r="GS17" s="924"/>
      <c r="GT17" s="924"/>
      <c r="GU17" s="924"/>
      <c r="GV17" s="924"/>
      <c r="GW17" s="924"/>
      <c r="GX17" s="924"/>
      <c r="GY17" s="924"/>
      <c r="GZ17" s="924"/>
      <c r="HA17" s="924"/>
      <c r="HB17" s="924"/>
      <c r="HC17" s="924"/>
      <c r="HD17" s="924"/>
      <c r="HE17" s="924"/>
      <c r="HF17" s="924"/>
      <c r="HG17" s="924"/>
      <c r="HH17" s="924"/>
      <c r="HI17" s="924"/>
      <c r="HJ17" s="924"/>
      <c r="HK17" s="924"/>
      <c r="HL17" s="924"/>
      <c r="HM17" s="924"/>
      <c r="HN17" s="924"/>
      <c r="HO17" s="924"/>
      <c r="HP17" s="924"/>
      <c r="HQ17" s="924"/>
      <c r="HR17" s="924"/>
      <c r="HS17" s="924"/>
      <c r="HT17" s="924"/>
      <c r="HU17" s="924"/>
      <c r="HV17" s="924"/>
      <c r="HW17" s="924"/>
      <c r="HX17" s="924"/>
      <c r="HY17" s="924"/>
      <c r="HZ17" s="924"/>
      <c r="IA17" s="924"/>
      <c r="IB17" s="924"/>
      <c r="IC17" s="924"/>
      <c r="ID17" s="924"/>
      <c r="IE17" s="924"/>
      <c r="IF17" s="924"/>
      <c r="IG17" s="924"/>
      <c r="IH17" s="924"/>
      <c r="II17" s="924"/>
      <c r="IJ17" s="924"/>
      <c r="IK17" s="924"/>
      <c r="IL17" s="924"/>
      <c r="IM17" s="924"/>
      <c r="IN17" s="924"/>
      <c r="IO17" s="924"/>
      <c r="IP17" s="924"/>
      <c r="IQ17" s="924"/>
      <c r="IR17" s="924"/>
      <c r="IS17" s="924"/>
      <c r="IT17" s="924"/>
    </row>
    <row r="18" spans="1:254">
      <c r="A18" s="1086"/>
      <c r="B18" s="1119" t="s">
        <v>4482</v>
      </c>
      <c r="C18" s="1085"/>
      <c r="D18" s="1085"/>
      <c r="E18" s="1085"/>
      <c r="F18" s="1085"/>
      <c r="G18" s="1085"/>
      <c r="H18" s="1085"/>
      <c r="I18" s="920"/>
    </row>
    <row r="19" spans="1:254" ht="15.75" customHeight="1">
      <c r="A19" s="1086"/>
      <c r="B19" s="1120" t="s">
        <v>4469</v>
      </c>
      <c r="C19" s="1088">
        <v>1</v>
      </c>
      <c r="D19" s="1088">
        <v>2</v>
      </c>
      <c r="E19" s="1089"/>
      <c r="F19" s="1090"/>
      <c r="G19" s="1089"/>
      <c r="H19" s="1084">
        <f>PRODUCT(C19:G19)</f>
        <v>2</v>
      </c>
      <c r="I19" s="920"/>
    </row>
    <row r="20" spans="1:254" ht="17.100000000000001" customHeight="1">
      <c r="A20" s="1086"/>
      <c r="B20" s="1121"/>
      <c r="C20" s="1070"/>
      <c r="D20" s="1070"/>
      <c r="E20" s="1072"/>
      <c r="F20" s="1073"/>
      <c r="G20" s="1079"/>
      <c r="H20" s="1075"/>
      <c r="I20" s="920"/>
    </row>
    <row r="21" spans="1:254" ht="63">
      <c r="A21" s="1086">
        <v>3</v>
      </c>
      <c r="B21" s="1118" t="s">
        <v>4845</v>
      </c>
      <c r="C21" s="1070"/>
      <c r="D21" s="1070"/>
      <c r="E21" s="1074"/>
      <c r="F21" s="1074"/>
      <c r="G21" s="1079"/>
      <c r="H21" s="1087"/>
      <c r="I21" s="920"/>
    </row>
    <row r="22" spans="1:254" ht="17.100000000000001" customHeight="1">
      <c r="A22" s="1111"/>
      <c r="B22" s="1120" t="s">
        <v>4469</v>
      </c>
      <c r="C22" s="1088">
        <v>1</v>
      </c>
      <c r="D22" s="1088">
        <v>1</v>
      </c>
      <c r="E22" s="1089"/>
      <c r="F22" s="1090"/>
      <c r="G22" s="1089"/>
      <c r="H22" s="1084">
        <f>PRODUCT(C22:G22)</f>
        <v>1</v>
      </c>
      <c r="I22" s="920"/>
    </row>
    <row r="23" spans="1:254" ht="17.100000000000001" customHeight="1">
      <c r="A23" s="1111"/>
      <c r="B23" s="1091"/>
      <c r="C23" s="1093"/>
      <c r="D23" s="1093"/>
      <c r="E23" s="1094"/>
      <c r="F23" s="1094"/>
      <c r="G23" s="1095"/>
      <c r="H23" s="1096"/>
      <c r="I23" s="920"/>
      <c r="J23" s="925"/>
      <c r="K23" s="925"/>
      <c r="L23" s="925"/>
      <c r="M23" s="925"/>
      <c r="N23" s="925"/>
      <c r="O23" s="925"/>
      <c r="P23" s="925"/>
      <c r="Q23" s="925"/>
      <c r="R23" s="925"/>
      <c r="S23" s="925"/>
      <c r="T23" s="925"/>
      <c r="U23" s="925"/>
      <c r="V23" s="925"/>
      <c r="W23" s="925"/>
      <c r="X23" s="925"/>
      <c r="Y23" s="925"/>
      <c r="Z23" s="925"/>
      <c r="AA23" s="925"/>
      <c r="AB23" s="925"/>
      <c r="AC23" s="925"/>
      <c r="AD23" s="925"/>
      <c r="AE23" s="925"/>
      <c r="AF23" s="925"/>
      <c r="AG23" s="925"/>
      <c r="AH23" s="925"/>
      <c r="AI23" s="925"/>
      <c r="AJ23" s="925"/>
      <c r="AK23" s="925"/>
      <c r="AL23" s="925"/>
      <c r="AM23" s="925"/>
      <c r="AN23" s="925"/>
      <c r="AO23" s="925"/>
      <c r="AP23" s="925"/>
      <c r="AQ23" s="925"/>
      <c r="AR23" s="925"/>
      <c r="AS23" s="925"/>
      <c r="AT23" s="925"/>
      <c r="AU23" s="925"/>
      <c r="AV23" s="925"/>
      <c r="AW23" s="925"/>
      <c r="AX23" s="925"/>
      <c r="AY23" s="925"/>
      <c r="AZ23" s="925"/>
      <c r="BA23" s="925"/>
      <c r="BB23" s="925"/>
      <c r="BC23" s="925"/>
      <c r="BD23" s="925"/>
      <c r="BE23" s="925"/>
      <c r="BF23" s="925"/>
      <c r="BG23" s="925"/>
      <c r="BH23" s="925"/>
      <c r="BI23" s="925"/>
      <c r="BJ23" s="925"/>
      <c r="BK23" s="925"/>
      <c r="BL23" s="925"/>
      <c r="BM23" s="925"/>
      <c r="BN23" s="925"/>
      <c r="BO23" s="925"/>
      <c r="BP23" s="925"/>
      <c r="BQ23" s="925"/>
      <c r="BR23" s="925"/>
      <c r="BS23" s="925"/>
      <c r="BT23" s="925"/>
      <c r="BU23" s="925"/>
      <c r="BV23" s="925"/>
      <c r="BW23" s="925"/>
      <c r="BX23" s="925"/>
      <c r="BY23" s="925"/>
      <c r="BZ23" s="925"/>
      <c r="CA23" s="925"/>
      <c r="CB23" s="925"/>
      <c r="CC23" s="925"/>
      <c r="CD23" s="925"/>
      <c r="CE23" s="925"/>
      <c r="CF23" s="925"/>
      <c r="CG23" s="925"/>
      <c r="CH23" s="925"/>
      <c r="CI23" s="925"/>
      <c r="CJ23" s="925"/>
      <c r="CK23" s="925"/>
      <c r="CL23" s="925"/>
      <c r="CM23" s="925"/>
      <c r="CN23" s="925"/>
      <c r="CO23" s="925"/>
      <c r="CP23" s="925"/>
      <c r="CQ23" s="925"/>
      <c r="CR23" s="925"/>
      <c r="CS23" s="925"/>
      <c r="CT23" s="925"/>
      <c r="CU23" s="925"/>
      <c r="CV23" s="925"/>
      <c r="CW23" s="925"/>
      <c r="CX23" s="925"/>
      <c r="CY23" s="925"/>
      <c r="CZ23" s="925"/>
      <c r="DA23" s="925"/>
      <c r="DB23" s="925"/>
      <c r="DC23" s="925"/>
      <c r="DD23" s="925"/>
      <c r="DE23" s="925"/>
      <c r="DF23" s="925"/>
      <c r="DG23" s="925"/>
      <c r="DH23" s="925"/>
      <c r="DI23" s="925"/>
      <c r="DJ23" s="925"/>
      <c r="DK23" s="925"/>
      <c r="DL23" s="925"/>
      <c r="DM23" s="925"/>
      <c r="DN23" s="925"/>
      <c r="DO23" s="925"/>
      <c r="DP23" s="925"/>
      <c r="DQ23" s="925"/>
      <c r="DR23" s="925"/>
      <c r="DS23" s="925"/>
      <c r="DT23" s="925"/>
      <c r="DU23" s="925"/>
      <c r="DV23" s="925"/>
      <c r="DW23" s="925"/>
      <c r="DX23" s="925"/>
      <c r="DY23" s="925"/>
      <c r="DZ23" s="925"/>
      <c r="EA23" s="925"/>
      <c r="EB23" s="925"/>
      <c r="EC23" s="925"/>
      <c r="ED23" s="925"/>
      <c r="EE23" s="925"/>
      <c r="EF23" s="925"/>
      <c r="EG23" s="925"/>
      <c r="EH23" s="925"/>
      <c r="EI23" s="925"/>
      <c r="EJ23" s="925"/>
      <c r="EK23" s="925"/>
      <c r="EL23" s="925"/>
      <c r="EM23" s="925"/>
      <c r="EN23" s="925"/>
      <c r="EO23" s="925"/>
      <c r="EP23" s="925"/>
      <c r="EQ23" s="925"/>
      <c r="ER23" s="925"/>
      <c r="ES23" s="925"/>
      <c r="ET23" s="925"/>
      <c r="EU23" s="925"/>
      <c r="EV23" s="925"/>
      <c r="EW23" s="925"/>
      <c r="EX23" s="925"/>
      <c r="EY23" s="925"/>
      <c r="EZ23" s="925"/>
      <c r="FA23" s="925"/>
      <c r="FB23" s="925"/>
      <c r="FC23" s="925"/>
      <c r="FD23" s="925"/>
      <c r="FE23" s="925"/>
      <c r="FF23" s="925"/>
      <c r="FG23" s="925"/>
      <c r="FH23" s="925"/>
      <c r="FI23" s="925"/>
      <c r="FJ23" s="925"/>
      <c r="FK23" s="925"/>
      <c r="FL23" s="925"/>
      <c r="FM23" s="925"/>
      <c r="FN23" s="925"/>
      <c r="FO23" s="925"/>
      <c r="FP23" s="925"/>
      <c r="FQ23" s="925"/>
      <c r="FR23" s="925"/>
      <c r="FS23" s="925"/>
      <c r="FT23" s="925"/>
      <c r="FU23" s="925"/>
      <c r="FV23" s="925"/>
      <c r="FW23" s="925"/>
      <c r="FX23" s="925"/>
      <c r="FY23" s="925"/>
      <c r="FZ23" s="925"/>
      <c r="GA23" s="925"/>
      <c r="GB23" s="925"/>
      <c r="GC23" s="925"/>
      <c r="GD23" s="925"/>
      <c r="GE23" s="925"/>
      <c r="GF23" s="925"/>
      <c r="GG23" s="925"/>
      <c r="GH23" s="925"/>
      <c r="GI23" s="925"/>
      <c r="GJ23" s="925"/>
      <c r="GK23" s="925"/>
      <c r="GL23" s="925"/>
      <c r="GM23" s="925"/>
      <c r="GN23" s="925"/>
      <c r="GO23" s="925"/>
      <c r="GP23" s="925"/>
      <c r="GQ23" s="925"/>
      <c r="GR23" s="925"/>
      <c r="GS23" s="925"/>
      <c r="GT23" s="925"/>
      <c r="GU23" s="925"/>
      <c r="GV23" s="925"/>
      <c r="GW23" s="925"/>
      <c r="GX23" s="925"/>
      <c r="GY23" s="925"/>
      <c r="GZ23" s="925"/>
      <c r="HA23" s="925"/>
      <c r="HB23" s="925"/>
      <c r="HC23" s="925"/>
      <c r="HD23" s="925"/>
      <c r="HE23" s="925"/>
      <c r="HF23" s="925"/>
      <c r="HG23" s="925"/>
      <c r="HH23" s="925"/>
      <c r="HI23" s="925"/>
      <c r="HJ23" s="925"/>
      <c r="HK23" s="925"/>
      <c r="HL23" s="925"/>
      <c r="HM23" s="925"/>
      <c r="HN23" s="925"/>
      <c r="HO23" s="925"/>
      <c r="HP23" s="925"/>
      <c r="HQ23" s="925"/>
      <c r="HR23" s="925"/>
      <c r="HS23" s="925"/>
      <c r="HT23" s="925"/>
      <c r="HU23" s="925"/>
      <c r="HV23" s="925"/>
      <c r="HW23" s="925"/>
      <c r="HX23" s="925"/>
      <c r="HY23" s="925"/>
      <c r="HZ23" s="925"/>
      <c r="IA23" s="925"/>
      <c r="IB23" s="925"/>
      <c r="IC23" s="925"/>
      <c r="ID23" s="925"/>
      <c r="IE23" s="925"/>
      <c r="IF23" s="925"/>
      <c r="IG23" s="925"/>
      <c r="IH23" s="925"/>
      <c r="II23" s="925"/>
      <c r="IJ23" s="925"/>
      <c r="IK23" s="925"/>
      <c r="IL23" s="925"/>
      <c r="IM23" s="925"/>
      <c r="IN23" s="925"/>
      <c r="IO23" s="925"/>
      <c r="IP23" s="925"/>
      <c r="IQ23" s="925"/>
      <c r="IR23" s="925"/>
      <c r="IS23" s="925"/>
      <c r="IT23" s="925"/>
    </row>
    <row r="24" spans="1:254" ht="31.5">
      <c r="A24" s="1111">
        <v>4</v>
      </c>
      <c r="B24" s="1097" t="s">
        <v>4476</v>
      </c>
      <c r="C24" s="1093"/>
      <c r="D24" s="1093"/>
      <c r="E24" s="1094"/>
      <c r="F24" s="1094"/>
      <c r="G24" s="1095"/>
      <c r="H24" s="1096"/>
      <c r="I24" s="920"/>
      <c r="J24" s="925"/>
      <c r="K24" s="925"/>
      <c r="L24" s="925"/>
      <c r="M24" s="925"/>
      <c r="N24" s="925"/>
      <c r="O24" s="925"/>
      <c r="P24" s="925"/>
      <c r="Q24" s="925"/>
      <c r="R24" s="925"/>
      <c r="S24" s="925"/>
      <c r="T24" s="925"/>
      <c r="U24" s="925"/>
      <c r="V24" s="925"/>
      <c r="W24" s="925"/>
      <c r="X24" s="925"/>
      <c r="Y24" s="925"/>
      <c r="Z24" s="925"/>
      <c r="AA24" s="925"/>
      <c r="AB24" s="925"/>
      <c r="AC24" s="925"/>
      <c r="AD24" s="925"/>
      <c r="AE24" s="925"/>
      <c r="AF24" s="925"/>
      <c r="AG24" s="925"/>
      <c r="AH24" s="925"/>
      <c r="AI24" s="925"/>
      <c r="AJ24" s="925"/>
      <c r="AK24" s="925"/>
      <c r="AL24" s="925"/>
      <c r="AM24" s="925"/>
      <c r="AN24" s="925"/>
      <c r="AO24" s="925"/>
      <c r="AP24" s="925"/>
      <c r="AQ24" s="925"/>
      <c r="AR24" s="925"/>
      <c r="AS24" s="925"/>
      <c r="AT24" s="925"/>
      <c r="AU24" s="925"/>
      <c r="AV24" s="925"/>
      <c r="AW24" s="925"/>
      <c r="AX24" s="925"/>
      <c r="AY24" s="925"/>
      <c r="AZ24" s="925"/>
      <c r="BA24" s="925"/>
      <c r="BB24" s="925"/>
      <c r="BC24" s="925"/>
      <c r="BD24" s="925"/>
      <c r="BE24" s="925"/>
      <c r="BF24" s="925"/>
      <c r="BG24" s="925"/>
      <c r="BH24" s="925"/>
      <c r="BI24" s="925"/>
      <c r="BJ24" s="925"/>
      <c r="BK24" s="925"/>
      <c r="BL24" s="925"/>
      <c r="BM24" s="925"/>
      <c r="BN24" s="925"/>
      <c r="BO24" s="925"/>
      <c r="BP24" s="925"/>
      <c r="BQ24" s="925"/>
      <c r="BR24" s="925"/>
      <c r="BS24" s="925"/>
      <c r="BT24" s="925"/>
      <c r="BU24" s="925"/>
      <c r="BV24" s="925"/>
      <c r="BW24" s="925"/>
      <c r="BX24" s="925"/>
      <c r="BY24" s="925"/>
      <c r="BZ24" s="925"/>
      <c r="CA24" s="925"/>
      <c r="CB24" s="925"/>
      <c r="CC24" s="925"/>
      <c r="CD24" s="925"/>
      <c r="CE24" s="925"/>
      <c r="CF24" s="925"/>
      <c r="CG24" s="925"/>
      <c r="CH24" s="925"/>
      <c r="CI24" s="925"/>
      <c r="CJ24" s="925"/>
      <c r="CK24" s="925"/>
      <c r="CL24" s="925"/>
      <c r="CM24" s="925"/>
      <c r="CN24" s="925"/>
      <c r="CO24" s="925"/>
      <c r="CP24" s="925"/>
      <c r="CQ24" s="925"/>
      <c r="CR24" s="925"/>
      <c r="CS24" s="925"/>
      <c r="CT24" s="925"/>
      <c r="CU24" s="925"/>
      <c r="CV24" s="925"/>
      <c r="CW24" s="925"/>
      <c r="CX24" s="925"/>
      <c r="CY24" s="925"/>
      <c r="CZ24" s="925"/>
      <c r="DA24" s="925"/>
      <c r="DB24" s="925"/>
      <c r="DC24" s="925"/>
      <c r="DD24" s="925"/>
      <c r="DE24" s="925"/>
      <c r="DF24" s="925"/>
      <c r="DG24" s="925"/>
      <c r="DH24" s="925"/>
      <c r="DI24" s="925"/>
      <c r="DJ24" s="925"/>
      <c r="DK24" s="925"/>
      <c r="DL24" s="925"/>
      <c r="DM24" s="925"/>
      <c r="DN24" s="925"/>
      <c r="DO24" s="925"/>
      <c r="DP24" s="925"/>
      <c r="DQ24" s="925"/>
      <c r="DR24" s="925"/>
      <c r="DS24" s="925"/>
      <c r="DT24" s="925"/>
      <c r="DU24" s="925"/>
      <c r="DV24" s="925"/>
      <c r="DW24" s="925"/>
      <c r="DX24" s="925"/>
      <c r="DY24" s="925"/>
      <c r="DZ24" s="925"/>
      <c r="EA24" s="925"/>
      <c r="EB24" s="925"/>
      <c r="EC24" s="925"/>
      <c r="ED24" s="925"/>
      <c r="EE24" s="925"/>
      <c r="EF24" s="925"/>
      <c r="EG24" s="925"/>
      <c r="EH24" s="925"/>
      <c r="EI24" s="925"/>
      <c r="EJ24" s="925"/>
      <c r="EK24" s="925"/>
      <c r="EL24" s="925"/>
      <c r="EM24" s="925"/>
      <c r="EN24" s="925"/>
      <c r="EO24" s="925"/>
      <c r="EP24" s="925"/>
      <c r="EQ24" s="925"/>
      <c r="ER24" s="925"/>
      <c r="ES24" s="925"/>
      <c r="ET24" s="925"/>
      <c r="EU24" s="925"/>
      <c r="EV24" s="925"/>
      <c r="EW24" s="925"/>
      <c r="EX24" s="925"/>
      <c r="EY24" s="925"/>
      <c r="EZ24" s="925"/>
      <c r="FA24" s="925"/>
      <c r="FB24" s="925"/>
      <c r="FC24" s="925"/>
      <c r="FD24" s="925"/>
      <c r="FE24" s="925"/>
      <c r="FF24" s="925"/>
      <c r="FG24" s="925"/>
      <c r="FH24" s="925"/>
      <c r="FI24" s="925"/>
      <c r="FJ24" s="925"/>
      <c r="FK24" s="925"/>
      <c r="FL24" s="925"/>
      <c r="FM24" s="925"/>
      <c r="FN24" s="925"/>
      <c r="FO24" s="925"/>
      <c r="FP24" s="925"/>
      <c r="FQ24" s="925"/>
      <c r="FR24" s="925"/>
      <c r="FS24" s="925"/>
      <c r="FT24" s="925"/>
      <c r="FU24" s="925"/>
      <c r="FV24" s="925"/>
      <c r="FW24" s="925"/>
      <c r="FX24" s="925"/>
      <c r="FY24" s="925"/>
      <c r="FZ24" s="925"/>
      <c r="GA24" s="925"/>
      <c r="GB24" s="925"/>
      <c r="GC24" s="925"/>
      <c r="GD24" s="925"/>
      <c r="GE24" s="925"/>
      <c r="GF24" s="925"/>
      <c r="GG24" s="925"/>
      <c r="GH24" s="925"/>
      <c r="GI24" s="925"/>
      <c r="GJ24" s="925"/>
      <c r="GK24" s="925"/>
      <c r="GL24" s="925"/>
      <c r="GM24" s="925"/>
      <c r="GN24" s="925"/>
      <c r="GO24" s="925"/>
      <c r="GP24" s="925"/>
      <c r="GQ24" s="925"/>
      <c r="GR24" s="925"/>
      <c r="GS24" s="925"/>
      <c r="GT24" s="925"/>
      <c r="GU24" s="925"/>
      <c r="GV24" s="925"/>
      <c r="GW24" s="925"/>
      <c r="GX24" s="925"/>
      <c r="GY24" s="925"/>
      <c r="GZ24" s="925"/>
      <c r="HA24" s="925"/>
      <c r="HB24" s="925"/>
      <c r="HC24" s="925"/>
      <c r="HD24" s="925"/>
      <c r="HE24" s="925"/>
      <c r="HF24" s="925"/>
      <c r="HG24" s="925"/>
      <c r="HH24" s="925"/>
      <c r="HI24" s="925"/>
      <c r="HJ24" s="925"/>
      <c r="HK24" s="925"/>
      <c r="HL24" s="925"/>
      <c r="HM24" s="925"/>
      <c r="HN24" s="925"/>
      <c r="HO24" s="925"/>
      <c r="HP24" s="925"/>
      <c r="HQ24" s="925"/>
      <c r="HR24" s="925"/>
      <c r="HS24" s="925"/>
      <c r="HT24" s="925"/>
      <c r="HU24" s="925"/>
      <c r="HV24" s="925"/>
      <c r="HW24" s="925"/>
      <c r="HX24" s="925"/>
      <c r="HY24" s="925"/>
      <c r="HZ24" s="925"/>
      <c r="IA24" s="925"/>
      <c r="IB24" s="925"/>
      <c r="IC24" s="925"/>
      <c r="ID24" s="925"/>
      <c r="IE24" s="925"/>
      <c r="IF24" s="925"/>
      <c r="IG24" s="925"/>
      <c r="IH24" s="925"/>
      <c r="II24" s="925"/>
      <c r="IJ24" s="925"/>
      <c r="IK24" s="925"/>
      <c r="IL24" s="925"/>
      <c r="IM24" s="925"/>
      <c r="IN24" s="925"/>
      <c r="IO24" s="925"/>
      <c r="IP24" s="925"/>
      <c r="IQ24" s="925"/>
      <c r="IR24" s="925"/>
      <c r="IS24" s="925"/>
      <c r="IT24" s="925"/>
    </row>
    <row r="25" spans="1:254" ht="17.100000000000001" customHeight="1">
      <c r="A25" s="1111"/>
      <c r="B25" s="1120" t="s">
        <v>4469</v>
      </c>
      <c r="C25" s="1088">
        <v>1</v>
      </c>
      <c r="D25" s="1088">
        <v>1</v>
      </c>
      <c r="E25" s="1089"/>
      <c r="F25" s="1090"/>
      <c r="G25" s="1089"/>
      <c r="H25" s="1084">
        <f>PRODUCT(C25:G25)</f>
        <v>1</v>
      </c>
      <c r="I25" s="920"/>
      <c r="J25" s="925"/>
      <c r="K25" s="925"/>
      <c r="L25" s="925"/>
      <c r="M25" s="925"/>
      <c r="N25" s="925"/>
      <c r="O25" s="925"/>
      <c r="P25" s="925"/>
      <c r="Q25" s="925"/>
      <c r="R25" s="925"/>
      <c r="S25" s="925"/>
      <c r="T25" s="925"/>
      <c r="U25" s="925"/>
      <c r="V25" s="925"/>
      <c r="W25" s="925"/>
      <c r="X25" s="925"/>
      <c r="Y25" s="925"/>
      <c r="Z25" s="925"/>
      <c r="AA25" s="925"/>
      <c r="AB25" s="925"/>
      <c r="AC25" s="925"/>
      <c r="AD25" s="925"/>
      <c r="AE25" s="925"/>
      <c r="AF25" s="925"/>
      <c r="AG25" s="925"/>
      <c r="AH25" s="925"/>
      <c r="AI25" s="925"/>
      <c r="AJ25" s="925"/>
      <c r="AK25" s="925"/>
      <c r="AL25" s="925"/>
      <c r="AM25" s="925"/>
      <c r="AN25" s="925"/>
      <c r="AO25" s="925"/>
      <c r="AP25" s="925"/>
      <c r="AQ25" s="925"/>
      <c r="AR25" s="925"/>
      <c r="AS25" s="925"/>
      <c r="AT25" s="925"/>
      <c r="AU25" s="925"/>
      <c r="AV25" s="925"/>
      <c r="AW25" s="925"/>
      <c r="AX25" s="925"/>
      <c r="AY25" s="925"/>
      <c r="AZ25" s="925"/>
      <c r="BA25" s="925"/>
      <c r="BB25" s="925"/>
      <c r="BC25" s="925"/>
      <c r="BD25" s="925"/>
      <c r="BE25" s="925"/>
      <c r="BF25" s="925"/>
      <c r="BG25" s="925"/>
      <c r="BH25" s="925"/>
      <c r="BI25" s="925"/>
      <c r="BJ25" s="925"/>
      <c r="BK25" s="925"/>
      <c r="BL25" s="925"/>
      <c r="BM25" s="925"/>
      <c r="BN25" s="925"/>
      <c r="BO25" s="925"/>
      <c r="BP25" s="925"/>
      <c r="BQ25" s="925"/>
      <c r="BR25" s="925"/>
      <c r="BS25" s="925"/>
      <c r="BT25" s="925"/>
      <c r="BU25" s="925"/>
      <c r="BV25" s="925"/>
      <c r="BW25" s="925"/>
      <c r="BX25" s="925"/>
      <c r="BY25" s="925"/>
      <c r="BZ25" s="925"/>
      <c r="CA25" s="925"/>
      <c r="CB25" s="925"/>
      <c r="CC25" s="925"/>
      <c r="CD25" s="925"/>
      <c r="CE25" s="925"/>
      <c r="CF25" s="925"/>
      <c r="CG25" s="925"/>
      <c r="CH25" s="925"/>
      <c r="CI25" s="925"/>
      <c r="CJ25" s="925"/>
      <c r="CK25" s="925"/>
      <c r="CL25" s="925"/>
      <c r="CM25" s="925"/>
      <c r="CN25" s="925"/>
      <c r="CO25" s="925"/>
      <c r="CP25" s="925"/>
      <c r="CQ25" s="925"/>
      <c r="CR25" s="925"/>
      <c r="CS25" s="925"/>
      <c r="CT25" s="925"/>
      <c r="CU25" s="925"/>
      <c r="CV25" s="925"/>
      <c r="CW25" s="925"/>
      <c r="CX25" s="925"/>
      <c r="CY25" s="925"/>
      <c r="CZ25" s="925"/>
      <c r="DA25" s="925"/>
      <c r="DB25" s="925"/>
      <c r="DC25" s="925"/>
      <c r="DD25" s="925"/>
      <c r="DE25" s="925"/>
      <c r="DF25" s="925"/>
      <c r="DG25" s="925"/>
      <c r="DH25" s="925"/>
      <c r="DI25" s="925"/>
      <c r="DJ25" s="925"/>
      <c r="DK25" s="925"/>
      <c r="DL25" s="925"/>
      <c r="DM25" s="925"/>
      <c r="DN25" s="925"/>
      <c r="DO25" s="925"/>
      <c r="DP25" s="925"/>
      <c r="DQ25" s="925"/>
      <c r="DR25" s="925"/>
      <c r="DS25" s="925"/>
      <c r="DT25" s="925"/>
      <c r="DU25" s="925"/>
      <c r="DV25" s="925"/>
      <c r="DW25" s="925"/>
      <c r="DX25" s="925"/>
      <c r="DY25" s="925"/>
      <c r="DZ25" s="925"/>
      <c r="EA25" s="925"/>
      <c r="EB25" s="925"/>
      <c r="EC25" s="925"/>
      <c r="ED25" s="925"/>
      <c r="EE25" s="925"/>
      <c r="EF25" s="925"/>
      <c r="EG25" s="925"/>
      <c r="EH25" s="925"/>
      <c r="EI25" s="925"/>
      <c r="EJ25" s="925"/>
      <c r="EK25" s="925"/>
      <c r="EL25" s="925"/>
      <c r="EM25" s="925"/>
      <c r="EN25" s="925"/>
      <c r="EO25" s="925"/>
      <c r="EP25" s="925"/>
      <c r="EQ25" s="925"/>
      <c r="ER25" s="925"/>
      <c r="ES25" s="925"/>
      <c r="ET25" s="925"/>
      <c r="EU25" s="925"/>
      <c r="EV25" s="925"/>
      <c r="EW25" s="925"/>
      <c r="EX25" s="925"/>
      <c r="EY25" s="925"/>
      <c r="EZ25" s="925"/>
      <c r="FA25" s="925"/>
      <c r="FB25" s="925"/>
      <c r="FC25" s="925"/>
      <c r="FD25" s="925"/>
      <c r="FE25" s="925"/>
      <c r="FF25" s="925"/>
      <c r="FG25" s="925"/>
      <c r="FH25" s="925"/>
      <c r="FI25" s="925"/>
      <c r="FJ25" s="925"/>
      <c r="FK25" s="925"/>
      <c r="FL25" s="925"/>
      <c r="FM25" s="925"/>
      <c r="FN25" s="925"/>
      <c r="FO25" s="925"/>
      <c r="FP25" s="925"/>
      <c r="FQ25" s="925"/>
      <c r="FR25" s="925"/>
      <c r="FS25" s="925"/>
      <c r="FT25" s="925"/>
      <c r="FU25" s="925"/>
      <c r="FV25" s="925"/>
      <c r="FW25" s="925"/>
      <c r="FX25" s="925"/>
      <c r="FY25" s="925"/>
      <c r="FZ25" s="925"/>
      <c r="GA25" s="925"/>
      <c r="GB25" s="925"/>
      <c r="GC25" s="925"/>
      <c r="GD25" s="925"/>
      <c r="GE25" s="925"/>
      <c r="GF25" s="925"/>
      <c r="GG25" s="925"/>
      <c r="GH25" s="925"/>
      <c r="GI25" s="925"/>
      <c r="GJ25" s="925"/>
      <c r="GK25" s="925"/>
      <c r="GL25" s="925"/>
      <c r="GM25" s="925"/>
      <c r="GN25" s="925"/>
      <c r="GO25" s="925"/>
      <c r="GP25" s="925"/>
      <c r="GQ25" s="925"/>
      <c r="GR25" s="925"/>
      <c r="GS25" s="925"/>
      <c r="GT25" s="925"/>
      <c r="GU25" s="925"/>
      <c r="GV25" s="925"/>
      <c r="GW25" s="925"/>
      <c r="GX25" s="925"/>
      <c r="GY25" s="925"/>
      <c r="GZ25" s="925"/>
      <c r="HA25" s="925"/>
      <c r="HB25" s="925"/>
      <c r="HC25" s="925"/>
      <c r="HD25" s="925"/>
      <c r="HE25" s="925"/>
      <c r="HF25" s="925"/>
      <c r="HG25" s="925"/>
      <c r="HH25" s="925"/>
      <c r="HI25" s="925"/>
      <c r="HJ25" s="925"/>
      <c r="HK25" s="925"/>
      <c r="HL25" s="925"/>
      <c r="HM25" s="925"/>
      <c r="HN25" s="925"/>
      <c r="HO25" s="925"/>
      <c r="HP25" s="925"/>
      <c r="HQ25" s="925"/>
      <c r="HR25" s="925"/>
      <c r="HS25" s="925"/>
      <c r="HT25" s="925"/>
      <c r="HU25" s="925"/>
      <c r="HV25" s="925"/>
      <c r="HW25" s="925"/>
      <c r="HX25" s="925"/>
      <c r="HY25" s="925"/>
      <c r="HZ25" s="925"/>
      <c r="IA25" s="925"/>
      <c r="IB25" s="925"/>
      <c r="IC25" s="925"/>
      <c r="ID25" s="925"/>
      <c r="IE25" s="925"/>
      <c r="IF25" s="925"/>
      <c r="IG25" s="925"/>
      <c r="IH25" s="925"/>
      <c r="II25" s="925"/>
      <c r="IJ25" s="925"/>
      <c r="IK25" s="925"/>
      <c r="IL25" s="925"/>
      <c r="IM25" s="925"/>
      <c r="IN25" s="925"/>
      <c r="IO25" s="925"/>
      <c r="IP25" s="925"/>
      <c r="IQ25" s="925"/>
      <c r="IR25" s="925"/>
      <c r="IS25" s="925"/>
      <c r="IT25" s="925"/>
    </row>
    <row r="26" spans="1:254" ht="17.100000000000001" customHeight="1">
      <c r="A26" s="1111"/>
      <c r="B26" s="1091"/>
      <c r="C26" s="1093"/>
      <c r="D26" s="1093"/>
      <c r="E26" s="1094"/>
      <c r="F26" s="1094"/>
      <c r="G26" s="1095"/>
      <c r="H26" s="1096"/>
      <c r="I26" s="920"/>
      <c r="J26" s="925"/>
      <c r="K26" s="925"/>
      <c r="L26" s="925"/>
      <c r="M26" s="925"/>
      <c r="N26" s="925"/>
      <c r="O26" s="925"/>
      <c r="P26" s="925"/>
      <c r="Q26" s="925"/>
      <c r="R26" s="925"/>
      <c r="S26" s="925"/>
      <c r="T26" s="925"/>
      <c r="U26" s="925"/>
      <c r="V26" s="925"/>
      <c r="W26" s="925"/>
      <c r="X26" s="925"/>
      <c r="Y26" s="925"/>
      <c r="Z26" s="925"/>
      <c r="AA26" s="925"/>
      <c r="AB26" s="925"/>
      <c r="AC26" s="925"/>
      <c r="AD26" s="925"/>
      <c r="AE26" s="925"/>
      <c r="AF26" s="925"/>
      <c r="AG26" s="925"/>
      <c r="AH26" s="925"/>
      <c r="AI26" s="925"/>
      <c r="AJ26" s="925"/>
      <c r="AK26" s="925"/>
      <c r="AL26" s="925"/>
      <c r="AM26" s="925"/>
      <c r="AN26" s="925"/>
      <c r="AO26" s="925"/>
      <c r="AP26" s="925"/>
      <c r="AQ26" s="925"/>
      <c r="AR26" s="925"/>
      <c r="AS26" s="925"/>
      <c r="AT26" s="925"/>
      <c r="AU26" s="925"/>
      <c r="AV26" s="925"/>
      <c r="AW26" s="925"/>
      <c r="AX26" s="925"/>
      <c r="AY26" s="925"/>
      <c r="AZ26" s="925"/>
      <c r="BA26" s="925"/>
      <c r="BB26" s="925"/>
      <c r="BC26" s="925"/>
      <c r="BD26" s="925"/>
      <c r="BE26" s="925"/>
      <c r="BF26" s="925"/>
      <c r="BG26" s="925"/>
      <c r="BH26" s="925"/>
      <c r="BI26" s="925"/>
      <c r="BJ26" s="925"/>
      <c r="BK26" s="925"/>
      <c r="BL26" s="925"/>
      <c r="BM26" s="925"/>
      <c r="BN26" s="925"/>
      <c r="BO26" s="925"/>
      <c r="BP26" s="925"/>
      <c r="BQ26" s="925"/>
      <c r="BR26" s="925"/>
      <c r="BS26" s="925"/>
      <c r="BT26" s="925"/>
      <c r="BU26" s="925"/>
      <c r="BV26" s="925"/>
      <c r="BW26" s="925"/>
      <c r="BX26" s="925"/>
      <c r="BY26" s="925"/>
      <c r="BZ26" s="925"/>
      <c r="CA26" s="925"/>
      <c r="CB26" s="925"/>
      <c r="CC26" s="925"/>
      <c r="CD26" s="925"/>
      <c r="CE26" s="925"/>
      <c r="CF26" s="925"/>
      <c r="CG26" s="925"/>
      <c r="CH26" s="925"/>
      <c r="CI26" s="925"/>
      <c r="CJ26" s="925"/>
      <c r="CK26" s="925"/>
      <c r="CL26" s="925"/>
      <c r="CM26" s="925"/>
      <c r="CN26" s="925"/>
      <c r="CO26" s="925"/>
      <c r="CP26" s="925"/>
      <c r="CQ26" s="925"/>
      <c r="CR26" s="925"/>
      <c r="CS26" s="925"/>
      <c r="CT26" s="925"/>
      <c r="CU26" s="925"/>
      <c r="CV26" s="925"/>
      <c r="CW26" s="925"/>
      <c r="CX26" s="925"/>
      <c r="CY26" s="925"/>
      <c r="CZ26" s="925"/>
      <c r="DA26" s="925"/>
      <c r="DB26" s="925"/>
      <c r="DC26" s="925"/>
      <c r="DD26" s="925"/>
      <c r="DE26" s="925"/>
      <c r="DF26" s="925"/>
      <c r="DG26" s="925"/>
      <c r="DH26" s="925"/>
      <c r="DI26" s="925"/>
      <c r="DJ26" s="925"/>
      <c r="DK26" s="925"/>
      <c r="DL26" s="925"/>
      <c r="DM26" s="925"/>
      <c r="DN26" s="925"/>
      <c r="DO26" s="925"/>
      <c r="DP26" s="925"/>
      <c r="DQ26" s="925"/>
      <c r="DR26" s="925"/>
      <c r="DS26" s="925"/>
      <c r="DT26" s="925"/>
      <c r="DU26" s="925"/>
      <c r="DV26" s="925"/>
      <c r="DW26" s="925"/>
      <c r="DX26" s="925"/>
      <c r="DY26" s="925"/>
      <c r="DZ26" s="925"/>
      <c r="EA26" s="925"/>
      <c r="EB26" s="925"/>
      <c r="EC26" s="925"/>
      <c r="ED26" s="925"/>
      <c r="EE26" s="925"/>
      <c r="EF26" s="925"/>
      <c r="EG26" s="925"/>
      <c r="EH26" s="925"/>
      <c r="EI26" s="925"/>
      <c r="EJ26" s="925"/>
      <c r="EK26" s="925"/>
      <c r="EL26" s="925"/>
      <c r="EM26" s="925"/>
      <c r="EN26" s="925"/>
      <c r="EO26" s="925"/>
      <c r="EP26" s="925"/>
      <c r="EQ26" s="925"/>
      <c r="ER26" s="925"/>
      <c r="ES26" s="925"/>
      <c r="ET26" s="925"/>
      <c r="EU26" s="925"/>
      <c r="EV26" s="925"/>
      <c r="EW26" s="925"/>
      <c r="EX26" s="925"/>
      <c r="EY26" s="925"/>
      <c r="EZ26" s="925"/>
      <c r="FA26" s="925"/>
      <c r="FB26" s="925"/>
      <c r="FC26" s="925"/>
      <c r="FD26" s="925"/>
      <c r="FE26" s="925"/>
      <c r="FF26" s="925"/>
      <c r="FG26" s="925"/>
      <c r="FH26" s="925"/>
      <c r="FI26" s="925"/>
      <c r="FJ26" s="925"/>
      <c r="FK26" s="925"/>
      <c r="FL26" s="925"/>
      <c r="FM26" s="925"/>
      <c r="FN26" s="925"/>
      <c r="FO26" s="925"/>
      <c r="FP26" s="925"/>
      <c r="FQ26" s="925"/>
      <c r="FR26" s="925"/>
      <c r="FS26" s="925"/>
      <c r="FT26" s="925"/>
      <c r="FU26" s="925"/>
      <c r="FV26" s="925"/>
      <c r="FW26" s="925"/>
      <c r="FX26" s="925"/>
      <c r="FY26" s="925"/>
      <c r="FZ26" s="925"/>
      <c r="GA26" s="925"/>
      <c r="GB26" s="925"/>
      <c r="GC26" s="925"/>
      <c r="GD26" s="925"/>
      <c r="GE26" s="925"/>
      <c r="GF26" s="925"/>
      <c r="GG26" s="925"/>
      <c r="GH26" s="925"/>
      <c r="GI26" s="925"/>
      <c r="GJ26" s="925"/>
      <c r="GK26" s="925"/>
      <c r="GL26" s="925"/>
      <c r="GM26" s="925"/>
      <c r="GN26" s="925"/>
      <c r="GO26" s="925"/>
      <c r="GP26" s="925"/>
      <c r="GQ26" s="925"/>
      <c r="GR26" s="925"/>
      <c r="GS26" s="925"/>
      <c r="GT26" s="925"/>
      <c r="GU26" s="925"/>
      <c r="GV26" s="925"/>
      <c r="GW26" s="925"/>
      <c r="GX26" s="925"/>
      <c r="GY26" s="925"/>
      <c r="GZ26" s="925"/>
      <c r="HA26" s="925"/>
      <c r="HB26" s="925"/>
      <c r="HC26" s="925"/>
      <c r="HD26" s="925"/>
      <c r="HE26" s="925"/>
      <c r="HF26" s="925"/>
      <c r="HG26" s="925"/>
      <c r="HH26" s="925"/>
      <c r="HI26" s="925"/>
      <c r="HJ26" s="925"/>
      <c r="HK26" s="925"/>
      <c r="HL26" s="925"/>
      <c r="HM26" s="925"/>
      <c r="HN26" s="925"/>
      <c r="HO26" s="925"/>
      <c r="HP26" s="925"/>
      <c r="HQ26" s="925"/>
      <c r="HR26" s="925"/>
      <c r="HS26" s="925"/>
      <c r="HT26" s="925"/>
      <c r="HU26" s="925"/>
      <c r="HV26" s="925"/>
      <c r="HW26" s="925"/>
      <c r="HX26" s="925"/>
      <c r="HY26" s="925"/>
      <c r="HZ26" s="925"/>
      <c r="IA26" s="925"/>
      <c r="IB26" s="925"/>
      <c r="IC26" s="925"/>
      <c r="ID26" s="925"/>
      <c r="IE26" s="925"/>
      <c r="IF26" s="925"/>
      <c r="IG26" s="925"/>
      <c r="IH26" s="925"/>
      <c r="II26" s="925"/>
      <c r="IJ26" s="925"/>
      <c r="IK26" s="925"/>
      <c r="IL26" s="925"/>
      <c r="IM26" s="925"/>
      <c r="IN26" s="925"/>
      <c r="IO26" s="925"/>
      <c r="IP26" s="925"/>
      <c r="IQ26" s="925"/>
      <c r="IR26" s="925"/>
      <c r="IS26" s="925"/>
      <c r="IT26" s="925"/>
    </row>
    <row r="27" spans="1:254" ht="20.25" customHeight="1">
      <c r="A27" s="1112">
        <v>5</v>
      </c>
      <c r="B27" s="1097" t="s">
        <v>4477</v>
      </c>
      <c r="C27" s="1088"/>
      <c r="D27" s="1088"/>
      <c r="E27" s="1097"/>
      <c r="F27" s="1097"/>
      <c r="G27" s="1097"/>
      <c r="H27" s="1092"/>
      <c r="I27" s="920"/>
      <c r="M27" s="1290"/>
      <c r="N27" s="1290"/>
    </row>
    <row r="28" spans="1:254" ht="17.100000000000001" customHeight="1">
      <c r="A28" s="1091"/>
      <c r="B28" s="1120" t="s">
        <v>4469</v>
      </c>
      <c r="C28" s="1088">
        <v>1</v>
      </c>
      <c r="D28" s="1088">
        <v>1</v>
      </c>
      <c r="E28" s="1089"/>
      <c r="F28" s="1090"/>
      <c r="G28" s="1089"/>
      <c r="H28" s="1084">
        <f>PRODUCT(C28:G28)</f>
        <v>1</v>
      </c>
      <c r="I28" s="920"/>
    </row>
    <row r="29" spans="1:254" s="927" customFormat="1" ht="17.100000000000001" customHeight="1">
      <c r="A29" s="1099"/>
      <c r="B29" s="1122"/>
      <c r="C29" s="1098"/>
      <c r="D29" s="1098"/>
      <c r="E29" s="1099"/>
      <c r="F29" s="1099"/>
      <c r="G29" s="1100"/>
      <c r="H29" s="1100"/>
      <c r="I29" s="926"/>
    </row>
    <row r="30" spans="1:254" ht="24" customHeight="1">
      <c r="A30" s="1086">
        <v>6</v>
      </c>
      <c r="B30" s="1118" t="s">
        <v>4478</v>
      </c>
      <c r="C30" s="1070"/>
      <c r="D30" s="1070"/>
      <c r="E30" s="1072"/>
      <c r="F30" s="1073"/>
      <c r="G30" s="1072"/>
      <c r="H30" s="1077"/>
      <c r="I30" s="920"/>
    </row>
    <row r="31" spans="1:254" ht="17.100000000000001" customHeight="1">
      <c r="A31" s="1086"/>
      <c r="B31" s="1119" t="s">
        <v>4469</v>
      </c>
      <c r="C31" s="1070">
        <v>1</v>
      </c>
      <c r="D31" s="1070">
        <v>1</v>
      </c>
      <c r="E31" s="1074"/>
      <c r="F31" s="1074"/>
      <c r="G31" s="1074"/>
      <c r="H31" s="1084">
        <f>PRODUCT(C31:G31)</f>
        <v>1</v>
      </c>
      <c r="I31" s="920"/>
    </row>
    <row r="32" spans="1:254" ht="17.100000000000001" customHeight="1">
      <c r="A32" s="1086"/>
      <c r="B32" s="1119"/>
      <c r="C32" s="1070"/>
      <c r="D32" s="1070"/>
      <c r="E32" s="1074"/>
      <c r="F32" s="1074"/>
      <c r="G32" s="1074"/>
      <c r="H32" s="1079"/>
      <c r="I32" s="920"/>
    </row>
    <row r="33" spans="1:254" ht="33.75" customHeight="1">
      <c r="A33" s="1086">
        <v>7</v>
      </c>
      <c r="B33" s="1106" t="s">
        <v>4479</v>
      </c>
      <c r="C33" s="1070"/>
      <c r="D33" s="1070"/>
      <c r="E33" s="1074"/>
      <c r="F33" s="1074"/>
      <c r="G33" s="1074"/>
      <c r="H33" s="1079"/>
      <c r="I33" s="920"/>
    </row>
    <row r="34" spans="1:254">
      <c r="A34" s="1086"/>
      <c r="B34" s="1119" t="s">
        <v>4469</v>
      </c>
      <c r="C34" s="1070">
        <v>1</v>
      </c>
      <c r="D34" s="1070">
        <v>10</v>
      </c>
      <c r="E34" s="1074"/>
      <c r="F34" s="1074"/>
      <c r="G34" s="1074"/>
      <c r="H34" s="1084">
        <f>PRODUCT(C34:G34)</f>
        <v>10</v>
      </c>
      <c r="I34" s="920"/>
    </row>
    <row r="35" spans="1:254" ht="17.100000000000001" customHeight="1">
      <c r="A35" s="1086"/>
      <c r="B35" s="1119"/>
      <c r="C35" s="1070"/>
      <c r="D35" s="1070"/>
      <c r="E35" s="1074"/>
      <c r="F35" s="1074"/>
      <c r="G35" s="1074"/>
      <c r="H35" s="1084"/>
      <c r="I35" s="920"/>
    </row>
    <row r="36" spans="1:254" ht="14.1" customHeight="1">
      <c r="A36" s="1086"/>
      <c r="B36" s="1119"/>
      <c r="C36" s="1070"/>
      <c r="D36" s="1070"/>
      <c r="E36" s="1074"/>
      <c r="F36" s="1074"/>
      <c r="G36" s="1074"/>
      <c r="H36" s="1084"/>
      <c r="O36" s="936"/>
      <c r="P36" s="936"/>
      <c r="Q36" s="936"/>
      <c r="R36" s="936"/>
      <c r="S36" s="936"/>
      <c r="T36" s="936"/>
      <c r="U36" s="936"/>
      <c r="V36" s="936"/>
      <c r="W36" s="936"/>
      <c r="X36" s="936"/>
      <c r="Y36" s="936"/>
      <c r="Z36" s="936"/>
      <c r="AA36" s="936"/>
      <c r="AB36" s="936"/>
      <c r="AC36" s="936"/>
      <c r="AD36" s="936"/>
      <c r="AE36" s="936"/>
      <c r="AF36" s="936"/>
      <c r="AG36" s="936"/>
      <c r="AH36" s="936"/>
      <c r="AI36" s="936"/>
      <c r="AJ36" s="936"/>
      <c r="AK36" s="936"/>
      <c r="AL36" s="936"/>
      <c r="AM36" s="936"/>
      <c r="AN36" s="936"/>
      <c r="AO36" s="936"/>
      <c r="AP36" s="936"/>
      <c r="AQ36" s="936"/>
      <c r="AR36" s="936"/>
      <c r="AS36" s="936"/>
      <c r="AT36" s="936"/>
      <c r="AU36" s="936"/>
      <c r="AV36" s="936"/>
      <c r="AW36" s="936"/>
      <c r="AX36" s="936"/>
      <c r="AY36" s="936"/>
      <c r="AZ36" s="936"/>
      <c r="BA36" s="936"/>
      <c r="BB36" s="936"/>
      <c r="BC36" s="936"/>
      <c r="BD36" s="936"/>
      <c r="BE36" s="936"/>
      <c r="BF36" s="936"/>
      <c r="BG36" s="936"/>
      <c r="BH36" s="936"/>
      <c r="BI36" s="936"/>
      <c r="BJ36" s="936"/>
      <c r="BK36" s="936"/>
      <c r="BL36" s="936"/>
      <c r="BM36" s="936"/>
      <c r="BN36" s="936"/>
      <c r="BO36" s="936"/>
      <c r="BP36" s="936"/>
      <c r="BQ36" s="936"/>
      <c r="BR36" s="936"/>
      <c r="BS36" s="936"/>
      <c r="BT36" s="936"/>
      <c r="BU36" s="936"/>
      <c r="BV36" s="936"/>
      <c r="BW36" s="936"/>
      <c r="BX36" s="936"/>
      <c r="BY36" s="936"/>
      <c r="BZ36" s="936"/>
      <c r="CA36" s="936"/>
      <c r="CB36" s="936"/>
      <c r="CC36" s="936"/>
      <c r="CD36" s="936"/>
      <c r="CE36" s="936"/>
      <c r="CF36" s="936"/>
      <c r="CG36" s="936"/>
      <c r="CH36" s="936"/>
      <c r="CI36" s="936"/>
      <c r="CJ36" s="936"/>
      <c r="CK36" s="936"/>
      <c r="CL36" s="936"/>
      <c r="CM36" s="936"/>
      <c r="CN36" s="936"/>
      <c r="CO36" s="936"/>
      <c r="CP36" s="936"/>
      <c r="CQ36" s="936"/>
      <c r="CR36" s="936"/>
      <c r="CS36" s="936"/>
      <c r="CT36" s="936"/>
      <c r="CU36" s="936"/>
      <c r="CV36" s="936"/>
      <c r="CW36" s="936"/>
      <c r="CX36" s="936"/>
      <c r="CY36" s="936"/>
      <c r="CZ36" s="936"/>
      <c r="DA36" s="936"/>
      <c r="DB36" s="936"/>
      <c r="DC36" s="936"/>
      <c r="DD36" s="936"/>
      <c r="DE36" s="936"/>
      <c r="DF36" s="936"/>
      <c r="DG36" s="936"/>
      <c r="DH36" s="936"/>
      <c r="DI36" s="936"/>
      <c r="DJ36" s="936"/>
      <c r="DK36" s="936"/>
      <c r="DL36" s="936"/>
      <c r="DM36" s="936"/>
      <c r="DN36" s="936"/>
      <c r="DO36" s="936"/>
      <c r="DP36" s="936"/>
      <c r="DQ36" s="936"/>
      <c r="DR36" s="936"/>
      <c r="DS36" s="936"/>
      <c r="DT36" s="936"/>
      <c r="DU36" s="936"/>
      <c r="DV36" s="936"/>
      <c r="DW36" s="936"/>
      <c r="DX36" s="936"/>
      <c r="DY36" s="936"/>
      <c r="DZ36" s="936"/>
      <c r="EA36" s="936"/>
      <c r="EB36" s="936"/>
      <c r="EC36" s="936"/>
      <c r="ED36" s="936"/>
      <c r="EE36" s="936"/>
      <c r="EF36" s="936"/>
      <c r="EG36" s="936"/>
      <c r="EH36" s="936"/>
      <c r="EI36" s="936"/>
      <c r="EJ36" s="936"/>
      <c r="EK36" s="936"/>
      <c r="EL36" s="936"/>
      <c r="EM36" s="936"/>
      <c r="EN36" s="936"/>
      <c r="EO36" s="936"/>
      <c r="EP36" s="936"/>
      <c r="EQ36" s="936"/>
      <c r="ER36" s="936"/>
      <c r="ES36" s="936"/>
      <c r="ET36" s="936"/>
      <c r="EU36" s="936"/>
      <c r="EV36" s="936"/>
      <c r="EW36" s="936"/>
      <c r="EX36" s="936"/>
      <c r="EY36" s="936"/>
      <c r="EZ36" s="936"/>
      <c r="FA36" s="936"/>
      <c r="FB36" s="936"/>
      <c r="FC36" s="936"/>
      <c r="FD36" s="936"/>
      <c r="FE36" s="936"/>
      <c r="FF36" s="936"/>
      <c r="FG36" s="936"/>
      <c r="FH36" s="936"/>
      <c r="FI36" s="936"/>
      <c r="FJ36" s="936"/>
      <c r="FK36" s="936"/>
      <c r="FL36" s="936"/>
      <c r="FM36" s="936"/>
      <c r="FN36" s="936"/>
      <c r="FO36" s="936"/>
      <c r="FP36" s="936"/>
      <c r="FQ36" s="936"/>
      <c r="FR36" s="936"/>
      <c r="FS36" s="936"/>
      <c r="FT36" s="936"/>
      <c r="FU36" s="936"/>
      <c r="FV36" s="936"/>
      <c r="FW36" s="936"/>
      <c r="FX36" s="936"/>
      <c r="FY36" s="936"/>
      <c r="FZ36" s="936"/>
      <c r="GA36" s="936"/>
      <c r="GB36" s="936"/>
      <c r="GC36" s="936"/>
      <c r="GD36" s="936"/>
      <c r="GE36" s="936"/>
      <c r="GF36" s="936"/>
      <c r="GG36" s="936"/>
      <c r="GH36" s="936"/>
      <c r="GI36" s="936"/>
      <c r="GJ36" s="936"/>
      <c r="GK36" s="936"/>
      <c r="GL36" s="936"/>
      <c r="GM36" s="936"/>
      <c r="GN36" s="936"/>
      <c r="GO36" s="936"/>
      <c r="GP36" s="936"/>
      <c r="GQ36" s="936"/>
      <c r="GR36" s="936"/>
      <c r="GS36" s="936"/>
      <c r="GT36" s="936"/>
      <c r="GU36" s="936"/>
      <c r="GV36" s="936"/>
      <c r="GW36" s="936"/>
      <c r="GX36" s="936"/>
      <c r="GY36" s="936"/>
      <c r="GZ36" s="936"/>
      <c r="HA36" s="936"/>
      <c r="HB36" s="936"/>
      <c r="HC36" s="936"/>
      <c r="HD36" s="936"/>
      <c r="HE36" s="936"/>
      <c r="HF36" s="936"/>
      <c r="HG36" s="936"/>
      <c r="HH36" s="936"/>
      <c r="HI36" s="936"/>
      <c r="HJ36" s="936"/>
      <c r="HK36" s="936"/>
      <c r="HL36" s="936"/>
      <c r="HM36" s="936"/>
      <c r="HN36" s="936"/>
      <c r="HO36" s="936"/>
      <c r="HP36" s="936"/>
      <c r="HQ36" s="936"/>
      <c r="HR36" s="936"/>
      <c r="HS36" s="936"/>
      <c r="HT36" s="936"/>
      <c r="HU36" s="936"/>
      <c r="HV36" s="936"/>
      <c r="HW36" s="936"/>
      <c r="HX36" s="936"/>
      <c r="HY36" s="936"/>
      <c r="HZ36" s="936"/>
      <c r="IA36" s="936"/>
      <c r="IB36" s="936"/>
      <c r="IC36" s="936"/>
      <c r="ID36" s="936"/>
      <c r="IE36" s="936"/>
      <c r="IF36" s="936"/>
      <c r="IG36" s="936"/>
      <c r="IH36" s="936"/>
      <c r="II36" s="936"/>
      <c r="IJ36" s="936"/>
      <c r="IK36" s="936"/>
      <c r="IL36" s="936"/>
      <c r="IM36" s="936"/>
      <c r="IN36" s="936"/>
      <c r="IO36" s="936"/>
      <c r="IP36" s="936"/>
      <c r="IQ36" s="936"/>
      <c r="IR36" s="936"/>
      <c r="IS36" s="936"/>
      <c r="IT36" s="936"/>
    </row>
    <row r="37" spans="1:254" ht="14.1" customHeight="1">
      <c r="A37" s="1115"/>
      <c r="B37" s="1125"/>
      <c r="C37" s="933"/>
      <c r="D37" s="933"/>
      <c r="E37" s="934"/>
      <c r="F37" s="934"/>
      <c r="G37" s="934"/>
      <c r="H37" s="935"/>
      <c r="O37" s="936"/>
      <c r="P37" s="936"/>
      <c r="Q37" s="936"/>
      <c r="R37" s="936"/>
      <c r="S37" s="936"/>
      <c r="T37" s="936"/>
      <c r="U37" s="936"/>
      <c r="V37" s="936"/>
      <c r="W37" s="936"/>
      <c r="X37" s="936"/>
      <c r="Y37" s="936"/>
      <c r="Z37" s="936"/>
      <c r="AA37" s="936"/>
      <c r="AB37" s="936"/>
      <c r="AC37" s="936"/>
      <c r="AD37" s="936"/>
      <c r="AE37" s="936"/>
      <c r="AF37" s="936"/>
      <c r="AG37" s="936"/>
      <c r="AH37" s="936"/>
      <c r="AI37" s="936"/>
      <c r="AJ37" s="936"/>
      <c r="AK37" s="936"/>
      <c r="AL37" s="936"/>
      <c r="AM37" s="936"/>
      <c r="AN37" s="936"/>
      <c r="AO37" s="936"/>
      <c r="AP37" s="936"/>
      <c r="AQ37" s="936"/>
      <c r="AR37" s="936"/>
      <c r="AS37" s="936"/>
      <c r="AT37" s="936"/>
      <c r="AU37" s="936"/>
      <c r="AV37" s="936"/>
      <c r="AW37" s="936"/>
      <c r="AX37" s="936"/>
      <c r="AY37" s="936"/>
      <c r="AZ37" s="936"/>
      <c r="BA37" s="936"/>
      <c r="BB37" s="936"/>
      <c r="BC37" s="936"/>
      <c r="BD37" s="936"/>
      <c r="BE37" s="936"/>
      <c r="BF37" s="936"/>
      <c r="BG37" s="936"/>
      <c r="BH37" s="936"/>
      <c r="BI37" s="936"/>
      <c r="BJ37" s="936"/>
      <c r="BK37" s="936"/>
      <c r="BL37" s="936"/>
      <c r="BM37" s="936"/>
      <c r="BN37" s="936"/>
      <c r="BO37" s="936"/>
      <c r="BP37" s="936"/>
      <c r="BQ37" s="936"/>
      <c r="BR37" s="936"/>
      <c r="BS37" s="936"/>
      <c r="BT37" s="936"/>
      <c r="BU37" s="936"/>
      <c r="BV37" s="936"/>
      <c r="BW37" s="936"/>
      <c r="BX37" s="936"/>
      <c r="BY37" s="936"/>
      <c r="BZ37" s="936"/>
      <c r="CA37" s="936"/>
      <c r="CB37" s="936"/>
      <c r="CC37" s="936"/>
      <c r="CD37" s="936"/>
      <c r="CE37" s="936"/>
      <c r="CF37" s="936"/>
      <c r="CG37" s="936"/>
      <c r="CH37" s="936"/>
      <c r="CI37" s="936"/>
      <c r="CJ37" s="936"/>
      <c r="CK37" s="936"/>
      <c r="CL37" s="936"/>
      <c r="CM37" s="936"/>
      <c r="CN37" s="936"/>
      <c r="CO37" s="936"/>
      <c r="CP37" s="936"/>
      <c r="CQ37" s="936"/>
      <c r="CR37" s="936"/>
      <c r="CS37" s="936"/>
      <c r="CT37" s="936"/>
      <c r="CU37" s="936"/>
      <c r="CV37" s="936"/>
      <c r="CW37" s="936"/>
      <c r="CX37" s="936"/>
      <c r="CY37" s="936"/>
      <c r="CZ37" s="936"/>
      <c r="DA37" s="936"/>
      <c r="DB37" s="936"/>
      <c r="DC37" s="936"/>
      <c r="DD37" s="936"/>
      <c r="DE37" s="936"/>
      <c r="DF37" s="936"/>
      <c r="DG37" s="936"/>
      <c r="DH37" s="936"/>
      <c r="DI37" s="936"/>
      <c r="DJ37" s="936"/>
      <c r="DK37" s="936"/>
      <c r="DL37" s="936"/>
      <c r="DM37" s="936"/>
      <c r="DN37" s="936"/>
      <c r="DO37" s="936"/>
      <c r="DP37" s="936"/>
      <c r="DQ37" s="936"/>
      <c r="DR37" s="936"/>
      <c r="DS37" s="936"/>
      <c r="DT37" s="936"/>
      <c r="DU37" s="936"/>
      <c r="DV37" s="936"/>
      <c r="DW37" s="936"/>
      <c r="DX37" s="936"/>
      <c r="DY37" s="936"/>
      <c r="DZ37" s="936"/>
      <c r="EA37" s="936"/>
      <c r="EB37" s="936"/>
      <c r="EC37" s="936"/>
      <c r="ED37" s="936"/>
      <c r="EE37" s="936"/>
      <c r="EF37" s="936"/>
      <c r="EG37" s="936"/>
      <c r="EH37" s="936"/>
      <c r="EI37" s="936"/>
      <c r="EJ37" s="936"/>
      <c r="EK37" s="936"/>
      <c r="EL37" s="936"/>
      <c r="EM37" s="936"/>
      <c r="EN37" s="936"/>
      <c r="EO37" s="936"/>
      <c r="EP37" s="936"/>
      <c r="EQ37" s="936"/>
      <c r="ER37" s="936"/>
      <c r="ES37" s="936"/>
      <c r="ET37" s="936"/>
      <c r="EU37" s="936"/>
      <c r="EV37" s="936"/>
      <c r="EW37" s="936"/>
      <c r="EX37" s="936"/>
      <c r="EY37" s="936"/>
      <c r="EZ37" s="936"/>
      <c r="FA37" s="936"/>
      <c r="FB37" s="936"/>
      <c r="FC37" s="936"/>
      <c r="FD37" s="936"/>
      <c r="FE37" s="936"/>
      <c r="FF37" s="936"/>
      <c r="FG37" s="936"/>
      <c r="FH37" s="936"/>
      <c r="FI37" s="936"/>
      <c r="FJ37" s="936"/>
      <c r="FK37" s="936"/>
      <c r="FL37" s="936"/>
      <c r="FM37" s="936"/>
      <c r="FN37" s="936"/>
      <c r="FO37" s="936"/>
      <c r="FP37" s="936"/>
      <c r="FQ37" s="936"/>
      <c r="FR37" s="936"/>
      <c r="FS37" s="936"/>
      <c r="FT37" s="936"/>
      <c r="FU37" s="936"/>
      <c r="FV37" s="936"/>
      <c r="FW37" s="936"/>
      <c r="FX37" s="936"/>
      <c r="FY37" s="936"/>
      <c r="FZ37" s="936"/>
      <c r="GA37" s="936"/>
      <c r="GB37" s="936"/>
      <c r="GC37" s="936"/>
      <c r="GD37" s="936"/>
      <c r="GE37" s="936"/>
      <c r="GF37" s="936"/>
      <c r="GG37" s="936"/>
      <c r="GH37" s="936"/>
      <c r="GI37" s="936"/>
      <c r="GJ37" s="936"/>
      <c r="GK37" s="936"/>
      <c r="GL37" s="936"/>
      <c r="GM37" s="936"/>
      <c r="GN37" s="936"/>
      <c r="GO37" s="936"/>
      <c r="GP37" s="936"/>
      <c r="GQ37" s="936"/>
      <c r="GR37" s="936"/>
      <c r="GS37" s="936"/>
      <c r="GT37" s="936"/>
      <c r="GU37" s="936"/>
      <c r="GV37" s="936"/>
      <c r="GW37" s="936"/>
      <c r="GX37" s="936"/>
      <c r="GY37" s="936"/>
      <c r="GZ37" s="936"/>
      <c r="HA37" s="936"/>
      <c r="HB37" s="936"/>
      <c r="HC37" s="936"/>
      <c r="HD37" s="936"/>
      <c r="HE37" s="936"/>
      <c r="HF37" s="936"/>
      <c r="HG37" s="936"/>
      <c r="HH37" s="936"/>
      <c r="HI37" s="936"/>
      <c r="HJ37" s="936"/>
      <c r="HK37" s="936"/>
      <c r="HL37" s="936"/>
      <c r="HM37" s="936"/>
      <c r="HN37" s="936"/>
      <c r="HO37" s="936"/>
      <c r="HP37" s="936"/>
      <c r="HQ37" s="936"/>
      <c r="HR37" s="936"/>
      <c r="HS37" s="936"/>
      <c r="HT37" s="936"/>
      <c r="HU37" s="936"/>
      <c r="HV37" s="936"/>
      <c r="HW37" s="936"/>
      <c r="HX37" s="936"/>
      <c r="HY37" s="936"/>
      <c r="HZ37" s="936"/>
      <c r="IA37" s="936"/>
      <c r="IB37" s="936"/>
      <c r="IC37" s="936"/>
      <c r="ID37" s="936"/>
      <c r="IE37" s="936"/>
      <c r="IF37" s="936"/>
      <c r="IG37" s="936"/>
      <c r="IH37" s="936"/>
      <c r="II37" s="936"/>
      <c r="IJ37" s="936"/>
      <c r="IK37" s="936"/>
      <c r="IL37" s="936"/>
      <c r="IM37" s="936"/>
      <c r="IN37" s="936"/>
      <c r="IO37" s="936"/>
      <c r="IP37" s="936"/>
      <c r="IQ37" s="936"/>
      <c r="IR37" s="936"/>
      <c r="IS37" s="936"/>
      <c r="IT37" s="936"/>
    </row>
    <row r="38" spans="1:254" ht="14.1" customHeight="1">
      <c r="A38" s="1116"/>
      <c r="B38" s="1116"/>
      <c r="C38" s="938"/>
      <c r="D38" s="938"/>
      <c r="E38" s="938"/>
      <c r="F38" s="938"/>
      <c r="G38" s="938"/>
      <c r="H38" s="938"/>
      <c r="J38" s="936"/>
      <c r="K38" s="936"/>
      <c r="L38" s="936"/>
      <c r="M38" s="936"/>
      <c r="N38" s="936"/>
      <c r="O38" s="936"/>
      <c r="P38" s="936"/>
      <c r="Q38" s="936"/>
      <c r="R38" s="936"/>
      <c r="S38" s="936"/>
      <c r="T38" s="936"/>
      <c r="U38" s="936"/>
      <c r="V38" s="936"/>
      <c r="W38" s="936"/>
      <c r="X38" s="936"/>
      <c r="Y38" s="936"/>
      <c r="Z38" s="936"/>
      <c r="AA38" s="936"/>
      <c r="AB38" s="936"/>
      <c r="AC38" s="936"/>
      <c r="AD38" s="936"/>
      <c r="AE38" s="936"/>
      <c r="AF38" s="936"/>
      <c r="AG38" s="936"/>
      <c r="AH38" s="936"/>
      <c r="AI38" s="936"/>
      <c r="AJ38" s="936"/>
      <c r="AK38" s="936"/>
      <c r="AL38" s="936"/>
      <c r="AM38" s="936"/>
      <c r="AN38" s="936"/>
      <c r="AO38" s="936"/>
      <c r="AP38" s="936"/>
      <c r="AQ38" s="936"/>
      <c r="AR38" s="936"/>
      <c r="AS38" s="936"/>
      <c r="AT38" s="936"/>
      <c r="AU38" s="936"/>
      <c r="AV38" s="936"/>
      <c r="AW38" s="936"/>
      <c r="AX38" s="936"/>
      <c r="AY38" s="936"/>
      <c r="AZ38" s="936"/>
      <c r="BA38" s="936"/>
      <c r="BB38" s="936"/>
      <c r="BC38" s="936"/>
      <c r="BD38" s="936"/>
      <c r="BE38" s="936"/>
      <c r="BF38" s="936"/>
      <c r="BG38" s="936"/>
      <c r="BH38" s="936"/>
      <c r="BI38" s="936"/>
      <c r="BJ38" s="936"/>
      <c r="BK38" s="936"/>
      <c r="BL38" s="936"/>
      <c r="BM38" s="936"/>
      <c r="BN38" s="936"/>
      <c r="BO38" s="936"/>
      <c r="BP38" s="936"/>
      <c r="BQ38" s="936"/>
      <c r="BR38" s="936"/>
      <c r="BS38" s="936"/>
      <c r="BT38" s="936"/>
      <c r="BU38" s="936"/>
      <c r="BV38" s="936"/>
      <c r="BW38" s="936"/>
      <c r="BX38" s="936"/>
      <c r="BY38" s="936"/>
      <c r="BZ38" s="936"/>
      <c r="CA38" s="936"/>
      <c r="CB38" s="936"/>
      <c r="CC38" s="936"/>
      <c r="CD38" s="936"/>
      <c r="CE38" s="936"/>
      <c r="CF38" s="936"/>
      <c r="CG38" s="936"/>
      <c r="CH38" s="936"/>
      <c r="CI38" s="936"/>
      <c r="CJ38" s="936"/>
      <c r="CK38" s="936"/>
      <c r="CL38" s="936"/>
      <c r="CM38" s="936"/>
      <c r="CN38" s="936"/>
      <c r="CO38" s="936"/>
      <c r="CP38" s="936"/>
      <c r="CQ38" s="936"/>
      <c r="CR38" s="936"/>
      <c r="CS38" s="936"/>
      <c r="CT38" s="936"/>
      <c r="CU38" s="936"/>
      <c r="CV38" s="936"/>
      <c r="CW38" s="936"/>
      <c r="CX38" s="936"/>
      <c r="CY38" s="936"/>
      <c r="CZ38" s="936"/>
      <c r="DA38" s="936"/>
      <c r="DB38" s="936"/>
      <c r="DC38" s="936"/>
      <c r="DD38" s="936"/>
      <c r="DE38" s="936"/>
      <c r="DF38" s="936"/>
      <c r="DG38" s="936"/>
      <c r="DH38" s="936"/>
      <c r="DI38" s="936"/>
      <c r="DJ38" s="936"/>
      <c r="DK38" s="936"/>
      <c r="DL38" s="936"/>
      <c r="DM38" s="936"/>
      <c r="DN38" s="936"/>
      <c r="DO38" s="936"/>
      <c r="DP38" s="936"/>
      <c r="DQ38" s="936"/>
      <c r="DR38" s="936"/>
      <c r="DS38" s="936"/>
      <c r="DT38" s="936"/>
      <c r="DU38" s="936"/>
      <c r="DV38" s="936"/>
      <c r="DW38" s="936"/>
      <c r="DX38" s="936"/>
      <c r="DY38" s="936"/>
      <c r="DZ38" s="936"/>
      <c r="EA38" s="936"/>
      <c r="EB38" s="936"/>
      <c r="EC38" s="936"/>
      <c r="ED38" s="936"/>
      <c r="EE38" s="936"/>
      <c r="EF38" s="936"/>
      <c r="EG38" s="936"/>
      <c r="EH38" s="936"/>
      <c r="EI38" s="936"/>
      <c r="EJ38" s="936"/>
      <c r="EK38" s="936"/>
      <c r="EL38" s="936"/>
      <c r="EM38" s="936"/>
      <c r="EN38" s="936"/>
      <c r="EO38" s="936"/>
      <c r="EP38" s="936"/>
      <c r="EQ38" s="936"/>
      <c r="ER38" s="936"/>
      <c r="ES38" s="936"/>
      <c r="ET38" s="936"/>
      <c r="EU38" s="936"/>
      <c r="EV38" s="936"/>
      <c r="EW38" s="936"/>
      <c r="EX38" s="936"/>
      <c r="EY38" s="936"/>
      <c r="EZ38" s="936"/>
      <c r="FA38" s="936"/>
      <c r="FB38" s="936"/>
      <c r="FC38" s="936"/>
      <c r="FD38" s="936"/>
      <c r="FE38" s="936"/>
      <c r="FF38" s="936"/>
      <c r="FG38" s="936"/>
      <c r="FH38" s="936"/>
      <c r="FI38" s="936"/>
      <c r="FJ38" s="936"/>
      <c r="FK38" s="936"/>
      <c r="FL38" s="936"/>
      <c r="FM38" s="936"/>
      <c r="FN38" s="936"/>
      <c r="FO38" s="936"/>
      <c r="FP38" s="936"/>
      <c r="FQ38" s="936"/>
      <c r="FR38" s="936"/>
      <c r="FS38" s="936"/>
      <c r="FT38" s="936"/>
      <c r="FU38" s="936"/>
      <c r="FV38" s="936"/>
      <c r="FW38" s="936"/>
      <c r="FX38" s="936"/>
      <c r="FY38" s="936"/>
      <c r="FZ38" s="936"/>
      <c r="GA38" s="936"/>
      <c r="GB38" s="936"/>
      <c r="GC38" s="936"/>
      <c r="GD38" s="936"/>
      <c r="GE38" s="936"/>
      <c r="GF38" s="936"/>
      <c r="GG38" s="936"/>
      <c r="GH38" s="936"/>
      <c r="GI38" s="936"/>
      <c r="GJ38" s="936"/>
      <c r="GK38" s="936"/>
      <c r="GL38" s="936"/>
      <c r="GM38" s="936"/>
      <c r="GN38" s="936"/>
      <c r="GO38" s="936"/>
      <c r="GP38" s="936"/>
      <c r="GQ38" s="936"/>
      <c r="GR38" s="936"/>
      <c r="GS38" s="936"/>
      <c r="GT38" s="936"/>
      <c r="GU38" s="936"/>
      <c r="GV38" s="936"/>
      <c r="GW38" s="936"/>
      <c r="GX38" s="936"/>
      <c r="GY38" s="936"/>
      <c r="GZ38" s="936"/>
      <c r="HA38" s="936"/>
      <c r="HB38" s="936"/>
      <c r="HC38" s="936"/>
      <c r="HD38" s="936"/>
      <c r="HE38" s="936"/>
      <c r="HF38" s="936"/>
      <c r="HG38" s="936"/>
      <c r="HH38" s="936"/>
      <c r="HI38" s="936"/>
      <c r="HJ38" s="936"/>
      <c r="HK38" s="936"/>
      <c r="HL38" s="936"/>
      <c r="HM38" s="936"/>
      <c r="HN38" s="936"/>
      <c r="HO38" s="936"/>
      <c r="HP38" s="936"/>
      <c r="HQ38" s="936"/>
      <c r="HR38" s="936"/>
      <c r="HS38" s="936"/>
      <c r="HT38" s="936"/>
      <c r="HU38" s="936"/>
      <c r="HV38" s="936"/>
      <c r="HW38" s="936"/>
      <c r="HX38" s="936"/>
      <c r="HY38" s="936"/>
      <c r="HZ38" s="936"/>
      <c r="IA38" s="936"/>
      <c r="IB38" s="936"/>
      <c r="IC38" s="936"/>
      <c r="ID38" s="936"/>
      <c r="IE38" s="936"/>
      <c r="IF38" s="936"/>
      <c r="IG38" s="936"/>
      <c r="IH38" s="936"/>
      <c r="II38" s="936"/>
      <c r="IJ38" s="936"/>
      <c r="IK38" s="936"/>
      <c r="IL38" s="936"/>
      <c r="IM38" s="936"/>
      <c r="IN38" s="936"/>
      <c r="IO38" s="936"/>
      <c r="IP38" s="936"/>
      <c r="IQ38" s="936"/>
      <c r="IR38" s="936"/>
      <c r="IS38" s="936"/>
      <c r="IT38" s="936"/>
    </row>
    <row r="39" spans="1:254" ht="14.1" customHeight="1">
      <c r="A39" s="1116"/>
      <c r="B39" s="1116"/>
      <c r="C39" s="938"/>
      <c r="D39" s="938"/>
      <c r="E39" s="938"/>
      <c r="F39" s="938"/>
      <c r="G39" s="938"/>
      <c r="H39" s="938"/>
      <c r="J39" s="936"/>
      <c r="K39" s="936"/>
      <c r="L39" s="936"/>
      <c r="M39" s="936"/>
      <c r="N39" s="936"/>
      <c r="O39" s="936"/>
      <c r="P39" s="936"/>
      <c r="Q39" s="936"/>
      <c r="R39" s="936"/>
      <c r="S39" s="936"/>
      <c r="T39" s="936"/>
      <c r="U39" s="936"/>
      <c r="V39" s="936"/>
      <c r="W39" s="936"/>
      <c r="X39" s="936"/>
      <c r="Y39" s="936"/>
      <c r="Z39" s="936"/>
      <c r="AA39" s="936"/>
      <c r="AB39" s="936"/>
      <c r="AC39" s="936"/>
      <c r="AD39" s="936"/>
      <c r="AE39" s="936"/>
      <c r="AF39" s="936"/>
      <c r="AG39" s="936"/>
      <c r="AH39" s="936"/>
      <c r="AI39" s="936"/>
      <c r="AJ39" s="936"/>
      <c r="AK39" s="936"/>
      <c r="AL39" s="936"/>
      <c r="AM39" s="936"/>
      <c r="AN39" s="936"/>
      <c r="AO39" s="936"/>
      <c r="AP39" s="936"/>
      <c r="AQ39" s="936"/>
      <c r="AR39" s="936"/>
      <c r="AS39" s="936"/>
      <c r="AT39" s="936"/>
      <c r="AU39" s="936"/>
      <c r="AV39" s="936"/>
      <c r="AW39" s="936"/>
      <c r="AX39" s="936"/>
      <c r="AY39" s="936"/>
      <c r="AZ39" s="936"/>
      <c r="BA39" s="936"/>
      <c r="BB39" s="936"/>
      <c r="BC39" s="936"/>
      <c r="BD39" s="936"/>
      <c r="BE39" s="936"/>
      <c r="BF39" s="936"/>
      <c r="BG39" s="936"/>
      <c r="BH39" s="936"/>
      <c r="BI39" s="936"/>
      <c r="BJ39" s="936"/>
      <c r="BK39" s="936"/>
      <c r="BL39" s="936"/>
      <c r="BM39" s="936"/>
      <c r="BN39" s="936"/>
      <c r="BO39" s="936"/>
      <c r="BP39" s="936"/>
      <c r="BQ39" s="936"/>
      <c r="BR39" s="936"/>
      <c r="BS39" s="936"/>
      <c r="BT39" s="936"/>
      <c r="BU39" s="936"/>
      <c r="BV39" s="936"/>
      <c r="BW39" s="936"/>
      <c r="BX39" s="936"/>
      <c r="BY39" s="936"/>
      <c r="BZ39" s="936"/>
      <c r="CA39" s="936"/>
      <c r="CB39" s="936"/>
      <c r="CC39" s="936"/>
      <c r="CD39" s="936"/>
      <c r="CE39" s="936"/>
      <c r="CF39" s="936"/>
      <c r="CG39" s="936"/>
      <c r="CH39" s="936"/>
      <c r="CI39" s="936"/>
      <c r="CJ39" s="936"/>
      <c r="CK39" s="936"/>
      <c r="CL39" s="936"/>
      <c r="CM39" s="936"/>
      <c r="CN39" s="936"/>
      <c r="CO39" s="936"/>
      <c r="CP39" s="936"/>
      <c r="CQ39" s="936"/>
      <c r="CR39" s="936"/>
      <c r="CS39" s="936"/>
      <c r="CT39" s="936"/>
      <c r="CU39" s="936"/>
      <c r="CV39" s="936"/>
      <c r="CW39" s="936"/>
      <c r="CX39" s="936"/>
      <c r="CY39" s="936"/>
      <c r="CZ39" s="936"/>
      <c r="DA39" s="936"/>
      <c r="DB39" s="936"/>
      <c r="DC39" s="936"/>
      <c r="DD39" s="936"/>
      <c r="DE39" s="936"/>
      <c r="DF39" s="936"/>
      <c r="DG39" s="936"/>
      <c r="DH39" s="936"/>
      <c r="DI39" s="936"/>
      <c r="DJ39" s="936"/>
      <c r="DK39" s="936"/>
      <c r="DL39" s="936"/>
      <c r="DM39" s="936"/>
      <c r="DN39" s="936"/>
      <c r="DO39" s="936"/>
      <c r="DP39" s="936"/>
      <c r="DQ39" s="936"/>
      <c r="DR39" s="936"/>
      <c r="DS39" s="936"/>
      <c r="DT39" s="936"/>
      <c r="DU39" s="936"/>
      <c r="DV39" s="936"/>
      <c r="DW39" s="936"/>
      <c r="DX39" s="936"/>
      <c r="DY39" s="936"/>
      <c r="DZ39" s="936"/>
      <c r="EA39" s="936"/>
      <c r="EB39" s="936"/>
      <c r="EC39" s="936"/>
      <c r="ED39" s="936"/>
      <c r="EE39" s="936"/>
      <c r="EF39" s="936"/>
      <c r="EG39" s="936"/>
      <c r="EH39" s="936"/>
      <c r="EI39" s="936"/>
      <c r="EJ39" s="936"/>
      <c r="EK39" s="936"/>
      <c r="EL39" s="936"/>
      <c r="EM39" s="936"/>
      <c r="EN39" s="936"/>
      <c r="EO39" s="936"/>
      <c r="EP39" s="936"/>
      <c r="EQ39" s="936"/>
      <c r="ER39" s="936"/>
      <c r="ES39" s="936"/>
      <c r="ET39" s="936"/>
      <c r="EU39" s="936"/>
      <c r="EV39" s="936"/>
      <c r="EW39" s="936"/>
      <c r="EX39" s="936"/>
      <c r="EY39" s="936"/>
      <c r="EZ39" s="936"/>
      <c r="FA39" s="936"/>
      <c r="FB39" s="936"/>
      <c r="FC39" s="936"/>
      <c r="FD39" s="936"/>
      <c r="FE39" s="936"/>
      <c r="FF39" s="936"/>
      <c r="FG39" s="936"/>
      <c r="FH39" s="936"/>
      <c r="FI39" s="936"/>
      <c r="FJ39" s="936"/>
      <c r="FK39" s="936"/>
      <c r="FL39" s="936"/>
      <c r="FM39" s="936"/>
      <c r="FN39" s="936"/>
      <c r="FO39" s="936"/>
      <c r="FP39" s="936"/>
      <c r="FQ39" s="936"/>
      <c r="FR39" s="936"/>
      <c r="FS39" s="936"/>
      <c r="FT39" s="936"/>
      <c r="FU39" s="936"/>
      <c r="FV39" s="936"/>
      <c r="FW39" s="936"/>
      <c r="FX39" s="936"/>
      <c r="FY39" s="936"/>
      <c r="FZ39" s="936"/>
      <c r="GA39" s="936"/>
      <c r="GB39" s="936"/>
      <c r="GC39" s="936"/>
      <c r="GD39" s="936"/>
      <c r="GE39" s="936"/>
      <c r="GF39" s="936"/>
      <c r="GG39" s="936"/>
      <c r="GH39" s="936"/>
      <c r="GI39" s="936"/>
      <c r="GJ39" s="936"/>
      <c r="GK39" s="936"/>
      <c r="GL39" s="936"/>
      <c r="GM39" s="936"/>
      <c r="GN39" s="936"/>
      <c r="GO39" s="936"/>
      <c r="GP39" s="936"/>
      <c r="GQ39" s="936"/>
      <c r="GR39" s="936"/>
      <c r="GS39" s="936"/>
      <c r="GT39" s="936"/>
      <c r="GU39" s="936"/>
      <c r="GV39" s="936"/>
      <c r="GW39" s="936"/>
      <c r="GX39" s="936"/>
      <c r="GY39" s="936"/>
      <c r="GZ39" s="936"/>
      <c r="HA39" s="936"/>
      <c r="HB39" s="936"/>
      <c r="HC39" s="936"/>
      <c r="HD39" s="936"/>
      <c r="HE39" s="936"/>
      <c r="HF39" s="936"/>
      <c r="HG39" s="936"/>
      <c r="HH39" s="936"/>
      <c r="HI39" s="936"/>
      <c r="HJ39" s="936"/>
      <c r="HK39" s="936"/>
      <c r="HL39" s="936"/>
      <c r="HM39" s="936"/>
      <c r="HN39" s="936"/>
      <c r="HO39" s="936"/>
      <c r="HP39" s="936"/>
      <c r="HQ39" s="936"/>
      <c r="HR39" s="936"/>
      <c r="HS39" s="936"/>
      <c r="HT39" s="936"/>
      <c r="HU39" s="936"/>
      <c r="HV39" s="936"/>
      <c r="HW39" s="936"/>
      <c r="HX39" s="936"/>
      <c r="HY39" s="936"/>
      <c r="HZ39" s="936"/>
      <c r="IA39" s="936"/>
      <c r="IB39" s="936"/>
      <c r="IC39" s="936"/>
      <c r="ID39" s="936"/>
      <c r="IE39" s="936"/>
      <c r="IF39" s="936"/>
      <c r="IG39" s="936"/>
      <c r="IH39" s="936"/>
      <c r="II39" s="936"/>
      <c r="IJ39" s="936"/>
      <c r="IK39" s="936"/>
      <c r="IL39" s="936"/>
      <c r="IM39" s="936"/>
      <c r="IN39" s="936"/>
      <c r="IO39" s="936"/>
      <c r="IP39" s="936"/>
      <c r="IQ39" s="936"/>
      <c r="IR39" s="936"/>
      <c r="IS39" s="936"/>
      <c r="IT39" s="936"/>
    </row>
    <row r="40" spans="1:254" ht="14.1" customHeight="1">
      <c r="C40" s="940"/>
      <c r="D40" s="940"/>
      <c r="E40" s="939"/>
      <c r="F40" s="939"/>
      <c r="G40" s="939"/>
      <c r="H40" s="939"/>
      <c r="J40" s="936"/>
      <c r="K40" s="936"/>
      <c r="L40" s="936"/>
      <c r="M40" s="936"/>
      <c r="N40" s="936"/>
      <c r="O40" s="936"/>
      <c r="P40" s="936"/>
      <c r="Q40" s="936"/>
      <c r="R40" s="936"/>
      <c r="S40" s="936"/>
      <c r="T40" s="936"/>
      <c r="U40" s="936"/>
      <c r="V40" s="936"/>
      <c r="W40" s="936"/>
      <c r="X40" s="936"/>
      <c r="Y40" s="936"/>
      <c r="Z40" s="936"/>
      <c r="AA40" s="936"/>
      <c r="AB40" s="936"/>
      <c r="AC40" s="936"/>
      <c r="AD40" s="936"/>
      <c r="AE40" s="936"/>
      <c r="AF40" s="936"/>
      <c r="AG40" s="936"/>
      <c r="AH40" s="936"/>
      <c r="AI40" s="936"/>
      <c r="AJ40" s="936"/>
      <c r="AK40" s="936"/>
      <c r="AL40" s="936"/>
      <c r="AM40" s="936"/>
      <c r="AN40" s="936"/>
      <c r="AO40" s="936"/>
      <c r="AP40" s="936"/>
      <c r="AQ40" s="936"/>
      <c r="AR40" s="936"/>
      <c r="AS40" s="936"/>
      <c r="AT40" s="936"/>
      <c r="AU40" s="936"/>
      <c r="AV40" s="936"/>
      <c r="AW40" s="936"/>
      <c r="AX40" s="936"/>
      <c r="AY40" s="936"/>
      <c r="AZ40" s="936"/>
      <c r="BA40" s="936"/>
      <c r="BB40" s="936"/>
      <c r="BC40" s="936"/>
      <c r="BD40" s="936"/>
      <c r="BE40" s="936"/>
      <c r="BF40" s="936"/>
      <c r="BG40" s="936"/>
      <c r="BH40" s="936"/>
      <c r="BI40" s="936"/>
      <c r="BJ40" s="936"/>
      <c r="BK40" s="936"/>
      <c r="BL40" s="936"/>
      <c r="BM40" s="936"/>
      <c r="BN40" s="936"/>
      <c r="BO40" s="936"/>
      <c r="BP40" s="936"/>
      <c r="BQ40" s="936"/>
      <c r="BR40" s="936"/>
      <c r="BS40" s="936"/>
      <c r="BT40" s="936"/>
      <c r="BU40" s="936"/>
      <c r="BV40" s="936"/>
      <c r="BW40" s="936"/>
      <c r="BX40" s="936"/>
      <c r="BY40" s="936"/>
      <c r="BZ40" s="936"/>
      <c r="CA40" s="936"/>
      <c r="CB40" s="936"/>
      <c r="CC40" s="936"/>
      <c r="CD40" s="936"/>
      <c r="CE40" s="936"/>
      <c r="CF40" s="936"/>
      <c r="CG40" s="936"/>
      <c r="CH40" s="936"/>
      <c r="CI40" s="936"/>
      <c r="CJ40" s="936"/>
      <c r="CK40" s="936"/>
      <c r="CL40" s="936"/>
      <c r="CM40" s="936"/>
      <c r="CN40" s="936"/>
      <c r="CO40" s="936"/>
      <c r="CP40" s="936"/>
      <c r="CQ40" s="936"/>
      <c r="CR40" s="936"/>
      <c r="CS40" s="936"/>
      <c r="CT40" s="936"/>
      <c r="CU40" s="936"/>
      <c r="CV40" s="936"/>
      <c r="CW40" s="936"/>
      <c r="CX40" s="936"/>
      <c r="CY40" s="936"/>
      <c r="CZ40" s="936"/>
      <c r="DA40" s="936"/>
      <c r="DB40" s="936"/>
      <c r="DC40" s="936"/>
      <c r="DD40" s="936"/>
      <c r="DE40" s="936"/>
      <c r="DF40" s="936"/>
      <c r="DG40" s="936"/>
      <c r="DH40" s="936"/>
      <c r="DI40" s="936"/>
      <c r="DJ40" s="936"/>
      <c r="DK40" s="936"/>
      <c r="DL40" s="936"/>
      <c r="DM40" s="936"/>
      <c r="DN40" s="936"/>
      <c r="DO40" s="936"/>
      <c r="DP40" s="936"/>
      <c r="DQ40" s="936"/>
      <c r="DR40" s="936"/>
      <c r="DS40" s="936"/>
      <c r="DT40" s="936"/>
      <c r="DU40" s="936"/>
      <c r="DV40" s="936"/>
      <c r="DW40" s="936"/>
      <c r="DX40" s="936"/>
      <c r="DY40" s="936"/>
      <c r="DZ40" s="936"/>
      <c r="EA40" s="936"/>
      <c r="EB40" s="936"/>
      <c r="EC40" s="936"/>
      <c r="ED40" s="936"/>
      <c r="EE40" s="936"/>
      <c r="EF40" s="936"/>
      <c r="EG40" s="936"/>
      <c r="EH40" s="936"/>
      <c r="EI40" s="936"/>
      <c r="EJ40" s="936"/>
      <c r="EK40" s="936"/>
      <c r="EL40" s="936"/>
      <c r="EM40" s="936"/>
      <c r="EN40" s="936"/>
      <c r="EO40" s="936"/>
      <c r="EP40" s="936"/>
      <c r="EQ40" s="936"/>
      <c r="ER40" s="936"/>
      <c r="ES40" s="936"/>
      <c r="ET40" s="936"/>
      <c r="EU40" s="936"/>
      <c r="EV40" s="936"/>
      <c r="EW40" s="936"/>
      <c r="EX40" s="936"/>
      <c r="EY40" s="936"/>
      <c r="EZ40" s="936"/>
      <c r="FA40" s="936"/>
      <c r="FB40" s="936"/>
      <c r="FC40" s="936"/>
      <c r="FD40" s="936"/>
      <c r="FE40" s="936"/>
      <c r="FF40" s="936"/>
      <c r="FG40" s="936"/>
      <c r="FH40" s="936"/>
      <c r="FI40" s="936"/>
      <c r="FJ40" s="936"/>
      <c r="FK40" s="936"/>
      <c r="FL40" s="936"/>
      <c r="FM40" s="936"/>
      <c r="FN40" s="936"/>
      <c r="FO40" s="936"/>
      <c r="FP40" s="936"/>
      <c r="FQ40" s="936"/>
      <c r="FR40" s="936"/>
      <c r="FS40" s="936"/>
      <c r="FT40" s="936"/>
      <c r="FU40" s="936"/>
      <c r="FV40" s="936"/>
      <c r="FW40" s="936"/>
      <c r="FX40" s="936"/>
      <c r="FY40" s="936"/>
      <c r="FZ40" s="936"/>
      <c r="GA40" s="936"/>
      <c r="GB40" s="936"/>
      <c r="GC40" s="936"/>
      <c r="GD40" s="936"/>
      <c r="GE40" s="936"/>
      <c r="GF40" s="936"/>
      <c r="GG40" s="936"/>
      <c r="GH40" s="936"/>
      <c r="GI40" s="936"/>
      <c r="GJ40" s="936"/>
      <c r="GK40" s="936"/>
      <c r="GL40" s="936"/>
      <c r="GM40" s="936"/>
      <c r="GN40" s="936"/>
      <c r="GO40" s="936"/>
      <c r="GP40" s="936"/>
      <c r="GQ40" s="936"/>
      <c r="GR40" s="936"/>
      <c r="GS40" s="936"/>
      <c r="GT40" s="936"/>
      <c r="GU40" s="936"/>
      <c r="GV40" s="936"/>
      <c r="GW40" s="936"/>
      <c r="GX40" s="936"/>
      <c r="GY40" s="936"/>
      <c r="GZ40" s="936"/>
      <c r="HA40" s="936"/>
      <c r="HB40" s="936"/>
      <c r="HC40" s="936"/>
      <c r="HD40" s="936"/>
      <c r="HE40" s="936"/>
      <c r="HF40" s="936"/>
      <c r="HG40" s="936"/>
      <c r="HH40" s="936"/>
      <c r="HI40" s="936"/>
      <c r="HJ40" s="936"/>
      <c r="HK40" s="936"/>
      <c r="HL40" s="936"/>
      <c r="HM40" s="936"/>
      <c r="HN40" s="936"/>
      <c r="HO40" s="936"/>
      <c r="HP40" s="936"/>
      <c r="HQ40" s="936"/>
      <c r="HR40" s="936"/>
      <c r="HS40" s="936"/>
      <c r="HT40" s="936"/>
      <c r="HU40" s="936"/>
      <c r="HV40" s="936"/>
      <c r="HW40" s="936"/>
      <c r="HX40" s="936"/>
      <c r="HY40" s="936"/>
      <c r="HZ40" s="936"/>
      <c r="IA40" s="936"/>
      <c r="IB40" s="936"/>
      <c r="IC40" s="936"/>
      <c r="ID40" s="936"/>
      <c r="IE40" s="936"/>
      <c r="IF40" s="936"/>
      <c r="IG40" s="936"/>
      <c r="IH40" s="936"/>
      <c r="II40" s="936"/>
      <c r="IJ40" s="936"/>
      <c r="IK40" s="936"/>
      <c r="IL40" s="936"/>
      <c r="IM40" s="936"/>
      <c r="IN40" s="936"/>
      <c r="IO40" s="936"/>
      <c r="IP40" s="936"/>
      <c r="IQ40" s="936"/>
      <c r="IR40" s="936"/>
      <c r="IS40" s="936"/>
      <c r="IT40" s="936"/>
    </row>
  </sheetData>
  <mergeCells count="8">
    <mergeCell ref="M27:N27"/>
    <mergeCell ref="A2:H2"/>
    <mergeCell ref="A1:H1"/>
    <mergeCell ref="A3:A4"/>
    <mergeCell ref="B3:B4"/>
    <mergeCell ref="C3:D4"/>
    <mergeCell ref="E3:G3"/>
    <mergeCell ref="H3:H4"/>
  </mergeCells>
  <printOptions horizontalCentered="1"/>
  <pageMargins left="0.75" right="0.25" top="0.5" bottom="0.5" header="0.3" footer="0.3"/>
  <pageSetup paperSize="9" orientation="portrait" r:id="rId1"/>
</worksheet>
</file>

<file path=xl/worksheets/sheet36.xml><?xml version="1.0" encoding="utf-8"?>
<worksheet xmlns="http://schemas.openxmlformats.org/spreadsheetml/2006/main" xmlns:r="http://schemas.openxmlformats.org/officeDocument/2006/relationships">
  <sheetPr>
    <tabColor rgb="FFFFFF00"/>
  </sheetPr>
  <dimension ref="A1:F28"/>
  <sheetViews>
    <sheetView view="pageBreakPreview" zoomScaleSheetLayoutView="100" workbookViewId="0">
      <selection activeCell="C5" sqref="C5"/>
    </sheetView>
  </sheetViews>
  <sheetFormatPr defaultRowHeight="15.75"/>
  <cols>
    <col min="1" max="1" width="5" style="1009" customWidth="1"/>
    <col min="2" max="2" width="8" style="1178" customWidth="1"/>
    <col min="3" max="3" width="37.5546875" style="1101" customWidth="1"/>
    <col min="4" max="4" width="8.44140625" style="1009" customWidth="1"/>
    <col min="5" max="5" width="6.88671875" style="1009" customWidth="1"/>
    <col min="6" max="6" width="9.77734375" style="1009" bestFit="1" customWidth="1"/>
    <col min="7" max="16384" width="8.88671875" style="1009"/>
  </cols>
  <sheetData>
    <row r="1" spans="1:6" ht="55.5" customHeight="1">
      <c r="A1" s="1278" t="str">
        <f>'G. Abstract'!A3:F3</f>
        <v>N/W: RENOVATION AND UPGRADING THE EXISTING WORKING WOMEN’S HOSTEL AT SOORAMANGALAM IN SALEM CITY UNDER SOCIAL WELFARE DEPARTMENT</v>
      </c>
      <c r="B1" s="1279"/>
      <c r="C1" s="1279"/>
      <c r="D1" s="1279"/>
      <c r="E1" s="1279"/>
      <c r="F1" s="1280"/>
    </row>
    <row r="2" spans="1:6" ht="21.75" customHeight="1">
      <c r="A2" s="1281" t="s">
        <v>4544</v>
      </c>
      <c r="B2" s="1281"/>
      <c r="C2" s="1281"/>
      <c r="D2" s="1281"/>
      <c r="E2" s="1281"/>
      <c r="F2" s="1281"/>
    </row>
    <row r="3" spans="1:6" ht="26.25" customHeight="1">
      <c r="A3" s="1166" t="s">
        <v>3747</v>
      </c>
      <c r="B3" s="1176" t="s">
        <v>1070</v>
      </c>
      <c r="C3" s="1167" t="s">
        <v>3748</v>
      </c>
      <c r="D3" s="1167" t="s">
        <v>100</v>
      </c>
      <c r="E3" s="1167" t="s">
        <v>3764</v>
      </c>
      <c r="F3" s="1167" t="s">
        <v>994</v>
      </c>
    </row>
    <row r="4" spans="1:6" ht="60" customHeight="1">
      <c r="A4" s="1150">
        <v>1</v>
      </c>
      <c r="B4" s="1151">
        <f>'Furniture Det'!H6</f>
        <v>61</v>
      </c>
      <c r="C4" s="1152" t="s">
        <v>4546</v>
      </c>
      <c r="D4" s="1151">
        <v>5000</v>
      </c>
      <c r="E4" s="1153" t="s">
        <v>1458</v>
      </c>
      <c r="F4" s="1153">
        <f>ROUND(PRODUCT(B4*D4),2)</f>
        <v>305000</v>
      </c>
    </row>
    <row r="5" spans="1:6" ht="81.75" customHeight="1">
      <c r="A5" s="1150">
        <v>2</v>
      </c>
      <c r="B5" s="1151">
        <f>'Furniture Det'!H9</f>
        <v>16</v>
      </c>
      <c r="C5" s="1152" t="s">
        <v>4819</v>
      </c>
      <c r="D5" s="1151">
        <v>12500</v>
      </c>
      <c r="E5" s="1153" t="s">
        <v>1458</v>
      </c>
      <c r="F5" s="1153">
        <f t="shared" ref="F5:F26" si="0">ROUND(PRODUCT(B5*D5),2)</f>
        <v>200000</v>
      </c>
    </row>
    <row r="6" spans="1:6" ht="75.75" customHeight="1">
      <c r="A6" s="1150">
        <v>3</v>
      </c>
      <c r="B6" s="1151">
        <f>'Furniture Det'!H12</f>
        <v>44</v>
      </c>
      <c r="C6" s="850" t="s">
        <v>4548</v>
      </c>
      <c r="D6" s="1151">
        <v>2500</v>
      </c>
      <c r="E6" s="1169" t="s">
        <v>1458</v>
      </c>
      <c r="F6" s="1153">
        <f t="shared" si="0"/>
        <v>110000</v>
      </c>
    </row>
    <row r="7" spans="1:6" ht="99" customHeight="1">
      <c r="A7" s="1150">
        <v>4</v>
      </c>
      <c r="B7" s="1151">
        <f>'Furniture Det'!H15</f>
        <v>10</v>
      </c>
      <c r="C7" s="1152" t="s">
        <v>4549</v>
      </c>
      <c r="D7" s="1151">
        <v>4000</v>
      </c>
      <c r="E7" s="1153" t="s">
        <v>1458</v>
      </c>
      <c r="F7" s="1153">
        <f t="shared" si="0"/>
        <v>40000</v>
      </c>
    </row>
    <row r="8" spans="1:6" ht="34.5" customHeight="1">
      <c r="A8" s="1150">
        <v>5</v>
      </c>
      <c r="B8" s="1151">
        <f>'Furniture Det'!H18</f>
        <v>61</v>
      </c>
      <c r="C8" s="1152" t="s">
        <v>4550</v>
      </c>
      <c r="D8" s="1151">
        <v>405</v>
      </c>
      <c r="E8" s="1153" t="s">
        <v>1458</v>
      </c>
      <c r="F8" s="1153">
        <f t="shared" si="0"/>
        <v>24705</v>
      </c>
    </row>
    <row r="9" spans="1:6" s="1010" customFormat="1" ht="32.25" customHeight="1">
      <c r="A9" s="1171">
        <v>6</v>
      </c>
      <c r="B9" s="1151">
        <f>'Furniture Det'!H21</f>
        <v>122</v>
      </c>
      <c r="C9" s="1152" t="s">
        <v>4551</v>
      </c>
      <c r="D9" s="1151">
        <v>50</v>
      </c>
      <c r="E9" s="1172" t="s">
        <v>1458</v>
      </c>
      <c r="F9" s="1172">
        <f t="shared" si="0"/>
        <v>6100</v>
      </c>
    </row>
    <row r="10" spans="1:6" s="1010" customFormat="1" ht="32.25" customHeight="1">
      <c r="A10" s="1150">
        <v>7</v>
      </c>
      <c r="B10" s="1151">
        <f>'Furniture Det'!H24</f>
        <v>122</v>
      </c>
      <c r="C10" s="1152" t="s">
        <v>4552</v>
      </c>
      <c r="D10" s="1151">
        <v>300</v>
      </c>
      <c r="E10" s="1172" t="s">
        <v>1458</v>
      </c>
      <c r="F10" s="1172">
        <f t="shared" si="0"/>
        <v>36600</v>
      </c>
    </row>
    <row r="11" spans="1:6" s="1010" customFormat="1" ht="35.25" customHeight="1">
      <c r="A11" s="1150">
        <v>8</v>
      </c>
      <c r="B11" s="1151">
        <f>'Furniture Det'!H27</f>
        <v>1</v>
      </c>
      <c r="C11" s="1173" t="s">
        <v>4553</v>
      </c>
      <c r="D11" s="1151">
        <v>15000</v>
      </c>
      <c r="E11" s="1172" t="s">
        <v>1458</v>
      </c>
      <c r="F11" s="1172">
        <f t="shared" si="0"/>
        <v>15000</v>
      </c>
    </row>
    <row r="12" spans="1:6" ht="36.75" customHeight="1">
      <c r="A12" s="1150">
        <v>9</v>
      </c>
      <c r="B12" s="1151">
        <f>'Furniture Det'!H33</f>
        <v>60</v>
      </c>
      <c r="C12" s="1154" t="s">
        <v>4842</v>
      </c>
      <c r="D12" s="1151">
        <v>550</v>
      </c>
      <c r="E12" s="1153" t="s">
        <v>1458</v>
      </c>
      <c r="F12" s="1153">
        <f t="shared" si="0"/>
        <v>33000</v>
      </c>
    </row>
    <row r="13" spans="1:6" ht="36" customHeight="1">
      <c r="A13" s="1150">
        <v>10</v>
      </c>
      <c r="B13" s="1151">
        <f>'Furniture Det'!H36</f>
        <v>5</v>
      </c>
      <c r="C13" s="1154" t="s">
        <v>4554</v>
      </c>
      <c r="D13" s="1151">
        <v>5000</v>
      </c>
      <c r="E13" s="1153" t="s">
        <v>1458</v>
      </c>
      <c r="F13" s="1153">
        <f t="shared" si="0"/>
        <v>25000</v>
      </c>
    </row>
    <row r="14" spans="1:6" ht="36" customHeight="1">
      <c r="A14" s="1150">
        <v>11</v>
      </c>
      <c r="B14" s="1151">
        <f>'Furniture Det'!H39</f>
        <v>1</v>
      </c>
      <c r="C14" s="1154" t="s">
        <v>4818</v>
      </c>
      <c r="D14" s="1151">
        <v>6500</v>
      </c>
      <c r="E14" s="1153" t="s">
        <v>1458</v>
      </c>
      <c r="F14" s="1153">
        <f t="shared" si="0"/>
        <v>6500</v>
      </c>
    </row>
    <row r="15" spans="1:6" ht="36" customHeight="1">
      <c r="A15" s="1150">
        <v>12</v>
      </c>
      <c r="B15" s="1151">
        <f>'Furniture Det'!H42</f>
        <v>1</v>
      </c>
      <c r="C15" s="1154" t="s">
        <v>4680</v>
      </c>
      <c r="D15" s="1151">
        <v>4500</v>
      </c>
      <c r="E15" s="1153" t="s">
        <v>1458</v>
      </c>
      <c r="F15" s="1153">
        <f t="shared" si="0"/>
        <v>4500</v>
      </c>
    </row>
    <row r="16" spans="1:6" ht="36" customHeight="1">
      <c r="A16" s="1150">
        <v>13</v>
      </c>
      <c r="B16" s="1151">
        <f>'Furniture Det'!H45</f>
        <v>2</v>
      </c>
      <c r="C16" s="1154" t="s">
        <v>4804</v>
      </c>
      <c r="D16" s="1151">
        <v>18500</v>
      </c>
      <c r="E16" s="1153" t="s">
        <v>1458</v>
      </c>
      <c r="F16" s="1153">
        <f t="shared" si="0"/>
        <v>37000</v>
      </c>
    </row>
    <row r="17" spans="1:6" ht="81.75" customHeight="1">
      <c r="A17" s="1150">
        <v>14</v>
      </c>
      <c r="B17" s="1151">
        <f>'Furniture Det'!H51</f>
        <v>50</v>
      </c>
      <c r="C17" s="1154" t="s">
        <v>4683</v>
      </c>
      <c r="D17" s="1151">
        <v>400</v>
      </c>
      <c r="E17" s="1153" t="s">
        <v>840</v>
      </c>
      <c r="F17" s="1153">
        <f t="shared" si="0"/>
        <v>20000</v>
      </c>
    </row>
    <row r="18" spans="1:6" ht="120">
      <c r="A18" s="1150">
        <v>15</v>
      </c>
      <c r="B18" s="1151">
        <f>'Furniture Det'!H57</f>
        <v>90</v>
      </c>
      <c r="C18" s="1154" t="s">
        <v>4682</v>
      </c>
      <c r="D18" s="1151">
        <v>150</v>
      </c>
      <c r="E18" s="1153" t="s">
        <v>2371</v>
      </c>
      <c r="F18" s="1153">
        <f t="shared" si="0"/>
        <v>13500</v>
      </c>
    </row>
    <row r="19" spans="1:6" ht="27.75" customHeight="1">
      <c r="A19" s="1150">
        <v>16</v>
      </c>
      <c r="B19" s="1151">
        <f>'Furniture Det'!H60</f>
        <v>44</v>
      </c>
      <c r="C19" s="1154" t="s">
        <v>4805</v>
      </c>
      <c r="D19" s="1151">
        <v>120</v>
      </c>
      <c r="E19" s="1153" t="s">
        <v>1458</v>
      </c>
      <c r="F19" s="1153">
        <f t="shared" si="0"/>
        <v>5280</v>
      </c>
    </row>
    <row r="20" spans="1:6" ht="27.75" customHeight="1">
      <c r="A20" s="1150">
        <v>17</v>
      </c>
      <c r="B20" s="1151">
        <f>'Furniture Det'!H63</f>
        <v>22</v>
      </c>
      <c r="C20" s="1154" t="s">
        <v>4807</v>
      </c>
      <c r="D20" s="1151">
        <v>120</v>
      </c>
      <c r="E20" s="1153" t="s">
        <v>1458</v>
      </c>
      <c r="F20" s="1153">
        <f t="shared" si="0"/>
        <v>2640</v>
      </c>
    </row>
    <row r="21" spans="1:6" ht="27.75" customHeight="1">
      <c r="A21" s="1150">
        <v>18</v>
      </c>
      <c r="B21" s="1151">
        <f>'Furniture Det'!H66</f>
        <v>1</v>
      </c>
      <c r="C21" s="1177" t="s">
        <v>4808</v>
      </c>
      <c r="D21" s="1151">
        <v>350</v>
      </c>
      <c r="E21" s="1153" t="s">
        <v>1458</v>
      </c>
      <c r="F21" s="1153">
        <f t="shared" si="0"/>
        <v>350</v>
      </c>
    </row>
    <row r="22" spans="1:6" ht="39.75" customHeight="1">
      <c r="A22" s="1150">
        <v>19</v>
      </c>
      <c r="B22" s="1151">
        <f>'Furniture Det'!H69</f>
        <v>1</v>
      </c>
      <c r="C22" s="1177" t="s">
        <v>4813</v>
      </c>
      <c r="D22" s="1151">
        <v>5795</v>
      </c>
      <c r="E22" s="1153" t="s">
        <v>1458</v>
      </c>
      <c r="F22" s="1153">
        <f t="shared" si="0"/>
        <v>5795</v>
      </c>
    </row>
    <row r="23" spans="1:6" ht="28.5" customHeight="1">
      <c r="A23" s="1150">
        <v>20</v>
      </c>
      <c r="B23" s="1151">
        <f>'Furniture Det'!H72</f>
        <v>1</v>
      </c>
      <c r="C23" s="1177" t="s">
        <v>4814</v>
      </c>
      <c r="D23" s="1151">
        <v>5800</v>
      </c>
      <c r="E23" s="1153" t="s">
        <v>1458</v>
      </c>
      <c r="F23" s="1153">
        <f t="shared" si="0"/>
        <v>5800</v>
      </c>
    </row>
    <row r="24" spans="1:6" ht="28.5" customHeight="1">
      <c r="A24" s="1150">
        <v>21</v>
      </c>
      <c r="B24" s="1151">
        <f>'Furniture Det'!H75</f>
        <v>1</v>
      </c>
      <c r="C24" s="1177" t="s">
        <v>4815</v>
      </c>
      <c r="D24" s="1151">
        <v>26900</v>
      </c>
      <c r="E24" s="1153" t="s">
        <v>1458</v>
      </c>
      <c r="F24" s="1153">
        <f t="shared" si="0"/>
        <v>26900</v>
      </c>
    </row>
    <row r="25" spans="1:6" ht="86.25" customHeight="1">
      <c r="A25" s="1150">
        <v>22</v>
      </c>
      <c r="B25" s="1151">
        <f>'Furniture Det'!H78</f>
        <v>1</v>
      </c>
      <c r="C25" s="1177" t="s">
        <v>4817</v>
      </c>
      <c r="D25" s="1151">
        <v>55600</v>
      </c>
      <c r="E25" s="1153" t="s">
        <v>1458</v>
      </c>
      <c r="F25" s="1153">
        <f t="shared" si="0"/>
        <v>55600</v>
      </c>
    </row>
    <row r="26" spans="1:6">
      <c r="A26" s="1150"/>
      <c r="B26" s="1151"/>
      <c r="C26" s="1152"/>
      <c r="D26" s="1151"/>
      <c r="E26" s="1153"/>
      <c r="F26" s="1153">
        <f t="shared" si="0"/>
        <v>0</v>
      </c>
    </row>
    <row r="27" spans="1:6" ht="31.5" customHeight="1">
      <c r="A27" s="1150"/>
      <c r="B27" s="1151"/>
      <c r="C27" s="875" t="s">
        <v>2332</v>
      </c>
      <c r="D27" s="1151"/>
      <c r="E27" s="1153"/>
      <c r="F27" s="1170">
        <f>SUM(F4:F26)</f>
        <v>979270</v>
      </c>
    </row>
    <row r="28" spans="1:6">
      <c r="A28" s="1150"/>
      <c r="B28" s="1151"/>
      <c r="C28" s="1152"/>
      <c r="D28" s="1151"/>
      <c r="E28" s="1153"/>
      <c r="F28" s="1153"/>
    </row>
  </sheetData>
  <mergeCells count="2">
    <mergeCell ref="A1:F1"/>
    <mergeCell ref="A2:F2"/>
  </mergeCells>
  <printOptions horizontalCentered="1"/>
  <pageMargins left="0.75" right="0.25"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sheetPr>
    <tabColor rgb="FFFFFF00"/>
  </sheetPr>
  <dimension ref="A1:IT90"/>
  <sheetViews>
    <sheetView view="pageBreakPreview" topLeftCell="A21" zoomScale="90" zoomScaleSheetLayoutView="90" workbookViewId="0">
      <selection activeCell="B21" sqref="B21"/>
    </sheetView>
  </sheetViews>
  <sheetFormatPr defaultRowHeight="15.75"/>
  <cols>
    <col min="1" max="1" width="5" style="924" customWidth="1"/>
    <col min="2" max="2" width="27.44140625" style="924" customWidth="1"/>
    <col min="3" max="3" width="3.77734375" style="941" customWidth="1"/>
    <col min="4" max="4" width="3.5546875" style="941" customWidth="1"/>
    <col min="5" max="5" width="8.88671875" style="921"/>
    <col min="6" max="6" width="7.88671875" style="921" customWidth="1"/>
    <col min="7" max="7" width="7.77734375" style="921" customWidth="1"/>
    <col min="8" max="8" width="8.44140625" style="921" bestFit="1" customWidth="1"/>
    <col min="9" max="9" width="8.88671875" style="936"/>
    <col min="10" max="16384" width="8.88671875" style="921"/>
  </cols>
  <sheetData>
    <row r="1" spans="1:254" ht="52.5" customHeight="1">
      <c r="A1" s="1283" t="str">
        <f>'EX. WS Abs'!A3:F3</f>
        <v>N/W: RENOVATION AND UPGRADING THE EXISTING WORKING WOMEN’S HOSTEL AT SOORAMANGALAM IN SALEM CITY UNDER SOCIAL WELFARE DEPARTMENT</v>
      </c>
      <c r="B1" s="1283"/>
      <c r="C1" s="1283"/>
      <c r="D1" s="1283"/>
      <c r="E1" s="1283"/>
      <c r="F1" s="1283"/>
      <c r="G1" s="1283"/>
      <c r="H1" s="1283"/>
      <c r="I1" s="920"/>
    </row>
    <row r="2" spans="1:254" ht="24.75" customHeight="1">
      <c r="A2" s="1205" t="s">
        <v>4545</v>
      </c>
      <c r="B2" s="1205"/>
      <c r="C2" s="1205"/>
      <c r="D2" s="1205"/>
      <c r="E2" s="1205"/>
      <c r="F2" s="1205"/>
      <c r="G2" s="1205"/>
      <c r="H2" s="1205"/>
      <c r="I2" s="920"/>
    </row>
    <row r="3" spans="1:254" s="922" customFormat="1" ht="17.25" customHeight="1">
      <c r="A3" s="1286" t="s">
        <v>3747</v>
      </c>
      <c r="B3" s="1286" t="s">
        <v>1860</v>
      </c>
      <c r="C3" s="1286" t="s">
        <v>4226</v>
      </c>
      <c r="D3" s="1286"/>
      <c r="E3" s="1287" t="s">
        <v>4227</v>
      </c>
      <c r="F3" s="1287"/>
      <c r="G3" s="1287"/>
      <c r="H3" s="1289" t="s">
        <v>4228</v>
      </c>
      <c r="I3" s="923"/>
    </row>
    <row r="4" spans="1:254" s="922" customFormat="1" ht="19.5" customHeight="1">
      <c r="A4" s="1286"/>
      <c r="B4" s="1286"/>
      <c r="C4" s="1286"/>
      <c r="D4" s="1286"/>
      <c r="E4" s="1108" t="s">
        <v>4229</v>
      </c>
      <c r="F4" s="1107" t="s">
        <v>4230</v>
      </c>
      <c r="G4" s="1108" t="s">
        <v>3753</v>
      </c>
      <c r="H4" s="1289"/>
      <c r="I4" s="923"/>
    </row>
    <row r="5" spans="1:254" ht="78.75">
      <c r="A5" s="1086">
        <v>1</v>
      </c>
      <c r="B5" s="1119" t="s">
        <v>4546</v>
      </c>
      <c r="C5" s="1071"/>
      <c r="D5" s="1071"/>
      <c r="E5" s="1072"/>
      <c r="F5" s="1073"/>
      <c r="G5" s="1072"/>
      <c r="H5" s="1074"/>
      <c r="I5" s="920"/>
    </row>
    <row r="6" spans="1:254" ht="17.100000000000001" customHeight="1">
      <c r="A6" s="1086"/>
      <c r="B6" s="1120" t="s">
        <v>4469</v>
      </c>
      <c r="C6" s="1088">
        <v>1</v>
      </c>
      <c r="D6" s="1088">
        <v>61</v>
      </c>
      <c r="E6" s="1089"/>
      <c r="F6" s="1090"/>
      <c r="G6" s="1089"/>
      <c r="H6" s="1084">
        <f>PRODUCT(C6:G6)</f>
        <v>61</v>
      </c>
      <c r="I6" s="920"/>
    </row>
    <row r="7" spans="1:254" ht="17.100000000000001" customHeight="1">
      <c r="A7" s="1086"/>
      <c r="B7" s="1121"/>
      <c r="C7" s="1070"/>
      <c r="D7" s="1070"/>
      <c r="E7" s="1072"/>
      <c r="F7" s="1073"/>
      <c r="G7" s="1075"/>
      <c r="H7" s="1076"/>
      <c r="I7" s="920"/>
    </row>
    <row r="8" spans="1:254" ht="94.5">
      <c r="A8" s="1086">
        <v>2</v>
      </c>
      <c r="B8" s="1119" t="s">
        <v>4547</v>
      </c>
      <c r="C8" s="1070"/>
      <c r="D8" s="1070"/>
      <c r="E8" s="1072"/>
      <c r="F8" s="1073"/>
      <c r="G8" s="1072"/>
      <c r="H8" s="1077"/>
      <c r="I8" s="920"/>
    </row>
    <row r="9" spans="1:254" ht="17.100000000000001" customHeight="1">
      <c r="A9" s="1086"/>
      <c r="B9" s="1120" t="s">
        <v>4469</v>
      </c>
      <c r="C9" s="1088">
        <v>1</v>
      </c>
      <c r="D9" s="1088">
        <v>16</v>
      </c>
      <c r="E9" s="1089"/>
      <c r="F9" s="1090"/>
      <c r="G9" s="1089"/>
      <c r="H9" s="1084">
        <f>PRODUCT(C9:G9)</f>
        <v>16</v>
      </c>
      <c r="I9" s="920"/>
    </row>
    <row r="10" spans="1:254" ht="17.100000000000001" customHeight="1">
      <c r="A10" s="1086"/>
      <c r="B10" s="1119"/>
      <c r="C10" s="1070"/>
      <c r="D10" s="1070"/>
      <c r="E10" s="1072"/>
      <c r="F10" s="1073"/>
      <c r="G10" s="1075"/>
      <c r="H10" s="1076"/>
      <c r="I10" s="920"/>
    </row>
    <row r="11" spans="1:254" ht="94.5">
      <c r="A11" s="1117">
        <v>3</v>
      </c>
      <c r="B11" s="1118" t="s">
        <v>4548</v>
      </c>
      <c r="C11" s="1070"/>
      <c r="D11" s="1070"/>
      <c r="E11" s="1072"/>
      <c r="F11" s="1073"/>
      <c r="G11" s="1072"/>
      <c r="H11" s="1077"/>
      <c r="I11" s="920"/>
    </row>
    <row r="12" spans="1:254" ht="17.100000000000001" customHeight="1">
      <c r="A12" s="1086"/>
      <c r="B12" s="1120" t="s">
        <v>4469</v>
      </c>
      <c r="C12" s="1088">
        <v>2</v>
      </c>
      <c r="D12" s="1088">
        <v>22</v>
      </c>
      <c r="E12" s="1089"/>
      <c r="F12" s="1090"/>
      <c r="G12" s="1089"/>
      <c r="H12" s="1084">
        <f>PRODUCT(C12:G12)</f>
        <v>44</v>
      </c>
      <c r="I12" s="920"/>
    </row>
    <row r="13" spans="1:254" ht="17.100000000000001" customHeight="1">
      <c r="A13" s="1109"/>
      <c r="B13" s="1121"/>
      <c r="C13" s="1070"/>
      <c r="D13" s="1070"/>
      <c r="E13" s="1074"/>
      <c r="F13" s="1074"/>
      <c r="G13" s="1075"/>
      <c r="H13" s="1076"/>
      <c r="I13" s="920"/>
    </row>
    <row r="14" spans="1:254" ht="141.75">
      <c r="A14" s="1117">
        <v>4</v>
      </c>
      <c r="B14" s="1119" t="s">
        <v>4549</v>
      </c>
      <c r="C14" s="1070"/>
      <c r="D14" s="1070"/>
      <c r="E14" s="1074"/>
      <c r="F14" s="1074"/>
      <c r="G14" s="1075"/>
      <c r="H14" s="1076"/>
      <c r="I14" s="920"/>
    </row>
    <row r="15" spans="1:254" ht="17.100000000000001" customHeight="1">
      <c r="A15" s="1110"/>
      <c r="B15" s="1120" t="s">
        <v>4469</v>
      </c>
      <c r="C15" s="1088">
        <v>1</v>
      </c>
      <c r="D15" s="1088">
        <v>10</v>
      </c>
      <c r="E15" s="1089"/>
      <c r="F15" s="1090"/>
      <c r="G15" s="1089"/>
      <c r="H15" s="1084">
        <f>PRODUCT(C15:G15)</f>
        <v>10</v>
      </c>
      <c r="I15" s="920"/>
    </row>
    <row r="16" spans="1:254" ht="17.100000000000001" customHeight="1">
      <c r="A16" s="1080"/>
      <c r="B16" s="1081"/>
      <c r="C16" s="1080"/>
      <c r="D16" s="1080"/>
      <c r="E16" s="1082"/>
      <c r="F16" s="1078"/>
      <c r="G16" s="1083"/>
      <c r="H16" s="1084"/>
      <c r="I16" s="923"/>
      <c r="J16" s="924"/>
      <c r="K16" s="924"/>
      <c r="L16" s="924"/>
      <c r="M16" s="924"/>
      <c r="N16" s="924"/>
      <c r="O16" s="924"/>
      <c r="P16" s="924"/>
      <c r="Q16" s="924"/>
      <c r="R16" s="924"/>
      <c r="S16" s="924"/>
      <c r="T16" s="924"/>
      <c r="U16" s="924"/>
      <c r="V16" s="924"/>
      <c r="W16" s="924"/>
      <c r="X16" s="924"/>
      <c r="Y16" s="924"/>
      <c r="Z16" s="924"/>
      <c r="AA16" s="924"/>
      <c r="AB16" s="924"/>
      <c r="AC16" s="924"/>
      <c r="AD16" s="924"/>
      <c r="AE16" s="924"/>
      <c r="AF16" s="924"/>
      <c r="AG16" s="924"/>
      <c r="AH16" s="924"/>
      <c r="AI16" s="924"/>
      <c r="AJ16" s="924"/>
      <c r="AK16" s="924"/>
      <c r="AL16" s="924"/>
      <c r="AM16" s="924"/>
      <c r="AN16" s="924"/>
      <c r="AO16" s="924"/>
      <c r="AP16" s="924"/>
      <c r="AQ16" s="924"/>
      <c r="AR16" s="924"/>
      <c r="AS16" s="924"/>
      <c r="AT16" s="924"/>
      <c r="AU16" s="924"/>
      <c r="AV16" s="924"/>
      <c r="AW16" s="924"/>
      <c r="AX16" s="924"/>
      <c r="AY16" s="924"/>
      <c r="AZ16" s="924"/>
      <c r="BA16" s="924"/>
      <c r="BB16" s="924"/>
      <c r="BC16" s="924"/>
      <c r="BD16" s="924"/>
      <c r="BE16" s="924"/>
      <c r="BF16" s="924"/>
      <c r="BG16" s="924"/>
      <c r="BH16" s="924"/>
      <c r="BI16" s="924"/>
      <c r="BJ16" s="924"/>
      <c r="BK16" s="924"/>
      <c r="BL16" s="924"/>
      <c r="BM16" s="924"/>
      <c r="BN16" s="924"/>
      <c r="BO16" s="924"/>
      <c r="BP16" s="924"/>
      <c r="BQ16" s="924"/>
      <c r="BR16" s="924"/>
      <c r="BS16" s="924"/>
      <c r="BT16" s="924"/>
      <c r="BU16" s="924"/>
      <c r="BV16" s="924"/>
      <c r="BW16" s="924"/>
      <c r="BX16" s="924"/>
      <c r="BY16" s="924"/>
      <c r="BZ16" s="924"/>
      <c r="CA16" s="924"/>
      <c r="CB16" s="924"/>
      <c r="CC16" s="924"/>
      <c r="CD16" s="924"/>
      <c r="CE16" s="924"/>
      <c r="CF16" s="924"/>
      <c r="CG16" s="924"/>
      <c r="CH16" s="924"/>
      <c r="CI16" s="924"/>
      <c r="CJ16" s="924"/>
      <c r="CK16" s="924"/>
      <c r="CL16" s="924"/>
      <c r="CM16" s="924"/>
      <c r="CN16" s="924"/>
      <c r="CO16" s="924"/>
      <c r="CP16" s="924"/>
      <c r="CQ16" s="924"/>
      <c r="CR16" s="924"/>
      <c r="CS16" s="924"/>
      <c r="CT16" s="924"/>
      <c r="CU16" s="924"/>
      <c r="CV16" s="924"/>
      <c r="CW16" s="924"/>
      <c r="CX16" s="924"/>
      <c r="CY16" s="924"/>
      <c r="CZ16" s="924"/>
      <c r="DA16" s="924"/>
      <c r="DB16" s="924"/>
      <c r="DC16" s="924"/>
      <c r="DD16" s="924"/>
      <c r="DE16" s="924"/>
      <c r="DF16" s="924"/>
      <c r="DG16" s="924"/>
      <c r="DH16" s="924"/>
      <c r="DI16" s="924"/>
      <c r="DJ16" s="924"/>
      <c r="DK16" s="924"/>
      <c r="DL16" s="924"/>
      <c r="DM16" s="924"/>
      <c r="DN16" s="924"/>
      <c r="DO16" s="924"/>
      <c r="DP16" s="924"/>
      <c r="DQ16" s="924"/>
      <c r="DR16" s="924"/>
      <c r="DS16" s="924"/>
      <c r="DT16" s="924"/>
      <c r="DU16" s="924"/>
      <c r="DV16" s="924"/>
      <c r="DW16" s="924"/>
      <c r="DX16" s="924"/>
      <c r="DY16" s="924"/>
      <c r="DZ16" s="924"/>
      <c r="EA16" s="924"/>
      <c r="EB16" s="924"/>
      <c r="EC16" s="924"/>
      <c r="ED16" s="924"/>
      <c r="EE16" s="924"/>
      <c r="EF16" s="924"/>
      <c r="EG16" s="924"/>
      <c r="EH16" s="924"/>
      <c r="EI16" s="924"/>
      <c r="EJ16" s="924"/>
      <c r="EK16" s="924"/>
      <c r="EL16" s="924"/>
      <c r="EM16" s="924"/>
      <c r="EN16" s="924"/>
      <c r="EO16" s="924"/>
      <c r="EP16" s="924"/>
      <c r="EQ16" s="924"/>
      <c r="ER16" s="924"/>
      <c r="ES16" s="924"/>
      <c r="ET16" s="924"/>
      <c r="EU16" s="924"/>
      <c r="EV16" s="924"/>
      <c r="EW16" s="924"/>
      <c r="EX16" s="924"/>
      <c r="EY16" s="924"/>
      <c r="EZ16" s="924"/>
      <c r="FA16" s="924"/>
      <c r="FB16" s="924"/>
      <c r="FC16" s="924"/>
      <c r="FD16" s="924"/>
      <c r="FE16" s="924"/>
      <c r="FF16" s="924"/>
      <c r="FG16" s="924"/>
      <c r="FH16" s="924"/>
      <c r="FI16" s="924"/>
      <c r="FJ16" s="924"/>
      <c r="FK16" s="924"/>
      <c r="FL16" s="924"/>
      <c r="FM16" s="924"/>
      <c r="FN16" s="924"/>
      <c r="FO16" s="924"/>
      <c r="FP16" s="924"/>
      <c r="FQ16" s="924"/>
      <c r="FR16" s="924"/>
      <c r="FS16" s="924"/>
      <c r="FT16" s="924"/>
      <c r="FU16" s="924"/>
      <c r="FV16" s="924"/>
      <c r="FW16" s="924"/>
      <c r="FX16" s="924"/>
      <c r="FY16" s="924"/>
      <c r="FZ16" s="924"/>
      <c r="GA16" s="924"/>
      <c r="GB16" s="924"/>
      <c r="GC16" s="924"/>
      <c r="GD16" s="924"/>
      <c r="GE16" s="924"/>
      <c r="GF16" s="924"/>
      <c r="GG16" s="924"/>
      <c r="GH16" s="924"/>
      <c r="GI16" s="924"/>
      <c r="GJ16" s="924"/>
      <c r="GK16" s="924"/>
      <c r="GL16" s="924"/>
      <c r="GM16" s="924"/>
      <c r="GN16" s="924"/>
      <c r="GO16" s="924"/>
      <c r="GP16" s="924"/>
      <c r="GQ16" s="924"/>
      <c r="GR16" s="924"/>
      <c r="GS16" s="924"/>
      <c r="GT16" s="924"/>
      <c r="GU16" s="924"/>
      <c r="GV16" s="924"/>
      <c r="GW16" s="924"/>
      <c r="GX16" s="924"/>
      <c r="GY16" s="924"/>
      <c r="GZ16" s="924"/>
      <c r="HA16" s="924"/>
      <c r="HB16" s="924"/>
      <c r="HC16" s="924"/>
      <c r="HD16" s="924"/>
      <c r="HE16" s="924"/>
      <c r="HF16" s="924"/>
      <c r="HG16" s="924"/>
      <c r="HH16" s="924"/>
      <c r="HI16" s="924"/>
      <c r="HJ16" s="924"/>
      <c r="HK16" s="924"/>
      <c r="HL16" s="924"/>
      <c r="HM16" s="924"/>
      <c r="HN16" s="924"/>
      <c r="HO16" s="924"/>
      <c r="HP16" s="924"/>
      <c r="HQ16" s="924"/>
      <c r="HR16" s="924"/>
      <c r="HS16" s="924"/>
      <c r="HT16" s="924"/>
      <c r="HU16" s="924"/>
      <c r="HV16" s="924"/>
      <c r="HW16" s="924"/>
      <c r="HX16" s="924"/>
      <c r="HY16" s="924"/>
      <c r="HZ16" s="924"/>
      <c r="IA16" s="924"/>
      <c r="IB16" s="924"/>
      <c r="IC16" s="924"/>
      <c r="ID16" s="924"/>
      <c r="IE16" s="924"/>
      <c r="IF16" s="924"/>
      <c r="IG16" s="924"/>
      <c r="IH16" s="924"/>
      <c r="II16" s="924"/>
      <c r="IJ16" s="924"/>
      <c r="IK16" s="924"/>
      <c r="IL16" s="924"/>
      <c r="IM16" s="924"/>
      <c r="IN16" s="924"/>
      <c r="IO16" s="924"/>
      <c r="IP16" s="924"/>
      <c r="IQ16" s="924"/>
      <c r="IR16" s="924"/>
      <c r="IS16" s="924"/>
      <c r="IT16" s="924"/>
    </row>
    <row r="17" spans="1:254">
      <c r="A17" s="1086">
        <v>5</v>
      </c>
      <c r="B17" s="1119" t="s">
        <v>4550</v>
      </c>
      <c r="C17" s="1085"/>
      <c r="D17" s="1085"/>
      <c r="E17" s="1085"/>
      <c r="F17" s="1085"/>
      <c r="G17" s="1085"/>
      <c r="H17" s="1085"/>
      <c r="I17" s="920"/>
    </row>
    <row r="18" spans="1:254" ht="15.75" customHeight="1">
      <c r="A18" s="1086"/>
      <c r="B18" s="1120" t="s">
        <v>4469</v>
      </c>
      <c r="C18" s="1088">
        <v>1</v>
      </c>
      <c r="D18" s="1088">
        <v>61</v>
      </c>
      <c r="E18" s="1089"/>
      <c r="F18" s="1090"/>
      <c r="G18" s="1089"/>
      <c r="H18" s="1084">
        <f>PRODUCT(C18:G18)</f>
        <v>61</v>
      </c>
      <c r="I18" s="920"/>
    </row>
    <row r="19" spans="1:254" ht="17.100000000000001" customHeight="1">
      <c r="A19" s="1086"/>
      <c r="B19" s="1121"/>
      <c r="C19" s="1070"/>
      <c r="D19" s="1070"/>
      <c r="E19" s="1072"/>
      <c r="F19" s="1073"/>
      <c r="G19" s="1079"/>
      <c r="H19" s="1075"/>
      <c r="I19" s="920"/>
    </row>
    <row r="20" spans="1:254" ht="23.25" customHeight="1">
      <c r="A20" s="1086">
        <v>6</v>
      </c>
      <c r="B20" s="1106" t="s">
        <v>4551</v>
      </c>
      <c r="C20" s="1070"/>
      <c r="D20" s="1070"/>
      <c r="E20" s="1074"/>
      <c r="F20" s="1074"/>
      <c r="G20" s="1079"/>
      <c r="H20" s="1087"/>
      <c r="I20" s="920"/>
    </row>
    <row r="21" spans="1:254" ht="17.100000000000001" customHeight="1">
      <c r="A21" s="1111"/>
      <c r="B21" s="1120" t="s">
        <v>4469</v>
      </c>
      <c r="C21" s="1088">
        <v>2</v>
      </c>
      <c r="D21" s="1088">
        <v>61</v>
      </c>
      <c r="E21" s="1089"/>
      <c r="F21" s="1090"/>
      <c r="G21" s="1089"/>
      <c r="H21" s="1084">
        <f>PRODUCT(C21:G21)</f>
        <v>122</v>
      </c>
      <c r="I21" s="920"/>
    </row>
    <row r="22" spans="1:254" ht="17.100000000000001" customHeight="1">
      <c r="A22" s="1111"/>
      <c r="B22" s="1091"/>
      <c r="C22" s="1093"/>
      <c r="D22" s="1093"/>
      <c r="E22" s="1094"/>
      <c r="F22" s="1094"/>
      <c r="G22" s="1095"/>
      <c r="H22" s="1096"/>
      <c r="I22" s="920"/>
      <c r="J22" s="925"/>
      <c r="K22" s="925"/>
      <c r="L22" s="925"/>
      <c r="M22" s="925"/>
      <c r="N22" s="925"/>
      <c r="O22" s="925"/>
      <c r="P22" s="925"/>
      <c r="Q22" s="925"/>
      <c r="R22" s="925"/>
      <c r="S22" s="925"/>
      <c r="T22" s="925"/>
      <c r="U22" s="925"/>
      <c r="V22" s="925"/>
      <c r="W22" s="925"/>
      <c r="X22" s="925"/>
      <c r="Y22" s="925"/>
      <c r="Z22" s="925"/>
      <c r="AA22" s="925"/>
      <c r="AB22" s="925"/>
      <c r="AC22" s="925"/>
      <c r="AD22" s="925"/>
      <c r="AE22" s="925"/>
      <c r="AF22" s="925"/>
      <c r="AG22" s="925"/>
      <c r="AH22" s="925"/>
      <c r="AI22" s="925"/>
      <c r="AJ22" s="925"/>
      <c r="AK22" s="925"/>
      <c r="AL22" s="925"/>
      <c r="AM22" s="925"/>
      <c r="AN22" s="925"/>
      <c r="AO22" s="925"/>
      <c r="AP22" s="925"/>
      <c r="AQ22" s="925"/>
      <c r="AR22" s="925"/>
      <c r="AS22" s="925"/>
      <c r="AT22" s="925"/>
      <c r="AU22" s="925"/>
      <c r="AV22" s="925"/>
      <c r="AW22" s="925"/>
      <c r="AX22" s="925"/>
      <c r="AY22" s="925"/>
      <c r="AZ22" s="925"/>
      <c r="BA22" s="925"/>
      <c r="BB22" s="925"/>
      <c r="BC22" s="925"/>
      <c r="BD22" s="925"/>
      <c r="BE22" s="925"/>
      <c r="BF22" s="925"/>
      <c r="BG22" s="925"/>
      <c r="BH22" s="925"/>
      <c r="BI22" s="925"/>
      <c r="BJ22" s="925"/>
      <c r="BK22" s="925"/>
      <c r="BL22" s="925"/>
      <c r="BM22" s="925"/>
      <c r="BN22" s="925"/>
      <c r="BO22" s="925"/>
      <c r="BP22" s="925"/>
      <c r="BQ22" s="925"/>
      <c r="BR22" s="925"/>
      <c r="BS22" s="925"/>
      <c r="BT22" s="925"/>
      <c r="BU22" s="925"/>
      <c r="BV22" s="925"/>
      <c r="BW22" s="925"/>
      <c r="BX22" s="925"/>
      <c r="BY22" s="925"/>
      <c r="BZ22" s="925"/>
      <c r="CA22" s="925"/>
      <c r="CB22" s="925"/>
      <c r="CC22" s="925"/>
      <c r="CD22" s="925"/>
      <c r="CE22" s="925"/>
      <c r="CF22" s="925"/>
      <c r="CG22" s="925"/>
      <c r="CH22" s="925"/>
      <c r="CI22" s="925"/>
      <c r="CJ22" s="925"/>
      <c r="CK22" s="925"/>
      <c r="CL22" s="925"/>
      <c r="CM22" s="925"/>
      <c r="CN22" s="925"/>
      <c r="CO22" s="925"/>
      <c r="CP22" s="925"/>
      <c r="CQ22" s="925"/>
      <c r="CR22" s="925"/>
      <c r="CS22" s="925"/>
      <c r="CT22" s="925"/>
      <c r="CU22" s="925"/>
      <c r="CV22" s="925"/>
      <c r="CW22" s="925"/>
      <c r="CX22" s="925"/>
      <c r="CY22" s="925"/>
      <c r="CZ22" s="925"/>
      <c r="DA22" s="925"/>
      <c r="DB22" s="925"/>
      <c r="DC22" s="925"/>
      <c r="DD22" s="925"/>
      <c r="DE22" s="925"/>
      <c r="DF22" s="925"/>
      <c r="DG22" s="925"/>
      <c r="DH22" s="925"/>
      <c r="DI22" s="925"/>
      <c r="DJ22" s="925"/>
      <c r="DK22" s="925"/>
      <c r="DL22" s="925"/>
      <c r="DM22" s="925"/>
      <c r="DN22" s="925"/>
      <c r="DO22" s="925"/>
      <c r="DP22" s="925"/>
      <c r="DQ22" s="925"/>
      <c r="DR22" s="925"/>
      <c r="DS22" s="925"/>
      <c r="DT22" s="925"/>
      <c r="DU22" s="925"/>
      <c r="DV22" s="925"/>
      <c r="DW22" s="925"/>
      <c r="DX22" s="925"/>
      <c r="DY22" s="925"/>
      <c r="DZ22" s="925"/>
      <c r="EA22" s="925"/>
      <c r="EB22" s="925"/>
      <c r="EC22" s="925"/>
      <c r="ED22" s="925"/>
      <c r="EE22" s="925"/>
      <c r="EF22" s="925"/>
      <c r="EG22" s="925"/>
      <c r="EH22" s="925"/>
      <c r="EI22" s="925"/>
      <c r="EJ22" s="925"/>
      <c r="EK22" s="925"/>
      <c r="EL22" s="925"/>
      <c r="EM22" s="925"/>
      <c r="EN22" s="925"/>
      <c r="EO22" s="925"/>
      <c r="EP22" s="925"/>
      <c r="EQ22" s="925"/>
      <c r="ER22" s="925"/>
      <c r="ES22" s="925"/>
      <c r="ET22" s="925"/>
      <c r="EU22" s="925"/>
      <c r="EV22" s="925"/>
      <c r="EW22" s="925"/>
      <c r="EX22" s="925"/>
      <c r="EY22" s="925"/>
      <c r="EZ22" s="925"/>
      <c r="FA22" s="925"/>
      <c r="FB22" s="925"/>
      <c r="FC22" s="925"/>
      <c r="FD22" s="925"/>
      <c r="FE22" s="925"/>
      <c r="FF22" s="925"/>
      <c r="FG22" s="925"/>
      <c r="FH22" s="925"/>
      <c r="FI22" s="925"/>
      <c r="FJ22" s="925"/>
      <c r="FK22" s="925"/>
      <c r="FL22" s="925"/>
      <c r="FM22" s="925"/>
      <c r="FN22" s="925"/>
      <c r="FO22" s="925"/>
      <c r="FP22" s="925"/>
      <c r="FQ22" s="925"/>
      <c r="FR22" s="925"/>
      <c r="FS22" s="925"/>
      <c r="FT22" s="925"/>
      <c r="FU22" s="925"/>
      <c r="FV22" s="925"/>
      <c r="FW22" s="925"/>
      <c r="FX22" s="925"/>
      <c r="FY22" s="925"/>
      <c r="FZ22" s="925"/>
      <c r="GA22" s="925"/>
      <c r="GB22" s="925"/>
      <c r="GC22" s="925"/>
      <c r="GD22" s="925"/>
      <c r="GE22" s="925"/>
      <c r="GF22" s="925"/>
      <c r="GG22" s="925"/>
      <c r="GH22" s="925"/>
      <c r="GI22" s="925"/>
      <c r="GJ22" s="925"/>
      <c r="GK22" s="925"/>
      <c r="GL22" s="925"/>
      <c r="GM22" s="925"/>
      <c r="GN22" s="925"/>
      <c r="GO22" s="925"/>
      <c r="GP22" s="925"/>
      <c r="GQ22" s="925"/>
      <c r="GR22" s="925"/>
      <c r="GS22" s="925"/>
      <c r="GT22" s="925"/>
      <c r="GU22" s="925"/>
      <c r="GV22" s="925"/>
      <c r="GW22" s="925"/>
      <c r="GX22" s="925"/>
      <c r="GY22" s="925"/>
      <c r="GZ22" s="925"/>
      <c r="HA22" s="925"/>
      <c r="HB22" s="925"/>
      <c r="HC22" s="925"/>
      <c r="HD22" s="925"/>
      <c r="HE22" s="925"/>
      <c r="HF22" s="925"/>
      <c r="HG22" s="925"/>
      <c r="HH22" s="925"/>
      <c r="HI22" s="925"/>
      <c r="HJ22" s="925"/>
      <c r="HK22" s="925"/>
      <c r="HL22" s="925"/>
      <c r="HM22" s="925"/>
      <c r="HN22" s="925"/>
      <c r="HO22" s="925"/>
      <c r="HP22" s="925"/>
      <c r="HQ22" s="925"/>
      <c r="HR22" s="925"/>
      <c r="HS22" s="925"/>
      <c r="HT22" s="925"/>
      <c r="HU22" s="925"/>
      <c r="HV22" s="925"/>
      <c r="HW22" s="925"/>
      <c r="HX22" s="925"/>
      <c r="HY22" s="925"/>
      <c r="HZ22" s="925"/>
      <c r="IA22" s="925"/>
      <c r="IB22" s="925"/>
      <c r="IC22" s="925"/>
      <c r="ID22" s="925"/>
      <c r="IE22" s="925"/>
      <c r="IF22" s="925"/>
      <c r="IG22" s="925"/>
      <c r="IH22" s="925"/>
      <c r="II22" s="925"/>
      <c r="IJ22" s="925"/>
      <c r="IK22" s="925"/>
      <c r="IL22" s="925"/>
      <c r="IM22" s="925"/>
      <c r="IN22" s="925"/>
      <c r="IO22" s="925"/>
      <c r="IP22" s="925"/>
      <c r="IQ22" s="925"/>
      <c r="IR22" s="925"/>
      <c r="IS22" s="925"/>
      <c r="IT22" s="925"/>
    </row>
    <row r="23" spans="1:254">
      <c r="A23" s="1111">
        <v>7</v>
      </c>
      <c r="B23" s="1097" t="s">
        <v>4552</v>
      </c>
      <c r="C23" s="1093"/>
      <c r="D23" s="1093"/>
      <c r="E23" s="1094"/>
      <c r="F23" s="1094"/>
      <c r="G23" s="1095"/>
      <c r="H23" s="1096"/>
      <c r="I23" s="920"/>
      <c r="J23" s="925"/>
      <c r="K23" s="925"/>
      <c r="L23" s="925"/>
      <c r="M23" s="925"/>
      <c r="N23" s="925"/>
      <c r="O23" s="925"/>
      <c r="P23" s="925"/>
      <c r="Q23" s="925"/>
      <c r="R23" s="925"/>
      <c r="S23" s="925"/>
      <c r="T23" s="925"/>
      <c r="U23" s="925"/>
      <c r="V23" s="925"/>
      <c r="W23" s="925"/>
      <c r="X23" s="925"/>
      <c r="Y23" s="925"/>
      <c r="Z23" s="925"/>
      <c r="AA23" s="925"/>
      <c r="AB23" s="925"/>
      <c r="AC23" s="925"/>
      <c r="AD23" s="925"/>
      <c r="AE23" s="925"/>
      <c r="AF23" s="925"/>
      <c r="AG23" s="925"/>
      <c r="AH23" s="925"/>
      <c r="AI23" s="925"/>
      <c r="AJ23" s="925"/>
      <c r="AK23" s="925"/>
      <c r="AL23" s="925"/>
      <c r="AM23" s="925"/>
      <c r="AN23" s="925"/>
      <c r="AO23" s="925"/>
      <c r="AP23" s="925"/>
      <c r="AQ23" s="925"/>
      <c r="AR23" s="925"/>
      <c r="AS23" s="925"/>
      <c r="AT23" s="925"/>
      <c r="AU23" s="925"/>
      <c r="AV23" s="925"/>
      <c r="AW23" s="925"/>
      <c r="AX23" s="925"/>
      <c r="AY23" s="925"/>
      <c r="AZ23" s="925"/>
      <c r="BA23" s="925"/>
      <c r="BB23" s="925"/>
      <c r="BC23" s="925"/>
      <c r="BD23" s="925"/>
      <c r="BE23" s="925"/>
      <c r="BF23" s="925"/>
      <c r="BG23" s="925"/>
      <c r="BH23" s="925"/>
      <c r="BI23" s="925"/>
      <c r="BJ23" s="925"/>
      <c r="BK23" s="925"/>
      <c r="BL23" s="925"/>
      <c r="BM23" s="925"/>
      <c r="BN23" s="925"/>
      <c r="BO23" s="925"/>
      <c r="BP23" s="925"/>
      <c r="BQ23" s="925"/>
      <c r="BR23" s="925"/>
      <c r="BS23" s="925"/>
      <c r="BT23" s="925"/>
      <c r="BU23" s="925"/>
      <c r="BV23" s="925"/>
      <c r="BW23" s="925"/>
      <c r="BX23" s="925"/>
      <c r="BY23" s="925"/>
      <c r="BZ23" s="925"/>
      <c r="CA23" s="925"/>
      <c r="CB23" s="925"/>
      <c r="CC23" s="925"/>
      <c r="CD23" s="925"/>
      <c r="CE23" s="925"/>
      <c r="CF23" s="925"/>
      <c r="CG23" s="925"/>
      <c r="CH23" s="925"/>
      <c r="CI23" s="925"/>
      <c r="CJ23" s="925"/>
      <c r="CK23" s="925"/>
      <c r="CL23" s="925"/>
      <c r="CM23" s="925"/>
      <c r="CN23" s="925"/>
      <c r="CO23" s="925"/>
      <c r="CP23" s="925"/>
      <c r="CQ23" s="925"/>
      <c r="CR23" s="925"/>
      <c r="CS23" s="925"/>
      <c r="CT23" s="925"/>
      <c r="CU23" s="925"/>
      <c r="CV23" s="925"/>
      <c r="CW23" s="925"/>
      <c r="CX23" s="925"/>
      <c r="CY23" s="925"/>
      <c r="CZ23" s="925"/>
      <c r="DA23" s="925"/>
      <c r="DB23" s="925"/>
      <c r="DC23" s="925"/>
      <c r="DD23" s="925"/>
      <c r="DE23" s="925"/>
      <c r="DF23" s="925"/>
      <c r="DG23" s="925"/>
      <c r="DH23" s="925"/>
      <c r="DI23" s="925"/>
      <c r="DJ23" s="925"/>
      <c r="DK23" s="925"/>
      <c r="DL23" s="925"/>
      <c r="DM23" s="925"/>
      <c r="DN23" s="925"/>
      <c r="DO23" s="925"/>
      <c r="DP23" s="925"/>
      <c r="DQ23" s="925"/>
      <c r="DR23" s="925"/>
      <c r="DS23" s="925"/>
      <c r="DT23" s="925"/>
      <c r="DU23" s="925"/>
      <c r="DV23" s="925"/>
      <c r="DW23" s="925"/>
      <c r="DX23" s="925"/>
      <c r="DY23" s="925"/>
      <c r="DZ23" s="925"/>
      <c r="EA23" s="925"/>
      <c r="EB23" s="925"/>
      <c r="EC23" s="925"/>
      <c r="ED23" s="925"/>
      <c r="EE23" s="925"/>
      <c r="EF23" s="925"/>
      <c r="EG23" s="925"/>
      <c r="EH23" s="925"/>
      <c r="EI23" s="925"/>
      <c r="EJ23" s="925"/>
      <c r="EK23" s="925"/>
      <c r="EL23" s="925"/>
      <c r="EM23" s="925"/>
      <c r="EN23" s="925"/>
      <c r="EO23" s="925"/>
      <c r="EP23" s="925"/>
      <c r="EQ23" s="925"/>
      <c r="ER23" s="925"/>
      <c r="ES23" s="925"/>
      <c r="ET23" s="925"/>
      <c r="EU23" s="925"/>
      <c r="EV23" s="925"/>
      <c r="EW23" s="925"/>
      <c r="EX23" s="925"/>
      <c r="EY23" s="925"/>
      <c r="EZ23" s="925"/>
      <c r="FA23" s="925"/>
      <c r="FB23" s="925"/>
      <c r="FC23" s="925"/>
      <c r="FD23" s="925"/>
      <c r="FE23" s="925"/>
      <c r="FF23" s="925"/>
      <c r="FG23" s="925"/>
      <c r="FH23" s="925"/>
      <c r="FI23" s="925"/>
      <c r="FJ23" s="925"/>
      <c r="FK23" s="925"/>
      <c r="FL23" s="925"/>
      <c r="FM23" s="925"/>
      <c r="FN23" s="925"/>
      <c r="FO23" s="925"/>
      <c r="FP23" s="925"/>
      <c r="FQ23" s="925"/>
      <c r="FR23" s="925"/>
      <c r="FS23" s="925"/>
      <c r="FT23" s="925"/>
      <c r="FU23" s="925"/>
      <c r="FV23" s="925"/>
      <c r="FW23" s="925"/>
      <c r="FX23" s="925"/>
      <c r="FY23" s="925"/>
      <c r="FZ23" s="925"/>
      <c r="GA23" s="925"/>
      <c r="GB23" s="925"/>
      <c r="GC23" s="925"/>
      <c r="GD23" s="925"/>
      <c r="GE23" s="925"/>
      <c r="GF23" s="925"/>
      <c r="GG23" s="925"/>
      <c r="GH23" s="925"/>
      <c r="GI23" s="925"/>
      <c r="GJ23" s="925"/>
      <c r="GK23" s="925"/>
      <c r="GL23" s="925"/>
      <c r="GM23" s="925"/>
      <c r="GN23" s="925"/>
      <c r="GO23" s="925"/>
      <c r="GP23" s="925"/>
      <c r="GQ23" s="925"/>
      <c r="GR23" s="925"/>
      <c r="GS23" s="925"/>
      <c r="GT23" s="925"/>
      <c r="GU23" s="925"/>
      <c r="GV23" s="925"/>
      <c r="GW23" s="925"/>
      <c r="GX23" s="925"/>
      <c r="GY23" s="925"/>
      <c r="GZ23" s="925"/>
      <c r="HA23" s="925"/>
      <c r="HB23" s="925"/>
      <c r="HC23" s="925"/>
      <c r="HD23" s="925"/>
      <c r="HE23" s="925"/>
      <c r="HF23" s="925"/>
      <c r="HG23" s="925"/>
      <c r="HH23" s="925"/>
      <c r="HI23" s="925"/>
      <c r="HJ23" s="925"/>
      <c r="HK23" s="925"/>
      <c r="HL23" s="925"/>
      <c r="HM23" s="925"/>
      <c r="HN23" s="925"/>
      <c r="HO23" s="925"/>
      <c r="HP23" s="925"/>
      <c r="HQ23" s="925"/>
      <c r="HR23" s="925"/>
      <c r="HS23" s="925"/>
      <c r="HT23" s="925"/>
      <c r="HU23" s="925"/>
      <c r="HV23" s="925"/>
      <c r="HW23" s="925"/>
      <c r="HX23" s="925"/>
      <c r="HY23" s="925"/>
      <c r="HZ23" s="925"/>
      <c r="IA23" s="925"/>
      <c r="IB23" s="925"/>
      <c r="IC23" s="925"/>
      <c r="ID23" s="925"/>
      <c r="IE23" s="925"/>
      <c r="IF23" s="925"/>
      <c r="IG23" s="925"/>
      <c r="IH23" s="925"/>
      <c r="II23" s="925"/>
      <c r="IJ23" s="925"/>
      <c r="IK23" s="925"/>
      <c r="IL23" s="925"/>
      <c r="IM23" s="925"/>
      <c r="IN23" s="925"/>
      <c r="IO23" s="925"/>
      <c r="IP23" s="925"/>
      <c r="IQ23" s="925"/>
      <c r="IR23" s="925"/>
      <c r="IS23" s="925"/>
      <c r="IT23" s="925"/>
    </row>
    <row r="24" spans="1:254" ht="17.100000000000001" customHeight="1">
      <c r="A24" s="1111"/>
      <c r="B24" s="1120" t="s">
        <v>4469</v>
      </c>
      <c r="C24" s="1088">
        <v>2</v>
      </c>
      <c r="D24" s="1088">
        <v>61</v>
      </c>
      <c r="E24" s="1089"/>
      <c r="F24" s="1090"/>
      <c r="G24" s="1089"/>
      <c r="H24" s="1084">
        <f>PRODUCT(C24:G24)</f>
        <v>122</v>
      </c>
      <c r="I24" s="920"/>
      <c r="J24" s="925"/>
      <c r="K24" s="925"/>
      <c r="L24" s="925"/>
      <c r="M24" s="925"/>
      <c r="N24" s="925"/>
      <c r="O24" s="925"/>
      <c r="P24" s="925"/>
      <c r="Q24" s="925"/>
      <c r="R24" s="925"/>
      <c r="S24" s="925"/>
      <c r="T24" s="925"/>
      <c r="U24" s="925"/>
      <c r="V24" s="925"/>
      <c r="W24" s="925"/>
      <c r="X24" s="925"/>
      <c r="Y24" s="925"/>
      <c r="Z24" s="925"/>
      <c r="AA24" s="925"/>
      <c r="AB24" s="925"/>
      <c r="AC24" s="925"/>
      <c r="AD24" s="925"/>
      <c r="AE24" s="925"/>
      <c r="AF24" s="925"/>
      <c r="AG24" s="925"/>
      <c r="AH24" s="925"/>
      <c r="AI24" s="925"/>
      <c r="AJ24" s="925"/>
      <c r="AK24" s="925"/>
      <c r="AL24" s="925"/>
      <c r="AM24" s="925"/>
      <c r="AN24" s="925"/>
      <c r="AO24" s="925"/>
      <c r="AP24" s="925"/>
      <c r="AQ24" s="925"/>
      <c r="AR24" s="925"/>
      <c r="AS24" s="925"/>
      <c r="AT24" s="925"/>
      <c r="AU24" s="925"/>
      <c r="AV24" s="925"/>
      <c r="AW24" s="925"/>
      <c r="AX24" s="925"/>
      <c r="AY24" s="925"/>
      <c r="AZ24" s="925"/>
      <c r="BA24" s="925"/>
      <c r="BB24" s="925"/>
      <c r="BC24" s="925"/>
      <c r="BD24" s="925"/>
      <c r="BE24" s="925"/>
      <c r="BF24" s="925"/>
      <c r="BG24" s="925"/>
      <c r="BH24" s="925"/>
      <c r="BI24" s="925"/>
      <c r="BJ24" s="925"/>
      <c r="BK24" s="925"/>
      <c r="BL24" s="925"/>
      <c r="BM24" s="925"/>
      <c r="BN24" s="925"/>
      <c r="BO24" s="925"/>
      <c r="BP24" s="925"/>
      <c r="BQ24" s="925"/>
      <c r="BR24" s="925"/>
      <c r="BS24" s="925"/>
      <c r="BT24" s="925"/>
      <c r="BU24" s="925"/>
      <c r="BV24" s="925"/>
      <c r="BW24" s="925"/>
      <c r="BX24" s="925"/>
      <c r="BY24" s="925"/>
      <c r="BZ24" s="925"/>
      <c r="CA24" s="925"/>
      <c r="CB24" s="925"/>
      <c r="CC24" s="925"/>
      <c r="CD24" s="925"/>
      <c r="CE24" s="925"/>
      <c r="CF24" s="925"/>
      <c r="CG24" s="925"/>
      <c r="CH24" s="925"/>
      <c r="CI24" s="925"/>
      <c r="CJ24" s="925"/>
      <c r="CK24" s="925"/>
      <c r="CL24" s="925"/>
      <c r="CM24" s="925"/>
      <c r="CN24" s="925"/>
      <c r="CO24" s="925"/>
      <c r="CP24" s="925"/>
      <c r="CQ24" s="925"/>
      <c r="CR24" s="925"/>
      <c r="CS24" s="925"/>
      <c r="CT24" s="925"/>
      <c r="CU24" s="925"/>
      <c r="CV24" s="925"/>
      <c r="CW24" s="925"/>
      <c r="CX24" s="925"/>
      <c r="CY24" s="925"/>
      <c r="CZ24" s="925"/>
      <c r="DA24" s="925"/>
      <c r="DB24" s="925"/>
      <c r="DC24" s="925"/>
      <c r="DD24" s="925"/>
      <c r="DE24" s="925"/>
      <c r="DF24" s="925"/>
      <c r="DG24" s="925"/>
      <c r="DH24" s="925"/>
      <c r="DI24" s="925"/>
      <c r="DJ24" s="925"/>
      <c r="DK24" s="925"/>
      <c r="DL24" s="925"/>
      <c r="DM24" s="925"/>
      <c r="DN24" s="925"/>
      <c r="DO24" s="925"/>
      <c r="DP24" s="925"/>
      <c r="DQ24" s="925"/>
      <c r="DR24" s="925"/>
      <c r="DS24" s="925"/>
      <c r="DT24" s="925"/>
      <c r="DU24" s="925"/>
      <c r="DV24" s="925"/>
      <c r="DW24" s="925"/>
      <c r="DX24" s="925"/>
      <c r="DY24" s="925"/>
      <c r="DZ24" s="925"/>
      <c r="EA24" s="925"/>
      <c r="EB24" s="925"/>
      <c r="EC24" s="925"/>
      <c r="ED24" s="925"/>
      <c r="EE24" s="925"/>
      <c r="EF24" s="925"/>
      <c r="EG24" s="925"/>
      <c r="EH24" s="925"/>
      <c r="EI24" s="925"/>
      <c r="EJ24" s="925"/>
      <c r="EK24" s="925"/>
      <c r="EL24" s="925"/>
      <c r="EM24" s="925"/>
      <c r="EN24" s="925"/>
      <c r="EO24" s="925"/>
      <c r="EP24" s="925"/>
      <c r="EQ24" s="925"/>
      <c r="ER24" s="925"/>
      <c r="ES24" s="925"/>
      <c r="ET24" s="925"/>
      <c r="EU24" s="925"/>
      <c r="EV24" s="925"/>
      <c r="EW24" s="925"/>
      <c r="EX24" s="925"/>
      <c r="EY24" s="925"/>
      <c r="EZ24" s="925"/>
      <c r="FA24" s="925"/>
      <c r="FB24" s="925"/>
      <c r="FC24" s="925"/>
      <c r="FD24" s="925"/>
      <c r="FE24" s="925"/>
      <c r="FF24" s="925"/>
      <c r="FG24" s="925"/>
      <c r="FH24" s="925"/>
      <c r="FI24" s="925"/>
      <c r="FJ24" s="925"/>
      <c r="FK24" s="925"/>
      <c r="FL24" s="925"/>
      <c r="FM24" s="925"/>
      <c r="FN24" s="925"/>
      <c r="FO24" s="925"/>
      <c r="FP24" s="925"/>
      <c r="FQ24" s="925"/>
      <c r="FR24" s="925"/>
      <c r="FS24" s="925"/>
      <c r="FT24" s="925"/>
      <c r="FU24" s="925"/>
      <c r="FV24" s="925"/>
      <c r="FW24" s="925"/>
      <c r="FX24" s="925"/>
      <c r="FY24" s="925"/>
      <c r="FZ24" s="925"/>
      <c r="GA24" s="925"/>
      <c r="GB24" s="925"/>
      <c r="GC24" s="925"/>
      <c r="GD24" s="925"/>
      <c r="GE24" s="925"/>
      <c r="GF24" s="925"/>
      <c r="GG24" s="925"/>
      <c r="GH24" s="925"/>
      <c r="GI24" s="925"/>
      <c r="GJ24" s="925"/>
      <c r="GK24" s="925"/>
      <c r="GL24" s="925"/>
      <c r="GM24" s="925"/>
      <c r="GN24" s="925"/>
      <c r="GO24" s="925"/>
      <c r="GP24" s="925"/>
      <c r="GQ24" s="925"/>
      <c r="GR24" s="925"/>
      <c r="GS24" s="925"/>
      <c r="GT24" s="925"/>
      <c r="GU24" s="925"/>
      <c r="GV24" s="925"/>
      <c r="GW24" s="925"/>
      <c r="GX24" s="925"/>
      <c r="GY24" s="925"/>
      <c r="GZ24" s="925"/>
      <c r="HA24" s="925"/>
      <c r="HB24" s="925"/>
      <c r="HC24" s="925"/>
      <c r="HD24" s="925"/>
      <c r="HE24" s="925"/>
      <c r="HF24" s="925"/>
      <c r="HG24" s="925"/>
      <c r="HH24" s="925"/>
      <c r="HI24" s="925"/>
      <c r="HJ24" s="925"/>
      <c r="HK24" s="925"/>
      <c r="HL24" s="925"/>
      <c r="HM24" s="925"/>
      <c r="HN24" s="925"/>
      <c r="HO24" s="925"/>
      <c r="HP24" s="925"/>
      <c r="HQ24" s="925"/>
      <c r="HR24" s="925"/>
      <c r="HS24" s="925"/>
      <c r="HT24" s="925"/>
      <c r="HU24" s="925"/>
      <c r="HV24" s="925"/>
      <c r="HW24" s="925"/>
      <c r="HX24" s="925"/>
      <c r="HY24" s="925"/>
      <c r="HZ24" s="925"/>
      <c r="IA24" s="925"/>
      <c r="IB24" s="925"/>
      <c r="IC24" s="925"/>
      <c r="ID24" s="925"/>
      <c r="IE24" s="925"/>
      <c r="IF24" s="925"/>
      <c r="IG24" s="925"/>
      <c r="IH24" s="925"/>
      <c r="II24" s="925"/>
      <c r="IJ24" s="925"/>
      <c r="IK24" s="925"/>
      <c r="IL24" s="925"/>
      <c r="IM24" s="925"/>
      <c r="IN24" s="925"/>
      <c r="IO24" s="925"/>
      <c r="IP24" s="925"/>
      <c r="IQ24" s="925"/>
      <c r="IR24" s="925"/>
      <c r="IS24" s="925"/>
      <c r="IT24" s="925"/>
    </row>
    <row r="25" spans="1:254" ht="17.100000000000001" customHeight="1">
      <c r="A25" s="1111"/>
      <c r="B25" s="1091"/>
      <c r="C25" s="1093"/>
      <c r="D25" s="1093"/>
      <c r="E25" s="1094"/>
      <c r="F25" s="1094"/>
      <c r="G25" s="1095"/>
      <c r="H25" s="1096"/>
      <c r="I25" s="920"/>
      <c r="J25" s="925"/>
      <c r="K25" s="925"/>
      <c r="L25" s="925"/>
      <c r="M25" s="925"/>
      <c r="N25" s="925"/>
      <c r="O25" s="925"/>
      <c r="P25" s="925"/>
      <c r="Q25" s="925"/>
      <c r="R25" s="925"/>
      <c r="S25" s="925"/>
      <c r="T25" s="925"/>
      <c r="U25" s="925"/>
      <c r="V25" s="925"/>
      <c r="W25" s="925"/>
      <c r="X25" s="925"/>
      <c r="Y25" s="925"/>
      <c r="Z25" s="925"/>
      <c r="AA25" s="925"/>
      <c r="AB25" s="925"/>
      <c r="AC25" s="925"/>
      <c r="AD25" s="925"/>
      <c r="AE25" s="925"/>
      <c r="AF25" s="925"/>
      <c r="AG25" s="925"/>
      <c r="AH25" s="925"/>
      <c r="AI25" s="925"/>
      <c r="AJ25" s="925"/>
      <c r="AK25" s="925"/>
      <c r="AL25" s="925"/>
      <c r="AM25" s="925"/>
      <c r="AN25" s="925"/>
      <c r="AO25" s="925"/>
      <c r="AP25" s="925"/>
      <c r="AQ25" s="925"/>
      <c r="AR25" s="925"/>
      <c r="AS25" s="925"/>
      <c r="AT25" s="925"/>
      <c r="AU25" s="925"/>
      <c r="AV25" s="925"/>
      <c r="AW25" s="925"/>
      <c r="AX25" s="925"/>
      <c r="AY25" s="925"/>
      <c r="AZ25" s="925"/>
      <c r="BA25" s="925"/>
      <c r="BB25" s="925"/>
      <c r="BC25" s="925"/>
      <c r="BD25" s="925"/>
      <c r="BE25" s="925"/>
      <c r="BF25" s="925"/>
      <c r="BG25" s="925"/>
      <c r="BH25" s="925"/>
      <c r="BI25" s="925"/>
      <c r="BJ25" s="925"/>
      <c r="BK25" s="925"/>
      <c r="BL25" s="925"/>
      <c r="BM25" s="925"/>
      <c r="BN25" s="925"/>
      <c r="BO25" s="925"/>
      <c r="BP25" s="925"/>
      <c r="BQ25" s="925"/>
      <c r="BR25" s="925"/>
      <c r="BS25" s="925"/>
      <c r="BT25" s="925"/>
      <c r="BU25" s="925"/>
      <c r="BV25" s="925"/>
      <c r="BW25" s="925"/>
      <c r="BX25" s="925"/>
      <c r="BY25" s="925"/>
      <c r="BZ25" s="925"/>
      <c r="CA25" s="925"/>
      <c r="CB25" s="925"/>
      <c r="CC25" s="925"/>
      <c r="CD25" s="925"/>
      <c r="CE25" s="925"/>
      <c r="CF25" s="925"/>
      <c r="CG25" s="925"/>
      <c r="CH25" s="925"/>
      <c r="CI25" s="925"/>
      <c r="CJ25" s="925"/>
      <c r="CK25" s="925"/>
      <c r="CL25" s="925"/>
      <c r="CM25" s="925"/>
      <c r="CN25" s="925"/>
      <c r="CO25" s="925"/>
      <c r="CP25" s="925"/>
      <c r="CQ25" s="925"/>
      <c r="CR25" s="925"/>
      <c r="CS25" s="925"/>
      <c r="CT25" s="925"/>
      <c r="CU25" s="925"/>
      <c r="CV25" s="925"/>
      <c r="CW25" s="925"/>
      <c r="CX25" s="925"/>
      <c r="CY25" s="925"/>
      <c r="CZ25" s="925"/>
      <c r="DA25" s="925"/>
      <c r="DB25" s="925"/>
      <c r="DC25" s="925"/>
      <c r="DD25" s="925"/>
      <c r="DE25" s="925"/>
      <c r="DF25" s="925"/>
      <c r="DG25" s="925"/>
      <c r="DH25" s="925"/>
      <c r="DI25" s="925"/>
      <c r="DJ25" s="925"/>
      <c r="DK25" s="925"/>
      <c r="DL25" s="925"/>
      <c r="DM25" s="925"/>
      <c r="DN25" s="925"/>
      <c r="DO25" s="925"/>
      <c r="DP25" s="925"/>
      <c r="DQ25" s="925"/>
      <c r="DR25" s="925"/>
      <c r="DS25" s="925"/>
      <c r="DT25" s="925"/>
      <c r="DU25" s="925"/>
      <c r="DV25" s="925"/>
      <c r="DW25" s="925"/>
      <c r="DX25" s="925"/>
      <c r="DY25" s="925"/>
      <c r="DZ25" s="925"/>
      <c r="EA25" s="925"/>
      <c r="EB25" s="925"/>
      <c r="EC25" s="925"/>
      <c r="ED25" s="925"/>
      <c r="EE25" s="925"/>
      <c r="EF25" s="925"/>
      <c r="EG25" s="925"/>
      <c r="EH25" s="925"/>
      <c r="EI25" s="925"/>
      <c r="EJ25" s="925"/>
      <c r="EK25" s="925"/>
      <c r="EL25" s="925"/>
      <c r="EM25" s="925"/>
      <c r="EN25" s="925"/>
      <c r="EO25" s="925"/>
      <c r="EP25" s="925"/>
      <c r="EQ25" s="925"/>
      <c r="ER25" s="925"/>
      <c r="ES25" s="925"/>
      <c r="ET25" s="925"/>
      <c r="EU25" s="925"/>
      <c r="EV25" s="925"/>
      <c r="EW25" s="925"/>
      <c r="EX25" s="925"/>
      <c r="EY25" s="925"/>
      <c r="EZ25" s="925"/>
      <c r="FA25" s="925"/>
      <c r="FB25" s="925"/>
      <c r="FC25" s="925"/>
      <c r="FD25" s="925"/>
      <c r="FE25" s="925"/>
      <c r="FF25" s="925"/>
      <c r="FG25" s="925"/>
      <c r="FH25" s="925"/>
      <c r="FI25" s="925"/>
      <c r="FJ25" s="925"/>
      <c r="FK25" s="925"/>
      <c r="FL25" s="925"/>
      <c r="FM25" s="925"/>
      <c r="FN25" s="925"/>
      <c r="FO25" s="925"/>
      <c r="FP25" s="925"/>
      <c r="FQ25" s="925"/>
      <c r="FR25" s="925"/>
      <c r="FS25" s="925"/>
      <c r="FT25" s="925"/>
      <c r="FU25" s="925"/>
      <c r="FV25" s="925"/>
      <c r="FW25" s="925"/>
      <c r="FX25" s="925"/>
      <c r="FY25" s="925"/>
      <c r="FZ25" s="925"/>
      <c r="GA25" s="925"/>
      <c r="GB25" s="925"/>
      <c r="GC25" s="925"/>
      <c r="GD25" s="925"/>
      <c r="GE25" s="925"/>
      <c r="GF25" s="925"/>
      <c r="GG25" s="925"/>
      <c r="GH25" s="925"/>
      <c r="GI25" s="925"/>
      <c r="GJ25" s="925"/>
      <c r="GK25" s="925"/>
      <c r="GL25" s="925"/>
      <c r="GM25" s="925"/>
      <c r="GN25" s="925"/>
      <c r="GO25" s="925"/>
      <c r="GP25" s="925"/>
      <c r="GQ25" s="925"/>
      <c r="GR25" s="925"/>
      <c r="GS25" s="925"/>
      <c r="GT25" s="925"/>
      <c r="GU25" s="925"/>
      <c r="GV25" s="925"/>
      <c r="GW25" s="925"/>
      <c r="GX25" s="925"/>
      <c r="GY25" s="925"/>
      <c r="GZ25" s="925"/>
      <c r="HA25" s="925"/>
      <c r="HB25" s="925"/>
      <c r="HC25" s="925"/>
      <c r="HD25" s="925"/>
      <c r="HE25" s="925"/>
      <c r="HF25" s="925"/>
      <c r="HG25" s="925"/>
      <c r="HH25" s="925"/>
      <c r="HI25" s="925"/>
      <c r="HJ25" s="925"/>
      <c r="HK25" s="925"/>
      <c r="HL25" s="925"/>
      <c r="HM25" s="925"/>
      <c r="HN25" s="925"/>
      <c r="HO25" s="925"/>
      <c r="HP25" s="925"/>
      <c r="HQ25" s="925"/>
      <c r="HR25" s="925"/>
      <c r="HS25" s="925"/>
      <c r="HT25" s="925"/>
      <c r="HU25" s="925"/>
      <c r="HV25" s="925"/>
      <c r="HW25" s="925"/>
      <c r="HX25" s="925"/>
      <c r="HY25" s="925"/>
      <c r="HZ25" s="925"/>
      <c r="IA25" s="925"/>
      <c r="IB25" s="925"/>
      <c r="IC25" s="925"/>
      <c r="ID25" s="925"/>
      <c r="IE25" s="925"/>
      <c r="IF25" s="925"/>
      <c r="IG25" s="925"/>
      <c r="IH25" s="925"/>
      <c r="II25" s="925"/>
      <c r="IJ25" s="925"/>
      <c r="IK25" s="925"/>
      <c r="IL25" s="925"/>
      <c r="IM25" s="925"/>
      <c r="IN25" s="925"/>
      <c r="IO25" s="925"/>
      <c r="IP25" s="925"/>
      <c r="IQ25" s="925"/>
      <c r="IR25" s="925"/>
      <c r="IS25" s="925"/>
      <c r="IT25" s="925"/>
    </row>
    <row r="26" spans="1:254" ht="47.25">
      <c r="A26" s="1112">
        <v>8</v>
      </c>
      <c r="B26" s="1097" t="s">
        <v>4553</v>
      </c>
      <c r="C26" s="1088"/>
      <c r="D26" s="1088"/>
      <c r="E26" s="1097"/>
      <c r="F26" s="1097"/>
      <c r="G26" s="1097"/>
      <c r="H26" s="1092"/>
      <c r="I26" s="920"/>
      <c r="M26" s="1290"/>
      <c r="N26" s="1290"/>
    </row>
    <row r="27" spans="1:254" ht="17.100000000000001" customHeight="1">
      <c r="A27" s="1091"/>
      <c r="B27" s="1120" t="s">
        <v>4469</v>
      </c>
      <c r="C27" s="1088">
        <v>1</v>
      </c>
      <c r="D27" s="1088">
        <v>1</v>
      </c>
      <c r="E27" s="1089"/>
      <c r="F27" s="1090"/>
      <c r="G27" s="1089"/>
      <c r="H27" s="1084">
        <f>PRODUCT(C27:G27)</f>
        <v>1</v>
      </c>
      <c r="I27" s="920"/>
    </row>
    <row r="28" spans="1:254" s="927" customFormat="1" ht="17.100000000000001" customHeight="1">
      <c r="A28" s="1099"/>
      <c r="B28" s="1122"/>
      <c r="C28" s="1098"/>
      <c r="D28" s="1098"/>
      <c r="E28" s="1099"/>
      <c r="F28" s="1099"/>
      <c r="G28" s="1100"/>
      <c r="H28" s="1100"/>
      <c r="I28" s="926"/>
    </row>
    <row r="29" spans="1:254" ht="38.25" customHeight="1">
      <c r="A29" s="1086">
        <v>9</v>
      </c>
      <c r="B29" s="1106" t="s">
        <v>4842</v>
      </c>
      <c r="C29" s="1070"/>
      <c r="D29" s="1070"/>
      <c r="E29" s="1072"/>
      <c r="F29" s="1073"/>
      <c r="G29" s="1072"/>
      <c r="H29" s="1077"/>
      <c r="I29" s="920"/>
    </row>
    <row r="30" spans="1:254" ht="21.75" customHeight="1">
      <c r="A30" s="1086"/>
      <c r="B30" s="1119" t="s">
        <v>4469</v>
      </c>
      <c r="C30" s="1086">
        <v>2</v>
      </c>
      <c r="D30" s="1086">
        <v>22</v>
      </c>
      <c r="E30" s="1149"/>
      <c r="F30" s="1149"/>
      <c r="G30" s="1149"/>
      <c r="H30" s="1078">
        <f>PRODUCT(C30:G30)</f>
        <v>44</v>
      </c>
      <c r="I30" s="920"/>
    </row>
    <row r="31" spans="1:254" ht="21.75" customHeight="1">
      <c r="A31" s="1086"/>
      <c r="B31" s="1106" t="s">
        <v>4843</v>
      </c>
      <c r="C31" s="1086">
        <v>1</v>
      </c>
      <c r="D31" s="1086">
        <v>1</v>
      </c>
      <c r="E31" s="1149"/>
      <c r="F31" s="1149"/>
      <c r="G31" s="1149"/>
      <c r="H31" s="1078">
        <f>PRODUCT(C31:G31)</f>
        <v>1</v>
      </c>
      <c r="I31" s="920"/>
    </row>
    <row r="32" spans="1:254" ht="21.75" customHeight="1">
      <c r="A32" s="1086"/>
      <c r="B32" s="1106" t="s">
        <v>4570</v>
      </c>
      <c r="C32" s="1086">
        <v>1</v>
      </c>
      <c r="D32" s="1086">
        <v>15</v>
      </c>
      <c r="E32" s="1149"/>
      <c r="F32" s="1149"/>
      <c r="G32" s="1149"/>
      <c r="H32" s="1078">
        <f>PRODUCT(C32:G32)</f>
        <v>15</v>
      </c>
      <c r="I32" s="920"/>
    </row>
    <row r="33" spans="1:9" ht="17.100000000000001" customHeight="1">
      <c r="A33" s="1086"/>
      <c r="B33" s="1119"/>
      <c r="C33" s="1070"/>
      <c r="D33" s="1070"/>
      <c r="E33" s="1074"/>
      <c r="F33" s="1074"/>
      <c r="G33" s="1074"/>
      <c r="H33" s="1084">
        <f>SUM(H30:H32)</f>
        <v>60</v>
      </c>
      <c r="I33" s="920"/>
    </row>
    <row r="34" spans="1:9" ht="17.100000000000001" customHeight="1">
      <c r="A34" s="1086"/>
      <c r="B34" s="1119"/>
      <c r="C34" s="1070"/>
      <c r="D34" s="1070"/>
      <c r="E34" s="1074"/>
      <c r="F34" s="1074"/>
      <c r="G34" s="1074"/>
      <c r="H34" s="1079"/>
      <c r="I34" s="920"/>
    </row>
    <row r="35" spans="1:9" ht="33.75" customHeight="1">
      <c r="A35" s="1086">
        <v>10</v>
      </c>
      <c r="B35" s="1106" t="s">
        <v>4554</v>
      </c>
      <c r="C35" s="1070"/>
      <c r="D35" s="1070"/>
      <c r="E35" s="1074"/>
      <c r="F35" s="1074"/>
      <c r="G35" s="1074"/>
      <c r="H35" s="1079"/>
      <c r="I35" s="920"/>
    </row>
    <row r="36" spans="1:9">
      <c r="A36" s="1086"/>
      <c r="B36" s="1106" t="s">
        <v>4570</v>
      </c>
      <c r="C36" s="1086">
        <v>1</v>
      </c>
      <c r="D36" s="1086">
        <v>5</v>
      </c>
      <c r="E36" s="1074"/>
      <c r="F36" s="1074"/>
      <c r="G36" s="1074"/>
      <c r="H36" s="1084">
        <f>PRODUCT(C36:G36)</f>
        <v>5</v>
      </c>
      <c r="I36" s="920"/>
    </row>
    <row r="37" spans="1:9">
      <c r="A37" s="1086"/>
      <c r="B37" s="1119"/>
      <c r="C37" s="1070"/>
      <c r="D37" s="1070"/>
      <c r="E37" s="1074"/>
      <c r="F37" s="1074"/>
      <c r="G37" s="1074"/>
      <c r="H37" s="1079"/>
      <c r="I37" s="920"/>
    </row>
    <row r="38" spans="1:9" ht="33" customHeight="1">
      <c r="A38" s="1086">
        <v>11</v>
      </c>
      <c r="B38" s="1119" t="s">
        <v>4818</v>
      </c>
      <c r="C38" s="1070"/>
      <c r="D38" s="1070"/>
      <c r="E38" s="1074"/>
      <c r="F38" s="1074"/>
      <c r="G38" s="1074"/>
      <c r="H38" s="1079"/>
      <c r="I38" s="920"/>
    </row>
    <row r="39" spans="1:9" ht="17.100000000000001" customHeight="1">
      <c r="A39" s="1086"/>
      <c r="B39" s="1119" t="s">
        <v>4469</v>
      </c>
      <c r="C39" s="1070">
        <v>1</v>
      </c>
      <c r="D39" s="1070">
        <v>1</v>
      </c>
      <c r="E39" s="1074"/>
      <c r="F39" s="1074"/>
      <c r="G39" s="1074"/>
      <c r="H39" s="1084">
        <f>PRODUCT(C39:G39)</f>
        <v>1</v>
      </c>
      <c r="I39" s="920"/>
    </row>
    <row r="40" spans="1:9" ht="17.100000000000001" customHeight="1">
      <c r="A40" s="1086"/>
      <c r="B40" s="1119"/>
      <c r="C40" s="1070"/>
      <c r="D40" s="1070"/>
      <c r="E40" s="1074"/>
      <c r="F40" s="1074"/>
      <c r="G40" s="1074"/>
      <c r="H40" s="1084"/>
      <c r="I40" s="920"/>
    </row>
    <row r="41" spans="1:9" ht="26.25" customHeight="1">
      <c r="A41" s="1086">
        <v>12</v>
      </c>
      <c r="B41" s="1119" t="s">
        <v>4680</v>
      </c>
      <c r="C41" s="1070"/>
      <c r="D41" s="1070"/>
      <c r="E41" s="1074"/>
      <c r="F41" s="1074"/>
      <c r="G41" s="1074"/>
      <c r="H41" s="1084"/>
      <c r="I41" s="920"/>
    </row>
    <row r="42" spans="1:9" ht="17.100000000000001" customHeight="1">
      <c r="A42" s="1086"/>
      <c r="B42" s="1119" t="s">
        <v>4469</v>
      </c>
      <c r="C42" s="1070">
        <v>1</v>
      </c>
      <c r="D42" s="1070">
        <v>1</v>
      </c>
      <c r="E42" s="1074"/>
      <c r="F42" s="1074"/>
      <c r="G42" s="1074"/>
      <c r="H42" s="1084">
        <f>PRODUCT(C42:G42)</f>
        <v>1</v>
      </c>
      <c r="I42" s="920"/>
    </row>
    <row r="43" spans="1:9" ht="17.100000000000001" customHeight="1">
      <c r="A43" s="1086"/>
      <c r="B43" s="1119"/>
      <c r="C43" s="1070"/>
      <c r="D43" s="1070"/>
      <c r="E43" s="1074"/>
      <c r="F43" s="1074"/>
      <c r="G43" s="1074"/>
      <c r="H43" s="1084"/>
      <c r="I43" s="920"/>
    </row>
    <row r="44" spans="1:9" ht="24.75" customHeight="1">
      <c r="A44" s="1086">
        <v>13</v>
      </c>
      <c r="B44" s="1119" t="s">
        <v>4681</v>
      </c>
      <c r="C44" s="1070"/>
      <c r="D44" s="1070"/>
      <c r="E44" s="1074"/>
      <c r="F44" s="1074"/>
      <c r="G44" s="1074"/>
      <c r="H44" s="1084"/>
      <c r="I44" s="920"/>
    </row>
    <row r="45" spans="1:9" ht="17.100000000000001" customHeight="1">
      <c r="A45" s="1086"/>
      <c r="B45" s="1119" t="s">
        <v>4469</v>
      </c>
      <c r="C45" s="1070">
        <v>1</v>
      </c>
      <c r="D45" s="1070">
        <v>2</v>
      </c>
      <c r="E45" s="1074"/>
      <c r="F45" s="1074"/>
      <c r="G45" s="1074"/>
      <c r="H45" s="1084">
        <f>PRODUCT(C45:G45)</f>
        <v>2</v>
      </c>
      <c r="I45" s="920"/>
    </row>
    <row r="46" spans="1:9" ht="17.100000000000001" customHeight="1">
      <c r="A46" s="1086"/>
      <c r="B46" s="1119"/>
      <c r="C46" s="1070"/>
      <c r="D46" s="1070"/>
      <c r="E46" s="1074"/>
      <c r="F46" s="1074"/>
      <c r="G46" s="1074"/>
      <c r="H46" s="1084"/>
      <c r="I46" s="920"/>
    </row>
    <row r="47" spans="1:9" ht="110.25">
      <c r="A47" s="1086">
        <v>14</v>
      </c>
      <c r="B47" s="1119" t="s">
        <v>4683</v>
      </c>
      <c r="C47" s="1070"/>
      <c r="D47" s="1070"/>
      <c r="E47" s="1074"/>
      <c r="F47" s="1074"/>
      <c r="G47" s="1074"/>
      <c r="H47" s="1084"/>
      <c r="I47" s="920"/>
    </row>
    <row r="48" spans="1:9" ht="17.100000000000001" customHeight="1">
      <c r="A48" s="1086"/>
      <c r="B48" s="1119" t="s">
        <v>4609</v>
      </c>
      <c r="C48" s="1070">
        <v>1</v>
      </c>
      <c r="D48" s="1070">
        <v>25</v>
      </c>
      <c r="E48" s="1074">
        <v>2</v>
      </c>
      <c r="F48" s="1074"/>
      <c r="G48" s="1074"/>
      <c r="H48" s="1078">
        <f>PRODUCT(C48:G48)</f>
        <v>50</v>
      </c>
      <c r="I48" s="920"/>
    </row>
    <row r="49" spans="1:9" ht="17.100000000000001" customHeight="1">
      <c r="A49" s="1086"/>
      <c r="B49" s="1119"/>
      <c r="C49" s="1070"/>
      <c r="D49" s="1070"/>
      <c r="E49" s="1074"/>
      <c r="F49" s="1074"/>
      <c r="G49" s="1074" t="s">
        <v>2332</v>
      </c>
      <c r="H49" s="1078">
        <f>SUM(H48)</f>
        <v>50</v>
      </c>
      <c r="I49" s="920"/>
    </row>
    <row r="50" spans="1:9" ht="17.100000000000001" customHeight="1">
      <c r="A50" s="1086"/>
      <c r="B50" s="1119"/>
      <c r="C50" s="1070"/>
      <c r="D50" s="1070"/>
      <c r="E50" s="1074"/>
      <c r="F50" s="1074"/>
      <c r="G50" s="1074"/>
      <c r="H50" s="1078">
        <v>0</v>
      </c>
      <c r="I50" s="920"/>
    </row>
    <row r="51" spans="1:9" ht="17.100000000000001" customHeight="1">
      <c r="A51" s="1086"/>
      <c r="B51" s="1119"/>
      <c r="C51" s="1070"/>
      <c r="D51" s="1070"/>
      <c r="E51" s="1074"/>
      <c r="F51" s="1074"/>
      <c r="G51" s="1074" t="s">
        <v>3678</v>
      </c>
      <c r="H51" s="1084">
        <f>SUM(H49:H50)</f>
        <v>50</v>
      </c>
      <c r="I51" s="920"/>
    </row>
    <row r="52" spans="1:9" ht="17.100000000000001" customHeight="1">
      <c r="A52" s="1086"/>
      <c r="B52" s="1119"/>
      <c r="C52" s="1070"/>
      <c r="D52" s="1070"/>
      <c r="E52" s="1074"/>
      <c r="F52" s="1074"/>
      <c r="G52" s="1074"/>
      <c r="H52" s="1084"/>
      <c r="I52" s="920"/>
    </row>
    <row r="53" spans="1:9" ht="173.25">
      <c r="A53" s="1086">
        <v>15</v>
      </c>
      <c r="B53" s="1119" t="s">
        <v>4682</v>
      </c>
      <c r="C53" s="1070"/>
      <c r="D53" s="1070"/>
      <c r="E53" s="1074"/>
      <c r="F53" s="1074"/>
      <c r="G53" s="1074"/>
      <c r="H53" s="1084"/>
      <c r="I53" s="920"/>
    </row>
    <row r="54" spans="1:9" ht="21.75" customHeight="1">
      <c r="A54" s="1086"/>
      <c r="B54" s="1119" t="s">
        <v>4609</v>
      </c>
      <c r="C54" s="1086">
        <v>1</v>
      </c>
      <c r="D54" s="1086">
        <v>25</v>
      </c>
      <c r="E54" s="1149">
        <v>2</v>
      </c>
      <c r="F54" s="1149"/>
      <c r="G54" s="1149">
        <v>1.8</v>
      </c>
      <c r="H54" s="1078">
        <f>PRODUCT(C54:G54)</f>
        <v>90</v>
      </c>
      <c r="I54" s="920"/>
    </row>
    <row r="55" spans="1:9" ht="17.100000000000001" customHeight="1">
      <c r="A55" s="1086"/>
      <c r="B55" s="1119"/>
      <c r="C55" s="1070"/>
      <c r="D55" s="1070"/>
      <c r="E55" s="1074"/>
      <c r="F55" s="1074"/>
      <c r="G55" s="1074" t="s">
        <v>2332</v>
      </c>
      <c r="H55" s="1078">
        <f>SUM(H54)</f>
        <v>90</v>
      </c>
      <c r="I55" s="920"/>
    </row>
    <row r="56" spans="1:9" ht="17.100000000000001" customHeight="1">
      <c r="A56" s="1086"/>
      <c r="B56" s="1119"/>
      <c r="C56" s="1070"/>
      <c r="D56" s="1070"/>
      <c r="E56" s="1074"/>
      <c r="F56" s="1074"/>
      <c r="G56" s="1074"/>
      <c r="H56" s="1078">
        <v>0</v>
      </c>
      <c r="I56" s="920"/>
    </row>
    <row r="57" spans="1:9" ht="17.100000000000001" customHeight="1">
      <c r="A57" s="1086"/>
      <c r="B57" s="1119"/>
      <c r="C57" s="1070"/>
      <c r="D57" s="1070"/>
      <c r="E57" s="1074"/>
      <c r="F57" s="1074"/>
      <c r="G57" s="1074" t="s">
        <v>3678</v>
      </c>
      <c r="H57" s="1084">
        <f>SUM(H55:H56)</f>
        <v>90</v>
      </c>
      <c r="I57" s="920"/>
    </row>
    <row r="58" spans="1:9" ht="17.100000000000001" customHeight="1">
      <c r="A58" s="1086"/>
      <c r="B58" s="1119"/>
      <c r="C58" s="1070"/>
      <c r="D58" s="1070"/>
      <c r="E58" s="1074"/>
      <c r="F58" s="1074"/>
      <c r="G58" s="1074"/>
      <c r="H58" s="1084"/>
      <c r="I58" s="920"/>
    </row>
    <row r="59" spans="1:9" ht="24" customHeight="1">
      <c r="A59" s="1086">
        <v>16</v>
      </c>
      <c r="B59" s="1119" t="s">
        <v>4805</v>
      </c>
      <c r="C59" s="1070"/>
      <c r="D59" s="1070"/>
      <c r="E59" s="1074"/>
      <c r="F59" s="1074"/>
      <c r="G59" s="1074"/>
      <c r="H59" s="1084"/>
      <c r="I59" s="920"/>
    </row>
    <row r="60" spans="1:9" ht="17.100000000000001" customHeight="1">
      <c r="A60" s="1086"/>
      <c r="B60" s="1119" t="s">
        <v>4806</v>
      </c>
      <c r="C60" s="1070">
        <v>2</v>
      </c>
      <c r="D60" s="1070">
        <v>22</v>
      </c>
      <c r="E60" s="1074"/>
      <c r="F60" s="1074"/>
      <c r="G60" s="1074"/>
      <c r="H60" s="1084">
        <f>PRODUCT(C60:G60)</f>
        <v>44</v>
      </c>
      <c r="I60" s="920"/>
    </row>
    <row r="61" spans="1:9" ht="17.100000000000001" customHeight="1">
      <c r="A61" s="1086"/>
      <c r="B61" s="1119"/>
      <c r="C61" s="1070"/>
      <c r="D61" s="1070"/>
      <c r="E61" s="1074"/>
      <c r="F61" s="1074"/>
      <c r="G61" s="1074"/>
      <c r="H61" s="1084"/>
      <c r="I61" s="920"/>
    </row>
    <row r="62" spans="1:9" ht="17.100000000000001" customHeight="1">
      <c r="A62" s="1086">
        <v>17</v>
      </c>
      <c r="B62" s="1119" t="s">
        <v>4807</v>
      </c>
      <c r="C62" s="1070"/>
      <c r="D62" s="1070"/>
      <c r="E62" s="1074"/>
      <c r="F62" s="1074"/>
      <c r="G62" s="1074"/>
      <c r="H62" s="1084"/>
      <c r="I62" s="920"/>
    </row>
    <row r="63" spans="1:9" ht="17.100000000000001" customHeight="1">
      <c r="A63" s="1086"/>
      <c r="B63" s="1119" t="s">
        <v>4806</v>
      </c>
      <c r="C63" s="1070">
        <v>1</v>
      </c>
      <c r="D63" s="1070">
        <v>22</v>
      </c>
      <c r="E63" s="1074"/>
      <c r="F63" s="1074"/>
      <c r="G63" s="1074"/>
      <c r="H63" s="1084">
        <f>PRODUCT(C63:G63)</f>
        <v>22</v>
      </c>
      <c r="I63" s="920"/>
    </row>
    <row r="64" spans="1:9" ht="17.100000000000001" customHeight="1">
      <c r="A64" s="1086"/>
      <c r="B64" s="1119"/>
      <c r="C64" s="1070"/>
      <c r="D64" s="1070"/>
      <c r="E64" s="1074"/>
      <c r="F64" s="1074"/>
      <c r="G64" s="1074"/>
      <c r="H64" s="1084"/>
      <c r="I64" s="920"/>
    </row>
    <row r="65" spans="1:9" ht="17.100000000000001" customHeight="1">
      <c r="A65" s="1086">
        <v>18</v>
      </c>
      <c r="B65" s="1119" t="s">
        <v>4808</v>
      </c>
      <c r="C65" s="1070"/>
      <c r="D65" s="1070"/>
      <c r="E65" s="1074"/>
      <c r="F65" s="1074"/>
      <c r="G65" s="1074"/>
      <c r="H65" s="1084"/>
      <c r="I65" s="920"/>
    </row>
    <row r="66" spans="1:9" ht="17.100000000000001" customHeight="1">
      <c r="A66" s="1086"/>
      <c r="B66" s="1119" t="s">
        <v>4806</v>
      </c>
      <c r="C66" s="1070">
        <v>1</v>
      </c>
      <c r="D66" s="1070">
        <v>1</v>
      </c>
      <c r="E66" s="1074"/>
      <c r="F66" s="1074"/>
      <c r="G66" s="1074"/>
      <c r="H66" s="1084">
        <f>PRODUCT(C66:G66)</f>
        <v>1</v>
      </c>
      <c r="I66" s="920"/>
    </row>
    <row r="67" spans="1:9" ht="17.100000000000001" customHeight="1">
      <c r="A67" s="1086"/>
      <c r="B67" s="1119"/>
      <c r="C67" s="1070"/>
      <c r="D67" s="1070"/>
      <c r="E67" s="1074"/>
      <c r="F67" s="1074"/>
      <c r="G67" s="1074"/>
      <c r="H67" s="1084"/>
      <c r="I67" s="920"/>
    </row>
    <row r="68" spans="1:9" ht="31.5">
      <c r="A68" s="1086">
        <v>19</v>
      </c>
      <c r="B68" s="1119" t="s">
        <v>4813</v>
      </c>
      <c r="C68" s="1070"/>
      <c r="D68" s="1070"/>
      <c r="E68" s="1074"/>
      <c r="F68" s="1074"/>
      <c r="G68" s="1074"/>
      <c r="H68" s="1084"/>
      <c r="I68" s="920"/>
    </row>
    <row r="69" spans="1:9" ht="17.100000000000001" customHeight="1">
      <c r="A69" s="1086"/>
      <c r="B69" s="1119" t="s">
        <v>4806</v>
      </c>
      <c r="C69" s="1070">
        <v>1</v>
      </c>
      <c r="D69" s="1070">
        <v>1</v>
      </c>
      <c r="E69" s="1074"/>
      <c r="F69" s="1074"/>
      <c r="G69" s="1074"/>
      <c r="H69" s="1084">
        <f>PRODUCT(C69:G69)</f>
        <v>1</v>
      </c>
      <c r="I69" s="920"/>
    </row>
    <row r="70" spans="1:9" ht="17.100000000000001" customHeight="1">
      <c r="A70" s="1086"/>
      <c r="B70" s="1119"/>
      <c r="C70" s="1070"/>
      <c r="D70" s="1070"/>
      <c r="E70" s="1074"/>
      <c r="F70" s="1074"/>
      <c r="G70" s="1074"/>
      <c r="H70" s="1084"/>
      <c r="I70" s="920"/>
    </row>
    <row r="71" spans="1:9" ht="31.5">
      <c r="A71" s="1086">
        <v>20</v>
      </c>
      <c r="B71" s="1119" t="s">
        <v>4814</v>
      </c>
      <c r="C71" s="1070"/>
      <c r="D71" s="1070"/>
      <c r="E71" s="1074"/>
      <c r="F71" s="1074"/>
      <c r="G71" s="1074"/>
      <c r="H71" s="1084"/>
      <c r="I71" s="920"/>
    </row>
    <row r="72" spans="1:9" ht="17.100000000000001" customHeight="1">
      <c r="A72" s="1086"/>
      <c r="B72" s="1119" t="s">
        <v>4806</v>
      </c>
      <c r="C72" s="1070">
        <v>1</v>
      </c>
      <c r="D72" s="1070">
        <v>1</v>
      </c>
      <c r="E72" s="1074"/>
      <c r="F72" s="1074"/>
      <c r="G72" s="1074"/>
      <c r="H72" s="1084">
        <f>PRODUCT(C72:G72)</f>
        <v>1</v>
      </c>
      <c r="I72" s="920"/>
    </row>
    <row r="73" spans="1:9" ht="17.100000000000001" customHeight="1">
      <c r="A73" s="1086"/>
      <c r="B73" s="1119"/>
      <c r="C73" s="1070"/>
      <c r="D73" s="1070"/>
      <c r="E73" s="1074"/>
      <c r="F73" s="1074"/>
      <c r="G73" s="1074"/>
      <c r="H73" s="1084"/>
      <c r="I73" s="920"/>
    </row>
    <row r="74" spans="1:9" ht="31.5">
      <c r="A74" s="1086">
        <v>21</v>
      </c>
      <c r="B74" s="1119" t="s">
        <v>4815</v>
      </c>
      <c r="C74" s="1070"/>
      <c r="D74" s="1070"/>
      <c r="E74" s="1074"/>
      <c r="F74" s="1074"/>
      <c r="G74" s="1074"/>
      <c r="H74" s="1084"/>
      <c r="I74" s="920"/>
    </row>
    <row r="75" spans="1:9" ht="17.100000000000001" customHeight="1">
      <c r="A75" s="1086"/>
      <c r="B75" s="1119" t="s">
        <v>4806</v>
      </c>
      <c r="C75" s="1070">
        <v>1</v>
      </c>
      <c r="D75" s="1070">
        <v>1</v>
      </c>
      <c r="E75" s="1074"/>
      <c r="F75" s="1074"/>
      <c r="G75" s="1074"/>
      <c r="H75" s="1084">
        <f>PRODUCT(C75:G75)</f>
        <v>1</v>
      </c>
      <c r="I75" s="920"/>
    </row>
    <row r="76" spans="1:9" ht="17.100000000000001" customHeight="1">
      <c r="A76" s="1086"/>
      <c r="B76" s="1119"/>
      <c r="C76" s="1070"/>
      <c r="D76" s="1070"/>
      <c r="E76" s="1074"/>
      <c r="F76" s="1074"/>
      <c r="G76" s="1074"/>
      <c r="H76" s="1084"/>
      <c r="I76" s="920"/>
    </row>
    <row r="77" spans="1:9" ht="117.75" customHeight="1">
      <c r="A77" s="1086">
        <v>22</v>
      </c>
      <c r="B77" s="1119" t="s">
        <v>4817</v>
      </c>
      <c r="C77" s="1070"/>
      <c r="D77" s="1070"/>
      <c r="E77" s="1074"/>
      <c r="F77" s="1074"/>
      <c r="G77" s="1074"/>
      <c r="H77" s="1084"/>
      <c r="I77" s="920"/>
    </row>
    <row r="78" spans="1:9" ht="17.100000000000001" customHeight="1">
      <c r="A78" s="1086"/>
      <c r="B78" s="1119" t="s">
        <v>4806</v>
      </c>
      <c r="C78" s="1070">
        <v>1</v>
      </c>
      <c r="D78" s="1070">
        <v>1</v>
      </c>
      <c r="E78" s="1074"/>
      <c r="F78" s="1074"/>
      <c r="G78" s="1074"/>
      <c r="H78" s="1084">
        <f>PRODUCT(C78:G78)</f>
        <v>1</v>
      </c>
      <c r="I78" s="920"/>
    </row>
    <row r="79" spans="1:9" ht="17.100000000000001" customHeight="1">
      <c r="A79" s="1086"/>
      <c r="B79" s="1119"/>
      <c r="C79" s="1070"/>
      <c r="D79" s="1070"/>
      <c r="E79" s="1074"/>
      <c r="F79" s="1074"/>
      <c r="G79" s="1074"/>
      <c r="H79" s="1084"/>
      <c r="I79" s="920"/>
    </row>
    <row r="80" spans="1:9" ht="17.100000000000001" customHeight="1">
      <c r="A80" s="1086"/>
      <c r="B80" s="1119"/>
      <c r="C80" s="1070"/>
      <c r="D80" s="1070"/>
      <c r="E80" s="1074"/>
      <c r="F80" s="1074"/>
      <c r="G80" s="1074"/>
      <c r="H80" s="1084"/>
      <c r="I80" s="920"/>
    </row>
    <row r="81" spans="1:254" ht="17.100000000000001" customHeight="1">
      <c r="A81" s="1086"/>
      <c r="B81" s="1119"/>
      <c r="C81" s="1070"/>
      <c r="D81" s="1070"/>
      <c r="E81" s="1074"/>
      <c r="F81" s="1074"/>
      <c r="G81" s="1074"/>
      <c r="H81" s="1084"/>
      <c r="I81" s="920"/>
    </row>
    <row r="82" spans="1:254" ht="17.100000000000001" customHeight="1">
      <c r="A82" s="1113"/>
      <c r="B82" s="1123"/>
      <c r="C82" s="933"/>
      <c r="D82" s="933"/>
      <c r="E82" s="934"/>
      <c r="F82" s="934"/>
      <c r="G82" s="934"/>
      <c r="H82" s="935"/>
      <c r="I82" s="920"/>
    </row>
    <row r="83" spans="1:254" ht="17.100000000000001" customHeight="1">
      <c r="A83" s="1113"/>
      <c r="B83" s="1123"/>
      <c r="C83" s="933"/>
      <c r="D83" s="933"/>
      <c r="E83" s="934"/>
      <c r="F83" s="934"/>
      <c r="G83" s="934"/>
      <c r="H83" s="935"/>
      <c r="I83" s="920"/>
    </row>
    <row r="84" spans="1:254" s="932" customFormat="1">
      <c r="A84" s="1114"/>
      <c r="B84" s="1124"/>
      <c r="C84" s="928"/>
      <c r="D84" s="928"/>
      <c r="E84" s="929"/>
      <c r="F84" s="929"/>
      <c r="G84" s="929"/>
      <c r="H84" s="930"/>
      <c r="I84" s="931"/>
      <c r="O84" s="931"/>
      <c r="P84" s="931"/>
      <c r="Q84" s="931"/>
      <c r="R84" s="931"/>
      <c r="S84" s="931"/>
      <c r="T84" s="931"/>
      <c r="U84" s="931"/>
      <c r="V84" s="931"/>
      <c r="W84" s="931"/>
      <c r="X84" s="931"/>
      <c r="Y84" s="931"/>
      <c r="Z84" s="931"/>
      <c r="AA84" s="931"/>
      <c r="AB84" s="931"/>
      <c r="AC84" s="931"/>
      <c r="AD84" s="931"/>
      <c r="AE84" s="931"/>
      <c r="AF84" s="931"/>
      <c r="AG84" s="931"/>
      <c r="AH84" s="931"/>
      <c r="AI84" s="931"/>
      <c r="AJ84" s="931"/>
      <c r="AK84" s="931"/>
      <c r="AL84" s="931"/>
      <c r="AM84" s="931"/>
      <c r="AN84" s="931"/>
      <c r="AO84" s="931"/>
      <c r="AP84" s="931"/>
      <c r="AQ84" s="931"/>
      <c r="AR84" s="931"/>
      <c r="AS84" s="931"/>
      <c r="AT84" s="931"/>
      <c r="AU84" s="931"/>
      <c r="AV84" s="931"/>
      <c r="AW84" s="931"/>
      <c r="AX84" s="931"/>
      <c r="AY84" s="931"/>
      <c r="AZ84" s="931"/>
      <c r="BA84" s="931"/>
      <c r="BB84" s="931"/>
      <c r="BC84" s="931"/>
      <c r="BD84" s="931"/>
      <c r="BE84" s="931"/>
      <c r="BF84" s="931"/>
      <c r="BG84" s="931"/>
      <c r="BH84" s="931"/>
      <c r="BI84" s="931"/>
      <c r="BJ84" s="931"/>
      <c r="BK84" s="931"/>
      <c r="BL84" s="931"/>
      <c r="BM84" s="931"/>
      <c r="BN84" s="931"/>
      <c r="BO84" s="931"/>
      <c r="BP84" s="931"/>
      <c r="BQ84" s="931"/>
      <c r="BR84" s="931"/>
      <c r="BS84" s="931"/>
      <c r="BT84" s="931"/>
      <c r="BU84" s="931"/>
      <c r="BV84" s="931"/>
      <c r="BW84" s="931"/>
      <c r="BX84" s="931"/>
      <c r="BY84" s="931"/>
      <c r="BZ84" s="931"/>
      <c r="CA84" s="931"/>
      <c r="CB84" s="931"/>
      <c r="CC84" s="931"/>
      <c r="CD84" s="931"/>
      <c r="CE84" s="931"/>
      <c r="CF84" s="931"/>
      <c r="CG84" s="931"/>
      <c r="CH84" s="931"/>
      <c r="CI84" s="931"/>
      <c r="CJ84" s="931"/>
      <c r="CK84" s="931"/>
      <c r="CL84" s="931"/>
      <c r="CM84" s="931"/>
      <c r="CN84" s="931"/>
      <c r="CO84" s="931"/>
      <c r="CP84" s="931"/>
      <c r="CQ84" s="931"/>
      <c r="CR84" s="931"/>
      <c r="CS84" s="931"/>
      <c r="CT84" s="931"/>
      <c r="CU84" s="931"/>
      <c r="CV84" s="931"/>
      <c r="CW84" s="931"/>
      <c r="CX84" s="931"/>
      <c r="CY84" s="931"/>
      <c r="CZ84" s="931"/>
      <c r="DA84" s="931"/>
      <c r="DB84" s="931"/>
      <c r="DC84" s="931"/>
      <c r="DD84" s="931"/>
      <c r="DE84" s="931"/>
      <c r="DF84" s="931"/>
      <c r="DG84" s="931"/>
      <c r="DH84" s="931"/>
      <c r="DI84" s="931"/>
      <c r="DJ84" s="931"/>
      <c r="DK84" s="931"/>
      <c r="DL84" s="931"/>
      <c r="DM84" s="931"/>
      <c r="DN84" s="931"/>
      <c r="DO84" s="931"/>
      <c r="DP84" s="931"/>
      <c r="DQ84" s="931"/>
      <c r="DR84" s="931"/>
      <c r="DS84" s="931"/>
      <c r="DT84" s="931"/>
      <c r="DU84" s="931"/>
      <c r="DV84" s="931"/>
      <c r="DW84" s="931"/>
      <c r="DX84" s="931"/>
      <c r="DY84" s="931"/>
      <c r="DZ84" s="931"/>
      <c r="EA84" s="931"/>
      <c r="EB84" s="931"/>
      <c r="EC84" s="931"/>
      <c r="ED84" s="931"/>
      <c r="EE84" s="931"/>
      <c r="EF84" s="931"/>
      <c r="EG84" s="931"/>
      <c r="EH84" s="931"/>
      <c r="EI84" s="931"/>
      <c r="EJ84" s="931"/>
      <c r="EK84" s="931"/>
      <c r="EL84" s="931"/>
      <c r="EM84" s="931"/>
      <c r="EN84" s="931"/>
      <c r="EO84" s="931"/>
      <c r="EP84" s="931"/>
      <c r="EQ84" s="931"/>
      <c r="ER84" s="931"/>
      <c r="ES84" s="931"/>
      <c r="ET84" s="931"/>
      <c r="EU84" s="931"/>
      <c r="EV84" s="931"/>
      <c r="EW84" s="931"/>
      <c r="EX84" s="931"/>
      <c r="EY84" s="931"/>
      <c r="EZ84" s="931"/>
      <c r="FA84" s="931"/>
      <c r="FB84" s="931"/>
      <c r="FC84" s="931"/>
      <c r="FD84" s="931"/>
      <c r="FE84" s="931"/>
      <c r="FF84" s="931"/>
      <c r="FG84" s="931"/>
      <c r="FH84" s="931"/>
      <c r="FI84" s="931"/>
      <c r="FJ84" s="931"/>
      <c r="FK84" s="931"/>
      <c r="FL84" s="931"/>
      <c r="FM84" s="931"/>
      <c r="FN84" s="931"/>
      <c r="FO84" s="931"/>
      <c r="FP84" s="931"/>
      <c r="FQ84" s="931"/>
      <c r="FR84" s="931"/>
      <c r="FS84" s="931"/>
      <c r="FT84" s="931"/>
      <c r="FU84" s="931"/>
      <c r="FV84" s="931"/>
      <c r="FW84" s="931"/>
      <c r="FX84" s="931"/>
      <c r="FY84" s="931"/>
      <c r="FZ84" s="931"/>
      <c r="GA84" s="931"/>
      <c r="GB84" s="931"/>
      <c r="GC84" s="931"/>
      <c r="GD84" s="931"/>
      <c r="GE84" s="931"/>
      <c r="GF84" s="931"/>
      <c r="GG84" s="931"/>
      <c r="GH84" s="931"/>
      <c r="GI84" s="931"/>
      <c r="GJ84" s="931"/>
      <c r="GK84" s="931"/>
      <c r="GL84" s="931"/>
      <c r="GM84" s="931"/>
      <c r="GN84" s="931"/>
      <c r="GO84" s="931"/>
      <c r="GP84" s="931"/>
      <c r="GQ84" s="931"/>
      <c r="GR84" s="931"/>
      <c r="GS84" s="931"/>
      <c r="GT84" s="931"/>
      <c r="GU84" s="931"/>
      <c r="GV84" s="931"/>
      <c r="GW84" s="931"/>
      <c r="GX84" s="931"/>
      <c r="GY84" s="931"/>
      <c r="GZ84" s="931"/>
      <c r="HA84" s="931"/>
      <c r="HB84" s="931"/>
      <c r="HC84" s="931"/>
      <c r="HD84" s="931"/>
      <c r="HE84" s="931"/>
      <c r="HF84" s="931"/>
      <c r="HG84" s="931"/>
      <c r="HH84" s="931"/>
      <c r="HI84" s="931"/>
      <c r="HJ84" s="931"/>
      <c r="HK84" s="931"/>
      <c r="HL84" s="931"/>
      <c r="HM84" s="931"/>
      <c r="HN84" s="931"/>
      <c r="HO84" s="931"/>
      <c r="HP84" s="931"/>
      <c r="HQ84" s="931"/>
      <c r="HR84" s="931"/>
      <c r="HS84" s="931"/>
      <c r="HT84" s="931"/>
      <c r="HU84" s="931"/>
      <c r="HV84" s="931"/>
      <c r="HW84" s="931"/>
      <c r="HX84" s="931"/>
      <c r="HY84" s="931"/>
      <c r="HZ84" s="931"/>
      <c r="IA84" s="931"/>
      <c r="IB84" s="931"/>
      <c r="IC84" s="931"/>
      <c r="ID84" s="931"/>
      <c r="IE84" s="931"/>
      <c r="IF84" s="931"/>
      <c r="IG84" s="931"/>
      <c r="IH84" s="931"/>
      <c r="II84" s="931"/>
      <c r="IJ84" s="931"/>
      <c r="IK84" s="931"/>
      <c r="IL84" s="931"/>
      <c r="IM84" s="931"/>
      <c r="IN84" s="931"/>
      <c r="IO84" s="931"/>
      <c r="IP84" s="931"/>
      <c r="IQ84" s="931"/>
      <c r="IR84" s="931"/>
      <c r="IS84" s="931"/>
      <c r="IT84" s="931"/>
    </row>
    <row r="85" spans="1:254" ht="14.1" customHeight="1">
      <c r="A85" s="1115"/>
      <c r="B85" s="1125"/>
      <c r="C85" s="933"/>
      <c r="D85" s="933"/>
      <c r="E85" s="934"/>
      <c r="F85" s="934"/>
      <c r="G85" s="934"/>
      <c r="H85" s="935"/>
      <c r="O85" s="936"/>
      <c r="P85" s="936"/>
      <c r="Q85" s="936"/>
      <c r="R85" s="936"/>
      <c r="S85" s="936"/>
      <c r="T85" s="936"/>
      <c r="U85" s="936"/>
      <c r="V85" s="936"/>
      <c r="W85" s="936"/>
      <c r="X85" s="936"/>
      <c r="Y85" s="936"/>
      <c r="Z85" s="936"/>
      <c r="AA85" s="936"/>
      <c r="AB85" s="936"/>
      <c r="AC85" s="936"/>
      <c r="AD85" s="936"/>
      <c r="AE85" s="936"/>
      <c r="AF85" s="936"/>
      <c r="AG85" s="936"/>
      <c r="AH85" s="936"/>
      <c r="AI85" s="936"/>
      <c r="AJ85" s="936"/>
      <c r="AK85" s="936"/>
      <c r="AL85" s="936"/>
      <c r="AM85" s="936"/>
      <c r="AN85" s="936"/>
      <c r="AO85" s="936"/>
      <c r="AP85" s="936"/>
      <c r="AQ85" s="936"/>
      <c r="AR85" s="936"/>
      <c r="AS85" s="936"/>
      <c r="AT85" s="936"/>
      <c r="AU85" s="936"/>
      <c r="AV85" s="936"/>
      <c r="AW85" s="936"/>
      <c r="AX85" s="936"/>
      <c r="AY85" s="936"/>
      <c r="AZ85" s="936"/>
      <c r="BA85" s="936"/>
      <c r="BB85" s="936"/>
      <c r="BC85" s="936"/>
      <c r="BD85" s="936"/>
      <c r="BE85" s="936"/>
      <c r="BF85" s="936"/>
      <c r="BG85" s="936"/>
      <c r="BH85" s="936"/>
      <c r="BI85" s="936"/>
      <c r="BJ85" s="936"/>
      <c r="BK85" s="936"/>
      <c r="BL85" s="936"/>
      <c r="BM85" s="936"/>
      <c r="BN85" s="936"/>
      <c r="BO85" s="936"/>
      <c r="BP85" s="936"/>
      <c r="BQ85" s="936"/>
      <c r="BR85" s="936"/>
      <c r="BS85" s="936"/>
      <c r="BT85" s="936"/>
      <c r="BU85" s="936"/>
      <c r="BV85" s="936"/>
      <c r="BW85" s="936"/>
      <c r="BX85" s="936"/>
      <c r="BY85" s="936"/>
      <c r="BZ85" s="936"/>
      <c r="CA85" s="936"/>
      <c r="CB85" s="936"/>
      <c r="CC85" s="936"/>
      <c r="CD85" s="936"/>
      <c r="CE85" s="936"/>
      <c r="CF85" s="936"/>
      <c r="CG85" s="936"/>
      <c r="CH85" s="936"/>
      <c r="CI85" s="936"/>
      <c r="CJ85" s="936"/>
      <c r="CK85" s="936"/>
      <c r="CL85" s="936"/>
      <c r="CM85" s="936"/>
      <c r="CN85" s="936"/>
      <c r="CO85" s="936"/>
      <c r="CP85" s="936"/>
      <c r="CQ85" s="936"/>
      <c r="CR85" s="936"/>
      <c r="CS85" s="936"/>
      <c r="CT85" s="936"/>
      <c r="CU85" s="936"/>
      <c r="CV85" s="936"/>
      <c r="CW85" s="936"/>
      <c r="CX85" s="936"/>
      <c r="CY85" s="936"/>
      <c r="CZ85" s="936"/>
      <c r="DA85" s="936"/>
      <c r="DB85" s="936"/>
      <c r="DC85" s="936"/>
      <c r="DD85" s="936"/>
      <c r="DE85" s="936"/>
      <c r="DF85" s="936"/>
      <c r="DG85" s="936"/>
      <c r="DH85" s="936"/>
      <c r="DI85" s="936"/>
      <c r="DJ85" s="936"/>
      <c r="DK85" s="936"/>
      <c r="DL85" s="936"/>
      <c r="DM85" s="936"/>
      <c r="DN85" s="936"/>
      <c r="DO85" s="936"/>
      <c r="DP85" s="936"/>
      <c r="DQ85" s="936"/>
      <c r="DR85" s="936"/>
      <c r="DS85" s="936"/>
      <c r="DT85" s="936"/>
      <c r="DU85" s="936"/>
      <c r="DV85" s="936"/>
      <c r="DW85" s="936"/>
      <c r="DX85" s="936"/>
      <c r="DY85" s="936"/>
      <c r="DZ85" s="936"/>
      <c r="EA85" s="936"/>
      <c r="EB85" s="936"/>
      <c r="EC85" s="936"/>
      <c r="ED85" s="936"/>
      <c r="EE85" s="936"/>
      <c r="EF85" s="936"/>
      <c r="EG85" s="936"/>
      <c r="EH85" s="936"/>
      <c r="EI85" s="936"/>
      <c r="EJ85" s="936"/>
      <c r="EK85" s="936"/>
      <c r="EL85" s="936"/>
      <c r="EM85" s="936"/>
      <c r="EN85" s="936"/>
      <c r="EO85" s="936"/>
      <c r="EP85" s="936"/>
      <c r="EQ85" s="936"/>
      <c r="ER85" s="936"/>
      <c r="ES85" s="936"/>
      <c r="ET85" s="936"/>
      <c r="EU85" s="936"/>
      <c r="EV85" s="936"/>
      <c r="EW85" s="936"/>
      <c r="EX85" s="936"/>
      <c r="EY85" s="936"/>
      <c r="EZ85" s="936"/>
      <c r="FA85" s="936"/>
      <c r="FB85" s="936"/>
      <c r="FC85" s="936"/>
      <c r="FD85" s="936"/>
      <c r="FE85" s="936"/>
      <c r="FF85" s="936"/>
      <c r="FG85" s="936"/>
      <c r="FH85" s="936"/>
      <c r="FI85" s="936"/>
      <c r="FJ85" s="936"/>
      <c r="FK85" s="936"/>
      <c r="FL85" s="936"/>
      <c r="FM85" s="936"/>
      <c r="FN85" s="936"/>
      <c r="FO85" s="936"/>
      <c r="FP85" s="936"/>
      <c r="FQ85" s="936"/>
      <c r="FR85" s="936"/>
      <c r="FS85" s="936"/>
      <c r="FT85" s="936"/>
      <c r="FU85" s="936"/>
      <c r="FV85" s="936"/>
      <c r="FW85" s="936"/>
      <c r="FX85" s="936"/>
      <c r="FY85" s="936"/>
      <c r="FZ85" s="936"/>
      <c r="GA85" s="936"/>
      <c r="GB85" s="936"/>
      <c r="GC85" s="936"/>
      <c r="GD85" s="936"/>
      <c r="GE85" s="936"/>
      <c r="GF85" s="936"/>
      <c r="GG85" s="936"/>
      <c r="GH85" s="936"/>
      <c r="GI85" s="936"/>
      <c r="GJ85" s="936"/>
      <c r="GK85" s="936"/>
      <c r="GL85" s="936"/>
      <c r="GM85" s="936"/>
      <c r="GN85" s="936"/>
      <c r="GO85" s="936"/>
      <c r="GP85" s="936"/>
      <c r="GQ85" s="936"/>
      <c r="GR85" s="936"/>
      <c r="GS85" s="936"/>
      <c r="GT85" s="936"/>
      <c r="GU85" s="936"/>
      <c r="GV85" s="936"/>
      <c r="GW85" s="936"/>
      <c r="GX85" s="936"/>
      <c r="GY85" s="936"/>
      <c r="GZ85" s="936"/>
      <c r="HA85" s="936"/>
      <c r="HB85" s="936"/>
      <c r="HC85" s="936"/>
      <c r="HD85" s="936"/>
      <c r="HE85" s="936"/>
      <c r="HF85" s="936"/>
      <c r="HG85" s="936"/>
      <c r="HH85" s="936"/>
      <c r="HI85" s="936"/>
      <c r="HJ85" s="936"/>
      <c r="HK85" s="936"/>
      <c r="HL85" s="936"/>
      <c r="HM85" s="936"/>
      <c r="HN85" s="936"/>
      <c r="HO85" s="936"/>
      <c r="HP85" s="936"/>
      <c r="HQ85" s="936"/>
      <c r="HR85" s="936"/>
      <c r="HS85" s="936"/>
      <c r="HT85" s="936"/>
      <c r="HU85" s="936"/>
      <c r="HV85" s="936"/>
      <c r="HW85" s="936"/>
      <c r="HX85" s="936"/>
      <c r="HY85" s="936"/>
      <c r="HZ85" s="936"/>
      <c r="IA85" s="936"/>
      <c r="IB85" s="936"/>
      <c r="IC85" s="936"/>
      <c r="ID85" s="936"/>
      <c r="IE85" s="936"/>
      <c r="IF85" s="936"/>
      <c r="IG85" s="936"/>
      <c r="IH85" s="936"/>
      <c r="II85" s="936"/>
      <c r="IJ85" s="936"/>
      <c r="IK85" s="936"/>
      <c r="IL85" s="936"/>
      <c r="IM85" s="936"/>
      <c r="IN85" s="936"/>
      <c r="IO85" s="936"/>
      <c r="IP85" s="936"/>
      <c r="IQ85" s="936"/>
      <c r="IR85" s="936"/>
      <c r="IS85" s="936"/>
      <c r="IT85" s="936"/>
    </row>
    <row r="86" spans="1:254" ht="14.1" customHeight="1">
      <c r="A86" s="1115"/>
      <c r="B86" s="1125"/>
      <c r="C86" s="933"/>
      <c r="D86" s="933"/>
      <c r="E86" s="937"/>
      <c r="F86" s="1282"/>
      <c r="G86" s="1282"/>
      <c r="H86" s="935"/>
      <c r="O86" s="936"/>
      <c r="P86" s="936"/>
      <c r="Q86" s="936"/>
      <c r="R86" s="936"/>
      <c r="S86" s="936"/>
      <c r="T86" s="936"/>
      <c r="U86" s="936"/>
      <c r="V86" s="936"/>
      <c r="W86" s="936"/>
      <c r="X86" s="936"/>
      <c r="Y86" s="936"/>
      <c r="Z86" s="936"/>
      <c r="AA86" s="936"/>
      <c r="AB86" s="936"/>
      <c r="AC86" s="936"/>
      <c r="AD86" s="936"/>
      <c r="AE86" s="936"/>
      <c r="AF86" s="936"/>
      <c r="AG86" s="936"/>
      <c r="AH86" s="936"/>
      <c r="AI86" s="936"/>
      <c r="AJ86" s="936"/>
      <c r="AK86" s="936"/>
      <c r="AL86" s="936"/>
      <c r="AM86" s="936"/>
      <c r="AN86" s="936"/>
      <c r="AO86" s="936"/>
      <c r="AP86" s="936"/>
      <c r="AQ86" s="936"/>
      <c r="AR86" s="936"/>
      <c r="AS86" s="936"/>
      <c r="AT86" s="936"/>
      <c r="AU86" s="936"/>
      <c r="AV86" s="936"/>
      <c r="AW86" s="936"/>
      <c r="AX86" s="936"/>
      <c r="AY86" s="936"/>
      <c r="AZ86" s="936"/>
      <c r="BA86" s="936"/>
      <c r="BB86" s="936"/>
      <c r="BC86" s="936"/>
      <c r="BD86" s="936"/>
      <c r="BE86" s="936"/>
      <c r="BF86" s="936"/>
      <c r="BG86" s="936"/>
      <c r="BH86" s="936"/>
      <c r="BI86" s="936"/>
      <c r="BJ86" s="936"/>
      <c r="BK86" s="936"/>
      <c r="BL86" s="936"/>
      <c r="BM86" s="936"/>
      <c r="BN86" s="936"/>
      <c r="BO86" s="936"/>
      <c r="BP86" s="936"/>
      <c r="BQ86" s="936"/>
      <c r="BR86" s="936"/>
      <c r="BS86" s="936"/>
      <c r="BT86" s="936"/>
      <c r="BU86" s="936"/>
      <c r="BV86" s="936"/>
      <c r="BW86" s="936"/>
      <c r="BX86" s="936"/>
      <c r="BY86" s="936"/>
      <c r="BZ86" s="936"/>
      <c r="CA86" s="936"/>
      <c r="CB86" s="936"/>
      <c r="CC86" s="936"/>
      <c r="CD86" s="936"/>
      <c r="CE86" s="936"/>
      <c r="CF86" s="936"/>
      <c r="CG86" s="936"/>
      <c r="CH86" s="936"/>
      <c r="CI86" s="936"/>
      <c r="CJ86" s="936"/>
      <c r="CK86" s="936"/>
      <c r="CL86" s="936"/>
      <c r="CM86" s="936"/>
      <c r="CN86" s="936"/>
      <c r="CO86" s="936"/>
      <c r="CP86" s="936"/>
      <c r="CQ86" s="936"/>
      <c r="CR86" s="936"/>
      <c r="CS86" s="936"/>
      <c r="CT86" s="936"/>
      <c r="CU86" s="936"/>
      <c r="CV86" s="936"/>
      <c r="CW86" s="936"/>
      <c r="CX86" s="936"/>
      <c r="CY86" s="936"/>
      <c r="CZ86" s="936"/>
      <c r="DA86" s="936"/>
      <c r="DB86" s="936"/>
      <c r="DC86" s="936"/>
      <c r="DD86" s="936"/>
      <c r="DE86" s="936"/>
      <c r="DF86" s="936"/>
      <c r="DG86" s="936"/>
      <c r="DH86" s="936"/>
      <c r="DI86" s="936"/>
      <c r="DJ86" s="936"/>
      <c r="DK86" s="936"/>
      <c r="DL86" s="936"/>
      <c r="DM86" s="936"/>
      <c r="DN86" s="936"/>
      <c r="DO86" s="936"/>
      <c r="DP86" s="936"/>
      <c r="DQ86" s="936"/>
      <c r="DR86" s="936"/>
      <c r="DS86" s="936"/>
      <c r="DT86" s="936"/>
      <c r="DU86" s="936"/>
      <c r="DV86" s="936"/>
      <c r="DW86" s="936"/>
      <c r="DX86" s="936"/>
      <c r="DY86" s="936"/>
      <c r="DZ86" s="936"/>
      <c r="EA86" s="936"/>
      <c r="EB86" s="936"/>
      <c r="EC86" s="936"/>
      <c r="ED86" s="936"/>
      <c r="EE86" s="936"/>
      <c r="EF86" s="936"/>
      <c r="EG86" s="936"/>
      <c r="EH86" s="936"/>
      <c r="EI86" s="936"/>
      <c r="EJ86" s="936"/>
      <c r="EK86" s="936"/>
      <c r="EL86" s="936"/>
      <c r="EM86" s="936"/>
      <c r="EN86" s="936"/>
      <c r="EO86" s="936"/>
      <c r="EP86" s="936"/>
      <c r="EQ86" s="936"/>
      <c r="ER86" s="936"/>
      <c r="ES86" s="936"/>
      <c r="ET86" s="936"/>
      <c r="EU86" s="936"/>
      <c r="EV86" s="936"/>
      <c r="EW86" s="936"/>
      <c r="EX86" s="936"/>
      <c r="EY86" s="936"/>
      <c r="EZ86" s="936"/>
      <c r="FA86" s="936"/>
      <c r="FB86" s="936"/>
      <c r="FC86" s="936"/>
      <c r="FD86" s="936"/>
      <c r="FE86" s="936"/>
      <c r="FF86" s="936"/>
      <c r="FG86" s="936"/>
      <c r="FH86" s="936"/>
      <c r="FI86" s="936"/>
      <c r="FJ86" s="936"/>
      <c r="FK86" s="936"/>
      <c r="FL86" s="936"/>
      <c r="FM86" s="936"/>
      <c r="FN86" s="936"/>
      <c r="FO86" s="936"/>
      <c r="FP86" s="936"/>
      <c r="FQ86" s="936"/>
      <c r="FR86" s="936"/>
      <c r="FS86" s="936"/>
      <c r="FT86" s="936"/>
      <c r="FU86" s="936"/>
      <c r="FV86" s="936"/>
      <c r="FW86" s="936"/>
      <c r="FX86" s="936"/>
      <c r="FY86" s="936"/>
      <c r="FZ86" s="936"/>
      <c r="GA86" s="936"/>
      <c r="GB86" s="936"/>
      <c r="GC86" s="936"/>
      <c r="GD86" s="936"/>
      <c r="GE86" s="936"/>
      <c r="GF86" s="936"/>
      <c r="GG86" s="936"/>
      <c r="GH86" s="936"/>
      <c r="GI86" s="936"/>
      <c r="GJ86" s="936"/>
      <c r="GK86" s="936"/>
      <c r="GL86" s="936"/>
      <c r="GM86" s="936"/>
      <c r="GN86" s="936"/>
      <c r="GO86" s="936"/>
      <c r="GP86" s="936"/>
      <c r="GQ86" s="936"/>
      <c r="GR86" s="936"/>
      <c r="GS86" s="936"/>
      <c r="GT86" s="936"/>
      <c r="GU86" s="936"/>
      <c r="GV86" s="936"/>
      <c r="GW86" s="936"/>
      <c r="GX86" s="936"/>
      <c r="GY86" s="936"/>
      <c r="GZ86" s="936"/>
      <c r="HA86" s="936"/>
      <c r="HB86" s="936"/>
      <c r="HC86" s="936"/>
      <c r="HD86" s="936"/>
      <c r="HE86" s="936"/>
      <c r="HF86" s="936"/>
      <c r="HG86" s="936"/>
      <c r="HH86" s="936"/>
      <c r="HI86" s="936"/>
      <c r="HJ86" s="936"/>
      <c r="HK86" s="936"/>
      <c r="HL86" s="936"/>
      <c r="HM86" s="936"/>
      <c r="HN86" s="936"/>
      <c r="HO86" s="936"/>
      <c r="HP86" s="936"/>
      <c r="HQ86" s="936"/>
      <c r="HR86" s="936"/>
      <c r="HS86" s="936"/>
      <c r="HT86" s="936"/>
      <c r="HU86" s="936"/>
      <c r="HV86" s="936"/>
      <c r="HW86" s="936"/>
      <c r="HX86" s="936"/>
      <c r="HY86" s="936"/>
      <c r="HZ86" s="936"/>
      <c r="IA86" s="936"/>
      <c r="IB86" s="936"/>
      <c r="IC86" s="936"/>
      <c r="ID86" s="936"/>
      <c r="IE86" s="936"/>
      <c r="IF86" s="936"/>
      <c r="IG86" s="936"/>
      <c r="IH86" s="936"/>
      <c r="II86" s="936"/>
      <c r="IJ86" s="936"/>
      <c r="IK86" s="936"/>
      <c r="IL86" s="936"/>
      <c r="IM86" s="936"/>
      <c r="IN86" s="936"/>
      <c r="IO86" s="936"/>
      <c r="IP86" s="936"/>
      <c r="IQ86" s="936"/>
      <c r="IR86" s="936"/>
      <c r="IS86" s="936"/>
      <c r="IT86" s="936"/>
    </row>
    <row r="87" spans="1:254" ht="14.1" customHeight="1">
      <c r="A87" s="1115"/>
      <c r="B87" s="1125"/>
      <c r="C87" s="933"/>
      <c r="D87" s="933"/>
      <c r="E87" s="934"/>
      <c r="F87" s="934"/>
      <c r="G87" s="934"/>
      <c r="H87" s="935"/>
      <c r="O87" s="936"/>
      <c r="P87" s="936"/>
      <c r="Q87" s="936"/>
      <c r="R87" s="936"/>
      <c r="S87" s="936"/>
      <c r="T87" s="936"/>
      <c r="U87" s="936"/>
      <c r="V87" s="936"/>
      <c r="W87" s="936"/>
      <c r="X87" s="936"/>
      <c r="Y87" s="936"/>
      <c r="Z87" s="936"/>
      <c r="AA87" s="936"/>
      <c r="AB87" s="936"/>
      <c r="AC87" s="936"/>
      <c r="AD87" s="936"/>
      <c r="AE87" s="936"/>
      <c r="AF87" s="936"/>
      <c r="AG87" s="936"/>
      <c r="AH87" s="936"/>
      <c r="AI87" s="936"/>
      <c r="AJ87" s="936"/>
      <c r="AK87" s="936"/>
      <c r="AL87" s="936"/>
      <c r="AM87" s="936"/>
      <c r="AN87" s="936"/>
      <c r="AO87" s="936"/>
      <c r="AP87" s="936"/>
      <c r="AQ87" s="936"/>
      <c r="AR87" s="936"/>
      <c r="AS87" s="936"/>
      <c r="AT87" s="936"/>
      <c r="AU87" s="936"/>
      <c r="AV87" s="936"/>
      <c r="AW87" s="936"/>
      <c r="AX87" s="936"/>
      <c r="AY87" s="936"/>
      <c r="AZ87" s="936"/>
      <c r="BA87" s="936"/>
      <c r="BB87" s="936"/>
      <c r="BC87" s="936"/>
      <c r="BD87" s="936"/>
      <c r="BE87" s="936"/>
      <c r="BF87" s="936"/>
      <c r="BG87" s="936"/>
      <c r="BH87" s="936"/>
      <c r="BI87" s="936"/>
      <c r="BJ87" s="936"/>
      <c r="BK87" s="936"/>
      <c r="BL87" s="936"/>
      <c r="BM87" s="936"/>
      <c r="BN87" s="936"/>
      <c r="BO87" s="936"/>
      <c r="BP87" s="936"/>
      <c r="BQ87" s="936"/>
      <c r="BR87" s="936"/>
      <c r="BS87" s="936"/>
      <c r="BT87" s="936"/>
      <c r="BU87" s="936"/>
      <c r="BV87" s="936"/>
      <c r="BW87" s="936"/>
      <c r="BX87" s="936"/>
      <c r="BY87" s="936"/>
      <c r="BZ87" s="936"/>
      <c r="CA87" s="936"/>
      <c r="CB87" s="936"/>
      <c r="CC87" s="936"/>
      <c r="CD87" s="936"/>
      <c r="CE87" s="936"/>
      <c r="CF87" s="936"/>
      <c r="CG87" s="936"/>
      <c r="CH87" s="936"/>
      <c r="CI87" s="936"/>
      <c r="CJ87" s="936"/>
      <c r="CK87" s="936"/>
      <c r="CL87" s="936"/>
      <c r="CM87" s="936"/>
      <c r="CN87" s="936"/>
      <c r="CO87" s="936"/>
      <c r="CP87" s="936"/>
      <c r="CQ87" s="936"/>
      <c r="CR87" s="936"/>
      <c r="CS87" s="936"/>
      <c r="CT87" s="936"/>
      <c r="CU87" s="936"/>
      <c r="CV87" s="936"/>
      <c r="CW87" s="936"/>
      <c r="CX87" s="936"/>
      <c r="CY87" s="936"/>
      <c r="CZ87" s="936"/>
      <c r="DA87" s="936"/>
      <c r="DB87" s="936"/>
      <c r="DC87" s="936"/>
      <c r="DD87" s="936"/>
      <c r="DE87" s="936"/>
      <c r="DF87" s="936"/>
      <c r="DG87" s="936"/>
      <c r="DH87" s="936"/>
      <c r="DI87" s="936"/>
      <c r="DJ87" s="936"/>
      <c r="DK87" s="936"/>
      <c r="DL87" s="936"/>
      <c r="DM87" s="936"/>
      <c r="DN87" s="936"/>
      <c r="DO87" s="936"/>
      <c r="DP87" s="936"/>
      <c r="DQ87" s="936"/>
      <c r="DR87" s="936"/>
      <c r="DS87" s="936"/>
      <c r="DT87" s="936"/>
      <c r="DU87" s="936"/>
      <c r="DV87" s="936"/>
      <c r="DW87" s="936"/>
      <c r="DX87" s="936"/>
      <c r="DY87" s="936"/>
      <c r="DZ87" s="936"/>
      <c r="EA87" s="936"/>
      <c r="EB87" s="936"/>
      <c r="EC87" s="936"/>
      <c r="ED87" s="936"/>
      <c r="EE87" s="936"/>
      <c r="EF87" s="936"/>
      <c r="EG87" s="936"/>
      <c r="EH87" s="936"/>
      <c r="EI87" s="936"/>
      <c r="EJ87" s="936"/>
      <c r="EK87" s="936"/>
      <c r="EL87" s="936"/>
      <c r="EM87" s="936"/>
      <c r="EN87" s="936"/>
      <c r="EO87" s="936"/>
      <c r="EP87" s="936"/>
      <c r="EQ87" s="936"/>
      <c r="ER87" s="936"/>
      <c r="ES87" s="936"/>
      <c r="ET87" s="936"/>
      <c r="EU87" s="936"/>
      <c r="EV87" s="936"/>
      <c r="EW87" s="936"/>
      <c r="EX87" s="936"/>
      <c r="EY87" s="936"/>
      <c r="EZ87" s="936"/>
      <c r="FA87" s="936"/>
      <c r="FB87" s="936"/>
      <c r="FC87" s="936"/>
      <c r="FD87" s="936"/>
      <c r="FE87" s="936"/>
      <c r="FF87" s="936"/>
      <c r="FG87" s="936"/>
      <c r="FH87" s="936"/>
      <c r="FI87" s="936"/>
      <c r="FJ87" s="936"/>
      <c r="FK87" s="936"/>
      <c r="FL87" s="936"/>
      <c r="FM87" s="936"/>
      <c r="FN87" s="936"/>
      <c r="FO87" s="936"/>
      <c r="FP87" s="936"/>
      <c r="FQ87" s="936"/>
      <c r="FR87" s="936"/>
      <c r="FS87" s="936"/>
      <c r="FT87" s="936"/>
      <c r="FU87" s="936"/>
      <c r="FV87" s="936"/>
      <c r="FW87" s="936"/>
      <c r="FX87" s="936"/>
      <c r="FY87" s="936"/>
      <c r="FZ87" s="936"/>
      <c r="GA87" s="936"/>
      <c r="GB87" s="936"/>
      <c r="GC87" s="936"/>
      <c r="GD87" s="936"/>
      <c r="GE87" s="936"/>
      <c r="GF87" s="936"/>
      <c r="GG87" s="936"/>
      <c r="GH87" s="936"/>
      <c r="GI87" s="936"/>
      <c r="GJ87" s="936"/>
      <c r="GK87" s="936"/>
      <c r="GL87" s="936"/>
      <c r="GM87" s="936"/>
      <c r="GN87" s="936"/>
      <c r="GO87" s="936"/>
      <c r="GP87" s="936"/>
      <c r="GQ87" s="936"/>
      <c r="GR87" s="936"/>
      <c r="GS87" s="936"/>
      <c r="GT87" s="936"/>
      <c r="GU87" s="936"/>
      <c r="GV87" s="936"/>
      <c r="GW87" s="936"/>
      <c r="GX87" s="936"/>
      <c r="GY87" s="936"/>
      <c r="GZ87" s="936"/>
      <c r="HA87" s="936"/>
      <c r="HB87" s="936"/>
      <c r="HC87" s="936"/>
      <c r="HD87" s="936"/>
      <c r="HE87" s="936"/>
      <c r="HF87" s="936"/>
      <c r="HG87" s="936"/>
      <c r="HH87" s="936"/>
      <c r="HI87" s="936"/>
      <c r="HJ87" s="936"/>
      <c r="HK87" s="936"/>
      <c r="HL87" s="936"/>
      <c r="HM87" s="936"/>
      <c r="HN87" s="936"/>
      <c r="HO87" s="936"/>
      <c r="HP87" s="936"/>
      <c r="HQ87" s="936"/>
      <c r="HR87" s="936"/>
      <c r="HS87" s="936"/>
      <c r="HT87" s="936"/>
      <c r="HU87" s="936"/>
      <c r="HV87" s="936"/>
      <c r="HW87" s="936"/>
      <c r="HX87" s="936"/>
      <c r="HY87" s="936"/>
      <c r="HZ87" s="936"/>
      <c r="IA87" s="936"/>
      <c r="IB87" s="936"/>
      <c r="IC87" s="936"/>
      <c r="ID87" s="936"/>
      <c r="IE87" s="936"/>
      <c r="IF87" s="936"/>
      <c r="IG87" s="936"/>
      <c r="IH87" s="936"/>
      <c r="II87" s="936"/>
      <c r="IJ87" s="936"/>
      <c r="IK87" s="936"/>
      <c r="IL87" s="936"/>
      <c r="IM87" s="936"/>
      <c r="IN87" s="936"/>
      <c r="IO87" s="936"/>
      <c r="IP87" s="936"/>
      <c r="IQ87" s="936"/>
      <c r="IR87" s="936"/>
      <c r="IS87" s="936"/>
      <c r="IT87" s="936"/>
    </row>
    <row r="88" spans="1:254" ht="14.1" customHeight="1">
      <c r="A88" s="1116"/>
      <c r="B88" s="1116"/>
      <c r="C88" s="938"/>
      <c r="D88" s="938"/>
      <c r="E88" s="938"/>
      <c r="F88" s="938"/>
      <c r="G88" s="938"/>
      <c r="H88" s="938"/>
      <c r="J88" s="936"/>
      <c r="K88" s="936"/>
      <c r="L88" s="936"/>
      <c r="M88" s="936"/>
      <c r="N88" s="936"/>
      <c r="O88" s="936"/>
      <c r="P88" s="936"/>
      <c r="Q88" s="936"/>
      <c r="R88" s="936"/>
      <c r="S88" s="936"/>
      <c r="T88" s="936"/>
      <c r="U88" s="936"/>
      <c r="V88" s="936"/>
      <c r="W88" s="936"/>
      <c r="X88" s="936"/>
      <c r="Y88" s="936"/>
      <c r="Z88" s="936"/>
      <c r="AA88" s="936"/>
      <c r="AB88" s="936"/>
      <c r="AC88" s="936"/>
      <c r="AD88" s="936"/>
      <c r="AE88" s="936"/>
      <c r="AF88" s="936"/>
      <c r="AG88" s="936"/>
      <c r="AH88" s="936"/>
      <c r="AI88" s="936"/>
      <c r="AJ88" s="936"/>
      <c r="AK88" s="936"/>
      <c r="AL88" s="936"/>
      <c r="AM88" s="936"/>
      <c r="AN88" s="936"/>
      <c r="AO88" s="936"/>
      <c r="AP88" s="936"/>
      <c r="AQ88" s="936"/>
      <c r="AR88" s="936"/>
      <c r="AS88" s="936"/>
      <c r="AT88" s="936"/>
      <c r="AU88" s="936"/>
      <c r="AV88" s="936"/>
      <c r="AW88" s="936"/>
      <c r="AX88" s="936"/>
      <c r="AY88" s="936"/>
      <c r="AZ88" s="936"/>
      <c r="BA88" s="936"/>
      <c r="BB88" s="936"/>
      <c r="BC88" s="936"/>
      <c r="BD88" s="936"/>
      <c r="BE88" s="936"/>
      <c r="BF88" s="936"/>
      <c r="BG88" s="936"/>
      <c r="BH88" s="936"/>
      <c r="BI88" s="936"/>
      <c r="BJ88" s="936"/>
      <c r="BK88" s="936"/>
      <c r="BL88" s="936"/>
      <c r="BM88" s="936"/>
      <c r="BN88" s="936"/>
      <c r="BO88" s="936"/>
      <c r="BP88" s="936"/>
      <c r="BQ88" s="936"/>
      <c r="BR88" s="936"/>
      <c r="BS88" s="936"/>
      <c r="BT88" s="936"/>
      <c r="BU88" s="936"/>
      <c r="BV88" s="936"/>
      <c r="BW88" s="936"/>
      <c r="BX88" s="936"/>
      <c r="BY88" s="936"/>
      <c r="BZ88" s="936"/>
      <c r="CA88" s="936"/>
      <c r="CB88" s="936"/>
      <c r="CC88" s="936"/>
      <c r="CD88" s="936"/>
      <c r="CE88" s="936"/>
      <c r="CF88" s="936"/>
      <c r="CG88" s="936"/>
      <c r="CH88" s="936"/>
      <c r="CI88" s="936"/>
      <c r="CJ88" s="936"/>
      <c r="CK88" s="936"/>
      <c r="CL88" s="936"/>
      <c r="CM88" s="936"/>
      <c r="CN88" s="936"/>
      <c r="CO88" s="936"/>
      <c r="CP88" s="936"/>
      <c r="CQ88" s="936"/>
      <c r="CR88" s="936"/>
      <c r="CS88" s="936"/>
      <c r="CT88" s="936"/>
      <c r="CU88" s="936"/>
      <c r="CV88" s="936"/>
      <c r="CW88" s="936"/>
      <c r="CX88" s="936"/>
      <c r="CY88" s="936"/>
      <c r="CZ88" s="936"/>
      <c r="DA88" s="936"/>
      <c r="DB88" s="936"/>
      <c r="DC88" s="936"/>
      <c r="DD88" s="936"/>
      <c r="DE88" s="936"/>
      <c r="DF88" s="936"/>
      <c r="DG88" s="936"/>
      <c r="DH88" s="936"/>
      <c r="DI88" s="936"/>
      <c r="DJ88" s="936"/>
      <c r="DK88" s="936"/>
      <c r="DL88" s="936"/>
      <c r="DM88" s="936"/>
      <c r="DN88" s="936"/>
      <c r="DO88" s="936"/>
      <c r="DP88" s="936"/>
      <c r="DQ88" s="936"/>
      <c r="DR88" s="936"/>
      <c r="DS88" s="936"/>
      <c r="DT88" s="936"/>
      <c r="DU88" s="936"/>
      <c r="DV88" s="936"/>
      <c r="DW88" s="936"/>
      <c r="DX88" s="936"/>
      <c r="DY88" s="936"/>
      <c r="DZ88" s="936"/>
      <c r="EA88" s="936"/>
      <c r="EB88" s="936"/>
      <c r="EC88" s="936"/>
      <c r="ED88" s="936"/>
      <c r="EE88" s="936"/>
      <c r="EF88" s="936"/>
      <c r="EG88" s="936"/>
      <c r="EH88" s="936"/>
      <c r="EI88" s="936"/>
      <c r="EJ88" s="936"/>
      <c r="EK88" s="936"/>
      <c r="EL88" s="936"/>
      <c r="EM88" s="936"/>
      <c r="EN88" s="936"/>
      <c r="EO88" s="936"/>
      <c r="EP88" s="936"/>
      <c r="EQ88" s="936"/>
      <c r="ER88" s="936"/>
      <c r="ES88" s="936"/>
      <c r="ET88" s="936"/>
      <c r="EU88" s="936"/>
      <c r="EV88" s="936"/>
      <c r="EW88" s="936"/>
      <c r="EX88" s="936"/>
      <c r="EY88" s="936"/>
      <c r="EZ88" s="936"/>
      <c r="FA88" s="936"/>
      <c r="FB88" s="936"/>
      <c r="FC88" s="936"/>
      <c r="FD88" s="936"/>
      <c r="FE88" s="936"/>
      <c r="FF88" s="936"/>
      <c r="FG88" s="936"/>
      <c r="FH88" s="936"/>
      <c r="FI88" s="936"/>
      <c r="FJ88" s="936"/>
      <c r="FK88" s="936"/>
      <c r="FL88" s="936"/>
      <c r="FM88" s="936"/>
      <c r="FN88" s="936"/>
      <c r="FO88" s="936"/>
      <c r="FP88" s="936"/>
      <c r="FQ88" s="936"/>
      <c r="FR88" s="936"/>
      <c r="FS88" s="936"/>
      <c r="FT88" s="936"/>
      <c r="FU88" s="936"/>
      <c r="FV88" s="936"/>
      <c r="FW88" s="936"/>
      <c r="FX88" s="936"/>
      <c r="FY88" s="936"/>
      <c r="FZ88" s="936"/>
      <c r="GA88" s="936"/>
      <c r="GB88" s="936"/>
      <c r="GC88" s="936"/>
      <c r="GD88" s="936"/>
      <c r="GE88" s="936"/>
      <c r="GF88" s="936"/>
      <c r="GG88" s="936"/>
      <c r="GH88" s="936"/>
      <c r="GI88" s="936"/>
      <c r="GJ88" s="936"/>
      <c r="GK88" s="936"/>
      <c r="GL88" s="936"/>
      <c r="GM88" s="936"/>
      <c r="GN88" s="936"/>
      <c r="GO88" s="936"/>
      <c r="GP88" s="936"/>
      <c r="GQ88" s="936"/>
      <c r="GR88" s="936"/>
      <c r="GS88" s="936"/>
      <c r="GT88" s="936"/>
      <c r="GU88" s="936"/>
      <c r="GV88" s="936"/>
      <c r="GW88" s="936"/>
      <c r="GX88" s="936"/>
      <c r="GY88" s="936"/>
      <c r="GZ88" s="936"/>
      <c r="HA88" s="936"/>
      <c r="HB88" s="936"/>
      <c r="HC88" s="936"/>
      <c r="HD88" s="936"/>
      <c r="HE88" s="936"/>
      <c r="HF88" s="936"/>
      <c r="HG88" s="936"/>
      <c r="HH88" s="936"/>
      <c r="HI88" s="936"/>
      <c r="HJ88" s="936"/>
      <c r="HK88" s="936"/>
      <c r="HL88" s="936"/>
      <c r="HM88" s="936"/>
      <c r="HN88" s="936"/>
      <c r="HO88" s="936"/>
      <c r="HP88" s="936"/>
      <c r="HQ88" s="936"/>
      <c r="HR88" s="936"/>
      <c r="HS88" s="936"/>
      <c r="HT88" s="936"/>
      <c r="HU88" s="936"/>
      <c r="HV88" s="936"/>
      <c r="HW88" s="936"/>
      <c r="HX88" s="936"/>
      <c r="HY88" s="936"/>
      <c r="HZ88" s="936"/>
      <c r="IA88" s="936"/>
      <c r="IB88" s="936"/>
      <c r="IC88" s="936"/>
      <c r="ID88" s="936"/>
      <c r="IE88" s="936"/>
      <c r="IF88" s="936"/>
      <c r="IG88" s="936"/>
      <c r="IH88" s="936"/>
      <c r="II88" s="936"/>
      <c r="IJ88" s="936"/>
      <c r="IK88" s="936"/>
      <c r="IL88" s="936"/>
      <c r="IM88" s="936"/>
      <c r="IN88" s="936"/>
      <c r="IO88" s="936"/>
      <c r="IP88" s="936"/>
      <c r="IQ88" s="936"/>
      <c r="IR88" s="936"/>
      <c r="IS88" s="936"/>
      <c r="IT88" s="936"/>
    </row>
    <row r="89" spans="1:254" ht="14.1" customHeight="1">
      <c r="A89" s="1116"/>
      <c r="B89" s="1116"/>
      <c r="C89" s="938"/>
      <c r="D89" s="938"/>
      <c r="E89" s="938"/>
      <c r="F89" s="938"/>
      <c r="G89" s="938"/>
      <c r="H89" s="938"/>
      <c r="J89" s="936"/>
      <c r="K89" s="936"/>
      <c r="L89" s="936"/>
      <c r="M89" s="936"/>
      <c r="N89" s="936"/>
      <c r="O89" s="936"/>
      <c r="P89" s="936"/>
      <c r="Q89" s="936"/>
      <c r="R89" s="936"/>
      <c r="S89" s="936"/>
      <c r="T89" s="936"/>
      <c r="U89" s="936"/>
      <c r="V89" s="936"/>
      <c r="W89" s="936"/>
      <c r="X89" s="936"/>
      <c r="Y89" s="936"/>
      <c r="Z89" s="936"/>
      <c r="AA89" s="936"/>
      <c r="AB89" s="936"/>
      <c r="AC89" s="936"/>
      <c r="AD89" s="936"/>
      <c r="AE89" s="936"/>
      <c r="AF89" s="936"/>
      <c r="AG89" s="936"/>
      <c r="AH89" s="936"/>
      <c r="AI89" s="936"/>
      <c r="AJ89" s="936"/>
      <c r="AK89" s="936"/>
      <c r="AL89" s="936"/>
      <c r="AM89" s="936"/>
      <c r="AN89" s="936"/>
      <c r="AO89" s="936"/>
      <c r="AP89" s="936"/>
      <c r="AQ89" s="936"/>
      <c r="AR89" s="936"/>
      <c r="AS89" s="936"/>
      <c r="AT89" s="936"/>
      <c r="AU89" s="936"/>
      <c r="AV89" s="936"/>
      <c r="AW89" s="936"/>
      <c r="AX89" s="936"/>
      <c r="AY89" s="936"/>
      <c r="AZ89" s="936"/>
      <c r="BA89" s="936"/>
      <c r="BB89" s="936"/>
      <c r="BC89" s="936"/>
      <c r="BD89" s="936"/>
      <c r="BE89" s="936"/>
      <c r="BF89" s="936"/>
      <c r="BG89" s="936"/>
      <c r="BH89" s="936"/>
      <c r="BI89" s="936"/>
      <c r="BJ89" s="936"/>
      <c r="BK89" s="936"/>
      <c r="BL89" s="936"/>
      <c r="BM89" s="936"/>
      <c r="BN89" s="936"/>
      <c r="BO89" s="936"/>
      <c r="BP89" s="936"/>
      <c r="BQ89" s="936"/>
      <c r="BR89" s="936"/>
      <c r="BS89" s="936"/>
      <c r="BT89" s="936"/>
      <c r="BU89" s="936"/>
      <c r="BV89" s="936"/>
      <c r="BW89" s="936"/>
      <c r="BX89" s="936"/>
      <c r="BY89" s="936"/>
      <c r="BZ89" s="936"/>
      <c r="CA89" s="936"/>
      <c r="CB89" s="936"/>
      <c r="CC89" s="936"/>
      <c r="CD89" s="936"/>
      <c r="CE89" s="936"/>
      <c r="CF89" s="936"/>
      <c r="CG89" s="936"/>
      <c r="CH89" s="936"/>
      <c r="CI89" s="936"/>
      <c r="CJ89" s="936"/>
      <c r="CK89" s="936"/>
      <c r="CL89" s="936"/>
      <c r="CM89" s="936"/>
      <c r="CN89" s="936"/>
      <c r="CO89" s="936"/>
      <c r="CP89" s="936"/>
      <c r="CQ89" s="936"/>
      <c r="CR89" s="936"/>
      <c r="CS89" s="936"/>
      <c r="CT89" s="936"/>
      <c r="CU89" s="936"/>
      <c r="CV89" s="936"/>
      <c r="CW89" s="936"/>
      <c r="CX89" s="936"/>
      <c r="CY89" s="936"/>
      <c r="CZ89" s="936"/>
      <c r="DA89" s="936"/>
      <c r="DB89" s="936"/>
      <c r="DC89" s="936"/>
      <c r="DD89" s="936"/>
      <c r="DE89" s="936"/>
      <c r="DF89" s="936"/>
      <c r="DG89" s="936"/>
      <c r="DH89" s="936"/>
      <c r="DI89" s="936"/>
      <c r="DJ89" s="936"/>
      <c r="DK89" s="936"/>
      <c r="DL89" s="936"/>
      <c r="DM89" s="936"/>
      <c r="DN89" s="936"/>
      <c r="DO89" s="936"/>
      <c r="DP89" s="936"/>
      <c r="DQ89" s="936"/>
      <c r="DR89" s="936"/>
      <c r="DS89" s="936"/>
      <c r="DT89" s="936"/>
      <c r="DU89" s="936"/>
      <c r="DV89" s="936"/>
      <c r="DW89" s="936"/>
      <c r="DX89" s="936"/>
      <c r="DY89" s="936"/>
      <c r="DZ89" s="936"/>
      <c r="EA89" s="936"/>
      <c r="EB89" s="936"/>
      <c r="EC89" s="936"/>
      <c r="ED89" s="936"/>
      <c r="EE89" s="936"/>
      <c r="EF89" s="936"/>
      <c r="EG89" s="936"/>
      <c r="EH89" s="936"/>
      <c r="EI89" s="936"/>
      <c r="EJ89" s="936"/>
      <c r="EK89" s="936"/>
      <c r="EL89" s="936"/>
      <c r="EM89" s="936"/>
      <c r="EN89" s="936"/>
      <c r="EO89" s="936"/>
      <c r="EP89" s="936"/>
      <c r="EQ89" s="936"/>
      <c r="ER89" s="936"/>
      <c r="ES89" s="936"/>
      <c r="ET89" s="936"/>
      <c r="EU89" s="936"/>
      <c r="EV89" s="936"/>
      <c r="EW89" s="936"/>
      <c r="EX89" s="936"/>
      <c r="EY89" s="936"/>
      <c r="EZ89" s="936"/>
      <c r="FA89" s="936"/>
      <c r="FB89" s="936"/>
      <c r="FC89" s="936"/>
      <c r="FD89" s="936"/>
      <c r="FE89" s="936"/>
      <c r="FF89" s="936"/>
      <c r="FG89" s="936"/>
      <c r="FH89" s="936"/>
      <c r="FI89" s="936"/>
      <c r="FJ89" s="936"/>
      <c r="FK89" s="936"/>
      <c r="FL89" s="936"/>
      <c r="FM89" s="936"/>
      <c r="FN89" s="936"/>
      <c r="FO89" s="936"/>
      <c r="FP89" s="936"/>
      <c r="FQ89" s="936"/>
      <c r="FR89" s="936"/>
      <c r="FS89" s="936"/>
      <c r="FT89" s="936"/>
      <c r="FU89" s="936"/>
      <c r="FV89" s="936"/>
      <c r="FW89" s="936"/>
      <c r="FX89" s="936"/>
      <c r="FY89" s="936"/>
      <c r="FZ89" s="936"/>
      <c r="GA89" s="936"/>
      <c r="GB89" s="936"/>
      <c r="GC89" s="936"/>
      <c r="GD89" s="936"/>
      <c r="GE89" s="936"/>
      <c r="GF89" s="936"/>
      <c r="GG89" s="936"/>
      <c r="GH89" s="936"/>
      <c r="GI89" s="936"/>
      <c r="GJ89" s="936"/>
      <c r="GK89" s="936"/>
      <c r="GL89" s="936"/>
      <c r="GM89" s="936"/>
      <c r="GN89" s="936"/>
      <c r="GO89" s="936"/>
      <c r="GP89" s="936"/>
      <c r="GQ89" s="936"/>
      <c r="GR89" s="936"/>
      <c r="GS89" s="936"/>
      <c r="GT89" s="936"/>
      <c r="GU89" s="936"/>
      <c r="GV89" s="936"/>
      <c r="GW89" s="936"/>
      <c r="GX89" s="936"/>
      <c r="GY89" s="936"/>
      <c r="GZ89" s="936"/>
      <c r="HA89" s="936"/>
      <c r="HB89" s="936"/>
      <c r="HC89" s="936"/>
      <c r="HD89" s="936"/>
      <c r="HE89" s="936"/>
      <c r="HF89" s="936"/>
      <c r="HG89" s="936"/>
      <c r="HH89" s="936"/>
      <c r="HI89" s="936"/>
      <c r="HJ89" s="936"/>
      <c r="HK89" s="936"/>
      <c r="HL89" s="936"/>
      <c r="HM89" s="936"/>
      <c r="HN89" s="936"/>
      <c r="HO89" s="936"/>
      <c r="HP89" s="936"/>
      <c r="HQ89" s="936"/>
      <c r="HR89" s="936"/>
      <c r="HS89" s="936"/>
      <c r="HT89" s="936"/>
      <c r="HU89" s="936"/>
      <c r="HV89" s="936"/>
      <c r="HW89" s="936"/>
      <c r="HX89" s="936"/>
      <c r="HY89" s="936"/>
      <c r="HZ89" s="936"/>
      <c r="IA89" s="936"/>
      <c r="IB89" s="936"/>
      <c r="IC89" s="936"/>
      <c r="ID89" s="936"/>
      <c r="IE89" s="936"/>
      <c r="IF89" s="936"/>
      <c r="IG89" s="936"/>
      <c r="IH89" s="936"/>
      <c r="II89" s="936"/>
      <c r="IJ89" s="936"/>
      <c r="IK89" s="936"/>
      <c r="IL89" s="936"/>
      <c r="IM89" s="936"/>
      <c r="IN89" s="936"/>
      <c r="IO89" s="936"/>
      <c r="IP89" s="936"/>
      <c r="IQ89" s="936"/>
      <c r="IR89" s="936"/>
      <c r="IS89" s="936"/>
      <c r="IT89" s="936"/>
    </row>
    <row r="90" spans="1:254" ht="14.1" customHeight="1">
      <c r="C90" s="940"/>
      <c r="D90" s="940"/>
      <c r="E90" s="939"/>
      <c r="F90" s="939"/>
      <c r="G90" s="939"/>
      <c r="H90" s="939"/>
      <c r="J90" s="936"/>
      <c r="K90" s="936"/>
      <c r="L90" s="936"/>
      <c r="M90" s="936"/>
      <c r="N90" s="936"/>
      <c r="O90" s="936"/>
      <c r="P90" s="936"/>
      <c r="Q90" s="936"/>
      <c r="R90" s="936"/>
      <c r="S90" s="936"/>
      <c r="T90" s="936"/>
      <c r="U90" s="936"/>
      <c r="V90" s="936"/>
      <c r="W90" s="936"/>
      <c r="X90" s="936"/>
      <c r="Y90" s="936"/>
      <c r="Z90" s="936"/>
      <c r="AA90" s="936"/>
      <c r="AB90" s="936"/>
      <c r="AC90" s="936"/>
      <c r="AD90" s="936"/>
      <c r="AE90" s="936"/>
      <c r="AF90" s="936"/>
      <c r="AG90" s="936"/>
      <c r="AH90" s="936"/>
      <c r="AI90" s="936"/>
      <c r="AJ90" s="936"/>
      <c r="AK90" s="936"/>
      <c r="AL90" s="936"/>
      <c r="AM90" s="936"/>
      <c r="AN90" s="936"/>
      <c r="AO90" s="936"/>
      <c r="AP90" s="936"/>
      <c r="AQ90" s="936"/>
      <c r="AR90" s="936"/>
      <c r="AS90" s="936"/>
      <c r="AT90" s="936"/>
      <c r="AU90" s="936"/>
      <c r="AV90" s="936"/>
      <c r="AW90" s="936"/>
      <c r="AX90" s="936"/>
      <c r="AY90" s="936"/>
      <c r="AZ90" s="936"/>
      <c r="BA90" s="936"/>
      <c r="BB90" s="936"/>
      <c r="BC90" s="936"/>
      <c r="BD90" s="936"/>
      <c r="BE90" s="936"/>
      <c r="BF90" s="936"/>
      <c r="BG90" s="936"/>
      <c r="BH90" s="936"/>
      <c r="BI90" s="936"/>
      <c r="BJ90" s="936"/>
      <c r="BK90" s="936"/>
      <c r="BL90" s="936"/>
      <c r="BM90" s="936"/>
      <c r="BN90" s="936"/>
      <c r="BO90" s="936"/>
      <c r="BP90" s="936"/>
      <c r="BQ90" s="936"/>
      <c r="BR90" s="936"/>
      <c r="BS90" s="936"/>
      <c r="BT90" s="936"/>
      <c r="BU90" s="936"/>
      <c r="BV90" s="936"/>
      <c r="BW90" s="936"/>
      <c r="BX90" s="936"/>
      <c r="BY90" s="936"/>
      <c r="BZ90" s="936"/>
      <c r="CA90" s="936"/>
      <c r="CB90" s="936"/>
      <c r="CC90" s="936"/>
      <c r="CD90" s="936"/>
      <c r="CE90" s="936"/>
      <c r="CF90" s="936"/>
      <c r="CG90" s="936"/>
      <c r="CH90" s="936"/>
      <c r="CI90" s="936"/>
      <c r="CJ90" s="936"/>
      <c r="CK90" s="936"/>
      <c r="CL90" s="936"/>
      <c r="CM90" s="936"/>
      <c r="CN90" s="936"/>
      <c r="CO90" s="936"/>
      <c r="CP90" s="936"/>
      <c r="CQ90" s="936"/>
      <c r="CR90" s="936"/>
      <c r="CS90" s="936"/>
      <c r="CT90" s="936"/>
      <c r="CU90" s="936"/>
      <c r="CV90" s="936"/>
      <c r="CW90" s="936"/>
      <c r="CX90" s="936"/>
      <c r="CY90" s="936"/>
      <c r="CZ90" s="936"/>
      <c r="DA90" s="936"/>
      <c r="DB90" s="936"/>
      <c r="DC90" s="936"/>
      <c r="DD90" s="936"/>
      <c r="DE90" s="936"/>
      <c r="DF90" s="936"/>
      <c r="DG90" s="936"/>
      <c r="DH90" s="936"/>
      <c r="DI90" s="936"/>
      <c r="DJ90" s="936"/>
      <c r="DK90" s="936"/>
      <c r="DL90" s="936"/>
      <c r="DM90" s="936"/>
      <c r="DN90" s="936"/>
      <c r="DO90" s="936"/>
      <c r="DP90" s="936"/>
      <c r="DQ90" s="936"/>
      <c r="DR90" s="936"/>
      <c r="DS90" s="936"/>
      <c r="DT90" s="936"/>
      <c r="DU90" s="936"/>
      <c r="DV90" s="936"/>
      <c r="DW90" s="936"/>
      <c r="DX90" s="936"/>
      <c r="DY90" s="936"/>
      <c r="DZ90" s="936"/>
      <c r="EA90" s="936"/>
      <c r="EB90" s="936"/>
      <c r="EC90" s="936"/>
      <c r="ED90" s="936"/>
      <c r="EE90" s="936"/>
      <c r="EF90" s="936"/>
      <c r="EG90" s="936"/>
      <c r="EH90" s="936"/>
      <c r="EI90" s="936"/>
      <c r="EJ90" s="936"/>
      <c r="EK90" s="936"/>
      <c r="EL90" s="936"/>
      <c r="EM90" s="936"/>
      <c r="EN90" s="936"/>
      <c r="EO90" s="936"/>
      <c r="EP90" s="936"/>
      <c r="EQ90" s="936"/>
      <c r="ER90" s="936"/>
      <c r="ES90" s="936"/>
      <c r="ET90" s="936"/>
      <c r="EU90" s="936"/>
      <c r="EV90" s="936"/>
      <c r="EW90" s="936"/>
      <c r="EX90" s="936"/>
      <c r="EY90" s="936"/>
      <c r="EZ90" s="936"/>
      <c r="FA90" s="936"/>
      <c r="FB90" s="936"/>
      <c r="FC90" s="936"/>
      <c r="FD90" s="936"/>
      <c r="FE90" s="936"/>
      <c r="FF90" s="936"/>
      <c r="FG90" s="936"/>
      <c r="FH90" s="936"/>
      <c r="FI90" s="936"/>
      <c r="FJ90" s="936"/>
      <c r="FK90" s="936"/>
      <c r="FL90" s="936"/>
      <c r="FM90" s="936"/>
      <c r="FN90" s="936"/>
      <c r="FO90" s="936"/>
      <c r="FP90" s="936"/>
      <c r="FQ90" s="936"/>
      <c r="FR90" s="936"/>
      <c r="FS90" s="936"/>
      <c r="FT90" s="936"/>
      <c r="FU90" s="936"/>
      <c r="FV90" s="936"/>
      <c r="FW90" s="936"/>
      <c r="FX90" s="936"/>
      <c r="FY90" s="936"/>
      <c r="FZ90" s="936"/>
      <c r="GA90" s="936"/>
      <c r="GB90" s="936"/>
      <c r="GC90" s="936"/>
      <c r="GD90" s="936"/>
      <c r="GE90" s="936"/>
      <c r="GF90" s="936"/>
      <c r="GG90" s="936"/>
      <c r="GH90" s="936"/>
      <c r="GI90" s="936"/>
      <c r="GJ90" s="936"/>
      <c r="GK90" s="936"/>
      <c r="GL90" s="936"/>
      <c r="GM90" s="936"/>
      <c r="GN90" s="936"/>
      <c r="GO90" s="936"/>
      <c r="GP90" s="936"/>
      <c r="GQ90" s="936"/>
      <c r="GR90" s="936"/>
      <c r="GS90" s="936"/>
      <c r="GT90" s="936"/>
      <c r="GU90" s="936"/>
      <c r="GV90" s="936"/>
      <c r="GW90" s="936"/>
      <c r="GX90" s="936"/>
      <c r="GY90" s="936"/>
      <c r="GZ90" s="936"/>
      <c r="HA90" s="936"/>
      <c r="HB90" s="936"/>
      <c r="HC90" s="936"/>
      <c r="HD90" s="936"/>
      <c r="HE90" s="936"/>
      <c r="HF90" s="936"/>
      <c r="HG90" s="936"/>
      <c r="HH90" s="936"/>
      <c r="HI90" s="936"/>
      <c r="HJ90" s="936"/>
      <c r="HK90" s="936"/>
      <c r="HL90" s="936"/>
      <c r="HM90" s="936"/>
      <c r="HN90" s="936"/>
      <c r="HO90" s="936"/>
      <c r="HP90" s="936"/>
      <c r="HQ90" s="936"/>
      <c r="HR90" s="936"/>
      <c r="HS90" s="936"/>
      <c r="HT90" s="936"/>
      <c r="HU90" s="936"/>
      <c r="HV90" s="936"/>
      <c r="HW90" s="936"/>
      <c r="HX90" s="936"/>
      <c r="HY90" s="936"/>
      <c r="HZ90" s="936"/>
      <c r="IA90" s="936"/>
      <c r="IB90" s="936"/>
      <c r="IC90" s="936"/>
      <c r="ID90" s="936"/>
      <c r="IE90" s="936"/>
      <c r="IF90" s="936"/>
      <c r="IG90" s="936"/>
      <c r="IH90" s="936"/>
      <c r="II90" s="936"/>
      <c r="IJ90" s="936"/>
      <c r="IK90" s="936"/>
      <c r="IL90" s="936"/>
      <c r="IM90" s="936"/>
      <c r="IN90" s="936"/>
      <c r="IO90" s="936"/>
      <c r="IP90" s="936"/>
      <c r="IQ90" s="936"/>
      <c r="IR90" s="936"/>
      <c r="IS90" s="936"/>
      <c r="IT90" s="936"/>
    </row>
  </sheetData>
  <mergeCells count="9">
    <mergeCell ref="M26:N26"/>
    <mergeCell ref="F86:G86"/>
    <mergeCell ref="A2:H2"/>
    <mergeCell ref="A1:H1"/>
    <mergeCell ref="A3:A4"/>
    <mergeCell ref="B3:B4"/>
    <mergeCell ref="C3:D4"/>
    <mergeCell ref="E3:G3"/>
    <mergeCell ref="H3:H4"/>
  </mergeCells>
  <printOptions horizontalCentered="1"/>
  <pageMargins left="0.75" right="0.25" top="0.75" bottom="0.5" header="0.3" footer="0.3"/>
  <pageSetup paperSize="9" orientation="portrait" r:id="rId1"/>
</worksheet>
</file>

<file path=xl/worksheets/sheet38.xml><?xml version="1.0" encoding="utf-8"?>
<worksheet xmlns="http://schemas.openxmlformats.org/spreadsheetml/2006/main" xmlns:r="http://schemas.openxmlformats.org/officeDocument/2006/relationships">
  <sheetPr>
    <tabColor rgb="FFFFFF00"/>
  </sheetPr>
  <dimension ref="A1:F16"/>
  <sheetViews>
    <sheetView view="pageBreakPreview" zoomScaleSheetLayoutView="100" workbookViewId="0">
      <selection activeCell="D12" sqref="D12"/>
    </sheetView>
  </sheetViews>
  <sheetFormatPr defaultRowHeight="15.75"/>
  <cols>
    <col min="1" max="1" width="5" customWidth="1"/>
    <col min="2" max="2" width="8" customWidth="1"/>
    <col min="3" max="3" width="37.5546875" customWidth="1"/>
    <col min="4" max="4" width="7.77734375" customWidth="1"/>
    <col min="5" max="5" width="6.88671875" customWidth="1"/>
    <col min="6" max="6" width="9.44140625" customWidth="1"/>
  </cols>
  <sheetData>
    <row r="1" spans="1:6" ht="51.75" customHeight="1">
      <c r="A1" s="1262" t="str">
        <f>'G. Abstract'!A3:F3</f>
        <v>N/W: RENOVATION AND UPGRADING THE EXISTING WORKING WOMEN’S HOSTEL AT SOORAMANGALAM IN SALEM CITY UNDER SOCIAL WELFARE DEPARTMENT</v>
      </c>
      <c r="B1" s="1263"/>
      <c r="C1" s="1263"/>
      <c r="D1" s="1263"/>
      <c r="E1" s="1263"/>
      <c r="F1" s="1264"/>
    </row>
    <row r="2" spans="1:6" ht="24.75" customHeight="1">
      <c r="A2" s="1205" t="s">
        <v>4222</v>
      </c>
      <c r="B2" s="1205"/>
      <c r="C2" s="1205"/>
      <c r="D2" s="1205"/>
      <c r="E2" s="1205"/>
      <c r="F2" s="1205"/>
    </row>
    <row r="3" spans="1:6">
      <c r="A3" s="878" t="s">
        <v>3747</v>
      </c>
      <c r="B3" s="879" t="s">
        <v>1070</v>
      </c>
      <c r="C3" s="879" t="s">
        <v>3748</v>
      </c>
      <c r="D3" s="879" t="s">
        <v>100</v>
      </c>
      <c r="E3" s="879" t="s">
        <v>3764</v>
      </c>
      <c r="F3" s="879" t="s">
        <v>994</v>
      </c>
    </row>
    <row r="4" spans="1:6" ht="36.75" customHeight="1">
      <c r="A4" s="822">
        <v>1</v>
      </c>
      <c r="B4" s="870"/>
      <c r="C4" s="862" t="s">
        <v>4200</v>
      </c>
      <c r="D4" s="870"/>
      <c r="E4" s="844"/>
      <c r="F4" s="844"/>
    </row>
    <row r="5" spans="1:6" ht="20.25" customHeight="1">
      <c r="A5" s="822"/>
      <c r="B5" s="870">
        <f>'RWH Detailed'!H10</f>
        <v>7.1</v>
      </c>
      <c r="C5" s="862" t="s">
        <v>4201</v>
      </c>
      <c r="D5" s="870">
        <f>DATA2!F156</f>
        <v>214.62</v>
      </c>
      <c r="E5" s="844" t="s">
        <v>3902</v>
      </c>
      <c r="F5" s="844">
        <f>B5*D5</f>
        <v>1523.8</v>
      </c>
    </row>
    <row r="6" spans="1:6" ht="37.5" customHeight="1">
      <c r="A6" s="822">
        <v>2</v>
      </c>
      <c r="B6" s="870">
        <f>'RWH Detailed'!H16</f>
        <v>0.8</v>
      </c>
      <c r="C6" s="862" t="s">
        <v>4204</v>
      </c>
      <c r="D6" s="870">
        <f>DATA2!F171</f>
        <v>4398.09</v>
      </c>
      <c r="E6" s="844" t="s">
        <v>3902</v>
      </c>
      <c r="F6" s="844">
        <f t="shared" ref="F6:F15" si="0">B6*D6</f>
        <v>3518.47</v>
      </c>
    </row>
    <row r="7" spans="1:6" ht="56.25" customHeight="1">
      <c r="A7" s="822">
        <v>3</v>
      </c>
      <c r="B7" s="870">
        <f>'RWH Detailed'!H22</f>
        <v>1.3</v>
      </c>
      <c r="C7" s="862" t="s">
        <v>4205</v>
      </c>
      <c r="D7" s="870">
        <f>DATA2!F187</f>
        <v>6223.83</v>
      </c>
      <c r="E7" s="844" t="s">
        <v>3902</v>
      </c>
      <c r="F7" s="844">
        <f t="shared" si="0"/>
        <v>8090.98</v>
      </c>
    </row>
    <row r="8" spans="1:6" ht="58.5" customHeight="1">
      <c r="A8" s="822">
        <v>4</v>
      </c>
      <c r="B8" s="870">
        <f>'RWH Detailed'!H28</f>
        <v>1.1000000000000001</v>
      </c>
      <c r="C8" s="862" t="s">
        <v>4206</v>
      </c>
      <c r="D8" s="870">
        <f>DATA2!F196</f>
        <v>1488.92</v>
      </c>
      <c r="E8" s="844" t="s">
        <v>3902</v>
      </c>
      <c r="F8" s="844">
        <f t="shared" si="0"/>
        <v>1637.81</v>
      </c>
    </row>
    <row r="9" spans="1:6" ht="41.25" customHeight="1">
      <c r="A9" s="822">
        <v>5</v>
      </c>
      <c r="B9" s="870">
        <f>'RWH Detailed'!H34</f>
        <v>1.9</v>
      </c>
      <c r="C9" s="862" t="s">
        <v>4208</v>
      </c>
      <c r="D9" s="870">
        <f>DATA2!F204</f>
        <v>1597.62</v>
      </c>
      <c r="E9" s="871" t="s">
        <v>3902</v>
      </c>
      <c r="F9" s="844">
        <f t="shared" si="0"/>
        <v>3035.48</v>
      </c>
    </row>
    <row r="10" spans="1:6" ht="41.25" customHeight="1">
      <c r="A10" s="822">
        <v>6</v>
      </c>
      <c r="B10" s="870">
        <f>'RWH Detailed'!H40</f>
        <v>2.8</v>
      </c>
      <c r="C10" s="862" t="s">
        <v>4209</v>
      </c>
      <c r="D10" s="870">
        <f>DATA2!F214</f>
        <v>1194.6199999999999</v>
      </c>
      <c r="E10" s="844" t="s">
        <v>3902</v>
      </c>
      <c r="F10" s="844">
        <f t="shared" si="0"/>
        <v>3344.94</v>
      </c>
    </row>
    <row r="11" spans="1:6" ht="39" customHeight="1">
      <c r="A11" s="822">
        <v>7</v>
      </c>
      <c r="B11" s="870">
        <f>'RWH Detailed'!H47</f>
        <v>9.5</v>
      </c>
      <c r="C11" s="862" t="s">
        <v>4210</v>
      </c>
      <c r="D11" s="870">
        <f>DATA2!F226</f>
        <v>228.61</v>
      </c>
      <c r="E11" s="844" t="s">
        <v>4121</v>
      </c>
      <c r="F11" s="844">
        <f t="shared" si="0"/>
        <v>2171.8000000000002</v>
      </c>
    </row>
    <row r="12" spans="1:6" ht="82.5" customHeight="1">
      <c r="A12" s="822">
        <v>8</v>
      </c>
      <c r="B12" s="870">
        <f>'RWH Detailed'!H53</f>
        <v>7.19</v>
      </c>
      <c r="C12" s="862" t="s">
        <v>4412</v>
      </c>
      <c r="D12" s="870">
        <f>DATA2!F237</f>
        <v>1747.81</v>
      </c>
      <c r="E12" s="844" t="s">
        <v>4121</v>
      </c>
      <c r="F12" s="844">
        <f t="shared" si="0"/>
        <v>12566.75</v>
      </c>
    </row>
    <row r="13" spans="1:6" ht="39.75" customHeight="1">
      <c r="A13" s="822">
        <v>9</v>
      </c>
      <c r="B13" s="870">
        <f>'RWH Detailed'!H56</f>
        <v>40</v>
      </c>
      <c r="C13" s="862" t="s">
        <v>4708</v>
      </c>
      <c r="D13" s="870">
        <f>DATA2!F432</f>
        <v>327.97</v>
      </c>
      <c r="E13" s="844" t="s">
        <v>840</v>
      </c>
      <c r="F13" s="844">
        <f t="shared" si="0"/>
        <v>13118.8</v>
      </c>
    </row>
    <row r="14" spans="1:6" ht="47.25" customHeight="1">
      <c r="A14" s="822">
        <v>10</v>
      </c>
      <c r="B14" s="870">
        <f>'RWH Detailed'!H61</f>
        <v>0.06</v>
      </c>
      <c r="C14" s="862" t="s">
        <v>4169</v>
      </c>
      <c r="D14" s="870">
        <f>DATA2!F249</f>
        <v>79705.3</v>
      </c>
      <c r="E14" s="844" t="s">
        <v>528</v>
      </c>
      <c r="F14" s="844">
        <f t="shared" si="0"/>
        <v>4782.32</v>
      </c>
    </row>
    <row r="15" spans="1:6">
      <c r="A15" s="822"/>
      <c r="B15" s="870"/>
      <c r="C15" s="862"/>
      <c r="D15" s="870"/>
      <c r="E15" s="844"/>
      <c r="F15" s="844">
        <f t="shared" si="0"/>
        <v>0</v>
      </c>
    </row>
    <row r="16" spans="1:6" ht="27.75" customHeight="1">
      <c r="A16" s="822"/>
      <c r="B16" s="870"/>
      <c r="C16" s="875" t="s">
        <v>2332</v>
      </c>
      <c r="D16" s="870"/>
      <c r="E16" s="844"/>
      <c r="F16" s="820">
        <f>SUM(F5:F15)</f>
        <v>53791.15</v>
      </c>
    </row>
  </sheetData>
  <mergeCells count="2">
    <mergeCell ref="A1:F1"/>
    <mergeCell ref="A2:F2"/>
  </mergeCells>
  <printOptions horizontalCentered="1"/>
  <pageMargins left="0.75" right="0.25"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sheetPr>
    <tabColor rgb="FFFFFF00"/>
  </sheetPr>
  <dimension ref="A1:I61"/>
  <sheetViews>
    <sheetView view="pageBreakPreview" zoomScale="106" zoomScaleSheetLayoutView="106" workbookViewId="0">
      <selection activeCell="E57" sqref="E57"/>
    </sheetView>
  </sheetViews>
  <sheetFormatPr defaultRowHeight="15.75"/>
  <cols>
    <col min="1" max="1" width="3.88671875" customWidth="1"/>
    <col min="2" max="2" width="37.88671875" style="813" customWidth="1"/>
    <col min="3" max="3" width="3.21875" customWidth="1"/>
    <col min="4" max="4" width="2.88671875" bestFit="1" customWidth="1"/>
    <col min="5" max="5" width="7.5546875" customWidth="1"/>
    <col min="6" max="6" width="7.77734375" customWidth="1"/>
    <col min="7" max="7" width="7.5546875" customWidth="1"/>
    <col min="8" max="8" width="8.109375" customWidth="1"/>
    <col min="10" max="11" width="9" bestFit="1" customWidth="1"/>
  </cols>
  <sheetData>
    <row r="1" spans="1:8" ht="54.75" customHeight="1">
      <c r="A1" s="1205" t="str">
        <f>'Septic Tank Det'!A1:H1</f>
        <v>N/W: RENOVATION AND UPGRADING THE EXISTING WORKING WOMEN’S HOSTEL AT SOORAMANGALAM IN SALEM CITY UNDER SOCIAL WELFARE DEPARTMENT</v>
      </c>
      <c r="B1" s="1205"/>
      <c r="C1" s="1205"/>
      <c r="D1" s="1205"/>
      <c r="E1" s="1205"/>
      <c r="F1" s="1205"/>
      <c r="G1" s="1205"/>
      <c r="H1" s="1205"/>
    </row>
    <row r="2" spans="1:8" ht="27.75" customHeight="1">
      <c r="A2" s="1205" t="s">
        <v>4215</v>
      </c>
      <c r="B2" s="1205"/>
      <c r="C2" s="1205"/>
      <c r="D2" s="1205"/>
      <c r="E2" s="1205"/>
      <c r="F2" s="1205"/>
      <c r="G2" s="1205"/>
      <c r="H2" s="1205"/>
    </row>
    <row r="3" spans="1:8" ht="31.5">
      <c r="A3" s="889" t="s">
        <v>3747</v>
      </c>
      <c r="B3" s="888" t="s">
        <v>3748</v>
      </c>
      <c r="C3" s="1277" t="s">
        <v>1454</v>
      </c>
      <c r="D3" s="1277"/>
      <c r="E3" s="888" t="s">
        <v>3751</v>
      </c>
      <c r="F3" s="888" t="s">
        <v>3752</v>
      </c>
      <c r="G3" s="888" t="s">
        <v>3753</v>
      </c>
      <c r="H3" s="888" t="s">
        <v>1669</v>
      </c>
    </row>
    <row r="4" spans="1:8" ht="40.5" customHeight="1">
      <c r="A4" s="863">
        <v>1</v>
      </c>
      <c r="B4" s="862" t="s">
        <v>4200</v>
      </c>
      <c r="C4" s="915"/>
      <c r="D4" s="915"/>
      <c r="E4" s="866"/>
      <c r="F4" s="866"/>
      <c r="G4" s="866"/>
      <c r="H4" s="866"/>
    </row>
    <row r="5" spans="1:8">
      <c r="A5" s="863"/>
      <c r="B5" s="862" t="s">
        <v>4201</v>
      </c>
      <c r="C5" s="915"/>
      <c r="D5" s="915"/>
      <c r="E5" s="866"/>
      <c r="F5" s="866"/>
      <c r="G5" s="866"/>
      <c r="H5" s="866"/>
    </row>
    <row r="6" spans="1:8">
      <c r="A6" s="863"/>
      <c r="B6" s="862" t="s">
        <v>4202</v>
      </c>
      <c r="C6" s="915">
        <v>1</v>
      </c>
      <c r="D6" s="915">
        <v>2</v>
      </c>
      <c r="E6" s="866">
        <v>6.92</v>
      </c>
      <c r="F6" s="866">
        <v>0.38</v>
      </c>
      <c r="G6" s="866">
        <v>0.45</v>
      </c>
      <c r="H6" s="866">
        <f>PRODUCT(C6:G6)</f>
        <v>2.37</v>
      </c>
    </row>
    <row r="7" spans="1:8">
      <c r="A7" s="863"/>
      <c r="B7" s="862" t="s">
        <v>4203</v>
      </c>
      <c r="C7" s="915">
        <v>1</v>
      </c>
      <c r="D7" s="915">
        <v>2</v>
      </c>
      <c r="E7" s="866">
        <v>1.85</v>
      </c>
      <c r="F7" s="866">
        <v>0.85</v>
      </c>
      <c r="G7" s="866">
        <v>1.5</v>
      </c>
      <c r="H7" s="866">
        <f>PRODUCT(C7:G7)</f>
        <v>4.72</v>
      </c>
    </row>
    <row r="8" spans="1:8">
      <c r="A8" s="863"/>
      <c r="B8" s="862"/>
      <c r="C8" s="915"/>
      <c r="D8" s="915"/>
      <c r="E8" s="866"/>
      <c r="F8" s="866"/>
      <c r="G8" s="866" t="s">
        <v>2332</v>
      </c>
      <c r="H8" s="866">
        <f>SUM(H6:H7)</f>
        <v>7.09</v>
      </c>
    </row>
    <row r="9" spans="1:8">
      <c r="A9" s="863"/>
      <c r="B9" s="862"/>
      <c r="C9" s="915"/>
      <c r="D9" s="915"/>
      <c r="E9" s="866"/>
      <c r="F9" s="866"/>
      <c r="G9" s="866"/>
      <c r="H9" s="866">
        <v>0.01</v>
      </c>
    </row>
    <row r="10" spans="1:8">
      <c r="A10" s="863"/>
      <c r="B10" s="862"/>
      <c r="C10" s="915"/>
      <c r="D10" s="915"/>
      <c r="E10" s="866"/>
      <c r="F10" s="866"/>
      <c r="G10" s="866" t="s">
        <v>3754</v>
      </c>
      <c r="H10" s="851">
        <f>SUM(H8:H9)</f>
        <v>7.1</v>
      </c>
    </row>
    <row r="11" spans="1:8">
      <c r="A11" s="863"/>
      <c r="B11" s="862"/>
      <c r="C11" s="915"/>
      <c r="D11" s="915"/>
      <c r="E11" s="866"/>
      <c r="F11" s="866"/>
      <c r="G11" s="866"/>
      <c r="H11" s="866"/>
    </row>
    <row r="12" spans="1:8" ht="38.25" customHeight="1">
      <c r="A12" s="863">
        <v>2</v>
      </c>
      <c r="B12" s="862" t="s">
        <v>4204</v>
      </c>
      <c r="C12" s="915"/>
      <c r="D12" s="915"/>
      <c r="E12" s="866"/>
      <c r="F12" s="866"/>
      <c r="G12" s="866"/>
      <c r="H12" s="866"/>
    </row>
    <row r="13" spans="1:8" ht="18" customHeight="1">
      <c r="A13" s="863"/>
      <c r="B13" s="862" t="s">
        <v>4202</v>
      </c>
      <c r="C13" s="915">
        <v>1</v>
      </c>
      <c r="D13" s="915">
        <v>2</v>
      </c>
      <c r="E13" s="866">
        <v>6.92</v>
      </c>
      <c r="F13" s="866">
        <v>0.38</v>
      </c>
      <c r="G13" s="866">
        <v>0.15</v>
      </c>
      <c r="H13" s="866">
        <f>PRODUCT(C13:G13)</f>
        <v>0.79</v>
      </c>
    </row>
    <row r="14" spans="1:8" ht="18" customHeight="1">
      <c r="A14" s="863"/>
      <c r="B14" s="862"/>
      <c r="C14" s="915"/>
      <c r="D14" s="915"/>
      <c r="E14" s="866"/>
      <c r="F14" s="866"/>
      <c r="G14" s="866" t="s">
        <v>2332</v>
      </c>
      <c r="H14" s="866">
        <f>SUM(H13:H13)</f>
        <v>0.79</v>
      </c>
    </row>
    <row r="15" spans="1:8">
      <c r="A15" s="863"/>
      <c r="B15" s="862"/>
      <c r="C15" s="915"/>
      <c r="D15" s="915"/>
      <c r="E15" s="866"/>
      <c r="F15" s="866"/>
      <c r="G15" s="866"/>
      <c r="H15" s="866">
        <v>0.01</v>
      </c>
    </row>
    <row r="16" spans="1:8">
      <c r="A16" s="863"/>
      <c r="B16" s="862"/>
      <c r="C16" s="915"/>
      <c r="D16" s="915"/>
      <c r="E16" s="866"/>
      <c r="F16" s="866"/>
      <c r="G16" s="866" t="s">
        <v>3754</v>
      </c>
      <c r="H16" s="851">
        <f>SUM(H14:H15)</f>
        <v>0.8</v>
      </c>
    </row>
    <row r="17" spans="1:9">
      <c r="A17" s="863"/>
      <c r="B17" s="862"/>
      <c r="C17" s="915"/>
      <c r="D17" s="915"/>
      <c r="E17" s="866"/>
      <c r="F17" s="866"/>
      <c r="G17" s="866"/>
      <c r="H17" s="866"/>
    </row>
    <row r="18" spans="1:9" ht="53.25" customHeight="1">
      <c r="A18" s="863">
        <v>3</v>
      </c>
      <c r="B18" s="862" t="s">
        <v>4205</v>
      </c>
      <c r="C18" s="915"/>
      <c r="D18" s="915"/>
      <c r="E18" s="866"/>
      <c r="F18" s="866"/>
      <c r="G18" s="866"/>
      <c r="H18" s="866"/>
    </row>
    <row r="19" spans="1:9">
      <c r="A19" s="863"/>
      <c r="B19" s="862" t="s">
        <v>4202</v>
      </c>
      <c r="C19" s="915">
        <v>1</v>
      </c>
      <c r="D19" s="915">
        <v>2</v>
      </c>
      <c r="E19" s="866">
        <v>6.92</v>
      </c>
      <c r="F19" s="866">
        <v>0.23</v>
      </c>
      <c r="G19" s="866">
        <v>0.4</v>
      </c>
      <c r="H19" s="866">
        <f>PRODUCT(C19:G19)</f>
        <v>1.27</v>
      </c>
    </row>
    <row r="20" spans="1:9">
      <c r="A20" s="863"/>
      <c r="B20" s="862"/>
      <c r="C20" s="915"/>
      <c r="D20" s="915"/>
      <c r="E20" s="866"/>
      <c r="F20" s="866"/>
      <c r="G20" s="866" t="s">
        <v>2332</v>
      </c>
      <c r="H20" s="866">
        <f>SUM(H19:H19)</f>
        <v>1.27</v>
      </c>
    </row>
    <row r="21" spans="1:9">
      <c r="A21" s="863"/>
      <c r="B21" s="862"/>
      <c r="C21" s="915"/>
      <c r="D21" s="915"/>
      <c r="E21" s="866"/>
      <c r="F21" s="866"/>
      <c r="G21" s="866"/>
      <c r="H21" s="866">
        <v>0.03</v>
      </c>
    </row>
    <row r="22" spans="1:9">
      <c r="A22" s="863"/>
      <c r="B22" s="862"/>
      <c r="C22" s="915"/>
      <c r="D22" s="915"/>
      <c r="E22" s="866"/>
      <c r="F22" s="866"/>
      <c r="G22" s="866" t="s">
        <v>3754</v>
      </c>
      <c r="H22" s="851">
        <f>SUM(H20:H21)</f>
        <v>1.3</v>
      </c>
    </row>
    <row r="23" spans="1:9">
      <c r="A23" s="863"/>
      <c r="B23" s="862"/>
      <c r="C23" s="915"/>
      <c r="D23" s="915"/>
      <c r="E23" s="866"/>
      <c r="F23" s="866"/>
      <c r="G23" s="866"/>
      <c r="H23" s="866"/>
    </row>
    <row r="24" spans="1:9" ht="54" customHeight="1">
      <c r="A24" s="863">
        <v>4</v>
      </c>
      <c r="B24" s="862" t="s">
        <v>4206</v>
      </c>
      <c r="C24" s="915"/>
      <c r="D24" s="915"/>
      <c r="E24" s="866"/>
      <c r="F24" s="866"/>
      <c r="G24" s="866"/>
      <c r="H24" s="866"/>
    </row>
    <row r="25" spans="1:9">
      <c r="A25" s="863"/>
      <c r="B25" s="862" t="s">
        <v>4207</v>
      </c>
      <c r="C25" s="915">
        <v>1</v>
      </c>
      <c r="D25" s="915">
        <v>2</v>
      </c>
      <c r="E25" s="866">
        <v>1.85</v>
      </c>
      <c r="F25" s="866">
        <v>0.85</v>
      </c>
      <c r="G25" s="866">
        <v>0.35</v>
      </c>
      <c r="H25" s="866">
        <f>PRODUCT(C25:G25)</f>
        <v>1.1000000000000001</v>
      </c>
    </row>
    <row r="26" spans="1:9">
      <c r="A26" s="863"/>
      <c r="B26" s="862"/>
      <c r="C26" s="915"/>
      <c r="D26" s="915"/>
      <c r="E26" s="866"/>
      <c r="F26" s="866"/>
      <c r="G26" s="866" t="s">
        <v>2332</v>
      </c>
      <c r="H26" s="866">
        <f>SUM(H25)</f>
        <v>1.1000000000000001</v>
      </c>
    </row>
    <row r="27" spans="1:9">
      <c r="A27" s="863"/>
      <c r="B27" s="862"/>
      <c r="C27" s="915"/>
      <c r="D27" s="915"/>
      <c r="E27" s="866"/>
      <c r="F27" s="866"/>
      <c r="G27" s="866"/>
      <c r="H27" s="866">
        <v>0</v>
      </c>
    </row>
    <row r="28" spans="1:9">
      <c r="A28" s="863"/>
      <c r="B28" s="862"/>
      <c r="C28" s="915"/>
      <c r="D28" s="915"/>
      <c r="E28" s="866"/>
      <c r="F28" s="866"/>
      <c r="G28" s="866" t="s">
        <v>3754</v>
      </c>
      <c r="H28" s="851">
        <f>SUM(H26:H27)</f>
        <v>1.1000000000000001</v>
      </c>
    </row>
    <row r="29" spans="1:9">
      <c r="A29" s="863"/>
      <c r="B29" s="862"/>
      <c r="C29" s="915"/>
      <c r="D29" s="915"/>
      <c r="E29" s="866"/>
      <c r="F29" s="866"/>
      <c r="G29" s="866"/>
      <c r="H29" s="866"/>
    </row>
    <row r="30" spans="1:9" ht="42" customHeight="1">
      <c r="A30" s="863">
        <v>5</v>
      </c>
      <c r="B30" s="862" t="s">
        <v>4208</v>
      </c>
      <c r="C30" s="915"/>
      <c r="D30" s="915"/>
      <c r="E30" s="866"/>
      <c r="F30" s="866"/>
      <c r="G30" s="866"/>
      <c r="H30" s="866"/>
    </row>
    <row r="31" spans="1:9">
      <c r="A31" s="863"/>
      <c r="B31" s="862" t="s">
        <v>4207</v>
      </c>
      <c r="C31" s="915">
        <v>1</v>
      </c>
      <c r="D31" s="915">
        <v>2</v>
      </c>
      <c r="E31" s="866">
        <v>1.85</v>
      </c>
      <c r="F31" s="866">
        <v>0.85</v>
      </c>
      <c r="G31" s="866">
        <v>0.6</v>
      </c>
      <c r="H31" s="866">
        <f>PRODUCT(C31:G31)</f>
        <v>1.89</v>
      </c>
      <c r="I31" s="245"/>
    </row>
    <row r="32" spans="1:9">
      <c r="A32" s="863"/>
      <c r="B32" s="862"/>
      <c r="C32" s="915"/>
      <c r="D32" s="915"/>
      <c r="E32" s="866"/>
      <c r="F32" s="866"/>
      <c r="G32" s="866" t="s">
        <v>2332</v>
      </c>
      <c r="H32" s="866">
        <f>SUM(H31)</f>
        <v>1.89</v>
      </c>
      <c r="I32" s="245"/>
    </row>
    <row r="33" spans="1:9">
      <c r="A33" s="863"/>
      <c r="B33" s="862"/>
      <c r="C33" s="915"/>
      <c r="D33" s="915"/>
      <c r="E33" s="866"/>
      <c r="F33" s="866"/>
      <c r="G33" s="866"/>
      <c r="H33" s="866">
        <v>0.01</v>
      </c>
      <c r="I33" s="245"/>
    </row>
    <row r="34" spans="1:9">
      <c r="A34" s="863"/>
      <c r="B34" s="862"/>
      <c r="C34" s="915"/>
      <c r="D34" s="915"/>
      <c r="E34" s="866"/>
      <c r="F34" s="866"/>
      <c r="G34" s="866" t="s">
        <v>3754</v>
      </c>
      <c r="H34" s="851">
        <f>SUM(H32:H33)</f>
        <v>1.9</v>
      </c>
      <c r="I34" s="245"/>
    </row>
    <row r="35" spans="1:9">
      <c r="A35" s="863"/>
      <c r="B35" s="862"/>
      <c r="C35" s="915"/>
      <c r="D35" s="915"/>
      <c r="E35" s="866"/>
      <c r="F35" s="866"/>
      <c r="G35" s="866"/>
      <c r="H35" s="866"/>
      <c r="I35" s="245"/>
    </row>
    <row r="36" spans="1:9" ht="42" customHeight="1">
      <c r="A36" s="863">
        <v>6</v>
      </c>
      <c r="B36" s="862" t="s">
        <v>4209</v>
      </c>
      <c r="C36" s="915"/>
      <c r="D36" s="915"/>
      <c r="E36" s="866"/>
      <c r="F36" s="866"/>
      <c r="G36" s="866"/>
      <c r="H36" s="866"/>
      <c r="I36" s="245"/>
    </row>
    <row r="37" spans="1:9">
      <c r="A37" s="863"/>
      <c r="B37" s="862" t="s">
        <v>4207</v>
      </c>
      <c r="C37" s="915">
        <v>1</v>
      </c>
      <c r="D37" s="915">
        <v>2</v>
      </c>
      <c r="E37" s="866">
        <v>2</v>
      </c>
      <c r="F37" s="866">
        <v>1</v>
      </c>
      <c r="G37" s="866">
        <v>0.7</v>
      </c>
      <c r="H37" s="866">
        <f>PRODUCT(C37:G37)</f>
        <v>2.8</v>
      </c>
      <c r="I37" s="245"/>
    </row>
    <row r="38" spans="1:9">
      <c r="A38" s="863"/>
      <c r="B38" s="862"/>
      <c r="C38" s="915"/>
      <c r="D38" s="915"/>
      <c r="E38" s="866"/>
      <c r="F38" s="866"/>
      <c r="G38" s="866" t="s">
        <v>2332</v>
      </c>
      <c r="H38" s="866">
        <f>SUM(H37)</f>
        <v>2.8</v>
      </c>
      <c r="I38" s="245"/>
    </row>
    <row r="39" spans="1:9">
      <c r="A39" s="863"/>
      <c r="B39" s="862"/>
      <c r="C39" s="915"/>
      <c r="D39" s="915"/>
      <c r="E39" s="866"/>
      <c r="F39" s="866"/>
      <c r="G39" s="866"/>
      <c r="H39" s="866">
        <v>0</v>
      </c>
      <c r="I39" s="245"/>
    </row>
    <row r="40" spans="1:9">
      <c r="A40" s="863"/>
      <c r="B40" s="862"/>
      <c r="C40" s="915"/>
      <c r="D40" s="915"/>
      <c r="E40" s="866"/>
      <c r="F40" s="866"/>
      <c r="G40" s="866" t="s">
        <v>3754</v>
      </c>
      <c r="H40" s="851">
        <f>SUM(H38:H39)</f>
        <v>2.8</v>
      </c>
      <c r="I40" s="245"/>
    </row>
    <row r="41" spans="1:9">
      <c r="A41" s="863"/>
      <c r="B41" s="862"/>
      <c r="C41" s="915"/>
      <c r="D41" s="915"/>
      <c r="E41" s="866"/>
      <c r="F41" s="866"/>
      <c r="G41" s="866"/>
      <c r="H41" s="866"/>
      <c r="I41" s="245"/>
    </row>
    <row r="42" spans="1:9" ht="36.75" customHeight="1">
      <c r="A42" s="863">
        <v>7</v>
      </c>
      <c r="B42" s="862" t="s">
        <v>4210</v>
      </c>
      <c r="C42" s="915"/>
      <c r="D42" s="915"/>
      <c r="E42" s="866"/>
      <c r="F42" s="866"/>
      <c r="G42" s="866"/>
      <c r="H42" s="866"/>
      <c r="I42" s="245"/>
    </row>
    <row r="43" spans="1:9">
      <c r="A43" s="863"/>
      <c r="B43" s="862" t="s">
        <v>4211</v>
      </c>
      <c r="C43" s="915">
        <v>1</v>
      </c>
      <c r="D43" s="915">
        <v>2</v>
      </c>
      <c r="E43" s="866">
        <v>6</v>
      </c>
      <c r="F43" s="866"/>
      <c r="G43" s="866">
        <v>0.4</v>
      </c>
      <c r="H43" s="866">
        <f>PRODUCT(C43:G43)</f>
        <v>4.8</v>
      </c>
      <c r="I43" s="245"/>
    </row>
    <row r="44" spans="1:9">
      <c r="A44" s="863"/>
      <c r="B44" s="862" t="s">
        <v>4212</v>
      </c>
      <c r="C44" s="915">
        <v>1</v>
      </c>
      <c r="D44" s="915">
        <v>2</v>
      </c>
      <c r="E44" s="866">
        <v>7.84</v>
      </c>
      <c r="F44" s="866"/>
      <c r="G44" s="866">
        <v>0.3</v>
      </c>
      <c r="H44" s="866">
        <f>PRODUCT(C44:G44)</f>
        <v>4.7</v>
      </c>
      <c r="I44" s="245"/>
    </row>
    <row r="45" spans="1:9">
      <c r="A45" s="831"/>
      <c r="B45" s="862"/>
      <c r="C45" s="915"/>
      <c r="D45" s="915"/>
      <c r="E45" s="866"/>
      <c r="F45" s="866"/>
      <c r="G45" s="866" t="s">
        <v>2332</v>
      </c>
      <c r="H45" s="866">
        <f>SUM(H43:H44)</f>
        <v>9.5</v>
      </c>
    </row>
    <row r="46" spans="1:9">
      <c r="A46" s="831"/>
      <c r="B46" s="862"/>
      <c r="C46" s="915"/>
      <c r="D46" s="915"/>
      <c r="E46" s="866"/>
      <c r="F46" s="866"/>
      <c r="G46" s="866"/>
      <c r="H46" s="866">
        <v>0</v>
      </c>
    </row>
    <row r="47" spans="1:9">
      <c r="A47" s="831"/>
      <c r="B47" s="862"/>
      <c r="C47" s="915"/>
      <c r="D47" s="915"/>
      <c r="E47" s="866"/>
      <c r="F47" s="866"/>
      <c r="G47" s="866" t="s">
        <v>3754</v>
      </c>
      <c r="H47" s="851">
        <f>SUM(H45:H46)</f>
        <v>9.5</v>
      </c>
    </row>
    <row r="48" spans="1:9">
      <c r="A48" s="831"/>
      <c r="B48" s="862"/>
      <c r="C48" s="915"/>
      <c r="D48" s="915"/>
      <c r="E48" s="866"/>
      <c r="F48" s="866"/>
      <c r="G48" s="866"/>
      <c r="H48" s="866"/>
    </row>
    <row r="49" spans="1:8" ht="86.25" customHeight="1">
      <c r="A49" s="863">
        <v>8</v>
      </c>
      <c r="B49" s="862" t="s">
        <v>4213</v>
      </c>
      <c r="C49" s="831"/>
      <c r="D49" s="831"/>
      <c r="E49" s="831"/>
      <c r="F49" s="831"/>
      <c r="G49" s="831"/>
      <c r="H49" s="831"/>
    </row>
    <row r="50" spans="1:8">
      <c r="A50" s="863"/>
      <c r="B50" s="862" t="s">
        <v>4214</v>
      </c>
      <c r="C50" s="915">
        <v>1</v>
      </c>
      <c r="D50" s="915">
        <v>2</v>
      </c>
      <c r="E50" s="866">
        <v>2.46</v>
      </c>
      <c r="F50" s="866">
        <v>1.46</v>
      </c>
      <c r="G50" s="866"/>
      <c r="H50" s="866">
        <f>PRODUCT(C50:G50)</f>
        <v>7.18</v>
      </c>
    </row>
    <row r="51" spans="1:8">
      <c r="A51" s="863"/>
      <c r="B51" s="862"/>
      <c r="C51" s="831"/>
      <c r="D51" s="831"/>
      <c r="E51" s="831"/>
      <c r="F51" s="831"/>
      <c r="G51" s="866" t="s">
        <v>2332</v>
      </c>
      <c r="H51" s="866">
        <f>SUM(H50)</f>
        <v>7.18</v>
      </c>
    </row>
    <row r="52" spans="1:8">
      <c r="A52" s="863"/>
      <c r="B52" s="862"/>
      <c r="C52" s="831"/>
      <c r="D52" s="831"/>
      <c r="E52" s="831"/>
      <c r="F52" s="831"/>
      <c r="G52" s="866"/>
      <c r="H52" s="866">
        <v>0.01</v>
      </c>
    </row>
    <row r="53" spans="1:8">
      <c r="A53" s="863"/>
      <c r="B53" s="862"/>
      <c r="C53" s="831"/>
      <c r="D53" s="831"/>
      <c r="E53" s="831"/>
      <c r="F53" s="831"/>
      <c r="G53" s="866" t="s">
        <v>3754</v>
      </c>
      <c r="H53" s="851">
        <f>SUM(H51:H52)</f>
        <v>7.19</v>
      </c>
    </row>
    <row r="54" spans="1:8">
      <c r="A54" s="863"/>
      <c r="B54" s="862"/>
      <c r="C54" s="831"/>
      <c r="D54" s="831"/>
      <c r="E54" s="831"/>
      <c r="F54" s="831"/>
      <c r="G54" s="831"/>
      <c r="H54" s="831"/>
    </row>
    <row r="55" spans="1:8" ht="30">
      <c r="A55" s="863">
        <v>9</v>
      </c>
      <c r="B55" s="862" t="s">
        <v>4708</v>
      </c>
      <c r="C55" s="831"/>
      <c r="D55" s="831"/>
      <c r="E55" s="831"/>
      <c r="F55" s="831"/>
      <c r="G55" s="831"/>
      <c r="H55" s="831"/>
    </row>
    <row r="56" spans="1:8">
      <c r="A56" s="863"/>
      <c r="B56" s="862" t="s">
        <v>4709</v>
      </c>
      <c r="C56" s="915">
        <v>1</v>
      </c>
      <c r="D56" s="915">
        <v>2</v>
      </c>
      <c r="E56" s="866">
        <v>20</v>
      </c>
      <c r="F56" s="866"/>
      <c r="G56" s="866"/>
      <c r="H56" s="851">
        <f>PRODUCT(C56:G56)</f>
        <v>40</v>
      </c>
    </row>
    <row r="57" spans="1:8">
      <c r="A57" s="863"/>
      <c r="B57" s="862"/>
      <c r="C57" s="915"/>
      <c r="D57" s="915"/>
      <c r="E57" s="866"/>
      <c r="F57" s="866"/>
      <c r="G57" s="866"/>
      <c r="H57" s="866"/>
    </row>
    <row r="58" spans="1:8" ht="42.75" customHeight="1">
      <c r="A58" s="863">
        <v>10</v>
      </c>
      <c r="B58" s="862" t="s">
        <v>4169</v>
      </c>
      <c r="C58" s="831"/>
      <c r="D58" s="831"/>
      <c r="E58" s="831"/>
      <c r="F58" s="831"/>
      <c r="G58" s="831"/>
      <c r="H58" s="831"/>
    </row>
    <row r="59" spans="1:8">
      <c r="A59" s="863"/>
      <c r="B59" s="862" t="s">
        <v>4214</v>
      </c>
      <c r="C59" s="915">
        <v>1</v>
      </c>
      <c r="D59" s="915">
        <v>1</v>
      </c>
      <c r="E59" s="866">
        <f>H53</f>
        <v>7.19</v>
      </c>
      <c r="F59" s="915"/>
      <c r="G59" s="876">
        <v>7.4999999999999997E-2</v>
      </c>
      <c r="H59" s="866">
        <f>PRODUCT(C59:G59)</f>
        <v>0.54</v>
      </c>
    </row>
    <row r="60" spans="1:8">
      <c r="A60" s="863"/>
      <c r="B60" s="862"/>
      <c r="C60" s="831"/>
      <c r="D60" s="915" t="s">
        <v>4461</v>
      </c>
      <c r="E60" s="831"/>
      <c r="F60" s="831"/>
      <c r="G60" s="831"/>
      <c r="H60" s="866">
        <f>H59*110</f>
        <v>59.4</v>
      </c>
    </row>
    <row r="61" spans="1:8">
      <c r="A61" s="863"/>
      <c r="B61" s="862"/>
      <c r="C61" s="831"/>
      <c r="D61" s="831"/>
      <c r="E61" s="819"/>
      <c r="F61" s="819"/>
      <c r="G61" s="866" t="s">
        <v>2332</v>
      </c>
      <c r="H61" s="916">
        <f>H60/1000+0.001</f>
        <v>0.06</v>
      </c>
    </row>
  </sheetData>
  <mergeCells count="3">
    <mergeCell ref="A1:H1"/>
    <mergeCell ref="A2:H2"/>
    <mergeCell ref="C3:D3"/>
  </mergeCells>
  <printOptions horizontalCentered="1"/>
  <pageMargins left="0.75" right="0.25" top="0.75" bottom="0.5" header="0.3" footer="0.3"/>
  <pageSetup paperSize="9" scale="95" orientation="portrait" horizontalDpi="300" verticalDpi="300" r:id="rId1"/>
  <colBreaks count="1" manualBreakCount="1">
    <brk id="8" max="802" man="1"/>
  </colBreaks>
  <drawing r:id="rId2"/>
</worksheet>
</file>

<file path=xl/worksheets/sheet40.xml><?xml version="1.0" encoding="utf-8"?>
<worksheet xmlns="http://schemas.openxmlformats.org/spreadsheetml/2006/main" xmlns:r="http://schemas.openxmlformats.org/officeDocument/2006/relationships">
  <sheetPr>
    <tabColor rgb="FFFFFF00"/>
  </sheetPr>
  <dimension ref="A1:H11"/>
  <sheetViews>
    <sheetView view="pageBreakPreview" zoomScale="85" zoomScaleNormal="75" zoomScaleSheetLayoutView="85" workbookViewId="0">
      <selection activeCell="A2" sqref="A2:F2"/>
    </sheetView>
  </sheetViews>
  <sheetFormatPr defaultRowHeight="15.75"/>
  <cols>
    <col min="1" max="1" width="6.21875" bestFit="1" customWidth="1"/>
    <col min="2" max="2" width="10.109375" customWidth="1"/>
    <col min="3" max="3" width="38.44140625" customWidth="1"/>
    <col min="4" max="4" width="9.77734375" customWidth="1"/>
    <col min="5" max="5" width="6.44140625" customWidth="1"/>
    <col min="6" max="6" width="12.6640625" customWidth="1"/>
  </cols>
  <sheetData>
    <row r="1" spans="1:8" ht="72.75" customHeight="1">
      <c r="A1" s="1291" t="str">
        <f>'G. Abstract'!A3:F3</f>
        <v>N/W: RENOVATION AND UPGRADING THE EXISTING WORKING WOMEN’S HOSTEL AT SOORAMANGALAM IN SALEM CITY UNDER SOCIAL WELFARE DEPARTMENT</v>
      </c>
      <c r="B1" s="1291"/>
      <c r="C1" s="1291"/>
      <c r="D1" s="1291"/>
      <c r="E1" s="1291"/>
      <c r="F1" s="1291"/>
    </row>
    <row r="2" spans="1:8" ht="27" customHeight="1">
      <c r="A2" s="1292" t="s">
        <v>4542</v>
      </c>
      <c r="B2" s="1292"/>
      <c r="C2" s="1292"/>
      <c r="D2" s="1292"/>
      <c r="E2" s="1292"/>
      <c r="F2" s="1292"/>
    </row>
    <row r="3" spans="1:8" ht="27" customHeight="1">
      <c r="A3" s="1128" t="s">
        <v>4523</v>
      </c>
      <c r="B3" s="1139" t="s">
        <v>1070</v>
      </c>
      <c r="C3" s="1128" t="s">
        <v>3748</v>
      </c>
      <c r="D3" s="1139" t="s">
        <v>4524</v>
      </c>
      <c r="E3" s="1139" t="s">
        <v>4525</v>
      </c>
      <c r="F3" s="1139" t="s">
        <v>994</v>
      </c>
    </row>
    <row r="4" spans="1:8" ht="66" customHeight="1">
      <c r="A4" s="1133">
        <v>1</v>
      </c>
      <c r="B4" s="1139"/>
      <c r="C4" s="1130" t="s">
        <v>4511</v>
      </c>
      <c r="D4" s="1139"/>
      <c r="E4" s="1139"/>
      <c r="F4" s="1139"/>
    </row>
    <row r="5" spans="1:8" ht="33" customHeight="1">
      <c r="A5" s="1133"/>
      <c r="B5" s="1140">
        <f>' 2 wheeler det'!H10</f>
        <v>0.4</v>
      </c>
      <c r="C5" s="1130" t="s">
        <v>4512</v>
      </c>
      <c r="D5" s="1140">
        <f>DATA2!F156</f>
        <v>214.62</v>
      </c>
      <c r="E5" s="1129" t="s">
        <v>3902</v>
      </c>
      <c r="F5" s="1131">
        <f>B5*D5</f>
        <v>85.85</v>
      </c>
    </row>
    <row r="6" spans="1:8" ht="93.75">
      <c r="A6" s="1133">
        <v>2</v>
      </c>
      <c r="B6" s="1140">
        <f>' 2 wheeler det'!H17</f>
        <v>0.2</v>
      </c>
      <c r="C6" s="1130" t="s">
        <v>4514</v>
      </c>
      <c r="D6" s="1140">
        <f>DATA2!F171</f>
        <v>4398.09</v>
      </c>
      <c r="E6" s="1129" t="s">
        <v>3902</v>
      </c>
      <c r="F6" s="1131">
        <f t="shared" ref="F6:F10" si="0">B6*D6</f>
        <v>879.62</v>
      </c>
    </row>
    <row r="7" spans="1:8" ht="52.5" customHeight="1">
      <c r="A7" s="1133">
        <v>3</v>
      </c>
      <c r="B7" s="1140">
        <f>' 2 wheeler det'!H23</f>
        <v>0.7</v>
      </c>
      <c r="C7" s="1130" t="s">
        <v>4515</v>
      </c>
      <c r="D7" s="1140">
        <f>DATA2!F264</f>
        <v>5919.41</v>
      </c>
      <c r="E7" s="1129" t="s">
        <v>3902</v>
      </c>
      <c r="F7" s="1131">
        <f t="shared" si="0"/>
        <v>4143.59</v>
      </c>
    </row>
    <row r="8" spans="1:8" ht="112.5">
      <c r="A8" s="1133">
        <v>11</v>
      </c>
      <c r="B8" s="1140">
        <f>' 2 wheeler det'!H36</f>
        <v>38</v>
      </c>
      <c r="C8" s="1130" t="s">
        <v>3905</v>
      </c>
      <c r="D8" s="1140">
        <f>DATA2!F296</f>
        <v>129.65</v>
      </c>
      <c r="E8" s="1129" t="s">
        <v>4121</v>
      </c>
      <c r="F8" s="1131">
        <f t="shared" si="0"/>
        <v>4926.7</v>
      </c>
      <c r="H8" s="1"/>
    </row>
    <row r="9" spans="1:8" ht="93.75">
      <c r="A9" s="1133">
        <v>12</v>
      </c>
      <c r="B9" s="1140">
        <f>' 2 wheeler det'!H42</f>
        <v>34</v>
      </c>
      <c r="C9" s="1130" t="s">
        <v>4723</v>
      </c>
      <c r="D9" s="1140">
        <v>2400</v>
      </c>
      <c r="E9" s="1129" t="s">
        <v>4121</v>
      </c>
      <c r="F9" s="1131">
        <f t="shared" si="0"/>
        <v>81600</v>
      </c>
      <c r="H9" s="1"/>
    </row>
    <row r="10" spans="1:8" ht="18.75">
      <c r="A10" s="1133"/>
      <c r="B10" s="1140"/>
      <c r="C10" s="1137"/>
      <c r="D10" s="1140"/>
      <c r="E10" s="1129"/>
      <c r="F10" s="1131">
        <f t="shared" si="0"/>
        <v>0</v>
      </c>
      <c r="H10" s="1"/>
    </row>
    <row r="11" spans="1:8" ht="32.25" customHeight="1">
      <c r="A11" s="1133"/>
      <c r="B11" s="1140"/>
      <c r="C11" s="1141" t="s">
        <v>4391</v>
      </c>
      <c r="D11" s="1143"/>
      <c r="E11" s="1139"/>
      <c r="F11" s="1144">
        <f>SUM(F4:F10)</f>
        <v>91635.76</v>
      </c>
      <c r="H11" s="1"/>
    </row>
  </sheetData>
  <mergeCells count="2">
    <mergeCell ref="A1:F1"/>
    <mergeCell ref="A2:F2"/>
  </mergeCells>
  <printOptions horizontalCentered="1"/>
  <pageMargins left="0.75" right="0.25" top="0.75" bottom="0.5" header="0.3" footer="0.3"/>
  <pageSetup paperSize="9" scale="90" orientation="portrait" r:id="rId1"/>
</worksheet>
</file>

<file path=xl/worksheets/sheet41.xml><?xml version="1.0" encoding="utf-8"?>
<worksheet xmlns="http://schemas.openxmlformats.org/spreadsheetml/2006/main" xmlns:r="http://schemas.openxmlformats.org/officeDocument/2006/relationships">
  <sheetPr>
    <tabColor rgb="FFFFFF00"/>
  </sheetPr>
  <dimension ref="A1:H44"/>
  <sheetViews>
    <sheetView view="pageBreakPreview" zoomScale="85" zoomScaleSheetLayoutView="85" workbookViewId="0">
      <selection activeCell="E38" sqref="E38"/>
    </sheetView>
  </sheetViews>
  <sheetFormatPr defaultRowHeight="15.75"/>
  <cols>
    <col min="1" max="1" width="4.44140625" bestFit="1" customWidth="1"/>
    <col min="2" max="2" width="31" customWidth="1"/>
    <col min="3" max="3" width="4" bestFit="1" customWidth="1"/>
    <col min="4" max="4" width="7.6640625" customWidth="1"/>
    <col min="5" max="5" width="7" customWidth="1"/>
    <col min="6" max="6" width="6" customWidth="1"/>
    <col min="7" max="7" width="6.88671875" customWidth="1"/>
    <col min="8" max="8" width="8.44140625" customWidth="1"/>
  </cols>
  <sheetData>
    <row r="1" spans="1:8" ht="69.75" customHeight="1">
      <c r="A1" s="1293" t="str">
        <f>' 2 wheeler Abs'!A1:F1</f>
        <v>N/W: RENOVATION AND UPGRADING THE EXISTING WORKING WOMEN’S HOSTEL AT SOORAMANGALAM IN SALEM CITY UNDER SOCIAL WELFARE DEPARTMENT</v>
      </c>
      <c r="B1" s="1293"/>
      <c r="C1" s="1293"/>
      <c r="D1" s="1293"/>
      <c r="E1" s="1293"/>
      <c r="F1" s="1293"/>
      <c r="G1" s="1293"/>
      <c r="H1" s="1293"/>
    </row>
    <row r="2" spans="1:8" ht="31.5" customHeight="1">
      <c r="A2" s="1294" t="s">
        <v>4543</v>
      </c>
      <c r="B2" s="1295"/>
      <c r="C2" s="1295"/>
      <c r="D2" s="1295"/>
      <c r="E2" s="1295"/>
      <c r="F2" s="1295"/>
      <c r="G2" s="1295"/>
      <c r="H2" s="1295"/>
    </row>
    <row r="3" spans="1:8" ht="46.5" customHeight="1">
      <c r="A3" s="1128" t="s">
        <v>4510</v>
      </c>
      <c r="B3" s="1128" t="s">
        <v>3748</v>
      </c>
      <c r="C3" s="1292" t="s">
        <v>1492</v>
      </c>
      <c r="D3" s="1292"/>
      <c r="E3" s="1128" t="s">
        <v>3811</v>
      </c>
      <c r="F3" s="1128" t="s">
        <v>1635</v>
      </c>
      <c r="G3" s="1128" t="s">
        <v>3812</v>
      </c>
      <c r="H3" s="1128" t="s">
        <v>1070</v>
      </c>
    </row>
    <row r="4" spans="1:8" ht="75">
      <c r="A4" s="1129">
        <v>1</v>
      </c>
      <c r="B4" s="1130" t="s">
        <v>4511</v>
      </c>
      <c r="C4" s="1130"/>
      <c r="D4" s="1130"/>
      <c r="E4" s="1130"/>
      <c r="F4" s="1130"/>
      <c r="G4" s="1129"/>
      <c r="H4" s="1131"/>
    </row>
    <row r="5" spans="1:8" ht="18.75">
      <c r="A5" s="1129"/>
      <c r="B5" s="1130" t="s">
        <v>4512</v>
      </c>
      <c r="C5" s="1130"/>
      <c r="D5" s="1130"/>
      <c r="E5" s="1130"/>
      <c r="F5" s="1130"/>
      <c r="G5" s="1132"/>
      <c r="H5" s="1132"/>
    </row>
    <row r="6" spans="1:8" ht="37.5">
      <c r="A6" s="1129"/>
      <c r="B6" s="1130" t="s">
        <v>4513</v>
      </c>
      <c r="C6" s="1133">
        <v>1</v>
      </c>
      <c r="D6" s="1133">
        <v>4</v>
      </c>
      <c r="E6" s="1132">
        <v>0.45</v>
      </c>
      <c r="F6" s="1132">
        <v>0.45</v>
      </c>
      <c r="G6" s="1132">
        <v>0.45</v>
      </c>
      <c r="H6" s="1132">
        <f>ROUND(PRODUCT(C6:G6),2)</f>
        <v>0.36</v>
      </c>
    </row>
    <row r="7" spans="1:8" ht="18.75">
      <c r="A7" s="1129"/>
      <c r="B7" s="1134"/>
      <c r="C7" s="1133"/>
      <c r="D7" s="1133"/>
      <c r="E7" s="1132"/>
      <c r="F7" s="1132"/>
      <c r="G7" s="1132"/>
      <c r="H7" s="1132">
        <f>ROUND(PRODUCT(C7:G7),2)</f>
        <v>0</v>
      </c>
    </row>
    <row r="8" spans="1:8" ht="18.75">
      <c r="A8" s="1129"/>
      <c r="B8" s="1130"/>
      <c r="C8" s="1130"/>
      <c r="D8" s="1130"/>
      <c r="E8" s="1132"/>
      <c r="F8" s="1132"/>
      <c r="G8" s="1132" t="s">
        <v>2332</v>
      </c>
      <c r="H8" s="1132">
        <f>SUM(H6:H7)</f>
        <v>0.36</v>
      </c>
    </row>
    <row r="9" spans="1:8" ht="18.75">
      <c r="A9" s="1129"/>
      <c r="B9" s="1130"/>
      <c r="C9" s="1130"/>
      <c r="D9" s="1130"/>
      <c r="E9" s="1132"/>
      <c r="F9" s="1132"/>
      <c r="G9" s="1132"/>
      <c r="H9" s="1132">
        <v>0.04</v>
      </c>
    </row>
    <row r="10" spans="1:8" ht="18.75">
      <c r="A10" s="1129"/>
      <c r="B10" s="1130"/>
      <c r="C10" s="1130"/>
      <c r="D10" s="1130"/>
      <c r="E10" s="1132"/>
      <c r="F10" s="1132"/>
      <c r="G10" s="1135" t="s">
        <v>3678</v>
      </c>
      <c r="H10" s="1135">
        <f>SUM(H8:H9)</f>
        <v>0.4</v>
      </c>
    </row>
    <row r="11" spans="1:8" ht="18.75">
      <c r="A11" s="1129"/>
      <c r="B11" s="1130"/>
      <c r="C11" s="1130"/>
      <c r="D11" s="1130"/>
      <c r="E11" s="1132"/>
      <c r="F11" s="1132"/>
      <c r="G11" s="1132"/>
      <c r="H11" s="1132"/>
    </row>
    <row r="12" spans="1:8" ht="112.5">
      <c r="A12" s="1129">
        <v>2</v>
      </c>
      <c r="B12" s="1130" t="s">
        <v>4514</v>
      </c>
      <c r="C12" s="1130"/>
      <c r="D12" s="1130"/>
      <c r="E12" s="1130"/>
      <c r="F12" s="1130"/>
      <c r="G12" s="1132"/>
      <c r="H12" s="1132"/>
    </row>
    <row r="13" spans="1:8" ht="37.5">
      <c r="A13" s="1129"/>
      <c r="B13" s="1130" t="s">
        <v>4513</v>
      </c>
      <c r="C13" s="1133">
        <v>1</v>
      </c>
      <c r="D13" s="1133">
        <v>4</v>
      </c>
      <c r="E13" s="1132">
        <v>0.45</v>
      </c>
      <c r="F13" s="1132">
        <v>0.45</v>
      </c>
      <c r="G13" s="1132">
        <v>0.15</v>
      </c>
      <c r="H13" s="1132">
        <f>ROUND(PRODUCT(C13:G13),2)</f>
        <v>0.12</v>
      </c>
    </row>
    <row r="14" spans="1:8" ht="18.75">
      <c r="A14" s="1129"/>
      <c r="B14" s="1134"/>
      <c r="C14" s="1133"/>
      <c r="D14" s="1133"/>
      <c r="E14" s="1132"/>
      <c r="F14" s="1132"/>
      <c r="G14" s="1132"/>
      <c r="H14" s="1132">
        <f>ROUND(PRODUCT(C14:G14),2)</f>
        <v>0</v>
      </c>
    </row>
    <row r="15" spans="1:8" ht="18.75">
      <c r="A15" s="1129"/>
      <c r="B15" s="1130"/>
      <c r="C15" s="1130"/>
      <c r="D15" s="1130"/>
      <c r="E15" s="1132"/>
      <c r="F15" s="1132"/>
      <c r="G15" s="1132" t="s">
        <v>2332</v>
      </c>
      <c r="H15" s="1132">
        <f>SUM(H13:H14)</f>
        <v>0.12</v>
      </c>
    </row>
    <row r="16" spans="1:8" ht="18.75">
      <c r="A16" s="1129"/>
      <c r="B16" s="1130"/>
      <c r="C16" s="1130"/>
      <c r="D16" s="1130"/>
      <c r="E16" s="1132"/>
      <c r="F16" s="1132"/>
      <c r="G16" s="1132"/>
      <c r="H16" s="1132">
        <v>0.08</v>
      </c>
    </row>
    <row r="17" spans="1:8" ht="18.75">
      <c r="A17" s="1129"/>
      <c r="B17" s="1130"/>
      <c r="C17" s="1130"/>
      <c r="D17" s="1130"/>
      <c r="E17" s="1132"/>
      <c r="F17" s="1132"/>
      <c r="G17" s="1135" t="s">
        <v>3678</v>
      </c>
      <c r="H17" s="1135">
        <f>SUM(H15:H16)</f>
        <v>0.2</v>
      </c>
    </row>
    <row r="18" spans="1:8" ht="18.75">
      <c r="A18" s="1129"/>
      <c r="B18" s="1130"/>
      <c r="C18" s="1130"/>
      <c r="D18" s="1130"/>
      <c r="E18" s="1132"/>
      <c r="F18" s="1132"/>
      <c r="G18" s="1132"/>
      <c r="H18" s="1132"/>
    </row>
    <row r="19" spans="1:8" ht="37.5">
      <c r="A19" s="1129">
        <v>3</v>
      </c>
      <c r="B19" s="1130" t="s">
        <v>4515</v>
      </c>
      <c r="C19" s="1130"/>
      <c r="D19" s="1130"/>
      <c r="E19" s="1132"/>
      <c r="F19" s="1132"/>
      <c r="G19" s="1132"/>
      <c r="H19" s="1132"/>
    </row>
    <row r="20" spans="1:8" ht="37.5">
      <c r="A20" s="1129"/>
      <c r="B20" s="1130" t="s">
        <v>4539</v>
      </c>
      <c r="C20" s="1133">
        <v>1</v>
      </c>
      <c r="D20" s="1133">
        <v>4</v>
      </c>
      <c r="E20" s="1132">
        <v>0.45</v>
      </c>
      <c r="F20" s="1132">
        <v>0.45</v>
      </c>
      <c r="G20" s="1132">
        <v>0.75</v>
      </c>
      <c r="H20" s="1132">
        <f>ROUND(PRODUCT(C20:G20),2)</f>
        <v>0.61</v>
      </c>
    </row>
    <row r="21" spans="1:8" ht="26.25" customHeight="1">
      <c r="A21" s="1129"/>
      <c r="B21" s="1130"/>
      <c r="C21" s="1130"/>
      <c r="D21" s="1130"/>
      <c r="E21" s="1132"/>
      <c r="F21" s="1132"/>
      <c r="G21" s="1132" t="s">
        <v>2332</v>
      </c>
      <c r="H21" s="1132">
        <f>SUM(H20:H20)</f>
        <v>0.61</v>
      </c>
    </row>
    <row r="22" spans="1:8" ht="18.75">
      <c r="A22" s="1129"/>
      <c r="B22" s="1130"/>
      <c r="C22" s="1130"/>
      <c r="D22" s="1130"/>
      <c r="E22" s="1132"/>
      <c r="F22" s="1132"/>
      <c r="G22" s="1132"/>
      <c r="H22" s="1132">
        <v>0.09</v>
      </c>
    </row>
    <row r="23" spans="1:8" ht="18.75">
      <c r="A23" s="1129"/>
      <c r="B23" s="1130"/>
      <c r="C23" s="1130"/>
      <c r="D23" s="1130"/>
      <c r="E23" s="1132"/>
      <c r="F23" s="1132"/>
      <c r="G23" s="1135" t="s">
        <v>3678</v>
      </c>
      <c r="H23" s="1135">
        <f>SUM(H21:H22)</f>
        <v>0.7</v>
      </c>
    </row>
    <row r="24" spans="1:8" ht="18.75">
      <c r="A24" s="1129"/>
      <c r="B24" s="1130"/>
      <c r="C24" s="1130"/>
      <c r="D24" s="1130"/>
      <c r="E24" s="1132"/>
      <c r="F24" s="1132"/>
      <c r="G24" s="1135"/>
      <c r="H24" s="1135"/>
    </row>
    <row r="25" spans="1:8" ht="150">
      <c r="A25" s="1129">
        <v>11</v>
      </c>
      <c r="B25" s="1130" t="s">
        <v>3905</v>
      </c>
      <c r="C25" s="1133"/>
      <c r="D25" s="1133"/>
      <c r="E25" s="1132"/>
      <c r="F25" s="1132"/>
      <c r="G25" s="1132"/>
      <c r="H25" s="1132"/>
    </row>
    <row r="26" spans="1:8" ht="18.75">
      <c r="A26" s="1129"/>
      <c r="B26" s="1130" t="s">
        <v>4516</v>
      </c>
      <c r="C26" s="1133"/>
      <c r="D26" s="1133"/>
      <c r="E26" s="1132"/>
      <c r="F26" s="1132"/>
      <c r="G26" s="1132"/>
      <c r="H26" s="1132"/>
    </row>
    <row r="27" spans="1:8" ht="18.75">
      <c r="A27" s="1129"/>
      <c r="B27" s="1130" t="s">
        <v>4517</v>
      </c>
      <c r="C27" s="1133">
        <v>1</v>
      </c>
      <c r="D27" s="1133" t="s">
        <v>4540</v>
      </c>
      <c r="E27" s="1132">
        <v>4</v>
      </c>
      <c r="F27" s="1132">
        <v>0.1</v>
      </c>
      <c r="G27" s="1132"/>
      <c r="H27" s="1132">
        <f>((1)*(6)*(3.14)*(4)*(0.1))</f>
        <v>7.54</v>
      </c>
    </row>
    <row r="28" spans="1:8" ht="18.75">
      <c r="A28" s="1129"/>
      <c r="B28" s="1130" t="s">
        <v>4518</v>
      </c>
      <c r="C28" s="1133"/>
      <c r="D28" s="1133"/>
      <c r="E28" s="1132"/>
      <c r="F28" s="1132"/>
      <c r="G28" s="1132"/>
      <c r="H28" s="1132"/>
    </row>
    <row r="29" spans="1:8" ht="18.75">
      <c r="A29" s="1129"/>
      <c r="B29" s="1130" t="s">
        <v>4517</v>
      </c>
      <c r="C29" s="1133">
        <v>1</v>
      </c>
      <c r="D29" s="1133" t="s">
        <v>4540</v>
      </c>
      <c r="E29" s="1132">
        <v>4</v>
      </c>
      <c r="F29" s="1136">
        <v>7.4999999999999997E-2</v>
      </c>
      <c r="G29" s="1132"/>
      <c r="H29" s="1132">
        <f>((1)*(6)*(3.14)*(4)*(0.075))</f>
        <v>5.65</v>
      </c>
    </row>
    <row r="30" spans="1:8" ht="18.75">
      <c r="A30" s="1129"/>
      <c r="B30" s="1130" t="s">
        <v>4519</v>
      </c>
      <c r="C30" s="1133"/>
      <c r="D30" s="1133"/>
      <c r="E30" s="1132"/>
      <c r="F30" s="1132"/>
      <c r="G30" s="1132"/>
      <c r="H30" s="1132"/>
    </row>
    <row r="31" spans="1:8" ht="18.75">
      <c r="A31" s="1129"/>
      <c r="B31" s="1130" t="s">
        <v>4517</v>
      </c>
      <c r="C31" s="1133" t="s">
        <v>4520</v>
      </c>
      <c r="D31" s="1133" t="s">
        <v>4540</v>
      </c>
      <c r="E31" s="1132">
        <v>0.75</v>
      </c>
      <c r="F31" s="1132">
        <v>0.04</v>
      </c>
      <c r="G31" s="1132"/>
      <c r="H31" s="1132">
        <f>((1)*(1)*(6)*(3.14)*(0.75)*(0.04))</f>
        <v>0.56999999999999995</v>
      </c>
    </row>
    <row r="32" spans="1:8" ht="18.75">
      <c r="A32" s="1129"/>
      <c r="B32" s="1130" t="s">
        <v>4521</v>
      </c>
      <c r="C32" s="1133"/>
      <c r="D32" s="1133"/>
      <c r="E32" s="1132"/>
      <c r="F32" s="1132"/>
      <c r="G32" s="1132"/>
      <c r="H32" s="1132"/>
    </row>
    <row r="33" spans="1:8" ht="18.75">
      <c r="A33" s="1129"/>
      <c r="B33" s="1130" t="s">
        <v>4517</v>
      </c>
      <c r="C33" s="1133">
        <v>1</v>
      </c>
      <c r="D33" s="1133">
        <v>4</v>
      </c>
      <c r="E33" s="1132">
        <v>30</v>
      </c>
      <c r="F33" s="1132">
        <v>0.2</v>
      </c>
      <c r="G33" s="1132"/>
      <c r="H33" s="1132">
        <f>ROUND(PRODUCT(C33:G33),2)</f>
        <v>24</v>
      </c>
    </row>
    <row r="34" spans="1:8" ht="18.75">
      <c r="A34" s="1129"/>
      <c r="B34" s="1130"/>
      <c r="C34" s="1133"/>
      <c r="D34" s="1133"/>
      <c r="E34" s="1132"/>
      <c r="F34" s="1132"/>
      <c r="G34" s="1132" t="s">
        <v>2332</v>
      </c>
      <c r="H34" s="1132">
        <f>SUM(H27:H33)</f>
        <v>37.76</v>
      </c>
    </row>
    <row r="35" spans="1:8" ht="18.75">
      <c r="A35" s="1129"/>
      <c r="B35" s="1130"/>
      <c r="C35" s="1133"/>
      <c r="D35" s="1133"/>
      <c r="E35" s="1132"/>
      <c r="F35" s="1132"/>
      <c r="G35" s="1132"/>
      <c r="H35" s="1132">
        <v>0.24</v>
      </c>
    </row>
    <row r="36" spans="1:8" ht="18.75">
      <c r="A36" s="1129"/>
      <c r="B36" s="1130"/>
      <c r="C36" s="1133"/>
      <c r="D36" s="1133"/>
      <c r="E36" s="1132"/>
      <c r="F36" s="1132"/>
      <c r="G36" s="1135" t="s">
        <v>3678</v>
      </c>
      <c r="H36" s="1135">
        <f>SUM(H34:H35)</f>
        <v>38</v>
      </c>
    </row>
    <row r="37" spans="1:8" ht="18.75">
      <c r="A37" s="1129"/>
      <c r="B37" s="1130"/>
      <c r="C37" s="1133"/>
      <c r="D37" s="1133"/>
      <c r="E37" s="1132"/>
      <c r="F37" s="1132"/>
      <c r="G37" s="1132"/>
      <c r="H37" s="1132"/>
    </row>
    <row r="38" spans="1:8" ht="131.25">
      <c r="A38" s="1129">
        <v>12</v>
      </c>
      <c r="B38" s="1130" t="s">
        <v>4724</v>
      </c>
      <c r="C38" s="1133"/>
      <c r="D38" s="1133"/>
      <c r="E38" s="1132"/>
      <c r="F38" s="1132"/>
      <c r="G38" s="1132"/>
      <c r="H38" s="1132"/>
    </row>
    <row r="39" spans="1:8" ht="37.5">
      <c r="A39" s="1129"/>
      <c r="B39" s="1130" t="s">
        <v>4522</v>
      </c>
      <c r="C39" s="1133">
        <v>1</v>
      </c>
      <c r="D39" s="1133">
        <v>1</v>
      </c>
      <c r="E39" s="1132">
        <v>10.3</v>
      </c>
      <c r="F39" s="1132">
        <v>3.3</v>
      </c>
      <c r="G39" s="1132"/>
      <c r="H39" s="1132">
        <f>ROUND(PRODUCT(C39:G39),2)</f>
        <v>33.99</v>
      </c>
    </row>
    <row r="40" spans="1:8" ht="18.75">
      <c r="A40" s="1129"/>
      <c r="B40" s="1130"/>
      <c r="C40" s="1133"/>
      <c r="D40" s="1133"/>
      <c r="E40" s="1132"/>
      <c r="F40" s="1132"/>
      <c r="G40" s="1132" t="s">
        <v>2332</v>
      </c>
      <c r="H40" s="1132">
        <f>SUM(H39:H39)</f>
        <v>33.99</v>
      </c>
    </row>
    <row r="41" spans="1:8" ht="18.75">
      <c r="A41" s="1129"/>
      <c r="B41" s="1130"/>
      <c r="C41" s="1133"/>
      <c r="D41" s="1133"/>
      <c r="E41" s="1132"/>
      <c r="F41" s="1132"/>
      <c r="G41" s="1132"/>
      <c r="H41" s="1132">
        <v>0.01</v>
      </c>
    </row>
    <row r="42" spans="1:8" ht="18.75">
      <c r="A42" s="1129"/>
      <c r="B42" s="1130"/>
      <c r="C42" s="1133"/>
      <c r="D42" s="1133"/>
      <c r="E42" s="1132"/>
      <c r="F42" s="1132"/>
      <c r="G42" s="1135" t="s">
        <v>3678</v>
      </c>
      <c r="H42" s="1135">
        <f>SUM(H40:H41)</f>
        <v>34</v>
      </c>
    </row>
    <row r="43" spans="1:8" ht="18.75">
      <c r="A43" s="1129"/>
      <c r="B43" s="1130"/>
      <c r="C43" s="1133"/>
      <c r="D43" s="1133"/>
      <c r="E43" s="1132"/>
      <c r="F43" s="1132"/>
      <c r="G43" s="1135"/>
      <c r="H43" s="1135"/>
    </row>
    <row r="44" spans="1:8" ht="18.75">
      <c r="A44" s="1129"/>
      <c r="B44" s="1137"/>
      <c r="C44" s="1133"/>
      <c r="D44" s="1133"/>
      <c r="E44" s="1138"/>
      <c r="F44" s="1132"/>
      <c r="G44" s="1132"/>
      <c r="H44" s="1132"/>
    </row>
  </sheetData>
  <mergeCells count="3">
    <mergeCell ref="A1:H1"/>
    <mergeCell ref="A2:H2"/>
    <mergeCell ref="C3:D3"/>
  </mergeCells>
  <printOptions horizontalCentered="1"/>
  <pageMargins left="0.75" right="0.25" top="0.75" bottom="0.5" header="0.3" footer="0.3"/>
  <pageSetup paperSize="9" scale="95" orientation="portrait" r:id="rId1"/>
</worksheet>
</file>

<file path=xl/worksheets/sheet42.xml><?xml version="1.0" encoding="utf-8"?>
<worksheet xmlns="http://schemas.openxmlformats.org/spreadsheetml/2006/main" xmlns:r="http://schemas.openxmlformats.org/officeDocument/2006/relationships">
  <sheetPr>
    <tabColor rgb="FFFF0000"/>
  </sheetPr>
  <dimension ref="A1:G366"/>
  <sheetViews>
    <sheetView view="pageBreakPreview" topLeftCell="A137" zoomScale="90" zoomScaleNormal="70" zoomScaleSheetLayoutView="90" workbookViewId="0">
      <selection activeCell="A145" sqref="A145:F155"/>
    </sheetView>
  </sheetViews>
  <sheetFormatPr defaultRowHeight="15.75"/>
  <cols>
    <col min="1" max="1" width="9" style="1009" bestFit="1" customWidth="1"/>
    <col min="2" max="2" width="8.88671875" style="1009"/>
    <col min="3" max="3" width="36.88671875" style="1009" bestFit="1" customWidth="1"/>
    <col min="4" max="4" width="9.6640625" style="1009" customWidth="1"/>
    <col min="5" max="5" width="8.88671875" style="1009"/>
    <col min="6" max="6" width="9.109375" style="1009" bestFit="1" customWidth="1"/>
    <col min="7" max="16384" width="8.88671875" style="1009"/>
  </cols>
  <sheetData>
    <row r="1" spans="1:6">
      <c r="A1" s="1009" t="s">
        <v>245</v>
      </c>
    </row>
    <row r="2" spans="1:6">
      <c r="A2" s="1009" t="s">
        <v>1666</v>
      </c>
      <c r="B2" s="1009" t="s">
        <v>995</v>
      </c>
      <c r="E2" s="1009" t="s">
        <v>4328</v>
      </c>
    </row>
    <row r="3" spans="1:6">
      <c r="A3" s="1009" t="s">
        <v>1669</v>
      </c>
      <c r="B3" s="1009" t="s">
        <v>995</v>
      </c>
      <c r="C3" s="1009" t="s">
        <v>1670</v>
      </c>
      <c r="D3" s="1009" t="s">
        <v>1671</v>
      </c>
      <c r="E3" s="1009" t="s">
        <v>1672</v>
      </c>
      <c r="F3" s="1009" t="s">
        <v>1673</v>
      </c>
    </row>
    <row r="5" spans="1:6">
      <c r="B5" s="1009" t="s">
        <v>2338</v>
      </c>
      <c r="C5" s="1009" t="s">
        <v>2339</v>
      </c>
    </row>
    <row r="6" spans="1:6">
      <c r="C6" s="1009" t="s">
        <v>1667</v>
      </c>
    </row>
    <row r="7" spans="1:6">
      <c r="A7" s="1009">
        <v>0.96</v>
      </c>
      <c r="B7" s="1009" t="s">
        <v>876</v>
      </c>
      <c r="C7" s="1010" t="s">
        <v>877</v>
      </c>
      <c r="D7" s="1009">
        <v>5800</v>
      </c>
      <c r="E7" s="1009" t="s">
        <v>876</v>
      </c>
      <c r="F7" s="1009">
        <v>5568</v>
      </c>
    </row>
    <row r="8" spans="1:6">
      <c r="A8" s="1009">
        <v>1</v>
      </c>
      <c r="B8" s="1009" t="s">
        <v>884</v>
      </c>
      <c r="C8" s="1009" t="s">
        <v>885</v>
      </c>
      <c r="D8" s="1009">
        <v>1416.3</v>
      </c>
      <c r="E8" s="1009" t="s">
        <v>884</v>
      </c>
      <c r="F8" s="1009">
        <v>1416.3</v>
      </c>
    </row>
    <row r="9" spans="1:6">
      <c r="A9" s="1009">
        <v>1</v>
      </c>
      <c r="B9" s="1009" t="s">
        <v>884</v>
      </c>
      <c r="C9" s="1009" t="s">
        <v>889</v>
      </c>
      <c r="D9" s="1009">
        <v>91.35</v>
      </c>
      <c r="E9" s="1009" t="s">
        <v>884</v>
      </c>
      <c r="F9" s="1009">
        <v>91.35</v>
      </c>
    </row>
    <row r="10" spans="1:6">
      <c r="B10" s="1009" t="s">
        <v>448</v>
      </c>
      <c r="C10" s="1009" t="s">
        <v>449</v>
      </c>
      <c r="D10" s="1009" t="s">
        <v>995</v>
      </c>
      <c r="E10" s="1009" t="s">
        <v>448</v>
      </c>
      <c r="F10" s="1009">
        <v>0</v>
      </c>
    </row>
    <row r="11" spans="1:6">
      <c r="F11" s="1009" t="s">
        <v>1667</v>
      </c>
    </row>
    <row r="12" spans="1:6">
      <c r="C12" s="1010" t="s">
        <v>1578</v>
      </c>
      <c r="F12" s="1009">
        <v>7075.65</v>
      </c>
    </row>
    <row r="13" spans="1:6">
      <c r="F13" s="1009" t="s">
        <v>1667</v>
      </c>
    </row>
    <row r="14" spans="1:6">
      <c r="B14" s="1009" t="s">
        <v>2338</v>
      </c>
      <c r="C14" s="1009" t="s">
        <v>123</v>
      </c>
    </row>
    <row r="15" spans="1:6">
      <c r="C15" s="1009" t="s">
        <v>1667</v>
      </c>
    </row>
    <row r="16" spans="1:6">
      <c r="A16" s="1009">
        <v>0.72</v>
      </c>
      <c r="B16" s="1009" t="s">
        <v>876</v>
      </c>
      <c r="C16" s="1009" t="s">
        <v>877</v>
      </c>
      <c r="D16" s="1009">
        <v>5800</v>
      </c>
      <c r="E16" s="1009" t="s">
        <v>876</v>
      </c>
      <c r="F16" s="1009">
        <v>4176</v>
      </c>
    </row>
    <row r="17" spans="1:6">
      <c r="A17" s="1009">
        <v>1</v>
      </c>
      <c r="B17" s="1009" t="s">
        <v>884</v>
      </c>
      <c r="C17" s="1010" t="s">
        <v>885</v>
      </c>
      <c r="D17" s="1009">
        <v>1416.3</v>
      </c>
      <c r="E17" s="1009" t="s">
        <v>884</v>
      </c>
      <c r="F17" s="1009">
        <v>1416.3</v>
      </c>
    </row>
    <row r="18" spans="1:6">
      <c r="A18" s="1009">
        <v>1</v>
      </c>
      <c r="B18" s="1009" t="s">
        <v>884</v>
      </c>
      <c r="C18" s="1009" t="s">
        <v>889</v>
      </c>
      <c r="D18" s="1009">
        <v>91.35</v>
      </c>
      <c r="E18" s="1009" t="s">
        <v>884</v>
      </c>
      <c r="F18" s="1009">
        <v>91.35</v>
      </c>
    </row>
    <row r="19" spans="1:6">
      <c r="B19" s="1009" t="s">
        <v>448</v>
      </c>
      <c r="C19" s="1009" t="s">
        <v>449</v>
      </c>
      <c r="D19" s="1009" t="s">
        <v>995</v>
      </c>
      <c r="E19" s="1009" t="s">
        <v>448</v>
      </c>
      <c r="F19" s="1009">
        <v>0</v>
      </c>
    </row>
    <row r="20" spans="1:6">
      <c r="F20" s="1009" t="s">
        <v>1667</v>
      </c>
    </row>
    <row r="21" spans="1:6">
      <c r="C21" s="1009" t="s">
        <v>1578</v>
      </c>
      <c r="F21" s="1009">
        <v>5683.65</v>
      </c>
    </row>
    <row r="22" spans="1:6">
      <c r="C22" s="1010"/>
      <c r="F22" s="1009" t="s">
        <v>1667</v>
      </c>
    </row>
    <row r="23" spans="1:6">
      <c r="B23" s="1009" t="s">
        <v>2338</v>
      </c>
      <c r="C23" s="1009" t="s">
        <v>1414</v>
      </c>
    </row>
    <row r="24" spans="1:6">
      <c r="C24" s="1009" t="s">
        <v>1667</v>
      </c>
    </row>
    <row r="25" spans="1:6">
      <c r="A25" s="1009">
        <v>0.48</v>
      </c>
      <c r="B25" s="1009" t="s">
        <v>876</v>
      </c>
      <c r="C25" s="1009" t="s">
        <v>877</v>
      </c>
      <c r="D25" s="1009">
        <v>5800</v>
      </c>
      <c r="E25" s="1009" t="s">
        <v>876</v>
      </c>
      <c r="F25" s="1009">
        <v>2784</v>
      </c>
    </row>
    <row r="26" spans="1:6">
      <c r="A26" s="1009">
        <v>1</v>
      </c>
      <c r="B26" s="1009" t="s">
        <v>884</v>
      </c>
      <c r="C26" s="1009" t="s">
        <v>885</v>
      </c>
      <c r="D26" s="1009">
        <v>1416.3</v>
      </c>
      <c r="E26" s="1009" t="s">
        <v>884</v>
      </c>
      <c r="F26" s="1009">
        <v>1416.3</v>
      </c>
    </row>
    <row r="27" spans="1:6">
      <c r="A27" s="1009">
        <v>1</v>
      </c>
      <c r="B27" s="1009" t="s">
        <v>884</v>
      </c>
      <c r="C27" s="1010" t="s">
        <v>889</v>
      </c>
      <c r="D27" s="1009">
        <v>91.35</v>
      </c>
      <c r="E27" s="1009" t="s">
        <v>884</v>
      </c>
      <c r="F27" s="1009">
        <v>91.35</v>
      </c>
    </row>
    <row r="28" spans="1:6">
      <c r="B28" s="1009" t="s">
        <v>448</v>
      </c>
      <c r="C28" s="1009" t="s">
        <v>449</v>
      </c>
      <c r="D28" s="1009" t="s">
        <v>995</v>
      </c>
      <c r="E28" s="1009" t="s">
        <v>448</v>
      </c>
      <c r="F28" s="1009">
        <v>0</v>
      </c>
    </row>
    <row r="29" spans="1:6">
      <c r="F29" s="1009" t="s">
        <v>1667</v>
      </c>
    </row>
    <row r="30" spans="1:6">
      <c r="C30" s="1009" t="s">
        <v>1578</v>
      </c>
      <c r="F30" s="1009">
        <v>4291.6499999999996</v>
      </c>
    </row>
    <row r="31" spans="1:6">
      <c r="F31" s="1009" t="s">
        <v>1667</v>
      </c>
    </row>
    <row r="32" spans="1:6">
      <c r="B32" s="1009" t="s">
        <v>2338</v>
      </c>
      <c r="C32" s="1009" t="s">
        <v>1364</v>
      </c>
    </row>
    <row r="33" spans="1:6">
      <c r="A33" s="1009">
        <v>0.36</v>
      </c>
      <c r="B33" s="1009" t="s">
        <v>876</v>
      </c>
      <c r="C33" s="1009" t="s">
        <v>877</v>
      </c>
      <c r="D33" s="1009">
        <v>5800</v>
      </c>
      <c r="E33" s="1009" t="s">
        <v>876</v>
      </c>
      <c r="F33" s="1009">
        <v>2088</v>
      </c>
    </row>
    <row r="34" spans="1:6">
      <c r="A34" s="1009">
        <v>1</v>
      </c>
      <c r="B34" s="1009" t="s">
        <v>884</v>
      </c>
      <c r="C34" s="1009" t="s">
        <v>885</v>
      </c>
      <c r="D34" s="1009">
        <v>1416.3</v>
      </c>
      <c r="E34" s="1009" t="s">
        <v>884</v>
      </c>
      <c r="F34" s="1009">
        <v>1416.3</v>
      </c>
    </row>
    <row r="35" spans="1:6">
      <c r="A35" s="1009">
        <v>1</v>
      </c>
      <c r="B35" s="1009" t="s">
        <v>884</v>
      </c>
      <c r="C35" s="1009" t="s">
        <v>889</v>
      </c>
      <c r="D35" s="1009">
        <v>91.35</v>
      </c>
      <c r="E35" s="1009" t="s">
        <v>884</v>
      </c>
      <c r="F35" s="1009">
        <v>91.35</v>
      </c>
    </row>
    <row r="36" spans="1:6">
      <c r="B36" s="1009" t="s">
        <v>448</v>
      </c>
      <c r="C36" s="1009" t="s">
        <v>449</v>
      </c>
      <c r="D36" s="1009" t="s">
        <v>995</v>
      </c>
      <c r="E36" s="1009" t="s">
        <v>448</v>
      </c>
      <c r="F36" s="1009">
        <v>0</v>
      </c>
    </row>
    <row r="37" spans="1:6">
      <c r="F37" s="1009" t="s">
        <v>1667</v>
      </c>
    </row>
    <row r="38" spans="1:6">
      <c r="C38" s="1009" t="s">
        <v>1578</v>
      </c>
      <c r="F38" s="1009">
        <v>3595.65</v>
      </c>
    </row>
    <row r="40" spans="1:6">
      <c r="F40" s="1009" t="s">
        <v>1667</v>
      </c>
    </row>
    <row r="41" spans="1:6">
      <c r="B41" s="1009" t="s">
        <v>2338</v>
      </c>
      <c r="C41" s="1009" t="s">
        <v>1710</v>
      </c>
    </row>
    <row r="42" spans="1:6">
      <c r="C42" s="1009" t="s">
        <v>1667</v>
      </c>
    </row>
    <row r="43" spans="1:6">
      <c r="A43" s="1009">
        <v>0.28999999999999998</v>
      </c>
      <c r="B43" s="1009" t="s">
        <v>876</v>
      </c>
      <c r="C43" s="1009" t="s">
        <v>877</v>
      </c>
      <c r="D43" s="1009">
        <v>5800</v>
      </c>
      <c r="E43" s="1009" t="s">
        <v>876</v>
      </c>
      <c r="F43" s="1009">
        <v>1670.4</v>
      </c>
    </row>
    <row r="44" spans="1:6">
      <c r="A44" s="1009">
        <v>1</v>
      </c>
      <c r="B44" s="1009" t="s">
        <v>884</v>
      </c>
      <c r="C44" s="1009" t="s">
        <v>885</v>
      </c>
      <c r="D44" s="1009">
        <v>1416.3</v>
      </c>
      <c r="E44" s="1009" t="s">
        <v>884</v>
      </c>
      <c r="F44" s="1009">
        <v>1416.3</v>
      </c>
    </row>
    <row r="45" spans="1:6">
      <c r="A45" s="1009">
        <v>1</v>
      </c>
      <c r="B45" s="1009" t="s">
        <v>884</v>
      </c>
      <c r="C45" s="1009" t="s">
        <v>889</v>
      </c>
      <c r="D45" s="1009">
        <v>91.35</v>
      </c>
      <c r="E45" s="1009" t="s">
        <v>884</v>
      </c>
      <c r="F45" s="1009">
        <v>91.35</v>
      </c>
    </row>
    <row r="47" spans="1:6">
      <c r="C47" s="1010"/>
    </row>
    <row r="48" spans="1:6">
      <c r="B48" s="1009" t="s">
        <v>448</v>
      </c>
      <c r="C48" s="1009" t="s">
        <v>449</v>
      </c>
      <c r="D48" s="1009" t="s">
        <v>995</v>
      </c>
      <c r="E48" s="1009" t="s">
        <v>448</v>
      </c>
      <c r="F48" s="1009">
        <v>0</v>
      </c>
    </row>
    <row r="49" spans="1:6">
      <c r="F49" s="1009" t="s">
        <v>1667</v>
      </c>
    </row>
    <row r="50" spans="1:6">
      <c r="C50" s="1009" t="s">
        <v>1578</v>
      </c>
      <c r="F50" s="1009">
        <v>3178.05</v>
      </c>
    </row>
    <row r="51" spans="1:6">
      <c r="F51" s="1009" t="s">
        <v>1667</v>
      </c>
    </row>
    <row r="52" spans="1:6">
      <c r="B52" s="1009" t="s">
        <v>2338</v>
      </c>
      <c r="C52" s="1010" t="s">
        <v>1716</v>
      </c>
    </row>
    <row r="53" spans="1:6">
      <c r="C53" s="1010" t="s">
        <v>1667</v>
      </c>
    </row>
    <row r="54" spans="1:6">
      <c r="A54" s="1009">
        <v>0.24</v>
      </c>
      <c r="B54" s="1009" t="s">
        <v>876</v>
      </c>
      <c r="C54" s="1009" t="s">
        <v>877</v>
      </c>
      <c r="D54" s="1009">
        <v>5800</v>
      </c>
      <c r="E54" s="1009" t="s">
        <v>876</v>
      </c>
      <c r="F54" s="1009">
        <v>1392</v>
      </c>
    </row>
    <row r="55" spans="1:6">
      <c r="A55" s="1009">
        <v>1</v>
      </c>
      <c r="B55" s="1009" t="s">
        <v>884</v>
      </c>
      <c r="C55" s="1009" t="s">
        <v>885</v>
      </c>
      <c r="D55" s="1009">
        <v>1416.3</v>
      </c>
      <c r="E55" s="1009" t="s">
        <v>884</v>
      </c>
      <c r="F55" s="1009">
        <v>1416.3</v>
      </c>
    </row>
    <row r="56" spans="1:6">
      <c r="A56" s="1009">
        <v>1</v>
      </c>
      <c r="B56" s="1009" t="s">
        <v>884</v>
      </c>
      <c r="C56" s="1009" t="s">
        <v>889</v>
      </c>
      <c r="D56" s="1009">
        <v>91.35</v>
      </c>
      <c r="E56" s="1009" t="s">
        <v>884</v>
      </c>
      <c r="F56" s="1009">
        <v>91.35</v>
      </c>
    </row>
    <row r="57" spans="1:6">
      <c r="B57" s="1009" t="s">
        <v>448</v>
      </c>
      <c r="C57" s="1010" t="s">
        <v>449</v>
      </c>
      <c r="D57" s="1009" t="s">
        <v>995</v>
      </c>
      <c r="E57" s="1009" t="s">
        <v>448</v>
      </c>
      <c r="F57" s="1009">
        <v>0</v>
      </c>
    </row>
    <row r="58" spans="1:6">
      <c r="C58" s="1010"/>
      <c r="F58" s="1009" t="s">
        <v>1667</v>
      </c>
    </row>
    <row r="59" spans="1:6">
      <c r="C59" s="1009" t="s">
        <v>1578</v>
      </c>
      <c r="F59" s="1009">
        <v>2899.65</v>
      </c>
    </row>
    <row r="61" spans="1:6">
      <c r="A61" s="1009">
        <v>1.1000000000000001</v>
      </c>
      <c r="B61" s="1009" t="s">
        <v>995</v>
      </c>
      <c r="C61" s="1009" t="s">
        <v>1484</v>
      </c>
    </row>
    <row r="62" spans="1:6">
      <c r="A62" s="1009" t="s">
        <v>995</v>
      </c>
      <c r="C62" s="1009" t="s">
        <v>1545</v>
      </c>
    </row>
    <row r="63" spans="1:6">
      <c r="A63" s="1009">
        <v>10</v>
      </c>
      <c r="B63" s="1009" t="s">
        <v>884</v>
      </c>
      <c r="C63" s="1009" t="s">
        <v>1227</v>
      </c>
      <c r="D63" s="1009">
        <v>88.2</v>
      </c>
      <c r="E63" s="1009" t="s">
        <v>884</v>
      </c>
      <c r="F63" s="1009">
        <v>882</v>
      </c>
    </row>
    <row r="64" spans="1:6">
      <c r="A64" s="1009">
        <v>10</v>
      </c>
      <c r="B64" s="1009" t="s">
        <v>884</v>
      </c>
      <c r="C64" s="1009" t="s">
        <v>2084</v>
      </c>
      <c r="D64" s="1009">
        <v>88.2</v>
      </c>
      <c r="E64" s="1009" t="s">
        <v>884</v>
      </c>
      <c r="F64" s="1009">
        <v>882</v>
      </c>
    </row>
    <row r="65" spans="1:6">
      <c r="A65" s="1009">
        <v>10</v>
      </c>
      <c r="B65" s="1009" t="s">
        <v>884</v>
      </c>
      <c r="C65" s="1009" t="s">
        <v>2086</v>
      </c>
      <c r="D65" s="1009">
        <v>10.26</v>
      </c>
      <c r="E65" s="1009" t="s">
        <v>884</v>
      </c>
      <c r="F65" s="1009">
        <v>102.6</v>
      </c>
    </row>
    <row r="66" spans="1:6">
      <c r="B66" s="1009" t="s">
        <v>448</v>
      </c>
      <c r="C66" s="1009" t="s">
        <v>449</v>
      </c>
      <c r="E66" s="1009" t="s">
        <v>448</v>
      </c>
      <c r="F66" s="1009">
        <v>0</v>
      </c>
    </row>
    <row r="67" spans="1:6">
      <c r="F67" s="1009" t="s">
        <v>1667</v>
      </c>
    </row>
    <row r="68" spans="1:6">
      <c r="C68" s="1009" t="s">
        <v>618</v>
      </c>
      <c r="F68" s="1009">
        <v>1866.6</v>
      </c>
    </row>
    <row r="69" spans="1:6">
      <c r="F69" s="1009" t="s">
        <v>1667</v>
      </c>
    </row>
    <row r="70" spans="1:6">
      <c r="C70" s="1009" t="s">
        <v>2126</v>
      </c>
      <c r="D70" s="1009" t="s">
        <v>1459</v>
      </c>
      <c r="F70" s="1009">
        <v>186.66</v>
      </c>
    </row>
    <row r="71" spans="1:6">
      <c r="D71" s="1009" t="s">
        <v>1425</v>
      </c>
      <c r="F71" s="1009">
        <v>194.76</v>
      </c>
    </row>
    <row r="73" spans="1:6">
      <c r="A73" s="1009">
        <v>1.5</v>
      </c>
      <c r="C73" s="1009" t="s">
        <v>2111</v>
      </c>
      <c r="D73" s="1009" t="s">
        <v>1459</v>
      </c>
      <c r="F73" s="1009">
        <v>88.2</v>
      </c>
    </row>
    <row r="74" spans="1:6">
      <c r="D74" s="1009" t="s">
        <v>1425</v>
      </c>
      <c r="F74" s="1009">
        <v>96.3</v>
      </c>
    </row>
    <row r="76" spans="1:6">
      <c r="A76" s="1009" t="s">
        <v>386</v>
      </c>
      <c r="B76" s="1009" t="s">
        <v>2338</v>
      </c>
      <c r="C76" s="1010" t="s">
        <v>387</v>
      </c>
    </row>
    <row r="77" spans="1:6">
      <c r="C77" s="1009" t="s">
        <v>4382</v>
      </c>
    </row>
    <row r="78" spans="1:6">
      <c r="C78" s="1009" t="s">
        <v>1667</v>
      </c>
    </row>
    <row r="79" spans="1:6">
      <c r="A79" s="1009">
        <v>1</v>
      </c>
      <c r="B79" s="1009" t="s">
        <v>884</v>
      </c>
      <c r="C79" s="1009" t="s">
        <v>381</v>
      </c>
      <c r="D79" s="1009">
        <v>1416.3</v>
      </c>
      <c r="E79" s="1009" t="s">
        <v>884</v>
      </c>
      <c r="F79" s="1009">
        <v>1416.3</v>
      </c>
    </row>
    <row r="80" spans="1:6">
      <c r="A80" s="1009">
        <v>1</v>
      </c>
      <c r="B80" s="1009" t="s">
        <v>884</v>
      </c>
      <c r="C80" s="1009" t="s">
        <v>1415</v>
      </c>
      <c r="D80" s="1009">
        <v>26.99</v>
      </c>
      <c r="E80" s="1009" t="s">
        <v>884</v>
      </c>
      <c r="F80" s="1009">
        <v>26.99</v>
      </c>
    </row>
    <row r="81" spans="1:6">
      <c r="B81" s="1009" t="s">
        <v>448</v>
      </c>
      <c r="C81" s="1009" t="s">
        <v>449</v>
      </c>
      <c r="D81" s="1009" t="s">
        <v>995</v>
      </c>
      <c r="E81" s="1009" t="s">
        <v>448</v>
      </c>
      <c r="F81" s="1009">
        <v>0</v>
      </c>
    </row>
    <row r="82" spans="1:6">
      <c r="F82" s="1009" t="s">
        <v>1667</v>
      </c>
    </row>
    <row r="83" spans="1:6">
      <c r="C83" s="1009" t="s">
        <v>194</v>
      </c>
      <c r="F83" s="1009">
        <v>1443.29</v>
      </c>
    </row>
    <row r="85" spans="1:6">
      <c r="A85" s="1009" t="s">
        <v>676</v>
      </c>
      <c r="B85" s="1009" t="s">
        <v>2338</v>
      </c>
      <c r="C85" s="1009" t="s">
        <v>677</v>
      </c>
    </row>
    <row r="86" spans="1:6">
      <c r="C86" s="1009" t="s">
        <v>679</v>
      </c>
    </row>
    <row r="87" spans="1:6">
      <c r="C87" s="1009" t="s">
        <v>1667</v>
      </c>
    </row>
    <row r="88" spans="1:6">
      <c r="A88" s="1009">
        <v>9</v>
      </c>
      <c r="B88" s="1009" t="s">
        <v>884</v>
      </c>
      <c r="C88" s="1009" t="s">
        <v>1723</v>
      </c>
      <c r="D88" s="1009">
        <v>1125.8</v>
      </c>
      <c r="E88" s="1009" t="s">
        <v>884</v>
      </c>
      <c r="F88" s="1009">
        <v>10132.200000000001</v>
      </c>
    </row>
    <row r="89" spans="1:6">
      <c r="A89" s="1009">
        <v>4.5</v>
      </c>
      <c r="B89" s="1009" t="s">
        <v>884</v>
      </c>
      <c r="C89" s="1009" t="s">
        <v>1710</v>
      </c>
      <c r="D89" s="1009">
        <v>3178.05</v>
      </c>
      <c r="E89" s="1009" t="s">
        <v>884</v>
      </c>
      <c r="F89" s="1009">
        <v>14301.23</v>
      </c>
    </row>
    <row r="90" spans="1:6">
      <c r="A90" s="1009">
        <v>1.8</v>
      </c>
      <c r="B90" s="1009" t="s">
        <v>883</v>
      </c>
      <c r="C90" s="1009" t="s">
        <v>1791</v>
      </c>
      <c r="D90" s="1009">
        <v>753.9</v>
      </c>
      <c r="E90" s="1009" t="s">
        <v>883</v>
      </c>
      <c r="F90" s="1009">
        <v>1357.02</v>
      </c>
    </row>
    <row r="91" spans="1:6">
      <c r="A91" s="1009">
        <v>17.7</v>
      </c>
      <c r="B91" s="1009" t="s">
        <v>883</v>
      </c>
      <c r="C91" s="1009" t="s">
        <v>1979</v>
      </c>
      <c r="D91" s="1009">
        <v>527.1</v>
      </c>
      <c r="E91" s="1009" t="s">
        <v>883</v>
      </c>
      <c r="F91" s="1009">
        <v>9329.67</v>
      </c>
    </row>
    <row r="92" spans="1:6">
      <c r="A92" s="1009">
        <v>14.1</v>
      </c>
      <c r="B92" s="1009" t="s">
        <v>883</v>
      </c>
      <c r="C92" s="1009" t="s">
        <v>324</v>
      </c>
      <c r="D92" s="1009">
        <v>432.6</v>
      </c>
      <c r="E92" s="1009" t="s">
        <v>883</v>
      </c>
      <c r="F92" s="1009">
        <v>6099.66</v>
      </c>
    </row>
    <row r="93" spans="1:6">
      <c r="B93" s="1009" t="s">
        <v>448</v>
      </c>
      <c r="C93" s="1009" t="s">
        <v>449</v>
      </c>
      <c r="E93" s="1009" t="s">
        <v>448</v>
      </c>
      <c r="F93" s="1009">
        <v>0</v>
      </c>
    </row>
    <row r="94" spans="1:6">
      <c r="F94" s="1009" t="s">
        <v>1667</v>
      </c>
    </row>
    <row r="95" spans="1:6">
      <c r="F95" s="1009">
        <v>41219.78</v>
      </c>
    </row>
    <row r="96" spans="1:6">
      <c r="C96" s="1009" t="s">
        <v>618</v>
      </c>
      <c r="F96" s="1009" t="s">
        <v>1667</v>
      </c>
    </row>
    <row r="97" spans="1:6">
      <c r="F97" s="1009">
        <v>4121.9799999999996</v>
      </c>
    </row>
    <row r="98" spans="1:6">
      <c r="C98" s="1009" t="s">
        <v>785</v>
      </c>
      <c r="F98" s="1009" t="s">
        <v>2130</v>
      </c>
    </row>
    <row r="100" spans="1:6" ht="18.75" customHeight="1">
      <c r="C100" s="1009" t="s">
        <v>4383</v>
      </c>
    </row>
    <row r="101" spans="1:6" ht="18.75" customHeight="1">
      <c r="A101" s="1009">
        <v>5</v>
      </c>
      <c r="B101" s="1009" t="s">
        <v>1402</v>
      </c>
      <c r="C101" s="1009" t="s">
        <v>4384</v>
      </c>
      <c r="D101" s="1009">
        <v>1519.8</v>
      </c>
      <c r="F101" s="1009">
        <v>7599</v>
      </c>
    </row>
    <row r="102" spans="1:6" ht="18.75" customHeight="1">
      <c r="A102" s="1009">
        <v>3.3</v>
      </c>
      <c r="B102" s="1009" t="s">
        <v>1402</v>
      </c>
      <c r="C102" s="1009" t="s">
        <v>4385</v>
      </c>
      <c r="D102" s="1009">
        <v>1247.3</v>
      </c>
      <c r="F102" s="1009">
        <v>4116.09</v>
      </c>
    </row>
    <row r="103" spans="1:6" ht="18.75" customHeight="1">
      <c r="A103" s="1009">
        <v>4.79</v>
      </c>
      <c r="B103" s="1009" t="s">
        <v>1402</v>
      </c>
      <c r="C103" s="1009" t="s">
        <v>4386</v>
      </c>
      <c r="D103" s="1009">
        <v>1416.3</v>
      </c>
      <c r="F103" s="1009">
        <v>6784.08</v>
      </c>
    </row>
    <row r="104" spans="1:6" ht="18.75" customHeight="1">
      <c r="A104" s="1009">
        <v>3.25</v>
      </c>
      <c r="B104" s="1009" t="s">
        <v>528</v>
      </c>
      <c r="C104" s="1009" t="s">
        <v>391</v>
      </c>
      <c r="D104" s="1009">
        <v>5800</v>
      </c>
      <c r="F104" s="1009">
        <v>18850</v>
      </c>
    </row>
    <row r="105" spans="1:6" ht="18.75" customHeight="1">
      <c r="A105" s="1009">
        <v>19.5</v>
      </c>
      <c r="B105" s="1009" t="s">
        <v>1730</v>
      </c>
      <c r="C105" s="1009" t="s">
        <v>4387</v>
      </c>
      <c r="D105" s="1009">
        <v>42.4</v>
      </c>
      <c r="F105" s="1009">
        <v>826.8</v>
      </c>
    </row>
    <row r="106" spans="1:6" ht="18.75" customHeight="1">
      <c r="A106" s="1009">
        <v>3.5</v>
      </c>
      <c r="B106" s="1009" t="s">
        <v>1492</v>
      </c>
      <c r="C106" s="1009" t="s">
        <v>465</v>
      </c>
      <c r="D106" s="1009">
        <v>753.9</v>
      </c>
      <c r="E106" s="1009">
        <v>0</v>
      </c>
      <c r="F106" s="1009">
        <v>2638.65</v>
      </c>
    </row>
    <row r="107" spans="1:6" ht="18.75" customHeight="1">
      <c r="A107" s="1009">
        <v>21.2</v>
      </c>
      <c r="B107" s="1009" t="s">
        <v>1492</v>
      </c>
      <c r="C107" s="1009" t="s">
        <v>3682</v>
      </c>
      <c r="D107" s="1009">
        <v>527.1</v>
      </c>
      <c r="F107" s="1009">
        <v>11174.52</v>
      </c>
    </row>
    <row r="108" spans="1:6" ht="18.75" customHeight="1">
      <c r="A108" s="1009">
        <v>35.299999999999997</v>
      </c>
      <c r="B108" s="1009" t="s">
        <v>1492</v>
      </c>
      <c r="C108" s="1009" t="s">
        <v>3683</v>
      </c>
      <c r="D108" s="1009">
        <v>432.6</v>
      </c>
      <c r="F108" s="1009">
        <v>15270.78</v>
      </c>
    </row>
    <row r="109" spans="1:6" ht="18.75" customHeight="1">
      <c r="C109" s="1009" t="s">
        <v>4388</v>
      </c>
      <c r="D109" s="1009">
        <v>0</v>
      </c>
      <c r="F109" s="1009">
        <v>67259.92</v>
      </c>
    </row>
    <row r="110" spans="1:6" ht="18.75" customHeight="1">
      <c r="C110" s="1009" t="s">
        <v>4389</v>
      </c>
      <c r="D110" s="1009">
        <v>0</v>
      </c>
      <c r="F110" s="1009">
        <v>6725.99</v>
      </c>
    </row>
    <row r="111" spans="1:6" ht="18.75" customHeight="1">
      <c r="A111" s="1009">
        <v>1</v>
      </c>
      <c r="B111" s="1009" t="s">
        <v>1402</v>
      </c>
      <c r="C111" s="1009" t="s">
        <v>4390</v>
      </c>
      <c r="D111" s="1009">
        <v>74.239999999999995</v>
      </c>
      <c r="F111" s="1009">
        <v>74.239999999999995</v>
      </c>
    </row>
    <row r="112" spans="1:6" ht="18.75" customHeight="1">
      <c r="C112" s="1009" t="s">
        <v>4391</v>
      </c>
      <c r="D112" s="1009">
        <v>0</v>
      </c>
      <c r="F112" s="1009">
        <v>6800.23</v>
      </c>
    </row>
    <row r="113" spans="1:6" ht="18.75" customHeight="1">
      <c r="A113" s="1009" t="s">
        <v>667</v>
      </c>
      <c r="C113" s="1009" t="s">
        <v>4392</v>
      </c>
      <c r="D113" s="1009" t="s">
        <v>667</v>
      </c>
      <c r="F113" s="1009">
        <v>34</v>
      </c>
    </row>
    <row r="114" spans="1:6" ht="18.75" customHeight="1">
      <c r="C114" s="1009" t="s">
        <v>4393</v>
      </c>
      <c r="F114" s="1009">
        <v>6834.23</v>
      </c>
    </row>
    <row r="115" spans="1:6" ht="18.75" customHeight="1">
      <c r="F115" s="1009" t="s">
        <v>1667</v>
      </c>
    </row>
    <row r="116" spans="1:6" ht="18.75" customHeight="1">
      <c r="C116" s="1009" t="s">
        <v>388</v>
      </c>
      <c r="F116" s="1009">
        <v>6928.63</v>
      </c>
    </row>
    <row r="118" spans="1:6">
      <c r="A118" s="1009" t="s">
        <v>2033</v>
      </c>
      <c r="B118" s="1009" t="s">
        <v>2338</v>
      </c>
      <c r="C118" s="1009" t="s">
        <v>2034</v>
      </c>
    </row>
    <row r="119" spans="1:6">
      <c r="C119" s="1009" t="s">
        <v>2325</v>
      </c>
    </row>
    <row r="120" spans="1:6">
      <c r="A120" s="1009">
        <v>1</v>
      </c>
      <c r="B120" s="1009" t="s">
        <v>884</v>
      </c>
      <c r="C120" s="1009" t="s">
        <v>2326</v>
      </c>
      <c r="D120" s="1009">
        <v>30.77</v>
      </c>
      <c r="E120" s="1009" t="s">
        <v>884</v>
      </c>
      <c r="F120" s="1009">
        <v>30.77</v>
      </c>
    </row>
    <row r="121" spans="1:6">
      <c r="F121" s="1009" t="s">
        <v>2130</v>
      </c>
    </row>
    <row r="122" spans="1:6">
      <c r="B122" s="1009" t="s">
        <v>739</v>
      </c>
      <c r="C122" s="1009" t="s">
        <v>735</v>
      </c>
      <c r="D122" s="1009">
        <v>693.56</v>
      </c>
    </row>
    <row r="124" spans="1:6">
      <c r="B124" s="1009" t="s">
        <v>519</v>
      </c>
      <c r="C124" s="1009" t="s">
        <v>736</v>
      </c>
      <c r="D124" s="1009">
        <v>782.8</v>
      </c>
    </row>
    <row r="126" spans="1:6">
      <c r="B126" s="1009" t="s">
        <v>321</v>
      </c>
      <c r="C126" s="1009" t="s">
        <v>737</v>
      </c>
      <c r="D126" s="1009">
        <v>939.36</v>
      </c>
    </row>
    <row r="128" spans="1:6">
      <c r="B128" s="1009" t="s">
        <v>740</v>
      </c>
      <c r="C128" s="1009" t="s">
        <v>738</v>
      </c>
      <c r="D128" s="1009">
        <v>861.08</v>
      </c>
    </row>
    <row r="130" spans="1:6">
      <c r="B130" s="1009" t="s">
        <v>4395</v>
      </c>
      <c r="C130" s="1009" t="s">
        <v>4396</v>
      </c>
      <c r="D130" s="1009">
        <v>1174.2</v>
      </c>
    </row>
    <row r="132" spans="1:6">
      <c r="A132" s="1009" t="s">
        <v>6</v>
      </c>
      <c r="B132" s="1009" t="s">
        <v>2338</v>
      </c>
      <c r="C132" s="1009" t="s">
        <v>7</v>
      </c>
    </row>
    <row r="133" spans="1:6">
      <c r="C133" s="1009" t="s">
        <v>1667</v>
      </c>
    </row>
    <row r="134" spans="1:6">
      <c r="A134" s="1009">
        <v>0.14000000000000001</v>
      </c>
      <c r="B134" s="1009" t="s">
        <v>884</v>
      </c>
      <c r="C134" s="1009" t="s">
        <v>1364</v>
      </c>
      <c r="D134" s="1009">
        <v>3595.65</v>
      </c>
      <c r="E134" s="1009" t="s">
        <v>884</v>
      </c>
      <c r="F134" s="1009">
        <v>503.39</v>
      </c>
    </row>
    <row r="135" spans="1:6">
      <c r="A135" s="1009">
        <v>1.1000000000000001</v>
      </c>
      <c r="B135" s="1009" t="s">
        <v>883</v>
      </c>
      <c r="C135" s="1009" t="s">
        <v>2082</v>
      </c>
      <c r="D135" s="1009">
        <v>807.45</v>
      </c>
      <c r="E135" s="1009" t="s">
        <v>883</v>
      </c>
      <c r="F135" s="1009">
        <v>888.2</v>
      </c>
    </row>
    <row r="136" spans="1:6">
      <c r="A136" s="1009">
        <v>0.5</v>
      </c>
      <c r="B136" s="1009" t="s">
        <v>883</v>
      </c>
      <c r="C136" s="1009" t="s">
        <v>1979</v>
      </c>
      <c r="D136" s="1009">
        <v>527.1</v>
      </c>
      <c r="E136" s="1009" t="s">
        <v>883</v>
      </c>
      <c r="F136" s="1009">
        <v>263.55</v>
      </c>
    </row>
    <row r="137" spans="1:6">
      <c r="A137" s="1009">
        <v>1.1000000000000001</v>
      </c>
      <c r="B137" s="1009" t="s">
        <v>883</v>
      </c>
      <c r="C137" s="1009" t="s">
        <v>324</v>
      </c>
      <c r="D137" s="1009">
        <v>432.6</v>
      </c>
      <c r="E137" s="1009" t="s">
        <v>883</v>
      </c>
      <c r="F137" s="1009">
        <v>475.86</v>
      </c>
    </row>
    <row r="138" spans="1:6">
      <c r="B138" s="1009" t="s">
        <v>448</v>
      </c>
      <c r="C138" s="1009" t="s">
        <v>449</v>
      </c>
      <c r="D138" s="1009" t="s">
        <v>995</v>
      </c>
      <c r="E138" s="1009" t="s">
        <v>448</v>
      </c>
      <c r="F138" s="1009">
        <v>5</v>
      </c>
    </row>
    <row r="140" spans="1:6">
      <c r="F140" s="1009" t="s">
        <v>1667</v>
      </c>
    </row>
    <row r="141" spans="1:6">
      <c r="C141" s="1009" t="s">
        <v>440</v>
      </c>
      <c r="F141" s="1009">
        <v>2136</v>
      </c>
    </row>
    <row r="142" spans="1:6">
      <c r="F142" s="1009" t="s">
        <v>1667</v>
      </c>
    </row>
    <row r="143" spans="1:6">
      <c r="C143" s="1009" t="s">
        <v>555</v>
      </c>
      <c r="F143" s="1009">
        <v>213.6</v>
      </c>
    </row>
    <row r="144" spans="1:6">
      <c r="F144" s="1009" t="s">
        <v>2130</v>
      </c>
    </row>
    <row r="145" spans="1:6">
      <c r="A145" s="1009" t="s">
        <v>536</v>
      </c>
      <c r="B145" s="1009" t="s">
        <v>1981</v>
      </c>
      <c r="C145" s="1009" t="s">
        <v>554</v>
      </c>
    </row>
    <row r="146" spans="1:6">
      <c r="C146" s="1009" t="s">
        <v>537</v>
      </c>
    </row>
    <row r="147" spans="1:6">
      <c r="C147" s="1009" t="s">
        <v>1667</v>
      </c>
    </row>
    <row r="148" spans="1:6">
      <c r="A148" s="1009">
        <v>1</v>
      </c>
      <c r="B148" s="1009" t="s">
        <v>526</v>
      </c>
      <c r="C148" s="1009" t="s">
        <v>527</v>
      </c>
      <c r="D148" s="1009">
        <v>45000</v>
      </c>
      <c r="E148" s="1009" t="s">
        <v>528</v>
      </c>
      <c r="F148" s="1009">
        <v>4500</v>
      </c>
    </row>
    <row r="149" spans="1:6">
      <c r="A149" s="1009">
        <v>0.01</v>
      </c>
      <c r="B149" s="1009" t="s">
        <v>526</v>
      </c>
      <c r="C149" s="1009" t="s">
        <v>193</v>
      </c>
      <c r="D149" s="1009">
        <v>43750</v>
      </c>
      <c r="E149" s="1009" t="s">
        <v>528</v>
      </c>
      <c r="F149" s="1009">
        <v>43.75</v>
      </c>
    </row>
    <row r="150" spans="1:6">
      <c r="A150" s="1009">
        <v>3.5</v>
      </c>
      <c r="B150" s="1009" t="s">
        <v>781</v>
      </c>
      <c r="C150" s="1009" t="s">
        <v>529</v>
      </c>
      <c r="D150" s="1009">
        <v>700.35</v>
      </c>
      <c r="E150" s="1009" t="s">
        <v>781</v>
      </c>
      <c r="F150" s="1009">
        <v>2451.23</v>
      </c>
    </row>
    <row r="151" spans="1:6">
      <c r="B151" s="1009" t="s">
        <v>448</v>
      </c>
      <c r="C151" s="1009" t="s">
        <v>449</v>
      </c>
      <c r="E151" s="1009" t="s">
        <v>448</v>
      </c>
      <c r="F151" s="1009">
        <v>0</v>
      </c>
    </row>
    <row r="152" spans="1:6">
      <c r="F152" s="1009" t="s">
        <v>1667</v>
      </c>
    </row>
    <row r="153" spans="1:6">
      <c r="C153" s="1009" t="s">
        <v>532</v>
      </c>
      <c r="F153" s="1009">
        <v>6994.98</v>
      </c>
    </row>
    <row r="154" spans="1:6">
      <c r="F154" s="1009" t="s">
        <v>1667</v>
      </c>
    </row>
    <row r="155" spans="1:6">
      <c r="C155" s="1009" t="s">
        <v>533</v>
      </c>
      <c r="F155" s="1009">
        <v>69949.8</v>
      </c>
    </row>
    <row r="157" spans="1:6">
      <c r="A157" s="1009" t="s">
        <v>1462</v>
      </c>
      <c r="C157" s="1009" t="s">
        <v>4397</v>
      </c>
      <c r="E157" s="1009" t="s">
        <v>1458</v>
      </c>
      <c r="F157" s="1009">
        <v>1828</v>
      </c>
    </row>
    <row r="159" spans="1:6">
      <c r="A159" s="1009" t="s">
        <v>1464</v>
      </c>
      <c r="C159" s="1009" t="s">
        <v>1030</v>
      </c>
      <c r="E159" s="1009" t="s">
        <v>1458</v>
      </c>
      <c r="F159" s="1009">
        <v>30</v>
      </c>
    </row>
    <row r="161" spans="1:6">
      <c r="A161" s="1009">
        <v>2.6</v>
      </c>
      <c r="B161" s="1009" t="s">
        <v>2338</v>
      </c>
      <c r="C161" s="1009" t="s">
        <v>1221</v>
      </c>
    </row>
    <row r="162" spans="1:6">
      <c r="C162" s="1009" t="s">
        <v>1667</v>
      </c>
    </row>
    <row r="163" spans="1:6">
      <c r="A163" s="1009">
        <v>1</v>
      </c>
      <c r="B163" s="1009" t="s">
        <v>884</v>
      </c>
      <c r="C163" s="1009" t="s">
        <v>1127</v>
      </c>
      <c r="D163" s="1009">
        <v>1125.8</v>
      </c>
      <c r="E163" s="1009" t="s">
        <v>884</v>
      </c>
      <c r="F163" s="1009">
        <v>1125.8</v>
      </c>
    </row>
    <row r="164" spans="1:6">
      <c r="A164" s="1009">
        <v>1</v>
      </c>
      <c r="B164" s="1009" t="s">
        <v>884</v>
      </c>
      <c r="C164" s="1009" t="s">
        <v>1415</v>
      </c>
      <c r="D164" s="1009">
        <v>30.77</v>
      </c>
      <c r="E164" s="1009" t="s">
        <v>884</v>
      </c>
      <c r="F164" s="1009">
        <v>30.77</v>
      </c>
    </row>
    <row r="165" spans="1:6">
      <c r="B165" s="1009" t="s">
        <v>448</v>
      </c>
      <c r="C165" s="1009" t="s">
        <v>449</v>
      </c>
      <c r="D165" s="1009" t="s">
        <v>995</v>
      </c>
      <c r="E165" s="1009" t="s">
        <v>448</v>
      </c>
      <c r="F165" s="1009">
        <v>0</v>
      </c>
    </row>
    <row r="166" spans="1:6">
      <c r="F166" s="1009" t="s">
        <v>1667</v>
      </c>
    </row>
    <row r="167" spans="1:6">
      <c r="C167" s="1009" t="s">
        <v>194</v>
      </c>
      <c r="F167" s="1009">
        <v>1156.57</v>
      </c>
    </row>
    <row r="168" spans="1:6">
      <c r="F168" s="1009" t="s">
        <v>1667</v>
      </c>
    </row>
    <row r="169" spans="1:6">
      <c r="A169" s="1009">
        <v>2.7</v>
      </c>
      <c r="B169" s="1009" t="s">
        <v>2338</v>
      </c>
      <c r="C169" s="1009" t="s">
        <v>2065</v>
      </c>
    </row>
    <row r="170" spans="1:6">
      <c r="C170" s="1009" t="s">
        <v>1667</v>
      </c>
    </row>
    <row r="171" spans="1:6">
      <c r="A171" s="1009">
        <v>1</v>
      </c>
      <c r="B171" s="1009" t="s">
        <v>884</v>
      </c>
      <c r="C171" s="1009" t="s">
        <v>846</v>
      </c>
      <c r="D171" s="1009">
        <v>1519.8</v>
      </c>
      <c r="E171" s="1009" t="s">
        <v>884</v>
      </c>
      <c r="F171" s="1009">
        <v>1519.8</v>
      </c>
    </row>
    <row r="172" spans="1:6">
      <c r="A172" s="1009">
        <v>1</v>
      </c>
      <c r="B172" s="1009" t="s">
        <v>884</v>
      </c>
      <c r="C172" s="1009" t="s">
        <v>1415</v>
      </c>
      <c r="D172" s="1009">
        <v>30.77</v>
      </c>
      <c r="E172" s="1009" t="s">
        <v>884</v>
      </c>
      <c r="F172" s="1009">
        <v>30.77</v>
      </c>
    </row>
    <row r="173" spans="1:6">
      <c r="B173" s="1009" t="s">
        <v>448</v>
      </c>
      <c r="C173" s="1009" t="s">
        <v>449</v>
      </c>
      <c r="D173" s="1009" t="s">
        <v>995</v>
      </c>
      <c r="E173" s="1009" t="s">
        <v>448</v>
      </c>
      <c r="F173" s="1009">
        <v>0</v>
      </c>
    </row>
    <row r="174" spans="1:6">
      <c r="F174" s="1009" t="s">
        <v>1667</v>
      </c>
    </row>
    <row r="175" spans="1:6">
      <c r="C175" s="1009" t="s">
        <v>194</v>
      </c>
      <c r="F175" s="1009">
        <v>1550.57</v>
      </c>
    </row>
    <row r="176" spans="1:6">
      <c r="F176" s="1009" t="s">
        <v>1667</v>
      </c>
    </row>
    <row r="177" spans="1:6">
      <c r="A177" s="1009" t="s">
        <v>697</v>
      </c>
      <c r="B177" s="1009" t="s">
        <v>2338</v>
      </c>
      <c r="C177" s="1009" t="s">
        <v>4398</v>
      </c>
    </row>
    <row r="178" spans="1:6">
      <c r="C178" s="1009" t="s">
        <v>1550</v>
      </c>
    </row>
    <row r="179" spans="1:6">
      <c r="C179" s="1009" t="s">
        <v>1667</v>
      </c>
    </row>
    <row r="180" spans="1:6">
      <c r="A180" s="1009">
        <v>9</v>
      </c>
      <c r="B180" s="1009" t="s">
        <v>884</v>
      </c>
      <c r="C180" s="1009" t="s">
        <v>701</v>
      </c>
      <c r="D180" s="1009">
        <v>1519.8</v>
      </c>
      <c r="E180" s="1009" t="s">
        <v>884</v>
      </c>
      <c r="F180" s="1009">
        <v>13678.2</v>
      </c>
    </row>
    <row r="181" spans="1:6">
      <c r="A181" s="1009">
        <v>4.5</v>
      </c>
      <c r="B181" s="1009" t="s">
        <v>884</v>
      </c>
      <c r="C181" s="1009" t="s">
        <v>123</v>
      </c>
      <c r="D181" s="1009">
        <v>5683.65</v>
      </c>
      <c r="E181" s="1009" t="s">
        <v>884</v>
      </c>
      <c r="F181" s="1009">
        <v>25576.43</v>
      </c>
    </row>
    <row r="182" spans="1:6">
      <c r="A182" s="1009">
        <v>1.8</v>
      </c>
      <c r="B182" s="1009" t="s">
        <v>883</v>
      </c>
      <c r="C182" s="1009" t="s">
        <v>1791</v>
      </c>
      <c r="D182" s="1009">
        <v>753.9</v>
      </c>
      <c r="E182" s="1009" t="s">
        <v>883</v>
      </c>
      <c r="F182" s="1009">
        <v>1357.02</v>
      </c>
    </row>
    <row r="183" spans="1:6">
      <c r="A183" s="1009">
        <v>17.7</v>
      </c>
      <c r="B183" s="1009" t="s">
        <v>883</v>
      </c>
      <c r="C183" s="1009" t="s">
        <v>1979</v>
      </c>
      <c r="D183" s="1009">
        <v>527.1</v>
      </c>
      <c r="E183" s="1009" t="s">
        <v>883</v>
      </c>
      <c r="F183" s="1009">
        <v>9329.67</v>
      </c>
    </row>
    <row r="184" spans="1:6">
      <c r="A184" s="1009">
        <v>14.1</v>
      </c>
      <c r="B184" s="1009" t="s">
        <v>883</v>
      </c>
      <c r="C184" s="1009" t="s">
        <v>324</v>
      </c>
      <c r="D184" s="1009">
        <v>432.6</v>
      </c>
      <c r="E184" s="1009" t="s">
        <v>883</v>
      </c>
      <c r="F184" s="1009">
        <v>6099.66</v>
      </c>
    </row>
    <row r="185" spans="1:6">
      <c r="B185" s="1009" t="s">
        <v>448</v>
      </c>
      <c r="C185" s="1009" t="s">
        <v>449</v>
      </c>
      <c r="E185" s="1009" t="s">
        <v>448</v>
      </c>
      <c r="F185" s="1009">
        <v>0</v>
      </c>
    </row>
    <row r="186" spans="1:6">
      <c r="F186" s="1009" t="s">
        <v>1667</v>
      </c>
    </row>
    <row r="187" spans="1:6">
      <c r="F187" s="1009">
        <v>56040.98</v>
      </c>
    </row>
    <row r="188" spans="1:6">
      <c r="C188" s="1009" t="s">
        <v>618</v>
      </c>
      <c r="F188" s="1009" t="s">
        <v>1667</v>
      </c>
    </row>
    <row r="189" spans="1:6">
      <c r="F189" s="1009">
        <v>5604.1</v>
      </c>
    </row>
    <row r="190" spans="1:6">
      <c r="C190" s="1009" t="s">
        <v>785</v>
      </c>
      <c r="F190" s="1009" t="s">
        <v>2130</v>
      </c>
    </row>
    <row r="192" spans="1:6">
      <c r="A192" s="1009" t="s">
        <v>2144</v>
      </c>
      <c r="B192" s="1009" t="s">
        <v>2338</v>
      </c>
      <c r="C192" s="1009" t="s">
        <v>1314</v>
      </c>
    </row>
    <row r="193" spans="1:6">
      <c r="C193" s="1009" t="s">
        <v>2145</v>
      </c>
    </row>
    <row r="194" spans="1:6">
      <c r="C194" s="1009" t="s">
        <v>1667</v>
      </c>
    </row>
    <row r="195" spans="1:6">
      <c r="A195" s="1009">
        <v>9</v>
      </c>
      <c r="B195" s="1009" t="s">
        <v>884</v>
      </c>
      <c r="C195" s="1009" t="s">
        <v>1888</v>
      </c>
      <c r="D195" s="1009">
        <v>857.12</v>
      </c>
      <c r="E195" s="1009" t="s">
        <v>884</v>
      </c>
      <c r="F195" s="1009">
        <v>7714.08</v>
      </c>
    </row>
    <row r="196" spans="1:6">
      <c r="A196" s="1009">
        <v>4.5</v>
      </c>
      <c r="B196" s="1009" t="s">
        <v>884</v>
      </c>
      <c r="C196" s="1009" t="s">
        <v>1717</v>
      </c>
      <c r="D196" s="1009">
        <v>2551.65</v>
      </c>
      <c r="E196" s="1009" t="s">
        <v>884</v>
      </c>
      <c r="F196" s="1009">
        <v>11482.43</v>
      </c>
    </row>
    <row r="197" spans="1:6">
      <c r="A197" s="1009">
        <v>1.8</v>
      </c>
      <c r="B197" s="1009" t="s">
        <v>883</v>
      </c>
      <c r="C197" s="1009" t="s">
        <v>1791</v>
      </c>
      <c r="D197" s="1009">
        <v>753.9</v>
      </c>
      <c r="E197" s="1009" t="s">
        <v>883</v>
      </c>
      <c r="F197" s="1009">
        <v>1357.02</v>
      </c>
    </row>
    <row r="198" spans="1:6">
      <c r="A198" s="1009">
        <v>17.7</v>
      </c>
      <c r="B198" s="1009" t="s">
        <v>883</v>
      </c>
      <c r="C198" s="1009" t="s">
        <v>1979</v>
      </c>
      <c r="D198" s="1009">
        <v>527.1</v>
      </c>
      <c r="E198" s="1009" t="s">
        <v>883</v>
      </c>
      <c r="F198" s="1009">
        <v>9329.67</v>
      </c>
    </row>
    <row r="199" spans="1:6">
      <c r="A199" s="1009">
        <v>14.1</v>
      </c>
      <c r="B199" s="1009" t="s">
        <v>883</v>
      </c>
      <c r="C199" s="1009" t="s">
        <v>324</v>
      </c>
      <c r="D199" s="1009">
        <v>432.6</v>
      </c>
      <c r="E199" s="1009" t="s">
        <v>883</v>
      </c>
      <c r="F199" s="1009">
        <v>6099.66</v>
      </c>
    </row>
    <row r="200" spans="1:6">
      <c r="B200" s="1009" t="s">
        <v>448</v>
      </c>
      <c r="C200" s="1009" t="s">
        <v>449</v>
      </c>
      <c r="E200" s="1009" t="s">
        <v>448</v>
      </c>
      <c r="F200" s="1009">
        <v>0</v>
      </c>
    </row>
    <row r="201" spans="1:6">
      <c r="F201" s="1009" t="s">
        <v>1667</v>
      </c>
    </row>
    <row r="202" spans="1:6">
      <c r="F202" s="1009">
        <v>35982.86</v>
      </c>
    </row>
    <row r="203" spans="1:6">
      <c r="C203" s="1009" t="s">
        <v>618</v>
      </c>
      <c r="F203" s="1009" t="s">
        <v>1667</v>
      </c>
    </row>
    <row r="204" spans="1:6">
      <c r="F204" s="1009">
        <v>3598.29</v>
      </c>
    </row>
    <row r="205" spans="1:6">
      <c r="C205" s="1009" t="s">
        <v>785</v>
      </c>
      <c r="F205" s="1009" t="s">
        <v>2130</v>
      </c>
    </row>
    <row r="207" spans="1:6">
      <c r="A207" s="1009">
        <v>6</v>
      </c>
      <c r="B207" s="1009" t="s">
        <v>2338</v>
      </c>
      <c r="C207" s="1009" t="s">
        <v>3739</v>
      </c>
    </row>
    <row r="208" spans="1:6">
      <c r="C208" s="1009" t="s">
        <v>3740</v>
      </c>
    </row>
    <row r="209" spans="1:6">
      <c r="C209" s="1009" t="s">
        <v>1667</v>
      </c>
    </row>
    <row r="210" spans="1:6">
      <c r="A210" s="1009">
        <v>4240</v>
      </c>
      <c r="B210" s="1009" t="s">
        <v>1485</v>
      </c>
      <c r="C210" s="1009" t="s">
        <v>3740</v>
      </c>
      <c r="D210" s="1009">
        <v>6690.32</v>
      </c>
      <c r="E210" s="1009" t="s">
        <v>1675</v>
      </c>
      <c r="F210" s="1009">
        <v>28366.959999999999</v>
      </c>
    </row>
    <row r="211" spans="1:6">
      <c r="A211" s="1009">
        <v>2</v>
      </c>
      <c r="B211" s="1009" t="s">
        <v>884</v>
      </c>
      <c r="C211" s="1009" t="s">
        <v>1710</v>
      </c>
      <c r="D211" s="1009">
        <v>3178.05</v>
      </c>
      <c r="E211" s="1009" t="s">
        <v>884</v>
      </c>
      <c r="F211" s="1009">
        <v>6356.1</v>
      </c>
    </row>
    <row r="212" spans="1:6">
      <c r="A212" s="1009">
        <v>3.5</v>
      </c>
      <c r="B212" s="1009" t="s">
        <v>883</v>
      </c>
      <c r="C212" s="1009" t="s">
        <v>2082</v>
      </c>
      <c r="D212" s="1009">
        <v>807.45</v>
      </c>
      <c r="E212" s="1009" t="s">
        <v>883</v>
      </c>
      <c r="F212" s="1009">
        <v>2826.08</v>
      </c>
    </row>
    <row r="213" spans="1:6">
      <c r="A213" s="1009">
        <v>10.6</v>
      </c>
      <c r="B213" s="1009" t="s">
        <v>883</v>
      </c>
      <c r="C213" s="1009" t="s">
        <v>1791</v>
      </c>
      <c r="D213" s="1009">
        <v>753.9</v>
      </c>
      <c r="E213" s="1009" t="s">
        <v>883</v>
      </c>
      <c r="F213" s="1009">
        <v>7991.34</v>
      </c>
    </row>
    <row r="214" spans="1:6">
      <c r="A214" s="1009">
        <v>7.1</v>
      </c>
      <c r="B214" s="1009" t="s">
        <v>883</v>
      </c>
      <c r="C214" s="1009" t="s">
        <v>1979</v>
      </c>
      <c r="D214" s="1009">
        <v>527.1</v>
      </c>
      <c r="E214" s="1009" t="s">
        <v>883</v>
      </c>
      <c r="F214" s="1009">
        <v>3742.41</v>
      </c>
    </row>
    <row r="215" spans="1:6">
      <c r="A215" s="1009">
        <v>21.2</v>
      </c>
      <c r="B215" s="1009" t="s">
        <v>883</v>
      </c>
      <c r="C215" s="1009" t="s">
        <v>324</v>
      </c>
      <c r="D215" s="1009">
        <v>432.6</v>
      </c>
      <c r="E215" s="1009" t="s">
        <v>883</v>
      </c>
      <c r="F215" s="1009">
        <v>9171.1200000000008</v>
      </c>
    </row>
    <row r="216" spans="1:6">
      <c r="B216" s="1009" t="s">
        <v>448</v>
      </c>
      <c r="C216" s="1009" t="s">
        <v>449</v>
      </c>
      <c r="E216" s="1009" t="s">
        <v>448</v>
      </c>
      <c r="F216" s="1009">
        <v>0</v>
      </c>
    </row>
    <row r="217" spans="1:6">
      <c r="F217" s="1009" t="s">
        <v>1667</v>
      </c>
    </row>
    <row r="218" spans="1:6">
      <c r="C218" s="1009" t="s">
        <v>618</v>
      </c>
      <c r="F218" s="1009">
        <v>58454.01</v>
      </c>
    </row>
    <row r="219" spans="1:6">
      <c r="F219" s="1009" t="s">
        <v>1667</v>
      </c>
    </row>
    <row r="220" spans="1:6">
      <c r="C220" s="1009" t="s">
        <v>785</v>
      </c>
      <c r="F220" s="1009">
        <v>5845.4</v>
      </c>
    </row>
    <row r="222" spans="1:6">
      <c r="A222" s="1009" t="s">
        <v>1172</v>
      </c>
      <c r="B222" s="1009" t="s">
        <v>2338</v>
      </c>
      <c r="C222" s="1009" t="s">
        <v>4399</v>
      </c>
    </row>
    <row r="223" spans="1:6">
      <c r="C223" s="1009" t="s">
        <v>1667</v>
      </c>
    </row>
    <row r="224" spans="1:6">
      <c r="A224" s="1009">
        <v>0.03</v>
      </c>
      <c r="B224" s="1009" t="s">
        <v>884</v>
      </c>
      <c r="C224" s="1009" t="s">
        <v>4400</v>
      </c>
      <c r="D224" s="1009">
        <v>6290</v>
      </c>
      <c r="E224" s="1009" t="s">
        <v>884</v>
      </c>
      <c r="F224" s="1009">
        <v>188.7</v>
      </c>
    </row>
    <row r="225" spans="1:6">
      <c r="A225" s="1009">
        <v>0.5</v>
      </c>
      <c r="B225" s="1009" t="s">
        <v>781</v>
      </c>
      <c r="C225" s="1009" t="s">
        <v>2082</v>
      </c>
      <c r="D225" s="1009">
        <v>807.45</v>
      </c>
      <c r="E225" s="1009" t="s">
        <v>781</v>
      </c>
      <c r="F225" s="1009">
        <v>403.73</v>
      </c>
    </row>
    <row r="226" spans="1:6">
      <c r="A226" s="1009">
        <v>0.75</v>
      </c>
      <c r="B226" s="1009" t="s">
        <v>781</v>
      </c>
      <c r="C226" s="1009" t="s">
        <v>1979</v>
      </c>
      <c r="D226" s="1009">
        <v>527.1</v>
      </c>
      <c r="E226" s="1009" t="s">
        <v>781</v>
      </c>
      <c r="F226" s="1009">
        <v>395.33</v>
      </c>
    </row>
    <row r="227" spans="1:6">
      <c r="B227" s="1009" t="s">
        <v>448</v>
      </c>
      <c r="C227" s="1009" t="s">
        <v>449</v>
      </c>
      <c r="D227" s="1009">
        <v>0</v>
      </c>
      <c r="E227" s="1009" t="s">
        <v>448</v>
      </c>
      <c r="F227" s="1009">
        <v>0</v>
      </c>
    </row>
    <row r="228" spans="1:6">
      <c r="F228" s="1009" t="s">
        <v>1667</v>
      </c>
    </row>
    <row r="229" spans="1:6">
      <c r="C229" s="1009" t="s">
        <v>1831</v>
      </c>
      <c r="F229" s="1009">
        <v>987.76</v>
      </c>
    </row>
    <row r="230" spans="1:6">
      <c r="F230" s="1009" t="s">
        <v>1667</v>
      </c>
    </row>
    <row r="231" spans="1:6">
      <c r="C231" s="1009" t="s">
        <v>4401</v>
      </c>
      <c r="F231" s="1009">
        <v>1329.42</v>
      </c>
    </row>
    <row r="233" spans="1:6">
      <c r="A233" s="1009" t="s">
        <v>230</v>
      </c>
      <c r="B233" s="1009" t="s">
        <v>2338</v>
      </c>
      <c r="C233" s="1009" t="s">
        <v>1998</v>
      </c>
    </row>
    <row r="234" spans="1:6">
      <c r="C234" s="1009" t="s">
        <v>948</v>
      </c>
    </row>
    <row r="235" spans="1:6">
      <c r="C235" s="1009" t="s">
        <v>1667</v>
      </c>
    </row>
    <row r="236" spans="1:6">
      <c r="A236" s="1009">
        <v>0.22</v>
      </c>
      <c r="B236" s="1009" t="s">
        <v>884</v>
      </c>
      <c r="C236" s="1009" t="s">
        <v>1364</v>
      </c>
      <c r="D236" s="1009">
        <v>3595.65</v>
      </c>
      <c r="E236" s="1009" t="s">
        <v>884</v>
      </c>
      <c r="F236" s="1009">
        <v>791.04</v>
      </c>
    </row>
    <row r="237" spans="1:6">
      <c r="A237" s="1009">
        <v>2.2000000000000002</v>
      </c>
      <c r="B237" s="1009" t="s">
        <v>781</v>
      </c>
      <c r="C237" s="1009" t="s">
        <v>2082</v>
      </c>
      <c r="D237" s="1009">
        <v>807.45</v>
      </c>
      <c r="E237" s="1009" t="s">
        <v>781</v>
      </c>
      <c r="F237" s="1009">
        <v>1776.39</v>
      </c>
    </row>
    <row r="238" spans="1:6">
      <c r="A238" s="1009">
        <v>0.5</v>
      </c>
      <c r="B238" s="1009" t="s">
        <v>781</v>
      </c>
      <c r="C238" s="1009" t="s">
        <v>949</v>
      </c>
      <c r="D238" s="1009">
        <v>527.1</v>
      </c>
      <c r="E238" s="1009" t="s">
        <v>781</v>
      </c>
      <c r="F238" s="1009">
        <v>263.55</v>
      </c>
    </row>
    <row r="239" spans="1:6">
      <c r="A239" s="1009">
        <v>3.2</v>
      </c>
      <c r="B239" s="1009" t="s">
        <v>781</v>
      </c>
      <c r="C239" s="1009" t="s">
        <v>324</v>
      </c>
      <c r="D239" s="1009">
        <v>432.6</v>
      </c>
      <c r="E239" s="1009" t="s">
        <v>781</v>
      </c>
      <c r="F239" s="1009">
        <v>1384.32</v>
      </c>
    </row>
    <row r="240" spans="1:6">
      <c r="B240" s="1009" t="s">
        <v>448</v>
      </c>
      <c r="C240" s="1009" t="s">
        <v>449</v>
      </c>
      <c r="D240" s="1009" t="s">
        <v>995</v>
      </c>
      <c r="E240" s="1009" t="s">
        <v>448</v>
      </c>
      <c r="F240" s="1009">
        <v>5</v>
      </c>
    </row>
    <row r="241" spans="1:6">
      <c r="F241" s="1009" t="s">
        <v>1667</v>
      </c>
    </row>
    <row r="242" spans="1:6">
      <c r="C242" s="1009" t="s">
        <v>440</v>
      </c>
      <c r="F242" s="1009">
        <v>4220.3</v>
      </c>
    </row>
    <row r="243" spans="1:6">
      <c r="A243" s="1009" t="s">
        <v>995</v>
      </c>
      <c r="F243" s="1009" t="s">
        <v>1667</v>
      </c>
    </row>
    <row r="244" spans="1:6">
      <c r="C244" s="1009" t="s">
        <v>555</v>
      </c>
      <c r="F244" s="1009">
        <v>422.03</v>
      </c>
    </row>
    <row r="245" spans="1:6">
      <c r="F245" s="1009" t="s">
        <v>2130</v>
      </c>
    </row>
    <row r="246" spans="1:6">
      <c r="A246" s="1009" t="s">
        <v>1354</v>
      </c>
      <c r="B246" s="1009" t="s">
        <v>2338</v>
      </c>
      <c r="C246" s="1009" t="s">
        <v>5</v>
      </c>
    </row>
    <row r="247" spans="1:6">
      <c r="C247" s="1009" t="s">
        <v>1667</v>
      </c>
    </row>
    <row r="248" spans="1:6">
      <c r="A248" s="1009">
        <v>0.14000000000000001</v>
      </c>
      <c r="B248" s="1009" t="s">
        <v>884</v>
      </c>
      <c r="C248" s="1009" t="s">
        <v>1710</v>
      </c>
      <c r="D248" s="1009">
        <v>3178.05</v>
      </c>
      <c r="E248" s="1009" t="s">
        <v>884</v>
      </c>
      <c r="F248" s="1009">
        <v>444.93</v>
      </c>
    </row>
    <row r="249" spans="1:6">
      <c r="A249" s="1009">
        <v>1.1000000000000001</v>
      </c>
      <c r="B249" s="1009" t="s">
        <v>883</v>
      </c>
      <c r="C249" s="1009" t="s">
        <v>2082</v>
      </c>
      <c r="D249" s="1009">
        <v>807.45</v>
      </c>
      <c r="E249" s="1009" t="s">
        <v>883</v>
      </c>
      <c r="F249" s="1009">
        <v>888.2</v>
      </c>
    </row>
    <row r="250" spans="1:6">
      <c r="A250" s="1009">
        <v>0.5</v>
      </c>
      <c r="B250" s="1009" t="s">
        <v>883</v>
      </c>
      <c r="C250" s="1009" t="s">
        <v>1979</v>
      </c>
      <c r="D250" s="1009">
        <v>527.1</v>
      </c>
      <c r="E250" s="1009" t="s">
        <v>883</v>
      </c>
      <c r="F250" s="1009">
        <v>263.55</v>
      </c>
    </row>
    <row r="251" spans="1:6">
      <c r="A251" s="1009">
        <v>1.1000000000000001</v>
      </c>
      <c r="B251" s="1009" t="s">
        <v>883</v>
      </c>
      <c r="C251" s="1009" t="s">
        <v>324</v>
      </c>
      <c r="D251" s="1009">
        <v>432.6</v>
      </c>
      <c r="E251" s="1009" t="s">
        <v>883</v>
      </c>
      <c r="F251" s="1009">
        <v>475.86</v>
      </c>
    </row>
    <row r="252" spans="1:6">
      <c r="B252" s="1009" t="s">
        <v>448</v>
      </c>
      <c r="C252" s="1009" t="s">
        <v>449</v>
      </c>
      <c r="D252" s="1009" t="s">
        <v>995</v>
      </c>
      <c r="E252" s="1009" t="s">
        <v>448</v>
      </c>
      <c r="F252" s="1009">
        <v>5</v>
      </c>
    </row>
    <row r="253" spans="1:6">
      <c r="F253" s="1009" t="s">
        <v>1667</v>
      </c>
    </row>
    <row r="254" spans="1:6">
      <c r="C254" s="1009" t="s">
        <v>440</v>
      </c>
      <c r="F254" s="1009">
        <v>2077.54</v>
      </c>
    </row>
    <row r="255" spans="1:6">
      <c r="F255" s="1009" t="s">
        <v>1667</v>
      </c>
    </row>
    <row r="256" spans="1:6">
      <c r="C256" s="1009" t="s">
        <v>555</v>
      </c>
      <c r="F256" s="1009">
        <v>207.75</v>
      </c>
    </row>
    <row r="258" spans="1:6">
      <c r="A258" s="1009" t="s">
        <v>89</v>
      </c>
      <c r="C258" s="1009" t="s">
        <v>209</v>
      </c>
    </row>
    <row r="259" spans="1:6">
      <c r="C259" s="1009" t="s">
        <v>1897</v>
      </c>
    </row>
    <row r="260" spans="1:6">
      <c r="A260" s="1009" t="s">
        <v>995</v>
      </c>
      <c r="C260" s="1009" t="s">
        <v>2271</v>
      </c>
    </row>
    <row r="261" spans="1:6">
      <c r="C261" s="1009" t="s">
        <v>1667</v>
      </c>
    </row>
    <row r="262" spans="1:6">
      <c r="A262" s="1009">
        <v>3</v>
      </c>
      <c r="B262" s="1009" t="s">
        <v>2272</v>
      </c>
      <c r="C262" s="1009" t="s">
        <v>2273</v>
      </c>
      <c r="D262" s="1009">
        <v>120.54</v>
      </c>
      <c r="E262" s="1009" t="s">
        <v>2272</v>
      </c>
      <c r="F262" s="1009">
        <v>361.62</v>
      </c>
    </row>
    <row r="263" spans="1:6">
      <c r="A263" s="1009">
        <v>1</v>
      </c>
      <c r="B263" s="1009" t="s">
        <v>1843</v>
      </c>
      <c r="C263" s="1009" t="s">
        <v>2274</v>
      </c>
      <c r="D263" s="1009">
        <v>70</v>
      </c>
      <c r="E263" s="1009" t="s">
        <v>1843</v>
      </c>
      <c r="F263" s="1009">
        <v>70</v>
      </c>
    </row>
    <row r="264" spans="1:6">
      <c r="A264" s="1009">
        <v>1</v>
      </c>
      <c r="B264" s="1009" t="s">
        <v>1843</v>
      </c>
      <c r="C264" s="1009" t="s">
        <v>2275</v>
      </c>
      <c r="D264" s="1009">
        <v>8</v>
      </c>
      <c r="E264" s="1009" t="s">
        <v>1843</v>
      </c>
      <c r="F264" s="1009">
        <v>8</v>
      </c>
    </row>
    <row r="265" spans="1:6">
      <c r="A265" s="1009" t="s">
        <v>744</v>
      </c>
      <c r="C265" s="1009" t="s">
        <v>2276</v>
      </c>
      <c r="D265" s="1009" t="s">
        <v>744</v>
      </c>
      <c r="F265" s="1009">
        <v>2.08</v>
      </c>
    </row>
    <row r="266" spans="1:6">
      <c r="F266" s="1009" t="s">
        <v>1667</v>
      </c>
    </row>
    <row r="267" spans="1:6">
      <c r="C267" s="1009" t="s">
        <v>395</v>
      </c>
      <c r="F267" s="1009">
        <v>441.7</v>
      </c>
    </row>
    <row r="268" spans="1:6">
      <c r="F268" s="1009" t="s">
        <v>1667</v>
      </c>
    </row>
    <row r="269" spans="1:6">
      <c r="C269" s="1009" t="s">
        <v>4402</v>
      </c>
    </row>
    <row r="270" spans="1:6">
      <c r="C270" s="1009" t="s">
        <v>1667</v>
      </c>
    </row>
    <row r="271" spans="1:6">
      <c r="B271" s="1009" t="s">
        <v>2338</v>
      </c>
      <c r="C271" s="1009" t="s">
        <v>4403</v>
      </c>
    </row>
    <row r="272" spans="1:6">
      <c r="C272" s="1009" t="s">
        <v>4404</v>
      </c>
    </row>
    <row r="273" spans="1:6">
      <c r="C273" s="1009" t="s">
        <v>159</v>
      </c>
    </row>
    <row r="274" spans="1:6">
      <c r="C274" s="1009" t="s">
        <v>1667</v>
      </c>
    </row>
    <row r="275" spans="1:6">
      <c r="B275" s="1009" t="s">
        <v>160</v>
      </c>
      <c r="C275" s="1009" t="s">
        <v>4405</v>
      </c>
    </row>
    <row r="276" spans="1:6">
      <c r="C276" s="1009" t="s">
        <v>1667</v>
      </c>
    </row>
    <row r="277" spans="1:6">
      <c r="A277" s="1009">
        <v>18.899999999999999</v>
      </c>
      <c r="B277" s="1009" t="s">
        <v>884</v>
      </c>
      <c r="C277" s="1009" t="s">
        <v>621</v>
      </c>
      <c r="D277" s="1009">
        <v>176.4</v>
      </c>
      <c r="E277" s="1009" t="s">
        <v>884</v>
      </c>
      <c r="F277" s="1009">
        <v>3333.96</v>
      </c>
    </row>
    <row r="278" spans="1:6">
      <c r="A278" s="1009">
        <v>18.63</v>
      </c>
      <c r="B278" s="1009" t="s">
        <v>884</v>
      </c>
      <c r="C278" s="1009" t="s">
        <v>2232</v>
      </c>
      <c r="D278" s="1009">
        <v>30.77</v>
      </c>
      <c r="E278" s="1009" t="s">
        <v>884</v>
      </c>
      <c r="F278" s="1009">
        <v>573.25</v>
      </c>
    </row>
    <row r="279" spans="1:6">
      <c r="A279" s="1009">
        <v>30</v>
      </c>
      <c r="B279" s="1009" t="s">
        <v>1854</v>
      </c>
      <c r="C279" s="1009" t="s">
        <v>4406</v>
      </c>
      <c r="D279" s="1009">
        <v>191</v>
      </c>
      <c r="E279" s="1009" t="s">
        <v>1854</v>
      </c>
      <c r="F279" s="1009">
        <v>5730</v>
      </c>
    </row>
    <row r="281" spans="1:6">
      <c r="A281" s="1009">
        <v>30</v>
      </c>
      <c r="B281" s="1009" t="s">
        <v>1854</v>
      </c>
      <c r="C281" s="1009" t="s">
        <v>2233</v>
      </c>
      <c r="D281" s="1009">
        <v>13.64</v>
      </c>
      <c r="E281" s="1009" t="s">
        <v>1854</v>
      </c>
      <c r="F281" s="1009">
        <v>409.2</v>
      </c>
    </row>
    <row r="282" spans="1:6">
      <c r="C282" s="1009" t="s">
        <v>2234</v>
      </c>
    </row>
    <row r="283" spans="1:6">
      <c r="C283" s="1009" t="s">
        <v>2235</v>
      </c>
    </row>
    <row r="284" spans="1:6">
      <c r="C284" s="1009" t="s">
        <v>2236</v>
      </c>
    </row>
    <row r="285" spans="1:6">
      <c r="C285" s="1009" t="s">
        <v>4407</v>
      </c>
    </row>
    <row r="287" spans="1:6">
      <c r="A287" s="1009">
        <v>5</v>
      </c>
      <c r="B287" s="1009" t="s">
        <v>781</v>
      </c>
      <c r="C287" s="1009" t="s">
        <v>4408</v>
      </c>
      <c r="D287" s="1009">
        <v>35.6</v>
      </c>
      <c r="E287" s="1009" t="s">
        <v>781</v>
      </c>
      <c r="F287" s="1009">
        <v>178</v>
      </c>
    </row>
    <row r="288" spans="1:6">
      <c r="A288" s="1009">
        <v>1</v>
      </c>
      <c r="B288" s="1009" t="s">
        <v>448</v>
      </c>
      <c r="C288" s="1009" t="s">
        <v>1770</v>
      </c>
      <c r="D288" s="1009">
        <v>12.1</v>
      </c>
      <c r="E288" s="1009" t="s">
        <v>448</v>
      </c>
      <c r="F288" s="1009">
        <v>12.1</v>
      </c>
    </row>
    <row r="289" spans="1:6">
      <c r="B289" s="1009" t="s">
        <v>448</v>
      </c>
      <c r="C289" s="1009" t="s">
        <v>449</v>
      </c>
      <c r="E289" s="1009" t="s">
        <v>448</v>
      </c>
      <c r="F289" s="1009">
        <v>17.100000000000001</v>
      </c>
    </row>
    <row r="291" spans="1:6">
      <c r="F291" s="1009" t="s">
        <v>1667</v>
      </c>
    </row>
    <row r="292" spans="1:6">
      <c r="C292" s="1009" t="s">
        <v>1621</v>
      </c>
      <c r="F292" s="1009">
        <v>10253.61</v>
      </c>
    </row>
    <row r="293" spans="1:6">
      <c r="F293" s="1009" t="s">
        <v>1667</v>
      </c>
    </row>
    <row r="294" spans="1:6">
      <c r="C294" s="1009" t="s">
        <v>1622</v>
      </c>
      <c r="F294" s="1009">
        <v>341.79</v>
      </c>
    </row>
    <row r="296" spans="1:6" ht="31.5">
      <c r="A296" s="1009" t="s">
        <v>1172</v>
      </c>
      <c r="B296" s="1009" t="s">
        <v>2338</v>
      </c>
      <c r="C296" s="1010" t="s">
        <v>4410</v>
      </c>
    </row>
    <row r="297" spans="1:6">
      <c r="C297" s="1009" t="s">
        <v>1667</v>
      </c>
    </row>
    <row r="298" spans="1:6">
      <c r="A298" s="1009">
        <v>0.06</v>
      </c>
      <c r="B298" s="1009" t="s">
        <v>884</v>
      </c>
      <c r="C298" s="1009" t="s">
        <v>4411</v>
      </c>
      <c r="D298" s="1009">
        <v>6290</v>
      </c>
      <c r="E298" s="1009" t="s">
        <v>884</v>
      </c>
      <c r="F298" s="1009">
        <v>377.4</v>
      </c>
    </row>
    <row r="299" spans="1:6">
      <c r="A299" s="1009">
        <v>0.5</v>
      </c>
      <c r="B299" s="1009" t="s">
        <v>781</v>
      </c>
      <c r="C299" s="1009" t="s">
        <v>2082</v>
      </c>
      <c r="D299" s="1009">
        <v>807.45</v>
      </c>
      <c r="E299" s="1009" t="s">
        <v>781</v>
      </c>
      <c r="F299" s="1009">
        <v>403.73</v>
      </c>
    </row>
    <row r="300" spans="1:6">
      <c r="A300" s="1009">
        <v>0.75</v>
      </c>
      <c r="B300" s="1009" t="s">
        <v>781</v>
      </c>
      <c r="C300" s="1009" t="s">
        <v>1979</v>
      </c>
      <c r="D300" s="1009">
        <v>527.1</v>
      </c>
      <c r="E300" s="1009" t="s">
        <v>781</v>
      </c>
      <c r="F300" s="1009">
        <v>395.33</v>
      </c>
    </row>
    <row r="301" spans="1:6">
      <c r="B301" s="1009" t="s">
        <v>448</v>
      </c>
      <c r="C301" s="1009" t="s">
        <v>449</v>
      </c>
      <c r="E301" s="1009" t="s">
        <v>448</v>
      </c>
    </row>
    <row r="302" spans="1:6">
      <c r="F302" s="1009" t="s">
        <v>1667</v>
      </c>
    </row>
    <row r="303" spans="1:6">
      <c r="C303" s="1009" t="s">
        <v>1831</v>
      </c>
      <c r="F303" s="1009">
        <v>1176.46</v>
      </c>
    </row>
    <row r="304" spans="1:6">
      <c r="F304" s="1009" t="s">
        <v>1667</v>
      </c>
    </row>
    <row r="305" spans="1:6">
      <c r="C305" s="1009" t="s">
        <v>555</v>
      </c>
      <c r="F305" s="1009">
        <v>1583.39</v>
      </c>
    </row>
    <row r="307" spans="1:6">
      <c r="C307" s="1009" t="s">
        <v>3366</v>
      </c>
    </row>
    <row r="308" spans="1:6">
      <c r="C308" s="1009" t="s">
        <v>4414</v>
      </c>
    </row>
    <row r="310" spans="1:6" ht="141.75">
      <c r="C310" s="1010" t="s">
        <v>4415</v>
      </c>
    </row>
    <row r="311" spans="1:6">
      <c r="A311" s="1009">
        <v>360</v>
      </c>
      <c r="C311" s="1009" t="s">
        <v>4416</v>
      </c>
      <c r="D311" s="1009">
        <v>49.3</v>
      </c>
      <c r="E311" s="1009" t="s">
        <v>2663</v>
      </c>
      <c r="F311" s="1009">
        <v>17748</v>
      </c>
    </row>
    <row r="312" spans="1:6">
      <c r="A312" s="1009">
        <v>90</v>
      </c>
      <c r="C312" s="1009" t="s">
        <v>4417</v>
      </c>
      <c r="D312" s="1009">
        <v>25.4</v>
      </c>
      <c r="E312" s="1009" t="s">
        <v>840</v>
      </c>
      <c r="F312" s="1009">
        <v>2286</v>
      </c>
    </row>
    <row r="313" spans="1:6">
      <c r="A313" s="1009">
        <v>3</v>
      </c>
      <c r="C313" s="1009" t="s">
        <v>391</v>
      </c>
      <c r="D313" s="1009">
        <v>290</v>
      </c>
      <c r="E313" s="1009" t="s">
        <v>2759</v>
      </c>
      <c r="F313" s="1009">
        <v>870</v>
      </c>
    </row>
    <row r="314" spans="1:6">
      <c r="A314" s="1009">
        <v>90</v>
      </c>
      <c r="C314" s="1009" t="s">
        <v>4418</v>
      </c>
      <c r="D314" s="1009">
        <v>33.299999999999997</v>
      </c>
      <c r="E314" s="1009" t="s">
        <v>2663</v>
      </c>
      <c r="F314" s="1009">
        <v>2997</v>
      </c>
    </row>
    <row r="315" spans="1:6">
      <c r="C315" s="1009" t="s">
        <v>931</v>
      </c>
      <c r="F315" s="1009">
        <v>12257.5</v>
      </c>
    </row>
    <row r="316" spans="1:6">
      <c r="C316" s="1009" t="s">
        <v>2359</v>
      </c>
      <c r="F316" s="1009">
        <v>111.6</v>
      </c>
    </row>
    <row r="317" spans="1:6">
      <c r="C317" s="1009" t="s">
        <v>2498</v>
      </c>
      <c r="F317" s="1009">
        <v>36270.1</v>
      </c>
    </row>
    <row r="318" spans="1:6">
      <c r="C318" s="1009" t="s">
        <v>2499</v>
      </c>
      <c r="F318" s="1009">
        <v>403</v>
      </c>
    </row>
    <row r="320" spans="1:6">
      <c r="C320" s="1009" t="s">
        <v>2789</v>
      </c>
    </row>
    <row r="321" spans="1:7">
      <c r="C321" s="1009" t="s">
        <v>2790</v>
      </c>
    </row>
    <row r="323" spans="1:7" ht="78.75">
      <c r="C323" s="1010" t="s">
        <v>4420</v>
      </c>
      <c r="G323" s="1009" t="s">
        <v>4419</v>
      </c>
    </row>
    <row r="324" spans="1:7">
      <c r="A324" s="1009">
        <v>3</v>
      </c>
      <c r="B324" s="1009" t="s">
        <v>1454</v>
      </c>
      <c r="C324" s="1009" t="s">
        <v>3668</v>
      </c>
      <c r="D324" s="1009">
        <v>186.6</v>
      </c>
      <c r="E324" s="1009" t="s">
        <v>1458</v>
      </c>
      <c r="F324" s="1009">
        <f>A324*D324</f>
        <v>559.79999999999995</v>
      </c>
      <c r="G324" s="1009">
        <v>559.79999999999995</v>
      </c>
    </row>
    <row r="325" spans="1:7">
      <c r="A325" s="1009">
        <v>1</v>
      </c>
      <c r="B325" s="1009" t="s">
        <v>1454</v>
      </c>
      <c r="C325" s="1009" t="s">
        <v>3012</v>
      </c>
      <c r="D325" s="1009">
        <v>342.82</v>
      </c>
      <c r="E325" s="1009" t="s">
        <v>1454</v>
      </c>
      <c r="F325" s="1009">
        <v>342.82</v>
      </c>
      <c r="G325" s="1009">
        <v>60.95</v>
      </c>
    </row>
    <row r="326" spans="1:7">
      <c r="C326" s="1009" t="s">
        <v>931</v>
      </c>
      <c r="F326" s="1009">
        <v>407.13</v>
      </c>
      <c r="G326" s="1009">
        <v>407.13</v>
      </c>
    </row>
    <row r="327" spans="1:7">
      <c r="C327" s="1009" t="s">
        <v>2839</v>
      </c>
      <c r="D327" s="1009" t="s">
        <v>667</v>
      </c>
      <c r="F327" s="1009">
        <v>6.12</v>
      </c>
      <c r="G327" s="1009">
        <v>6.12</v>
      </c>
    </row>
    <row r="328" spans="1:7">
      <c r="C328" s="1009" t="s">
        <v>1100</v>
      </c>
      <c r="F328" s="1009">
        <f>SUM(F324:F327)</f>
        <v>1315.87</v>
      </c>
      <c r="G328" s="1009">
        <v>1034</v>
      </c>
    </row>
    <row r="329" spans="1:7">
      <c r="G329" s="1009">
        <v>-125</v>
      </c>
    </row>
    <row r="330" spans="1:7">
      <c r="C330" s="1009" t="s">
        <v>3013</v>
      </c>
      <c r="D330" s="1009">
        <v>101575</v>
      </c>
      <c r="E330" s="1009">
        <v>0</v>
      </c>
      <c r="F330" s="1009">
        <v>342.82</v>
      </c>
    </row>
    <row r="332" spans="1:7">
      <c r="C332" s="1009" t="s">
        <v>144</v>
      </c>
    </row>
    <row r="333" spans="1:7">
      <c r="A333" s="1009">
        <v>1</v>
      </c>
      <c r="B333" s="1009" t="s">
        <v>1454</v>
      </c>
      <c r="C333" s="1009" t="s">
        <v>2901</v>
      </c>
      <c r="D333" s="1009">
        <v>636</v>
      </c>
      <c r="E333" s="1009" t="s">
        <v>1454</v>
      </c>
      <c r="F333" s="1009">
        <v>636</v>
      </c>
    </row>
    <row r="334" spans="1:7">
      <c r="A334" s="1009">
        <v>1</v>
      </c>
      <c r="B334" s="1009" t="s">
        <v>1454</v>
      </c>
      <c r="C334" s="1009" t="s">
        <v>2711</v>
      </c>
      <c r="D334" s="1009">
        <v>633</v>
      </c>
      <c r="E334" s="1009" t="s">
        <v>1454</v>
      </c>
      <c r="F334" s="1009">
        <v>633</v>
      </c>
    </row>
    <row r="335" spans="1:7">
      <c r="A335" s="1009">
        <v>4</v>
      </c>
      <c r="B335" s="1009" t="s">
        <v>1454</v>
      </c>
      <c r="C335" s="1009" t="s">
        <v>2430</v>
      </c>
      <c r="D335" s="1009">
        <v>497</v>
      </c>
      <c r="E335" s="1009" t="s">
        <v>1454</v>
      </c>
      <c r="F335" s="1009">
        <v>1988</v>
      </c>
    </row>
    <row r="336" spans="1:7">
      <c r="C336" s="1009" t="s">
        <v>2788</v>
      </c>
      <c r="F336" s="1009">
        <v>3257</v>
      </c>
    </row>
    <row r="337" spans="1:6">
      <c r="C337" s="1009" t="s">
        <v>3042</v>
      </c>
      <c r="F337" s="1009">
        <v>407.13</v>
      </c>
    </row>
    <row r="339" spans="1:6" ht="31.5">
      <c r="C339" s="1010" t="s">
        <v>4430</v>
      </c>
    </row>
    <row r="340" spans="1:6" ht="21" customHeight="1">
      <c r="A340" s="1009">
        <v>1</v>
      </c>
      <c r="B340" s="1009" t="s">
        <v>840</v>
      </c>
      <c r="C340" s="1009" t="s">
        <v>4433</v>
      </c>
      <c r="D340" s="1009">
        <v>111</v>
      </c>
      <c r="E340" s="1009" t="s">
        <v>840</v>
      </c>
      <c r="F340" s="1009">
        <f>A340*D340</f>
        <v>111</v>
      </c>
    </row>
    <row r="341" spans="1:6" ht="21" customHeight="1">
      <c r="A341" s="1009">
        <v>0.23</v>
      </c>
      <c r="B341" s="1009" t="s">
        <v>3902</v>
      </c>
      <c r="C341" s="1009" t="s">
        <v>4045</v>
      </c>
      <c r="D341" s="1009">
        <f>F70</f>
        <v>186.66</v>
      </c>
      <c r="E341" s="1009" t="s">
        <v>3902</v>
      </c>
      <c r="F341" s="1009">
        <f>A341*D341</f>
        <v>42.93</v>
      </c>
    </row>
    <row r="342" spans="1:6" ht="31.5">
      <c r="A342" s="1009">
        <v>1</v>
      </c>
      <c r="B342" s="1009" t="s">
        <v>840</v>
      </c>
      <c r="C342" s="1010" t="s">
        <v>4434</v>
      </c>
      <c r="D342" s="1009">
        <v>36.799999999999997</v>
      </c>
      <c r="E342" s="1009" t="s">
        <v>840</v>
      </c>
      <c r="F342" s="1009">
        <f>A342*D342</f>
        <v>36.799999999999997</v>
      </c>
    </row>
    <row r="343" spans="1:6" ht="21" customHeight="1">
      <c r="A343" s="1009">
        <v>0.25</v>
      </c>
      <c r="B343" s="1009" t="s">
        <v>4431</v>
      </c>
      <c r="C343" s="1009" t="s">
        <v>4432</v>
      </c>
      <c r="D343" s="1009">
        <v>497</v>
      </c>
      <c r="E343" s="1009" t="s">
        <v>1492</v>
      </c>
      <c r="F343" s="1009">
        <f>A343*D343</f>
        <v>124.25</v>
      </c>
    </row>
    <row r="344" spans="1:6" ht="21" customHeight="1">
      <c r="C344" s="1009" t="s">
        <v>4046</v>
      </c>
      <c r="F344" s="1009">
        <f>SUM(F340:F343)</f>
        <v>314.98</v>
      </c>
    </row>
    <row r="346" spans="1:6" ht="31.5">
      <c r="C346" s="1010" t="s">
        <v>4435</v>
      </c>
    </row>
    <row r="347" spans="1:6" ht="18" customHeight="1">
      <c r="A347" s="1009">
        <v>1</v>
      </c>
      <c r="B347" s="1009" t="s">
        <v>840</v>
      </c>
      <c r="C347" s="1009" t="s">
        <v>4436</v>
      </c>
      <c r="D347" s="1009">
        <v>65.900000000000006</v>
      </c>
      <c r="E347" s="1009" t="s">
        <v>840</v>
      </c>
      <c r="F347" s="1009">
        <f>A347*D347</f>
        <v>65.900000000000006</v>
      </c>
    </row>
    <row r="348" spans="1:6" ht="18" customHeight="1">
      <c r="A348" s="1009">
        <v>0.23</v>
      </c>
      <c r="B348" s="1009" t="s">
        <v>3902</v>
      </c>
      <c r="C348" s="1009" t="s">
        <v>4045</v>
      </c>
      <c r="D348" s="1009">
        <f>D341</f>
        <v>186.66</v>
      </c>
      <c r="E348" s="1009" t="s">
        <v>3902</v>
      </c>
      <c r="F348" s="1009">
        <f>A348*D348</f>
        <v>42.93</v>
      </c>
    </row>
    <row r="349" spans="1:6" ht="18" customHeight="1">
      <c r="A349" s="1009">
        <v>1</v>
      </c>
      <c r="B349" s="1009" t="s">
        <v>840</v>
      </c>
      <c r="C349" s="1009" t="str">
        <f>C342</f>
        <v>cost of PVC pipe 25mm dia(PWD SR P99/2020--21)</v>
      </c>
      <c r="D349" s="1009">
        <f>D342</f>
        <v>36.799999999999997</v>
      </c>
      <c r="E349" s="1009" t="s">
        <v>840</v>
      </c>
      <c r="F349" s="1009">
        <f>A349*D349</f>
        <v>36.799999999999997</v>
      </c>
    </row>
    <row r="350" spans="1:6" ht="18" customHeight="1">
      <c r="A350" s="1009">
        <v>0.1</v>
      </c>
      <c r="B350" s="1009" t="s">
        <v>1492</v>
      </c>
      <c r="C350" s="1009" t="s">
        <v>4437</v>
      </c>
      <c r="D350" s="1009">
        <f>667*1.05</f>
        <v>700.35</v>
      </c>
      <c r="E350" s="1009" t="s">
        <v>1492</v>
      </c>
      <c r="F350" s="1009">
        <f>A350*D350</f>
        <v>70.040000000000006</v>
      </c>
    </row>
    <row r="351" spans="1:6" ht="18" customHeight="1">
      <c r="C351" s="1009" t="s">
        <v>4046</v>
      </c>
      <c r="F351" s="1009">
        <f>SUM(F347:F350)</f>
        <v>215.67</v>
      </c>
    </row>
    <row r="353" spans="1:6" ht="47.25">
      <c r="C353" s="1010" t="s">
        <v>4102</v>
      </c>
    </row>
    <row r="354" spans="1:6" ht="31.5">
      <c r="A354" s="1101">
        <v>1</v>
      </c>
      <c r="B354" s="1101" t="s">
        <v>840</v>
      </c>
      <c r="C354" s="1102" t="s">
        <v>4441</v>
      </c>
      <c r="D354" s="1101">
        <v>86.3</v>
      </c>
      <c r="E354" s="1101" t="s">
        <v>840</v>
      </c>
      <c r="F354" s="1009">
        <f>A354*D354</f>
        <v>86.3</v>
      </c>
    </row>
    <row r="355" spans="1:6" ht="24" customHeight="1">
      <c r="A355" s="1101">
        <v>0.23</v>
      </c>
      <c r="B355" s="1101" t="s">
        <v>3902</v>
      </c>
      <c r="C355" s="1102" t="s">
        <v>4045</v>
      </c>
      <c r="D355" s="1101">
        <f>D348</f>
        <v>186.66</v>
      </c>
      <c r="E355" s="1101" t="s">
        <v>3902</v>
      </c>
      <c r="F355" s="1009">
        <f>A355*D355</f>
        <v>42.93</v>
      </c>
    </row>
    <row r="356" spans="1:6" ht="31.5">
      <c r="A356" s="1101">
        <v>150</v>
      </c>
      <c r="B356" s="1101" t="s">
        <v>4438</v>
      </c>
      <c r="C356" s="1102" t="s">
        <v>4439</v>
      </c>
      <c r="D356" s="1101">
        <v>34</v>
      </c>
      <c r="E356" s="1101" t="s">
        <v>4440</v>
      </c>
      <c r="F356" s="1009">
        <f>(A356*D356)/100</f>
        <v>51</v>
      </c>
    </row>
    <row r="357" spans="1:6">
      <c r="A357" s="1101">
        <v>0.2</v>
      </c>
      <c r="B357" s="1101" t="s">
        <v>1454</v>
      </c>
      <c r="C357" s="1102" t="s">
        <v>4437</v>
      </c>
      <c r="D357" s="1101">
        <f>D350</f>
        <v>700.35</v>
      </c>
      <c r="E357" s="1101" t="s">
        <v>1454</v>
      </c>
      <c r="F357" s="1009">
        <f>A357*D357</f>
        <v>140.07</v>
      </c>
    </row>
    <row r="358" spans="1:6">
      <c r="A358" s="1101"/>
      <c r="B358" s="1101"/>
      <c r="C358" s="1101" t="s">
        <v>4046</v>
      </c>
      <c r="D358" s="1101"/>
      <c r="E358" s="1101"/>
      <c r="F358" s="1101">
        <f>SUM(F354:F357)</f>
        <v>320.3</v>
      </c>
    </row>
    <row r="361" spans="1:6" ht="47.25">
      <c r="C361" s="1010" t="s">
        <v>4442</v>
      </c>
    </row>
    <row r="362" spans="1:6" ht="31.5">
      <c r="A362" s="1101">
        <v>1</v>
      </c>
      <c r="B362" s="1101" t="s">
        <v>840</v>
      </c>
      <c r="C362" s="1102" t="s">
        <v>4443</v>
      </c>
      <c r="D362" s="1101">
        <v>36.799999999999997</v>
      </c>
      <c r="E362" s="1101" t="s">
        <v>840</v>
      </c>
      <c r="F362" s="1009">
        <f>A362*D362</f>
        <v>36.799999999999997</v>
      </c>
    </row>
    <row r="363" spans="1:6">
      <c r="A363" s="1101">
        <v>0.23</v>
      </c>
      <c r="B363" s="1101" t="s">
        <v>3902</v>
      </c>
      <c r="C363" s="1102" t="s">
        <v>4045</v>
      </c>
      <c r="D363" s="1101">
        <f>D355</f>
        <v>186.66</v>
      </c>
      <c r="E363" s="1101" t="s">
        <v>3902</v>
      </c>
      <c r="F363" s="1009">
        <f>A363*D363</f>
        <v>42.93</v>
      </c>
    </row>
    <row r="364" spans="1:6" ht="31.5">
      <c r="A364" s="1101">
        <v>150</v>
      </c>
      <c r="B364" s="1101" t="s">
        <v>4438</v>
      </c>
      <c r="C364" s="1102" t="s">
        <v>4439</v>
      </c>
      <c r="D364" s="1101">
        <v>34</v>
      </c>
      <c r="E364" s="1101" t="s">
        <v>4440</v>
      </c>
      <c r="F364" s="1009">
        <f>(A364*D364)/100</f>
        <v>51</v>
      </c>
    </row>
    <row r="365" spans="1:6">
      <c r="A365" s="1101">
        <v>0.2</v>
      </c>
      <c r="B365" s="1101" t="s">
        <v>1454</v>
      </c>
      <c r="C365" s="1102" t="s">
        <v>4437</v>
      </c>
      <c r="D365" s="1101">
        <f>D357</f>
        <v>700.35</v>
      </c>
      <c r="E365" s="1101" t="s">
        <v>1454</v>
      </c>
      <c r="F365" s="1009">
        <f>A365*D365</f>
        <v>140.07</v>
      </c>
    </row>
    <row r="366" spans="1:6">
      <c r="A366" s="1101"/>
      <c r="B366" s="1101"/>
      <c r="C366" s="1101" t="s">
        <v>4046</v>
      </c>
      <c r="D366" s="1101"/>
      <c r="E366" s="1101"/>
      <c r="F366" s="1101">
        <f>SUM(F362:F365)</f>
        <v>270.8</v>
      </c>
    </row>
  </sheetData>
  <printOptions horizontalCentered="1"/>
  <pageMargins left="0.7" right="0.2" top="0.5" bottom="0.5" header="0.3" footer="0.3"/>
  <pageSetup paperSize="9" scale="90" orientation="portrait" r:id="rId1"/>
</worksheet>
</file>

<file path=xl/worksheets/sheet43.xml><?xml version="1.0" encoding="utf-8"?>
<worksheet xmlns="http://schemas.openxmlformats.org/spreadsheetml/2006/main" xmlns:r="http://schemas.openxmlformats.org/officeDocument/2006/relationships">
  <sheetPr>
    <tabColor rgb="FFFFFF00"/>
  </sheetPr>
  <dimension ref="A1:J50"/>
  <sheetViews>
    <sheetView view="pageBreakPreview" zoomScale="70" zoomScaleSheetLayoutView="70" workbookViewId="0"/>
  </sheetViews>
  <sheetFormatPr defaultRowHeight="15.75"/>
  <cols>
    <col min="2" max="2" width="46.5546875" customWidth="1"/>
    <col min="3" max="3" width="9" bestFit="1" customWidth="1"/>
    <col min="4" max="4" width="22.88671875" bestFit="1" customWidth="1"/>
    <col min="5" max="5" width="6.77734375" bestFit="1" customWidth="1"/>
    <col min="6" max="6" width="10.88671875" bestFit="1" customWidth="1"/>
    <col min="8" max="8" width="12.88671875" bestFit="1" customWidth="1"/>
    <col min="9" max="9" width="36.77734375" bestFit="1" customWidth="1"/>
    <col min="10" max="10" width="13" customWidth="1"/>
  </cols>
  <sheetData>
    <row r="1" spans="1:10">
      <c r="B1" t="s">
        <v>2129</v>
      </c>
      <c r="D1" t="s">
        <v>995</v>
      </c>
    </row>
    <row r="2" spans="1:10">
      <c r="B2" t="s">
        <v>331</v>
      </c>
    </row>
    <row r="3" spans="1:10" ht="33.75" customHeight="1">
      <c r="A3" t="s">
        <v>1666</v>
      </c>
      <c r="B3" s="29" t="s">
        <v>4529</v>
      </c>
      <c r="D3" t="s">
        <v>4635</v>
      </c>
    </row>
    <row r="4" spans="1:10">
      <c r="B4" t="s">
        <v>995</v>
      </c>
      <c r="D4" t="s">
        <v>995</v>
      </c>
      <c r="E4" t="s">
        <v>246</v>
      </c>
      <c r="H4" t="s">
        <v>995</v>
      </c>
    </row>
    <row r="5" spans="1:10">
      <c r="A5" t="s">
        <v>1667</v>
      </c>
      <c r="B5" t="s">
        <v>1667</v>
      </c>
      <c r="C5" t="s">
        <v>1667</v>
      </c>
      <c r="D5" t="s">
        <v>1667</v>
      </c>
      <c r="E5" t="s">
        <v>1667</v>
      </c>
      <c r="F5" t="s">
        <v>1667</v>
      </c>
      <c r="G5" t="s">
        <v>1667</v>
      </c>
      <c r="H5" t="s">
        <v>1667</v>
      </c>
      <c r="I5" t="s">
        <v>1667</v>
      </c>
      <c r="J5" t="s">
        <v>1667</v>
      </c>
    </row>
    <row r="6" spans="1:10">
      <c r="A6" t="s">
        <v>704</v>
      </c>
      <c r="B6" t="s">
        <v>60</v>
      </c>
      <c r="C6" t="s">
        <v>2330</v>
      </c>
      <c r="D6" t="s">
        <v>2331</v>
      </c>
      <c r="E6" t="s">
        <v>2332</v>
      </c>
      <c r="F6" t="s">
        <v>2333</v>
      </c>
      <c r="G6" t="s">
        <v>2334</v>
      </c>
      <c r="H6" t="s">
        <v>2336</v>
      </c>
      <c r="I6" t="s">
        <v>2337</v>
      </c>
    </row>
    <row r="7" spans="1:10">
      <c r="E7" t="s">
        <v>2341</v>
      </c>
      <c r="F7" t="s">
        <v>2336</v>
      </c>
      <c r="G7" t="s">
        <v>2342</v>
      </c>
      <c r="H7" t="s">
        <v>2344</v>
      </c>
    </row>
    <row r="8" spans="1:10">
      <c r="A8" t="s">
        <v>1667</v>
      </c>
      <c r="B8" t="s">
        <v>1667</v>
      </c>
      <c r="C8" t="s">
        <v>1667</v>
      </c>
      <c r="D8" t="s">
        <v>1667</v>
      </c>
      <c r="E8" t="s">
        <v>1667</v>
      </c>
      <c r="F8" t="s">
        <v>1667</v>
      </c>
      <c r="G8" t="s">
        <v>1667</v>
      </c>
      <c r="H8" t="s">
        <v>1667</v>
      </c>
      <c r="I8" t="s">
        <v>1667</v>
      </c>
      <c r="J8" t="s">
        <v>1667</v>
      </c>
    </row>
    <row r="9" spans="1:10" ht="24.75" customHeight="1">
      <c r="A9" t="s">
        <v>879</v>
      </c>
      <c r="B9" t="s">
        <v>880</v>
      </c>
      <c r="C9" t="s">
        <v>881</v>
      </c>
      <c r="D9" s="1" t="s">
        <v>4091</v>
      </c>
      <c r="E9">
        <v>12</v>
      </c>
      <c r="F9">
        <v>445</v>
      </c>
      <c r="G9">
        <v>130.34</v>
      </c>
      <c r="H9">
        <v>575.34</v>
      </c>
      <c r="I9" t="s">
        <v>1493</v>
      </c>
      <c r="J9">
        <v>904.05</v>
      </c>
    </row>
    <row r="10" spans="1:10" ht="24.75" customHeight="1">
      <c r="A10" t="s">
        <v>886</v>
      </c>
      <c r="B10" t="s">
        <v>887</v>
      </c>
      <c r="C10" t="s">
        <v>881</v>
      </c>
      <c r="D10" s="1" t="s">
        <v>4091</v>
      </c>
      <c r="E10">
        <v>12</v>
      </c>
      <c r="F10">
        <v>642</v>
      </c>
      <c r="G10">
        <v>130.34</v>
      </c>
      <c r="H10">
        <v>772.34</v>
      </c>
      <c r="I10" t="s">
        <v>200</v>
      </c>
      <c r="J10">
        <v>844.2</v>
      </c>
    </row>
    <row r="11" spans="1:10" ht="24.75" customHeight="1">
      <c r="A11" t="s">
        <v>891</v>
      </c>
      <c r="B11" t="s">
        <v>892</v>
      </c>
      <c r="C11" t="s">
        <v>881</v>
      </c>
      <c r="D11" s="1" t="s">
        <v>4091</v>
      </c>
      <c r="E11">
        <v>12</v>
      </c>
      <c r="F11">
        <v>744.33</v>
      </c>
      <c r="G11">
        <v>130.34</v>
      </c>
      <c r="H11">
        <v>874.67</v>
      </c>
      <c r="I11" t="s">
        <v>893</v>
      </c>
      <c r="J11">
        <v>590.1</v>
      </c>
    </row>
    <row r="12" spans="1:10" ht="24.75" customHeight="1">
      <c r="A12" t="s">
        <v>450</v>
      </c>
      <c r="B12" t="s">
        <v>1571</v>
      </c>
      <c r="C12" t="s">
        <v>881</v>
      </c>
      <c r="D12" s="1" t="s">
        <v>4091</v>
      </c>
      <c r="E12">
        <v>12</v>
      </c>
      <c r="F12">
        <v>977</v>
      </c>
      <c r="G12">
        <v>130.34</v>
      </c>
      <c r="H12">
        <v>1107.3399999999999</v>
      </c>
      <c r="I12" t="s">
        <v>1572</v>
      </c>
      <c r="J12">
        <v>484.05</v>
      </c>
    </row>
    <row r="13" spans="1:10" ht="24.75" customHeight="1">
      <c r="A13" t="s">
        <v>1574</v>
      </c>
      <c r="B13" t="s">
        <v>1575</v>
      </c>
      <c r="C13" t="s">
        <v>881</v>
      </c>
      <c r="D13" s="1" t="s">
        <v>4091</v>
      </c>
      <c r="E13">
        <v>12</v>
      </c>
      <c r="F13">
        <v>1329</v>
      </c>
      <c r="G13">
        <v>130.34</v>
      </c>
      <c r="H13">
        <v>1459.34</v>
      </c>
      <c r="I13" t="s">
        <v>1576</v>
      </c>
      <c r="J13">
        <v>722.4</v>
      </c>
    </row>
    <row r="14" spans="1:10" ht="24.75" customHeight="1">
      <c r="A14" t="s">
        <v>2081</v>
      </c>
      <c r="B14" t="s">
        <v>116</v>
      </c>
      <c r="C14" t="s">
        <v>881</v>
      </c>
      <c r="D14" s="1" t="s">
        <v>4091</v>
      </c>
      <c r="E14">
        <v>12</v>
      </c>
      <c r="F14">
        <v>1432</v>
      </c>
      <c r="G14">
        <v>130.34</v>
      </c>
      <c r="H14">
        <v>1562.34</v>
      </c>
      <c r="I14" t="s">
        <v>117</v>
      </c>
      <c r="J14">
        <v>699.3</v>
      </c>
    </row>
    <row r="15" spans="1:10" ht="24.75" customHeight="1">
      <c r="A15" t="s">
        <v>119</v>
      </c>
      <c r="B15" t="s">
        <v>120</v>
      </c>
      <c r="C15" t="s">
        <v>881</v>
      </c>
      <c r="D15" s="1" t="s">
        <v>4091</v>
      </c>
      <c r="E15">
        <v>12</v>
      </c>
      <c r="F15">
        <v>1029</v>
      </c>
      <c r="G15">
        <v>130.34</v>
      </c>
      <c r="H15">
        <v>1159.3399999999999</v>
      </c>
      <c r="I15" t="s">
        <v>121</v>
      </c>
      <c r="J15">
        <v>784.35</v>
      </c>
    </row>
    <row r="16" spans="1:10" ht="24.75" customHeight="1">
      <c r="A16" t="s">
        <v>125</v>
      </c>
      <c r="B16" t="s">
        <v>4530</v>
      </c>
      <c r="C16" t="s">
        <v>881</v>
      </c>
      <c r="D16" s="1" t="s">
        <v>4531</v>
      </c>
      <c r="E16">
        <v>17</v>
      </c>
      <c r="F16">
        <v>1280</v>
      </c>
      <c r="G16">
        <v>177.94</v>
      </c>
      <c r="H16">
        <v>1457.94</v>
      </c>
      <c r="I16" t="s">
        <v>2328</v>
      </c>
      <c r="J16">
        <v>760.2</v>
      </c>
    </row>
    <row r="17" spans="1:10" ht="24.75" customHeight="1">
      <c r="A17" t="s">
        <v>1063</v>
      </c>
      <c r="B17" t="s">
        <v>4532</v>
      </c>
      <c r="C17" t="s">
        <v>881</v>
      </c>
      <c r="D17" s="1" t="s">
        <v>4531</v>
      </c>
      <c r="E17">
        <v>17</v>
      </c>
      <c r="F17">
        <v>1280</v>
      </c>
      <c r="G17">
        <v>177.94</v>
      </c>
      <c r="H17">
        <v>1457.94</v>
      </c>
      <c r="I17" t="s">
        <v>1065</v>
      </c>
      <c r="J17">
        <v>798</v>
      </c>
    </row>
    <row r="18" spans="1:10" ht="24.75" customHeight="1">
      <c r="A18" s="1142">
        <v>10</v>
      </c>
      <c r="B18" t="s">
        <v>4533</v>
      </c>
      <c r="C18" t="s">
        <v>1508</v>
      </c>
      <c r="D18" s="1" t="s">
        <v>3783</v>
      </c>
      <c r="E18">
        <v>16</v>
      </c>
      <c r="F18">
        <v>5570</v>
      </c>
      <c r="G18">
        <v>142.13999999999999</v>
      </c>
      <c r="H18">
        <v>5712.14</v>
      </c>
      <c r="I18" t="s">
        <v>1509</v>
      </c>
      <c r="J18">
        <v>775.95</v>
      </c>
    </row>
    <row r="19" spans="1:10" ht="24.75" customHeight="1">
      <c r="A19" t="s">
        <v>76</v>
      </c>
      <c r="B19" t="s">
        <v>77</v>
      </c>
      <c r="C19" t="s">
        <v>884</v>
      </c>
      <c r="D19" s="8" t="str">
        <f>D18</f>
        <v>Omalur</v>
      </c>
      <c r="E19">
        <v>16</v>
      </c>
      <c r="F19">
        <v>688</v>
      </c>
      <c r="G19">
        <v>115.7</v>
      </c>
      <c r="H19">
        <v>803.7</v>
      </c>
      <c r="I19" t="s">
        <v>78</v>
      </c>
      <c r="J19">
        <v>884.1</v>
      </c>
    </row>
    <row r="20" spans="1:10" ht="24.75" customHeight="1">
      <c r="A20" t="s">
        <v>2048</v>
      </c>
      <c r="B20" t="s">
        <v>2049</v>
      </c>
      <c r="C20" t="s">
        <v>884</v>
      </c>
      <c r="D20" s="8" t="str">
        <f>D18</f>
        <v>Omalur</v>
      </c>
      <c r="E20">
        <v>16</v>
      </c>
      <c r="F20">
        <v>767</v>
      </c>
      <c r="G20">
        <v>115.7</v>
      </c>
      <c r="H20">
        <v>882.7</v>
      </c>
      <c r="I20" t="s">
        <v>2050</v>
      </c>
      <c r="J20">
        <v>844.2</v>
      </c>
    </row>
    <row r="21" spans="1:10" ht="24.75" customHeight="1">
      <c r="A21" t="s">
        <v>2350</v>
      </c>
      <c r="B21" t="s">
        <v>2351</v>
      </c>
      <c r="C21" t="s">
        <v>1508</v>
      </c>
      <c r="D21" s="1" t="s">
        <v>2352</v>
      </c>
      <c r="E21">
        <v>0</v>
      </c>
      <c r="F21">
        <v>16106</v>
      </c>
      <c r="G21">
        <v>0</v>
      </c>
      <c r="H21">
        <v>16106</v>
      </c>
      <c r="I21" t="s">
        <v>2353</v>
      </c>
      <c r="J21">
        <v>694.05</v>
      </c>
    </row>
    <row r="22" spans="1:10" ht="24.75" customHeight="1">
      <c r="A22" t="s">
        <v>2076</v>
      </c>
      <c r="B22" t="s">
        <v>2077</v>
      </c>
      <c r="C22" t="s">
        <v>881</v>
      </c>
      <c r="D22" s="12" t="s">
        <v>2352</v>
      </c>
      <c r="F22">
        <v>1322</v>
      </c>
      <c r="H22">
        <v>1322</v>
      </c>
      <c r="I22" t="s">
        <v>2078</v>
      </c>
      <c r="J22">
        <v>668.85</v>
      </c>
    </row>
    <row r="23" spans="1:10" ht="24.75" customHeight="1">
      <c r="A23" t="s">
        <v>842</v>
      </c>
      <c r="B23" t="s">
        <v>843</v>
      </c>
      <c r="C23" t="s">
        <v>881</v>
      </c>
      <c r="D23" s="663" t="s">
        <v>3784</v>
      </c>
      <c r="E23">
        <v>27</v>
      </c>
      <c r="F23">
        <v>974</v>
      </c>
      <c r="G23">
        <v>181.38</v>
      </c>
      <c r="H23">
        <v>1155.3800000000001</v>
      </c>
      <c r="I23" t="s">
        <v>844</v>
      </c>
      <c r="J23">
        <v>696.15</v>
      </c>
    </row>
    <row r="24" spans="1:10" ht="24.75" customHeight="1">
      <c r="A24" t="s">
        <v>1873</v>
      </c>
      <c r="B24" t="s">
        <v>2</v>
      </c>
      <c r="C24" t="s">
        <v>881</v>
      </c>
      <c r="D24" s="1" t="s">
        <v>1874</v>
      </c>
      <c r="E24">
        <v>0</v>
      </c>
      <c r="F24">
        <v>34300</v>
      </c>
      <c r="G24">
        <v>0</v>
      </c>
      <c r="H24">
        <v>34300</v>
      </c>
      <c r="I24" t="s">
        <v>4656</v>
      </c>
      <c r="J24">
        <v>105</v>
      </c>
    </row>
    <row r="25" spans="1:10" ht="24.75" customHeight="1">
      <c r="A25" t="s">
        <v>1416</v>
      </c>
      <c r="B25" t="s">
        <v>1417</v>
      </c>
      <c r="C25" t="s">
        <v>881</v>
      </c>
      <c r="D25" s="12" t="s">
        <v>1874</v>
      </c>
      <c r="E25">
        <v>0</v>
      </c>
      <c r="F25">
        <v>39400</v>
      </c>
      <c r="G25">
        <v>0</v>
      </c>
      <c r="H25">
        <v>39400</v>
      </c>
      <c r="I25" t="s">
        <v>4657</v>
      </c>
      <c r="J25">
        <v>85.37</v>
      </c>
    </row>
    <row r="26" spans="1:10" ht="24.75" customHeight="1">
      <c r="A26" t="s">
        <v>2121</v>
      </c>
      <c r="B26" t="s">
        <v>4534</v>
      </c>
      <c r="C26" t="s">
        <v>881</v>
      </c>
      <c r="D26" s="12" t="s">
        <v>1874</v>
      </c>
      <c r="E26">
        <v>0</v>
      </c>
      <c r="F26">
        <v>111600</v>
      </c>
      <c r="G26">
        <v>0</v>
      </c>
      <c r="H26">
        <v>111600</v>
      </c>
      <c r="I26" t="s">
        <v>4658</v>
      </c>
      <c r="J26">
        <v>63.21</v>
      </c>
    </row>
    <row r="27" spans="1:10" ht="24.75" customHeight="1">
      <c r="A27" t="s">
        <v>1553</v>
      </c>
      <c r="B27" t="s">
        <v>2976</v>
      </c>
      <c r="C27" t="s">
        <v>881</v>
      </c>
      <c r="D27" s="12" t="s">
        <v>1874</v>
      </c>
      <c r="E27">
        <v>0</v>
      </c>
      <c r="F27">
        <v>99400</v>
      </c>
      <c r="G27">
        <v>0</v>
      </c>
      <c r="H27">
        <v>99400</v>
      </c>
      <c r="I27" t="s">
        <v>4659</v>
      </c>
      <c r="J27">
        <v>30.98</v>
      </c>
    </row>
    <row r="28" spans="1:10" ht="24.75" customHeight="1">
      <c r="A28" t="s">
        <v>901</v>
      </c>
      <c r="B28" t="s">
        <v>2357</v>
      </c>
      <c r="C28" t="s">
        <v>881</v>
      </c>
      <c r="D28" s="12" t="s">
        <v>1874</v>
      </c>
      <c r="E28">
        <v>0</v>
      </c>
      <c r="F28">
        <v>95000</v>
      </c>
      <c r="G28">
        <v>0</v>
      </c>
      <c r="H28">
        <v>95000</v>
      </c>
      <c r="I28" t="s">
        <v>4660</v>
      </c>
      <c r="J28">
        <v>35.28</v>
      </c>
    </row>
    <row r="29" spans="1:10" ht="24.75" customHeight="1">
      <c r="A29" t="s">
        <v>782</v>
      </c>
      <c r="B29" t="s">
        <v>783</v>
      </c>
      <c r="C29" t="s">
        <v>1508</v>
      </c>
      <c r="D29" s="8" t="str">
        <f>D18</f>
        <v>Omalur</v>
      </c>
      <c r="E29">
        <v>16</v>
      </c>
      <c r="F29">
        <v>4195</v>
      </c>
      <c r="G29">
        <v>142.13999999999999</v>
      </c>
      <c r="H29">
        <v>4337.1400000000003</v>
      </c>
      <c r="I29" t="s">
        <v>4661</v>
      </c>
      <c r="J29">
        <v>101.43</v>
      </c>
    </row>
    <row r="30" spans="1:10" ht="24.75" customHeight="1">
      <c r="A30" t="s">
        <v>2243</v>
      </c>
      <c r="B30" t="s">
        <v>17</v>
      </c>
      <c r="C30" t="s">
        <v>1508</v>
      </c>
      <c r="D30" s="12" t="s">
        <v>1874</v>
      </c>
      <c r="F30">
        <v>11790</v>
      </c>
      <c r="H30">
        <v>11790</v>
      </c>
      <c r="I30" t="s">
        <v>4662</v>
      </c>
      <c r="J30">
        <v>1391.25</v>
      </c>
    </row>
    <row r="31" spans="1:10" ht="24.75" customHeight="1">
      <c r="A31" t="s">
        <v>19</v>
      </c>
      <c r="B31" t="s">
        <v>20</v>
      </c>
      <c r="C31" t="s">
        <v>876</v>
      </c>
      <c r="D31" s="1" t="s">
        <v>1874</v>
      </c>
      <c r="E31">
        <v>0</v>
      </c>
      <c r="F31">
        <v>5960</v>
      </c>
      <c r="G31">
        <v>0</v>
      </c>
      <c r="H31">
        <v>5960</v>
      </c>
      <c r="I31" t="s">
        <v>4663</v>
      </c>
      <c r="J31">
        <v>1160.25</v>
      </c>
    </row>
    <row r="32" spans="1:10" ht="24.75" customHeight="1">
      <c r="A32" t="s">
        <v>1878</v>
      </c>
      <c r="B32" t="s">
        <v>1879</v>
      </c>
      <c r="C32" t="s">
        <v>876</v>
      </c>
      <c r="D32" s="1" t="s">
        <v>2352</v>
      </c>
      <c r="E32">
        <v>0</v>
      </c>
      <c r="F32">
        <v>51750</v>
      </c>
      <c r="G32">
        <v>0</v>
      </c>
      <c r="H32">
        <v>51750</v>
      </c>
      <c r="I32" t="s">
        <v>4664</v>
      </c>
      <c r="J32">
        <v>1300.95</v>
      </c>
    </row>
    <row r="33" spans="1:10" ht="24.75" customHeight="1">
      <c r="A33" s="918" t="s">
        <v>444</v>
      </c>
      <c r="B33" t="s">
        <v>1478</v>
      </c>
      <c r="C33" t="s">
        <v>876</v>
      </c>
      <c r="D33" s="1" t="s">
        <v>2352</v>
      </c>
      <c r="E33">
        <v>0</v>
      </c>
      <c r="F33">
        <v>51750</v>
      </c>
      <c r="G33">
        <v>0</v>
      </c>
      <c r="H33">
        <v>51750</v>
      </c>
      <c r="I33" t="s">
        <v>4665</v>
      </c>
      <c r="J33">
        <v>12390</v>
      </c>
    </row>
    <row r="34" spans="1:10" ht="24.75" customHeight="1">
      <c r="A34" s="918" t="s">
        <v>1480</v>
      </c>
      <c r="B34" t="s">
        <v>1481</v>
      </c>
      <c r="C34" t="s">
        <v>1508</v>
      </c>
      <c r="D34" s="8" t="str">
        <f>D18</f>
        <v>Omalur</v>
      </c>
      <c r="E34">
        <v>16</v>
      </c>
      <c r="F34">
        <v>4195</v>
      </c>
      <c r="G34">
        <v>142.13999999999999</v>
      </c>
      <c r="H34">
        <v>4337.1400000000003</v>
      </c>
      <c r="I34" t="s">
        <v>4666</v>
      </c>
      <c r="J34">
        <v>1086.75</v>
      </c>
    </row>
    <row r="35" spans="1:10" ht="24.75" customHeight="1">
      <c r="A35" t="s">
        <v>1482</v>
      </c>
      <c r="B35" t="s">
        <v>398</v>
      </c>
      <c r="C35" t="s">
        <v>881</v>
      </c>
      <c r="D35" s="1" t="str">
        <f>D11</f>
        <v>Gajjelnaickenpatti</v>
      </c>
      <c r="E35">
        <v>12</v>
      </c>
      <c r="F35">
        <v>902</v>
      </c>
      <c r="G35">
        <v>130.34</v>
      </c>
      <c r="H35">
        <v>1032.3399999999999</v>
      </c>
      <c r="I35" t="s">
        <v>4667</v>
      </c>
      <c r="J35">
        <v>971.25</v>
      </c>
    </row>
    <row r="36" spans="1:10" ht="24.75" customHeight="1">
      <c r="A36" t="s">
        <v>230</v>
      </c>
      <c r="B36" t="s">
        <v>397</v>
      </c>
      <c r="C36" t="s">
        <v>881</v>
      </c>
      <c r="D36" s="1" t="str">
        <f>D12</f>
        <v>Gajjelnaickenpatti</v>
      </c>
      <c r="E36">
        <v>12</v>
      </c>
      <c r="F36">
        <v>1016.5</v>
      </c>
      <c r="G36">
        <v>130.34</v>
      </c>
      <c r="H36">
        <v>1146.8399999999999</v>
      </c>
      <c r="I36" t="s">
        <v>4668</v>
      </c>
      <c r="J36">
        <v>151.1</v>
      </c>
    </row>
    <row r="37" spans="1:10" ht="24.75" customHeight="1">
      <c r="A37" t="s">
        <v>1759</v>
      </c>
      <c r="B37" t="s">
        <v>415</v>
      </c>
      <c r="C37" t="s">
        <v>881</v>
      </c>
      <c r="D37" s="1" t="str">
        <f>D13</f>
        <v>Gajjelnaickenpatti</v>
      </c>
      <c r="E37">
        <v>12</v>
      </c>
      <c r="F37">
        <v>859.5</v>
      </c>
      <c r="G37">
        <v>130.34</v>
      </c>
      <c r="H37">
        <v>989.84</v>
      </c>
      <c r="I37" t="s">
        <v>4669</v>
      </c>
      <c r="J37">
        <v>760.2</v>
      </c>
    </row>
    <row r="38" spans="1:10" ht="24.75" customHeight="1">
      <c r="A38" t="s">
        <v>210</v>
      </c>
      <c r="B38" t="s">
        <v>522</v>
      </c>
      <c r="C38" t="s">
        <v>881</v>
      </c>
      <c r="D38" t="s">
        <v>4105</v>
      </c>
      <c r="E38">
        <v>5</v>
      </c>
      <c r="F38">
        <v>216.3</v>
      </c>
      <c r="G38">
        <v>55.65</v>
      </c>
      <c r="H38">
        <v>271.95</v>
      </c>
      <c r="I38" t="s">
        <v>4670</v>
      </c>
      <c r="J38">
        <v>784.35</v>
      </c>
    </row>
    <row r="39" spans="1:10">
      <c r="A39">
        <v>31</v>
      </c>
      <c r="B39" t="s">
        <v>4535</v>
      </c>
      <c r="C39" t="s">
        <v>881</v>
      </c>
      <c r="E39">
        <v>7</v>
      </c>
      <c r="F39" s="345">
        <v>161.69999999999999</v>
      </c>
      <c r="G39">
        <v>77.91</v>
      </c>
      <c r="H39">
        <v>239.61</v>
      </c>
      <c r="I39" t="s">
        <v>4671</v>
      </c>
      <c r="J39">
        <v>67.73</v>
      </c>
    </row>
    <row r="40" spans="1:10">
      <c r="D40" t="s">
        <v>1667</v>
      </c>
      <c r="J40">
        <v>0</v>
      </c>
    </row>
    <row r="41" spans="1:10" ht="25.5" customHeight="1">
      <c r="D41" s="1"/>
      <c r="J41">
        <v>0</v>
      </c>
    </row>
    <row r="42" spans="1:10" ht="25.5" customHeight="1">
      <c r="B42" t="s">
        <v>4536</v>
      </c>
      <c r="C42" t="s">
        <v>1508</v>
      </c>
      <c r="D42" s="1" t="s">
        <v>3783</v>
      </c>
      <c r="E42">
        <v>16</v>
      </c>
      <c r="F42">
        <v>6435</v>
      </c>
      <c r="G42">
        <v>236.8</v>
      </c>
      <c r="H42">
        <v>6671.8</v>
      </c>
      <c r="I42" t="s">
        <v>4537</v>
      </c>
      <c r="J42">
        <v>71.400000000000006</v>
      </c>
    </row>
    <row r="43" spans="1:10" ht="25.5" customHeight="1">
      <c r="B43" t="s">
        <v>4538</v>
      </c>
      <c r="C43" t="s">
        <v>1508</v>
      </c>
      <c r="D43" s="1" t="s">
        <v>3783</v>
      </c>
      <c r="E43">
        <v>16</v>
      </c>
      <c r="F43">
        <v>6630</v>
      </c>
      <c r="G43">
        <v>236.8</v>
      </c>
      <c r="H43">
        <v>6866.8</v>
      </c>
      <c r="I43" t="s">
        <v>376</v>
      </c>
      <c r="J43">
        <v>144.06</v>
      </c>
    </row>
    <row r="44" spans="1:10" ht="25.5" customHeight="1">
      <c r="B44" t="s">
        <v>4673</v>
      </c>
      <c r="C44" t="s">
        <v>2226</v>
      </c>
      <c r="D44" s="1" t="s">
        <v>4531</v>
      </c>
      <c r="E44">
        <v>0</v>
      </c>
      <c r="F44">
        <v>122.5</v>
      </c>
      <c r="G44">
        <v>0</v>
      </c>
      <c r="H44">
        <v>122.5</v>
      </c>
      <c r="I44" t="s">
        <v>2349</v>
      </c>
      <c r="J44">
        <v>144.06</v>
      </c>
    </row>
    <row r="45" spans="1:10" ht="25.5" customHeight="1">
      <c r="B45" t="s">
        <v>4674</v>
      </c>
      <c r="C45" t="s">
        <v>2226</v>
      </c>
      <c r="D45" s="1" t="s">
        <v>4091</v>
      </c>
      <c r="E45">
        <v>12</v>
      </c>
      <c r="F45">
        <v>819</v>
      </c>
      <c r="G45">
        <v>130.34</v>
      </c>
      <c r="H45">
        <v>949.34</v>
      </c>
      <c r="I45" t="s">
        <v>4672</v>
      </c>
      <c r="J45">
        <v>108.47</v>
      </c>
    </row>
    <row r="46" spans="1:10">
      <c r="B46" t="s">
        <v>4675</v>
      </c>
      <c r="E46">
        <v>16</v>
      </c>
      <c r="F46">
        <v>6435</v>
      </c>
      <c r="G46">
        <v>236.8</v>
      </c>
      <c r="H46">
        <v>6671.8</v>
      </c>
      <c r="I46" t="s">
        <v>288</v>
      </c>
      <c r="J46">
        <v>213.68</v>
      </c>
    </row>
    <row r="47" spans="1:10">
      <c r="B47" t="s">
        <v>4676</v>
      </c>
      <c r="C47" t="s">
        <v>881</v>
      </c>
      <c r="E47">
        <v>17</v>
      </c>
      <c r="F47">
        <v>1280</v>
      </c>
      <c r="G47">
        <v>177.94</v>
      </c>
      <c r="H47">
        <v>1457.94</v>
      </c>
      <c r="I47" t="s">
        <v>845</v>
      </c>
      <c r="J47">
        <v>213.68</v>
      </c>
    </row>
    <row r="50" spans="2:2">
      <c r="B50" t="s">
        <v>1570</v>
      </c>
    </row>
  </sheetData>
  <printOptions horizontalCentered="1"/>
  <pageMargins left="0.20866141699999999" right="0.20866141699999999" top="0.74803149599999996" bottom="0.74803149599999996" header="0.31496062992126" footer="0.31496062992126"/>
  <pageSetup paperSize="9" scale="65" orientation="landscape" r:id="rId1"/>
</worksheet>
</file>

<file path=xl/worksheets/sheet44.xml><?xml version="1.0" encoding="utf-8"?>
<worksheet xmlns="http://schemas.openxmlformats.org/spreadsheetml/2006/main" xmlns:r="http://schemas.openxmlformats.org/officeDocument/2006/relationships">
  <sheetPr>
    <tabColor rgb="FFFFFF00"/>
  </sheetPr>
  <dimension ref="A1:G629"/>
  <sheetViews>
    <sheetView tabSelected="1" view="pageBreakPreview" topLeftCell="A366" zoomScale="80" zoomScaleSheetLayoutView="80" workbookViewId="0">
      <selection activeCell="C376" sqref="C376"/>
    </sheetView>
  </sheetViews>
  <sheetFormatPr defaultRowHeight="15.75"/>
  <cols>
    <col min="1" max="1" width="10.33203125" customWidth="1"/>
    <col min="3" max="3" width="36.88671875" bestFit="1" customWidth="1"/>
    <col min="4" max="4" width="10" bestFit="1" customWidth="1"/>
    <col min="6" max="6" width="9.109375" bestFit="1" customWidth="1"/>
  </cols>
  <sheetData>
    <row r="1" spans="1:6">
      <c r="A1" t="s">
        <v>245</v>
      </c>
    </row>
    <row r="2" spans="1:6">
      <c r="A2" t="s">
        <v>1666</v>
      </c>
      <c r="B2" t="s">
        <v>995</v>
      </c>
      <c r="E2" t="s">
        <v>4635</v>
      </c>
    </row>
    <row r="3" spans="1:6">
      <c r="A3" t="s">
        <v>1669</v>
      </c>
      <c r="B3" t="s">
        <v>995</v>
      </c>
      <c r="C3" t="s">
        <v>1670</v>
      </c>
      <c r="D3" t="s">
        <v>1671</v>
      </c>
      <c r="E3" t="s">
        <v>1672</v>
      </c>
      <c r="F3" t="s">
        <v>1673</v>
      </c>
    </row>
    <row r="4" spans="1:6">
      <c r="B4" t="s">
        <v>2338</v>
      </c>
      <c r="C4" t="s">
        <v>2339</v>
      </c>
    </row>
    <row r="5" spans="1:6">
      <c r="C5" t="s">
        <v>1667</v>
      </c>
    </row>
    <row r="6" spans="1:6">
      <c r="A6">
        <v>0.96</v>
      </c>
      <c r="B6" t="s">
        <v>876</v>
      </c>
      <c r="C6" t="s">
        <v>877</v>
      </c>
      <c r="D6">
        <v>5960</v>
      </c>
      <c r="E6" t="s">
        <v>876</v>
      </c>
      <c r="F6">
        <v>5721.6</v>
      </c>
    </row>
    <row r="7" spans="1:6">
      <c r="A7">
        <v>1</v>
      </c>
      <c r="B7" t="s">
        <v>884</v>
      </c>
      <c r="C7" t="s">
        <v>885</v>
      </c>
      <c r="D7">
        <v>1457.94</v>
      </c>
      <c r="E7" t="s">
        <v>884</v>
      </c>
      <c r="F7">
        <v>1457.94</v>
      </c>
    </row>
    <row r="8" spans="1:6">
      <c r="A8">
        <v>1</v>
      </c>
      <c r="B8" t="s">
        <v>884</v>
      </c>
      <c r="C8" t="s">
        <v>889</v>
      </c>
      <c r="D8">
        <v>105</v>
      </c>
      <c r="E8" t="s">
        <v>884</v>
      </c>
      <c r="F8">
        <v>105</v>
      </c>
    </row>
    <row r="9" spans="1:6">
      <c r="B9" t="s">
        <v>448</v>
      </c>
      <c r="C9" t="s">
        <v>449</v>
      </c>
      <c r="D9" t="s">
        <v>995</v>
      </c>
      <c r="E9" t="s">
        <v>448</v>
      </c>
      <c r="F9">
        <v>0</v>
      </c>
    </row>
    <row r="10" spans="1:6">
      <c r="F10" t="s">
        <v>1667</v>
      </c>
    </row>
    <row r="11" spans="1:6">
      <c r="C11" t="s">
        <v>1578</v>
      </c>
      <c r="F11">
        <v>7284.54</v>
      </c>
    </row>
    <row r="12" spans="1:6">
      <c r="F12" t="s">
        <v>1667</v>
      </c>
    </row>
    <row r="13" spans="1:6">
      <c r="B13" t="s">
        <v>2338</v>
      </c>
      <c r="C13" t="s">
        <v>123</v>
      </c>
    </row>
    <row r="14" spans="1:6">
      <c r="C14" t="s">
        <v>1667</v>
      </c>
    </row>
    <row r="15" spans="1:6">
      <c r="A15">
        <v>0.72</v>
      </c>
      <c r="B15" t="s">
        <v>876</v>
      </c>
      <c r="C15" t="s">
        <v>877</v>
      </c>
      <c r="D15">
        <v>5960</v>
      </c>
      <c r="E15" t="s">
        <v>876</v>
      </c>
      <c r="F15">
        <v>4291.2</v>
      </c>
    </row>
    <row r="16" spans="1:6">
      <c r="A16">
        <v>1</v>
      </c>
      <c r="B16" t="s">
        <v>884</v>
      </c>
      <c r="C16" t="s">
        <v>885</v>
      </c>
      <c r="D16">
        <v>1457.94</v>
      </c>
      <c r="E16" t="s">
        <v>884</v>
      </c>
      <c r="F16">
        <v>1457.94</v>
      </c>
    </row>
    <row r="17" spans="1:6">
      <c r="A17">
        <v>1</v>
      </c>
      <c r="B17" t="s">
        <v>884</v>
      </c>
      <c r="C17" t="s">
        <v>889</v>
      </c>
      <c r="D17">
        <v>105</v>
      </c>
      <c r="E17" t="s">
        <v>884</v>
      </c>
      <c r="F17">
        <v>105</v>
      </c>
    </row>
    <row r="18" spans="1:6">
      <c r="B18" t="s">
        <v>448</v>
      </c>
      <c r="C18" t="s">
        <v>449</v>
      </c>
      <c r="D18" t="s">
        <v>995</v>
      </c>
      <c r="E18" t="s">
        <v>448</v>
      </c>
      <c r="F18">
        <v>0</v>
      </c>
    </row>
    <row r="19" spans="1:6">
      <c r="F19" t="s">
        <v>1667</v>
      </c>
    </row>
    <row r="20" spans="1:6">
      <c r="C20" t="s">
        <v>1578</v>
      </c>
      <c r="F20">
        <v>5854.14</v>
      </c>
    </row>
    <row r="21" spans="1:6">
      <c r="F21" t="s">
        <v>1667</v>
      </c>
    </row>
    <row r="22" spans="1:6">
      <c r="B22" t="s">
        <v>2338</v>
      </c>
      <c r="C22" t="s">
        <v>1414</v>
      </c>
    </row>
    <row r="23" spans="1:6">
      <c r="C23" t="s">
        <v>1667</v>
      </c>
    </row>
    <row r="24" spans="1:6">
      <c r="A24">
        <v>0.48</v>
      </c>
      <c r="B24" t="s">
        <v>876</v>
      </c>
      <c r="C24" t="s">
        <v>877</v>
      </c>
      <c r="D24">
        <v>5960</v>
      </c>
      <c r="E24" t="s">
        <v>876</v>
      </c>
      <c r="F24">
        <v>2860.8</v>
      </c>
    </row>
    <row r="25" spans="1:6">
      <c r="A25">
        <v>1</v>
      </c>
      <c r="B25" t="s">
        <v>884</v>
      </c>
      <c r="C25" t="s">
        <v>885</v>
      </c>
      <c r="D25">
        <v>1457.94</v>
      </c>
      <c r="E25" t="s">
        <v>884</v>
      </c>
      <c r="F25">
        <v>1457.94</v>
      </c>
    </row>
    <row r="26" spans="1:6">
      <c r="A26">
        <v>1</v>
      </c>
      <c r="B26" t="s">
        <v>884</v>
      </c>
      <c r="C26" t="s">
        <v>889</v>
      </c>
      <c r="D26">
        <v>105</v>
      </c>
      <c r="E26" t="s">
        <v>884</v>
      </c>
      <c r="F26">
        <v>105</v>
      </c>
    </row>
    <row r="27" spans="1:6">
      <c r="B27" t="s">
        <v>448</v>
      </c>
      <c r="C27" t="s">
        <v>449</v>
      </c>
      <c r="D27" t="s">
        <v>995</v>
      </c>
      <c r="E27" t="s">
        <v>448</v>
      </c>
      <c r="F27">
        <v>0</v>
      </c>
    </row>
    <row r="28" spans="1:6">
      <c r="F28" t="s">
        <v>1667</v>
      </c>
    </row>
    <row r="29" spans="1:6">
      <c r="C29" t="s">
        <v>1578</v>
      </c>
      <c r="F29">
        <v>4423.74</v>
      </c>
    </row>
    <row r="30" spans="1:6">
      <c r="F30" t="s">
        <v>1667</v>
      </c>
    </row>
    <row r="31" spans="1:6">
      <c r="B31" t="s">
        <v>2338</v>
      </c>
      <c r="C31" t="s">
        <v>1364</v>
      </c>
    </row>
    <row r="32" spans="1:6">
      <c r="A32">
        <v>0.36</v>
      </c>
      <c r="B32" t="s">
        <v>876</v>
      </c>
      <c r="C32" t="s">
        <v>877</v>
      </c>
      <c r="D32">
        <v>5960</v>
      </c>
      <c r="E32" t="s">
        <v>876</v>
      </c>
      <c r="F32">
        <v>2145.6</v>
      </c>
    </row>
    <row r="33" spans="1:6">
      <c r="A33">
        <v>1</v>
      </c>
      <c r="B33" t="s">
        <v>884</v>
      </c>
      <c r="C33" t="s">
        <v>885</v>
      </c>
      <c r="D33">
        <v>1457.94</v>
      </c>
      <c r="E33" t="s">
        <v>884</v>
      </c>
      <c r="F33">
        <v>1457.94</v>
      </c>
    </row>
    <row r="34" spans="1:6">
      <c r="A34">
        <v>1</v>
      </c>
      <c r="B34" t="s">
        <v>884</v>
      </c>
      <c r="C34" t="s">
        <v>889</v>
      </c>
      <c r="D34">
        <v>105</v>
      </c>
      <c r="E34" t="s">
        <v>884</v>
      </c>
      <c r="F34">
        <v>105</v>
      </c>
    </row>
    <row r="35" spans="1:6">
      <c r="B35" t="s">
        <v>448</v>
      </c>
      <c r="C35" t="s">
        <v>449</v>
      </c>
      <c r="D35" t="s">
        <v>995</v>
      </c>
      <c r="E35" t="s">
        <v>448</v>
      </c>
      <c r="F35">
        <v>0</v>
      </c>
    </row>
    <row r="36" spans="1:6">
      <c r="F36" t="s">
        <v>1667</v>
      </c>
    </row>
    <row r="37" spans="1:6">
      <c r="C37" t="s">
        <v>1578</v>
      </c>
      <c r="F37">
        <v>3708.54</v>
      </c>
    </row>
    <row r="39" spans="1:6">
      <c r="F39" t="s">
        <v>1667</v>
      </c>
    </row>
    <row r="40" spans="1:6">
      <c r="B40" t="s">
        <v>2338</v>
      </c>
      <c r="C40" t="s">
        <v>1710</v>
      </c>
    </row>
    <row r="41" spans="1:6">
      <c r="C41" t="s">
        <v>1667</v>
      </c>
    </row>
    <row r="42" spans="1:6">
      <c r="A42">
        <v>0.28999999999999998</v>
      </c>
      <c r="B42" t="s">
        <v>876</v>
      </c>
      <c r="C42" t="s">
        <v>877</v>
      </c>
      <c r="D42">
        <v>5960</v>
      </c>
      <c r="E42" t="s">
        <v>876</v>
      </c>
      <c r="F42">
        <v>1716.48</v>
      </c>
    </row>
    <row r="43" spans="1:6">
      <c r="A43">
        <v>1</v>
      </c>
      <c r="B43" t="s">
        <v>884</v>
      </c>
      <c r="C43" t="s">
        <v>885</v>
      </c>
      <c r="D43">
        <v>1457.94</v>
      </c>
      <c r="E43" t="s">
        <v>884</v>
      </c>
      <c r="F43">
        <v>1457.94</v>
      </c>
    </row>
    <row r="44" spans="1:6">
      <c r="A44">
        <v>1</v>
      </c>
      <c r="B44" t="s">
        <v>884</v>
      </c>
      <c r="C44" t="s">
        <v>889</v>
      </c>
      <c r="D44">
        <v>105</v>
      </c>
      <c r="E44" t="s">
        <v>884</v>
      </c>
      <c r="F44">
        <v>105</v>
      </c>
    </row>
    <row r="47" spans="1:6">
      <c r="B47" t="s">
        <v>448</v>
      </c>
      <c r="C47" t="s">
        <v>449</v>
      </c>
      <c r="D47" t="s">
        <v>995</v>
      </c>
      <c r="E47" t="s">
        <v>448</v>
      </c>
      <c r="F47">
        <v>0</v>
      </c>
    </row>
    <row r="48" spans="1:6">
      <c r="F48" t="s">
        <v>1667</v>
      </c>
    </row>
    <row r="49" spans="1:6">
      <c r="C49" t="s">
        <v>1578</v>
      </c>
      <c r="F49">
        <v>3279.42</v>
      </c>
    </row>
    <row r="50" spans="1:6">
      <c r="F50" t="s">
        <v>1667</v>
      </c>
    </row>
    <row r="51" spans="1:6">
      <c r="B51" t="s">
        <v>2338</v>
      </c>
      <c r="C51" t="s">
        <v>1716</v>
      </c>
    </row>
    <row r="52" spans="1:6">
      <c r="C52" t="s">
        <v>1667</v>
      </c>
    </row>
    <row r="53" spans="1:6">
      <c r="A53">
        <v>0.24</v>
      </c>
      <c r="B53" t="s">
        <v>876</v>
      </c>
      <c r="C53" t="s">
        <v>877</v>
      </c>
      <c r="D53">
        <v>5960</v>
      </c>
      <c r="E53" t="s">
        <v>876</v>
      </c>
      <c r="F53">
        <v>1430.4</v>
      </c>
    </row>
    <row r="54" spans="1:6">
      <c r="A54">
        <v>1</v>
      </c>
      <c r="B54" t="s">
        <v>884</v>
      </c>
      <c r="C54" t="s">
        <v>885</v>
      </c>
      <c r="D54">
        <v>1457.94</v>
      </c>
      <c r="E54" t="s">
        <v>884</v>
      </c>
      <c r="F54">
        <v>1457.94</v>
      </c>
    </row>
    <row r="55" spans="1:6">
      <c r="A55">
        <v>1</v>
      </c>
      <c r="B55" t="s">
        <v>884</v>
      </c>
      <c r="C55" t="s">
        <v>889</v>
      </c>
      <c r="D55">
        <v>105</v>
      </c>
      <c r="E55" t="s">
        <v>884</v>
      </c>
      <c r="F55">
        <v>105</v>
      </c>
    </row>
    <row r="56" spans="1:6">
      <c r="B56" t="s">
        <v>448</v>
      </c>
      <c r="C56" t="s">
        <v>449</v>
      </c>
      <c r="D56" t="s">
        <v>995</v>
      </c>
      <c r="E56" t="s">
        <v>448</v>
      </c>
      <c r="F56">
        <v>0</v>
      </c>
    </row>
    <row r="57" spans="1:6">
      <c r="F57" t="s">
        <v>1667</v>
      </c>
    </row>
    <row r="58" spans="1:6">
      <c r="C58" s="29" t="s">
        <v>1578</v>
      </c>
      <c r="F58">
        <v>2993.34</v>
      </c>
    </row>
    <row r="60" spans="1:6" ht="29.25" customHeight="1">
      <c r="C60" s="1157" t="s">
        <v>4765</v>
      </c>
    </row>
    <row r="62" spans="1:6">
      <c r="A62">
        <v>1.4</v>
      </c>
      <c r="B62" t="s">
        <v>1297</v>
      </c>
      <c r="C62" t="s">
        <v>1252</v>
      </c>
      <c r="D62">
        <v>292.7</v>
      </c>
      <c r="E62" t="s">
        <v>1297</v>
      </c>
      <c r="F62">
        <v>409.78</v>
      </c>
    </row>
    <row r="63" spans="1:6">
      <c r="A63">
        <v>1.5</v>
      </c>
      <c r="B63" t="s">
        <v>781</v>
      </c>
      <c r="C63" t="s">
        <v>4613</v>
      </c>
      <c r="D63">
        <v>722.4</v>
      </c>
      <c r="E63" t="s">
        <v>781</v>
      </c>
      <c r="F63">
        <v>1083.5999999999999</v>
      </c>
    </row>
    <row r="64" spans="1:6">
      <c r="A64">
        <v>10</v>
      </c>
      <c r="B64" t="s">
        <v>2371</v>
      </c>
      <c r="C64" t="s">
        <v>4614</v>
      </c>
      <c r="D64">
        <v>3.83</v>
      </c>
      <c r="E64" t="s">
        <v>2371</v>
      </c>
      <c r="F64">
        <v>38.299999999999997</v>
      </c>
    </row>
    <row r="65" spans="1:6">
      <c r="C65" t="s">
        <v>3217</v>
      </c>
      <c r="D65" t="s">
        <v>3219</v>
      </c>
      <c r="F65">
        <v>4.33</v>
      </c>
    </row>
    <row r="66" spans="1:6">
      <c r="C66" t="s">
        <v>440</v>
      </c>
      <c r="F66">
        <v>1536.01</v>
      </c>
    </row>
    <row r="67" spans="1:6">
      <c r="C67" t="s">
        <v>555</v>
      </c>
      <c r="F67">
        <v>153.6</v>
      </c>
    </row>
    <row r="70" spans="1:6">
      <c r="B70" t="s">
        <v>2338</v>
      </c>
      <c r="C70" t="s">
        <v>4766</v>
      </c>
    </row>
    <row r="71" spans="1:6">
      <c r="C71" t="s">
        <v>1586</v>
      </c>
    </row>
    <row r="72" spans="1:6">
      <c r="C72" t="s">
        <v>1974</v>
      </c>
    </row>
    <row r="73" spans="1:6">
      <c r="C73" t="s">
        <v>1667</v>
      </c>
    </row>
    <row r="74" spans="1:6">
      <c r="A74">
        <v>0.67</v>
      </c>
      <c r="B74" t="s">
        <v>1730</v>
      </c>
      <c r="C74" t="s">
        <v>4767</v>
      </c>
      <c r="D74">
        <v>73.099999999999994</v>
      </c>
      <c r="E74" t="s">
        <v>1730</v>
      </c>
      <c r="F74">
        <f>A74*D74</f>
        <v>48.98</v>
      </c>
    </row>
    <row r="75" spans="1:6">
      <c r="A75">
        <v>0.25</v>
      </c>
      <c r="B75" t="s">
        <v>781</v>
      </c>
      <c r="C75" t="s">
        <v>1229</v>
      </c>
      <c r="D75">
        <v>722.4</v>
      </c>
      <c r="E75" t="s">
        <v>781</v>
      </c>
      <c r="F75">
        <f t="shared" ref="F75:F78" si="0">A75*D75</f>
        <v>180.6</v>
      </c>
    </row>
    <row r="76" spans="1:6">
      <c r="A76">
        <v>0.25</v>
      </c>
      <c r="B76" t="s">
        <v>781</v>
      </c>
      <c r="C76" t="s">
        <v>1979</v>
      </c>
      <c r="D76">
        <v>590.1</v>
      </c>
      <c r="E76" t="s">
        <v>781</v>
      </c>
      <c r="F76">
        <f t="shared" si="0"/>
        <v>147.53</v>
      </c>
    </row>
    <row r="77" spans="1:6">
      <c r="A77">
        <v>0.4</v>
      </c>
      <c r="B77" t="s">
        <v>781</v>
      </c>
      <c r="C77" t="s">
        <v>324</v>
      </c>
      <c r="D77">
        <v>484.05</v>
      </c>
      <c r="E77" t="s">
        <v>781</v>
      </c>
      <c r="F77">
        <f t="shared" si="0"/>
        <v>193.62</v>
      </c>
    </row>
    <row r="78" spans="1:6">
      <c r="A78">
        <v>10</v>
      </c>
      <c r="B78" t="s">
        <v>2371</v>
      </c>
      <c r="C78" t="s">
        <v>4614</v>
      </c>
      <c r="D78">
        <v>3.83</v>
      </c>
      <c r="E78" t="s">
        <v>2371</v>
      </c>
      <c r="F78">
        <f t="shared" si="0"/>
        <v>38.299999999999997</v>
      </c>
    </row>
    <row r="79" spans="1:6">
      <c r="B79" t="s">
        <v>448</v>
      </c>
      <c r="C79" t="s">
        <v>1231</v>
      </c>
      <c r="D79" t="s">
        <v>995</v>
      </c>
      <c r="E79" t="s">
        <v>448</v>
      </c>
      <c r="F79">
        <v>2.6</v>
      </c>
    </row>
    <row r="80" spans="1:6">
      <c r="F80" t="s">
        <v>1667</v>
      </c>
    </row>
    <row r="81" spans="1:6">
      <c r="C81" t="s">
        <v>440</v>
      </c>
      <c r="F81">
        <f>SUM(F74:F80)</f>
        <v>611.63</v>
      </c>
    </row>
    <row r="82" spans="1:6">
      <c r="F82" t="s">
        <v>1667</v>
      </c>
    </row>
    <row r="83" spans="1:6">
      <c r="C83" t="s">
        <v>555</v>
      </c>
      <c r="F83">
        <f>F81/10</f>
        <v>61.16</v>
      </c>
    </row>
    <row r="85" spans="1:6">
      <c r="C85" t="s">
        <v>2696</v>
      </c>
    </row>
    <row r="86" spans="1:6">
      <c r="C86" t="s">
        <v>1079</v>
      </c>
    </row>
    <row r="87" spans="1:6">
      <c r="C87" t="s">
        <v>1296</v>
      </c>
    </row>
    <row r="89" spans="1:6">
      <c r="A89">
        <v>1.89</v>
      </c>
      <c r="B89" t="s">
        <v>2695</v>
      </c>
      <c r="C89" t="s">
        <v>1230</v>
      </c>
      <c r="D89">
        <v>225.4</v>
      </c>
      <c r="E89" t="s">
        <v>2695</v>
      </c>
      <c r="F89">
        <v>426.01</v>
      </c>
    </row>
    <row r="90" spans="1:6">
      <c r="A90">
        <v>1.1000000000000001</v>
      </c>
      <c r="B90" t="s">
        <v>257</v>
      </c>
      <c r="C90" t="s">
        <v>1229</v>
      </c>
      <c r="D90">
        <v>722.4</v>
      </c>
      <c r="E90" t="s">
        <v>257</v>
      </c>
      <c r="F90">
        <v>794.64</v>
      </c>
    </row>
    <row r="91" spans="1:6">
      <c r="A91">
        <v>10</v>
      </c>
      <c r="B91" t="s">
        <v>2371</v>
      </c>
      <c r="C91" t="s">
        <v>3216</v>
      </c>
      <c r="D91">
        <v>8.3000000000000007</v>
      </c>
      <c r="E91" t="s">
        <v>2371</v>
      </c>
      <c r="F91">
        <v>83</v>
      </c>
    </row>
    <row r="92" spans="1:6">
      <c r="C92" t="s">
        <v>3217</v>
      </c>
      <c r="D92" t="s">
        <v>667</v>
      </c>
      <c r="F92">
        <v>1.9</v>
      </c>
    </row>
    <row r="93" spans="1:6">
      <c r="C93" t="s">
        <v>440</v>
      </c>
      <c r="F93">
        <v>1305.55</v>
      </c>
    </row>
    <row r="95" spans="1:6">
      <c r="C95" t="s">
        <v>555</v>
      </c>
      <c r="F95">
        <v>130.56</v>
      </c>
    </row>
    <row r="97" spans="1:6">
      <c r="A97">
        <v>29.4</v>
      </c>
      <c r="B97" t="s">
        <v>2338</v>
      </c>
      <c r="C97" t="s">
        <v>1128</v>
      </c>
    </row>
    <row r="98" spans="1:6">
      <c r="C98" t="s">
        <v>1129</v>
      </c>
    </row>
    <row r="99" spans="1:6">
      <c r="C99" t="s">
        <v>1667</v>
      </c>
    </row>
    <row r="100" spans="1:6">
      <c r="A100">
        <v>1.86</v>
      </c>
      <c r="B100" t="s">
        <v>611</v>
      </c>
      <c r="C100" t="s">
        <v>1130</v>
      </c>
      <c r="D100">
        <v>400</v>
      </c>
      <c r="E100" t="s">
        <v>611</v>
      </c>
      <c r="F100">
        <v>744</v>
      </c>
    </row>
    <row r="101" spans="1:6">
      <c r="A101">
        <v>0.4</v>
      </c>
      <c r="B101" t="s">
        <v>1730</v>
      </c>
      <c r="C101" t="s">
        <v>2154</v>
      </c>
      <c r="D101">
        <v>36.1</v>
      </c>
      <c r="E101" t="s">
        <v>1730</v>
      </c>
      <c r="F101">
        <v>14.44</v>
      </c>
    </row>
    <row r="102" spans="1:6">
      <c r="A102">
        <v>0.02</v>
      </c>
      <c r="B102" t="s">
        <v>884</v>
      </c>
      <c r="C102" t="s">
        <v>416</v>
      </c>
      <c r="D102">
        <v>5854.14</v>
      </c>
      <c r="E102" t="s">
        <v>884</v>
      </c>
      <c r="F102">
        <v>117.08</v>
      </c>
    </row>
    <row r="103" spans="1:6">
      <c r="A103">
        <v>1</v>
      </c>
      <c r="B103" t="s">
        <v>781</v>
      </c>
      <c r="C103" t="s">
        <v>2082</v>
      </c>
      <c r="D103">
        <v>904.05</v>
      </c>
      <c r="E103" t="s">
        <v>781</v>
      </c>
      <c r="F103">
        <v>904.05</v>
      </c>
    </row>
    <row r="104" spans="1:6">
      <c r="A104">
        <v>1</v>
      </c>
      <c r="B104" t="s">
        <v>781</v>
      </c>
      <c r="C104" t="s">
        <v>1774</v>
      </c>
      <c r="D104">
        <v>590.1</v>
      </c>
      <c r="E104" t="s">
        <v>781</v>
      </c>
      <c r="F104">
        <v>590.1</v>
      </c>
    </row>
    <row r="105" spans="1:6">
      <c r="B105" t="s">
        <v>448</v>
      </c>
      <c r="C105" t="s">
        <v>449</v>
      </c>
      <c r="E105" t="s">
        <v>448</v>
      </c>
    </row>
    <row r="106" spans="1:6">
      <c r="F106" t="s">
        <v>1667</v>
      </c>
    </row>
    <row r="107" spans="1:6">
      <c r="C107" t="s">
        <v>1775</v>
      </c>
      <c r="F107">
        <v>2369.67</v>
      </c>
    </row>
    <row r="108" spans="1:6">
      <c r="F108" t="s">
        <v>1667</v>
      </c>
    </row>
    <row r="109" spans="1:6">
      <c r="C109" t="s">
        <v>555</v>
      </c>
      <c r="F109">
        <v>1274.02</v>
      </c>
    </row>
    <row r="110" spans="1:6">
      <c r="F110" t="s">
        <v>2130</v>
      </c>
    </row>
    <row r="112" spans="1:6">
      <c r="B112" t="s">
        <v>2338</v>
      </c>
      <c r="C112" t="s">
        <v>2299</v>
      </c>
    </row>
    <row r="113" spans="1:6">
      <c r="C113" t="s">
        <v>4835</v>
      </c>
    </row>
    <row r="114" spans="1:6">
      <c r="C114" t="s">
        <v>1189</v>
      </c>
    </row>
    <row r="115" spans="1:6">
      <c r="C115" t="s">
        <v>1190</v>
      </c>
    </row>
    <row r="116" spans="1:6">
      <c r="C116" t="s">
        <v>1667</v>
      </c>
    </row>
    <row r="117" spans="1:6">
      <c r="A117">
        <v>1</v>
      </c>
      <c r="B117" t="s">
        <v>883</v>
      </c>
      <c r="C117" t="s">
        <v>4836</v>
      </c>
      <c r="D117">
        <v>1656</v>
      </c>
      <c r="E117" t="s">
        <v>883</v>
      </c>
      <c r="F117">
        <v>1656</v>
      </c>
    </row>
    <row r="120" spans="1:6">
      <c r="A120">
        <v>1</v>
      </c>
      <c r="B120" t="s">
        <v>883</v>
      </c>
      <c r="C120" t="s">
        <v>2206</v>
      </c>
      <c r="D120">
        <v>-167</v>
      </c>
      <c r="E120" t="s">
        <v>883</v>
      </c>
      <c r="F120">
        <v>-167</v>
      </c>
    </row>
    <row r="122" spans="1:6">
      <c r="A122">
        <v>1</v>
      </c>
      <c r="B122" t="s">
        <v>883</v>
      </c>
      <c r="C122" t="s">
        <v>2207</v>
      </c>
      <c r="D122">
        <v>250</v>
      </c>
      <c r="E122" t="s">
        <v>883</v>
      </c>
      <c r="F122">
        <v>250</v>
      </c>
    </row>
    <row r="124" spans="1:6">
      <c r="A124">
        <v>0.5</v>
      </c>
      <c r="B124" t="s">
        <v>883</v>
      </c>
      <c r="C124" t="s">
        <v>2176</v>
      </c>
      <c r="D124">
        <v>784.35</v>
      </c>
      <c r="E124" t="s">
        <v>883</v>
      </c>
      <c r="F124">
        <v>392.18</v>
      </c>
    </row>
    <row r="125" spans="1:6">
      <c r="A125">
        <v>1</v>
      </c>
      <c r="B125" t="s">
        <v>883</v>
      </c>
      <c r="C125" t="s">
        <v>1979</v>
      </c>
      <c r="D125">
        <v>590.1</v>
      </c>
      <c r="E125" t="s">
        <v>883</v>
      </c>
      <c r="F125">
        <v>590.1</v>
      </c>
    </row>
    <row r="126" spans="1:6">
      <c r="A126">
        <v>0.5</v>
      </c>
      <c r="B126" t="s">
        <v>883</v>
      </c>
      <c r="C126" t="s">
        <v>2082</v>
      </c>
      <c r="D126">
        <v>904.05</v>
      </c>
      <c r="E126" t="s">
        <v>883</v>
      </c>
      <c r="F126">
        <v>452.03</v>
      </c>
    </row>
    <row r="127" spans="1:6">
      <c r="B127" t="s">
        <v>448</v>
      </c>
      <c r="C127" t="s">
        <v>1191</v>
      </c>
      <c r="E127" t="s">
        <v>448</v>
      </c>
      <c r="F127">
        <v>0.82</v>
      </c>
    </row>
    <row r="128" spans="1:6">
      <c r="F128" t="s">
        <v>1667</v>
      </c>
    </row>
    <row r="129" spans="1:6">
      <c r="C129" t="s">
        <v>1834</v>
      </c>
      <c r="F129">
        <v>3174.13</v>
      </c>
    </row>
    <row r="130" spans="1:6" ht="15" customHeight="1">
      <c r="F130" t="s">
        <v>1667</v>
      </c>
    </row>
    <row r="131" spans="1:6" ht="33" customHeight="1"/>
    <row r="132" spans="1:6">
      <c r="C132" t="s">
        <v>4621</v>
      </c>
    </row>
    <row r="133" spans="1:6">
      <c r="C133" t="s">
        <v>3409</v>
      </c>
    </row>
    <row r="134" spans="1:6">
      <c r="C134" t="s">
        <v>4622</v>
      </c>
    </row>
    <row r="135" spans="1:6">
      <c r="A135">
        <v>0.1</v>
      </c>
      <c r="B135" t="s">
        <v>1492</v>
      </c>
      <c r="C135" t="s">
        <v>661</v>
      </c>
      <c r="D135">
        <v>798</v>
      </c>
      <c r="E135" t="s">
        <v>1458</v>
      </c>
      <c r="F135">
        <v>79.8</v>
      </c>
    </row>
    <row r="136" spans="1:6">
      <c r="A136">
        <v>0.1</v>
      </c>
      <c r="B136" t="s">
        <v>4623</v>
      </c>
      <c r="C136" t="s">
        <v>353</v>
      </c>
      <c r="D136">
        <v>590.1</v>
      </c>
      <c r="E136" t="s">
        <v>1458</v>
      </c>
      <c r="F136">
        <v>59.01</v>
      </c>
    </row>
    <row r="137" spans="1:6">
      <c r="A137">
        <v>10</v>
      </c>
      <c r="B137" t="s">
        <v>4624</v>
      </c>
      <c r="C137" t="s">
        <v>4625</v>
      </c>
      <c r="D137">
        <v>18.3</v>
      </c>
      <c r="E137" t="s">
        <v>4626</v>
      </c>
      <c r="F137">
        <v>1.83</v>
      </c>
    </row>
    <row r="138" spans="1:6">
      <c r="A138">
        <v>0.25</v>
      </c>
      <c r="B138" t="s">
        <v>1492</v>
      </c>
      <c r="C138" t="s">
        <v>4627</v>
      </c>
      <c r="D138">
        <v>3.5</v>
      </c>
      <c r="E138" t="s">
        <v>1458</v>
      </c>
      <c r="F138">
        <v>1</v>
      </c>
    </row>
    <row r="139" spans="1:6">
      <c r="D139" t="s">
        <v>4628</v>
      </c>
      <c r="F139">
        <v>141.63999999999999</v>
      </c>
    </row>
    <row r="141" spans="1:6">
      <c r="C141" t="s">
        <v>463</v>
      </c>
      <c r="D141" t="s">
        <v>4629</v>
      </c>
      <c r="E141" t="s">
        <v>4629</v>
      </c>
      <c r="F141" t="s">
        <v>4630</v>
      </c>
    </row>
    <row r="142" spans="1:6">
      <c r="D142">
        <v>331</v>
      </c>
      <c r="E142">
        <v>331</v>
      </c>
      <c r="F142">
        <v>283</v>
      </c>
    </row>
    <row r="143" spans="1:6">
      <c r="C143" t="s">
        <v>4631</v>
      </c>
      <c r="D143">
        <v>141.63999999999999</v>
      </c>
      <c r="E143">
        <v>141.63999999999999</v>
      </c>
      <c r="F143">
        <v>141.63999999999999</v>
      </c>
    </row>
    <row r="144" spans="1:6">
      <c r="C144" t="s">
        <v>1900</v>
      </c>
      <c r="D144">
        <v>472.64</v>
      </c>
      <c r="E144">
        <v>472.64</v>
      </c>
      <c r="F144">
        <v>424.64</v>
      </c>
    </row>
    <row r="145" spans="1:6">
      <c r="D145">
        <v>473</v>
      </c>
      <c r="E145">
        <v>473</v>
      </c>
      <c r="F145">
        <v>425</v>
      </c>
    </row>
    <row r="147" spans="1:6">
      <c r="A147">
        <v>1.1000000000000001</v>
      </c>
      <c r="B147" t="s">
        <v>995</v>
      </c>
      <c r="C147" t="s">
        <v>1484</v>
      </c>
    </row>
    <row r="148" spans="1:6">
      <c r="A148" t="s">
        <v>995</v>
      </c>
      <c r="C148" t="s">
        <v>1545</v>
      </c>
    </row>
    <row r="149" spans="1:6">
      <c r="A149">
        <v>10</v>
      </c>
      <c r="B149" t="s">
        <v>884</v>
      </c>
      <c r="C149" t="s">
        <v>1227</v>
      </c>
      <c r="D149">
        <v>101.43</v>
      </c>
      <c r="E149" t="s">
        <v>884</v>
      </c>
      <c r="F149">
        <v>1014.3</v>
      </c>
    </row>
    <row r="150" spans="1:6">
      <c r="A150">
        <v>10</v>
      </c>
      <c r="B150" t="s">
        <v>884</v>
      </c>
      <c r="C150" t="s">
        <v>2084</v>
      </c>
      <c r="D150">
        <v>101.43</v>
      </c>
      <c r="E150" t="s">
        <v>884</v>
      </c>
      <c r="F150">
        <v>1014.3</v>
      </c>
    </row>
    <row r="151" spans="1:6">
      <c r="A151">
        <v>10</v>
      </c>
      <c r="B151" t="s">
        <v>884</v>
      </c>
      <c r="C151" t="s">
        <v>2086</v>
      </c>
      <c r="D151">
        <v>11.76</v>
      </c>
      <c r="E151" t="s">
        <v>884</v>
      </c>
      <c r="F151">
        <v>117.6</v>
      </c>
    </row>
    <row r="152" spans="1:6">
      <c r="B152" t="s">
        <v>448</v>
      </c>
      <c r="C152" t="s">
        <v>449</v>
      </c>
      <c r="E152" t="s">
        <v>448</v>
      </c>
      <c r="F152">
        <v>0</v>
      </c>
    </row>
    <row r="153" spans="1:6">
      <c r="F153" t="s">
        <v>1667</v>
      </c>
    </row>
    <row r="154" spans="1:6">
      <c r="C154" t="s">
        <v>618</v>
      </c>
      <c r="F154">
        <v>2146.1999999999998</v>
      </c>
    </row>
    <row r="155" spans="1:6">
      <c r="F155" t="s">
        <v>1667</v>
      </c>
    </row>
    <row r="156" spans="1:6">
      <c r="C156" t="s">
        <v>2126</v>
      </c>
      <c r="D156" t="s">
        <v>1459</v>
      </c>
      <c r="F156">
        <v>214.62</v>
      </c>
    </row>
    <row r="157" spans="1:6">
      <c r="D157" t="s">
        <v>1425</v>
      </c>
      <c r="F157">
        <v>222.72</v>
      </c>
    </row>
    <row r="159" spans="1:6">
      <c r="A159" t="s">
        <v>676</v>
      </c>
      <c r="B159" t="s">
        <v>2338</v>
      </c>
      <c r="C159" t="s">
        <v>677</v>
      </c>
    </row>
    <row r="160" spans="1:6">
      <c r="C160" t="s">
        <v>679</v>
      </c>
    </row>
    <row r="161" spans="1:6">
      <c r="C161" t="s">
        <v>1667</v>
      </c>
    </row>
    <row r="162" spans="1:6">
      <c r="A162">
        <v>9</v>
      </c>
      <c r="B162" t="s">
        <v>884</v>
      </c>
      <c r="C162" t="s">
        <v>1723</v>
      </c>
      <c r="D162">
        <v>1159.3399999999999</v>
      </c>
      <c r="E162" t="s">
        <v>884</v>
      </c>
      <c r="F162">
        <v>10434.06</v>
      </c>
    </row>
    <row r="163" spans="1:6">
      <c r="A163">
        <v>4.5</v>
      </c>
      <c r="B163" t="s">
        <v>884</v>
      </c>
      <c r="C163" t="s">
        <v>1710</v>
      </c>
      <c r="D163">
        <v>3279.42</v>
      </c>
      <c r="E163" t="s">
        <v>884</v>
      </c>
      <c r="F163">
        <v>14757.39</v>
      </c>
    </row>
    <row r="164" spans="1:6">
      <c r="A164">
        <v>1.8</v>
      </c>
      <c r="B164" t="s">
        <v>883</v>
      </c>
      <c r="C164" t="s">
        <v>1791</v>
      </c>
      <c r="D164">
        <v>844.2</v>
      </c>
      <c r="E164" t="s">
        <v>883</v>
      </c>
      <c r="F164">
        <v>1519.56</v>
      </c>
    </row>
    <row r="165" spans="1:6">
      <c r="A165">
        <v>17.7</v>
      </c>
      <c r="B165" t="s">
        <v>883</v>
      </c>
      <c r="C165" t="s">
        <v>1979</v>
      </c>
      <c r="D165">
        <v>590.1</v>
      </c>
      <c r="E165" t="s">
        <v>883</v>
      </c>
      <c r="F165">
        <v>10444.77</v>
      </c>
    </row>
    <row r="166" spans="1:6">
      <c r="A166">
        <v>14.1</v>
      </c>
      <c r="B166" t="s">
        <v>883</v>
      </c>
      <c r="C166" t="s">
        <v>324</v>
      </c>
      <c r="D166">
        <v>484.05</v>
      </c>
      <c r="E166" t="s">
        <v>883</v>
      </c>
      <c r="F166">
        <v>6825.11</v>
      </c>
    </row>
    <row r="167" spans="1:6">
      <c r="B167" t="s">
        <v>448</v>
      </c>
      <c r="C167" t="s">
        <v>449</v>
      </c>
      <c r="E167" t="s">
        <v>448</v>
      </c>
      <c r="F167">
        <v>0</v>
      </c>
    </row>
    <row r="168" spans="1:6">
      <c r="F168" t="s">
        <v>1667</v>
      </c>
    </row>
    <row r="169" spans="1:6">
      <c r="F169">
        <v>43980.89</v>
      </c>
    </row>
    <row r="170" spans="1:6">
      <c r="C170" t="s">
        <v>618</v>
      </c>
      <c r="F170" t="s">
        <v>1667</v>
      </c>
    </row>
    <row r="171" spans="1:6">
      <c r="F171">
        <v>4398.09</v>
      </c>
    </row>
    <row r="172" spans="1:6">
      <c r="C172" t="s">
        <v>785</v>
      </c>
      <c r="F172" t="s">
        <v>2130</v>
      </c>
    </row>
    <row r="174" spans="1:6">
      <c r="A174">
        <v>6</v>
      </c>
      <c r="B174" t="s">
        <v>2338</v>
      </c>
      <c r="C174" t="s">
        <v>3739</v>
      </c>
    </row>
    <row r="175" spans="1:6">
      <c r="C175" t="s">
        <v>3740</v>
      </c>
    </row>
    <row r="176" spans="1:6">
      <c r="C176" t="s">
        <v>1667</v>
      </c>
    </row>
    <row r="177" spans="1:6">
      <c r="A177">
        <v>4240</v>
      </c>
      <c r="B177" t="s">
        <v>1485</v>
      </c>
      <c r="C177" t="s">
        <v>3740</v>
      </c>
      <c r="D177">
        <v>6866.8</v>
      </c>
      <c r="E177" t="s">
        <v>1675</v>
      </c>
      <c r="F177">
        <v>29115.23</v>
      </c>
    </row>
    <row r="178" spans="1:6">
      <c r="A178">
        <v>2</v>
      </c>
      <c r="B178" t="s">
        <v>884</v>
      </c>
      <c r="C178" t="s">
        <v>1710</v>
      </c>
      <c r="D178">
        <v>3279.42</v>
      </c>
      <c r="E178" t="s">
        <v>884</v>
      </c>
      <c r="F178">
        <v>6558.84</v>
      </c>
    </row>
    <row r="179" spans="1:6">
      <c r="A179">
        <v>3.5</v>
      </c>
      <c r="B179" t="s">
        <v>883</v>
      </c>
      <c r="C179" t="s">
        <v>2082</v>
      </c>
      <c r="D179">
        <v>904.05</v>
      </c>
      <c r="E179" t="s">
        <v>883</v>
      </c>
      <c r="F179">
        <v>3164.18</v>
      </c>
    </row>
    <row r="180" spans="1:6">
      <c r="A180">
        <v>10.6</v>
      </c>
      <c r="B180" t="s">
        <v>883</v>
      </c>
      <c r="C180" t="s">
        <v>1791</v>
      </c>
      <c r="D180">
        <v>844.2</v>
      </c>
      <c r="E180" t="s">
        <v>883</v>
      </c>
      <c r="F180">
        <v>8948.52</v>
      </c>
    </row>
    <row r="181" spans="1:6">
      <c r="A181">
        <v>7.1</v>
      </c>
      <c r="B181" t="s">
        <v>883</v>
      </c>
      <c r="C181" t="s">
        <v>1979</v>
      </c>
      <c r="D181">
        <v>590.1</v>
      </c>
      <c r="E181" t="s">
        <v>883</v>
      </c>
      <c r="F181">
        <v>4189.71</v>
      </c>
    </row>
    <row r="182" spans="1:6">
      <c r="A182">
        <v>21.2</v>
      </c>
      <c r="B182" t="s">
        <v>883</v>
      </c>
      <c r="C182" t="s">
        <v>324</v>
      </c>
      <c r="D182">
        <v>484.05</v>
      </c>
      <c r="E182" t="s">
        <v>883</v>
      </c>
      <c r="F182">
        <v>10261.86</v>
      </c>
    </row>
    <row r="183" spans="1:6">
      <c r="B183" t="s">
        <v>448</v>
      </c>
      <c r="C183" t="s">
        <v>449</v>
      </c>
      <c r="E183" t="s">
        <v>448</v>
      </c>
      <c r="F183">
        <v>0</v>
      </c>
    </row>
    <row r="184" spans="1:6">
      <c r="F184" t="s">
        <v>1667</v>
      </c>
    </row>
    <row r="185" spans="1:6">
      <c r="C185" t="s">
        <v>618</v>
      </c>
      <c r="F185">
        <v>62238.34</v>
      </c>
    </row>
    <row r="186" spans="1:6">
      <c r="F186" t="s">
        <v>1667</v>
      </c>
    </row>
    <row r="187" spans="1:6">
      <c r="C187" t="s">
        <v>785</v>
      </c>
      <c r="F187">
        <v>6223.83</v>
      </c>
    </row>
    <row r="188" spans="1:6">
      <c r="F188" t="s">
        <v>2130</v>
      </c>
    </row>
    <row r="189" spans="1:6">
      <c r="A189" t="s">
        <v>386</v>
      </c>
      <c r="B189" t="s">
        <v>2338</v>
      </c>
      <c r="C189" t="s">
        <v>387</v>
      </c>
    </row>
    <row r="190" spans="1:6">
      <c r="C190" t="s">
        <v>4382</v>
      </c>
    </row>
    <row r="191" spans="1:6">
      <c r="C191" t="s">
        <v>1667</v>
      </c>
    </row>
    <row r="192" spans="1:6">
      <c r="A192">
        <v>1</v>
      </c>
      <c r="B192" t="s">
        <v>884</v>
      </c>
      <c r="C192" t="s">
        <v>381</v>
      </c>
      <c r="D192">
        <v>1457.94</v>
      </c>
      <c r="E192" t="s">
        <v>884</v>
      </c>
      <c r="F192">
        <v>1457.94</v>
      </c>
    </row>
    <row r="193" spans="1:6">
      <c r="A193">
        <v>1</v>
      </c>
      <c r="B193" t="s">
        <v>884</v>
      </c>
      <c r="C193" t="s">
        <v>1415</v>
      </c>
      <c r="D193">
        <v>30.98</v>
      </c>
      <c r="E193" t="s">
        <v>884</v>
      </c>
      <c r="F193">
        <v>30.98</v>
      </c>
    </row>
    <row r="194" spans="1:6">
      <c r="B194" t="s">
        <v>448</v>
      </c>
      <c r="C194" t="s">
        <v>449</v>
      </c>
      <c r="D194" t="s">
        <v>995</v>
      </c>
      <c r="E194" t="s">
        <v>448</v>
      </c>
      <c r="F194">
        <v>0</v>
      </c>
    </row>
    <row r="195" spans="1:6">
      <c r="F195" t="s">
        <v>1667</v>
      </c>
    </row>
    <row r="196" spans="1:6">
      <c r="C196" t="s">
        <v>194</v>
      </c>
      <c r="F196">
        <v>1488.92</v>
      </c>
    </row>
    <row r="198" spans="1:6">
      <c r="A198">
        <v>2.7</v>
      </c>
      <c r="B198" t="s">
        <v>2338</v>
      </c>
      <c r="C198" t="s">
        <v>2065</v>
      </c>
    </row>
    <row r="199" spans="1:6">
      <c r="C199" t="s">
        <v>1667</v>
      </c>
    </row>
    <row r="200" spans="1:6">
      <c r="A200">
        <v>1</v>
      </c>
      <c r="B200" t="s">
        <v>884</v>
      </c>
      <c r="C200" t="s">
        <v>846</v>
      </c>
      <c r="D200">
        <v>1562.34</v>
      </c>
      <c r="E200" t="s">
        <v>884</v>
      </c>
      <c r="F200">
        <v>1562.34</v>
      </c>
    </row>
    <row r="201" spans="1:6">
      <c r="A201">
        <v>1</v>
      </c>
      <c r="B201" t="s">
        <v>884</v>
      </c>
      <c r="C201" t="s">
        <v>1415</v>
      </c>
      <c r="D201">
        <v>35.28</v>
      </c>
      <c r="E201" t="s">
        <v>884</v>
      </c>
      <c r="F201">
        <v>35.28</v>
      </c>
    </row>
    <row r="202" spans="1:6">
      <c r="B202" t="s">
        <v>448</v>
      </c>
      <c r="C202" t="s">
        <v>449</v>
      </c>
      <c r="D202" t="s">
        <v>995</v>
      </c>
      <c r="E202" t="s">
        <v>448</v>
      </c>
      <c r="F202">
        <v>0</v>
      </c>
    </row>
    <row r="203" spans="1:6">
      <c r="F203" t="s">
        <v>1667</v>
      </c>
    </row>
    <row r="204" spans="1:6">
      <c r="C204" t="s">
        <v>194</v>
      </c>
      <c r="F204">
        <v>1597.62</v>
      </c>
    </row>
    <row r="208" spans="1:6">
      <c r="A208">
        <v>2.6</v>
      </c>
      <c r="B208" t="s">
        <v>2338</v>
      </c>
      <c r="C208" t="s">
        <v>1221</v>
      </c>
    </row>
    <row r="209" spans="1:6">
      <c r="C209" t="s">
        <v>1667</v>
      </c>
    </row>
    <row r="210" spans="1:6">
      <c r="A210">
        <v>1</v>
      </c>
      <c r="B210" t="s">
        <v>884</v>
      </c>
      <c r="C210" t="s">
        <v>1127</v>
      </c>
      <c r="D210">
        <v>1159.3399999999999</v>
      </c>
      <c r="E210" t="s">
        <v>884</v>
      </c>
      <c r="F210">
        <v>1159.3399999999999</v>
      </c>
    </row>
    <row r="211" spans="1:6">
      <c r="A211">
        <v>1</v>
      </c>
      <c r="B211" t="s">
        <v>884</v>
      </c>
      <c r="C211" t="s">
        <v>1415</v>
      </c>
      <c r="D211">
        <v>35.28</v>
      </c>
      <c r="E211" t="s">
        <v>884</v>
      </c>
      <c r="F211">
        <v>35.28</v>
      </c>
    </row>
    <row r="212" spans="1:6">
      <c r="B212" t="s">
        <v>448</v>
      </c>
      <c r="C212" t="s">
        <v>449</v>
      </c>
      <c r="D212" t="s">
        <v>995</v>
      </c>
      <c r="E212" t="s">
        <v>448</v>
      </c>
      <c r="F212">
        <v>0</v>
      </c>
    </row>
    <row r="213" spans="1:6">
      <c r="F213" t="s">
        <v>1667</v>
      </c>
    </row>
    <row r="214" spans="1:6">
      <c r="C214" t="s">
        <v>194</v>
      </c>
      <c r="F214">
        <v>1194.6199999999999</v>
      </c>
    </row>
    <row r="216" spans="1:6">
      <c r="A216" t="s">
        <v>1354</v>
      </c>
      <c r="B216" t="s">
        <v>2338</v>
      </c>
      <c r="C216" t="s">
        <v>5</v>
      </c>
    </row>
    <row r="217" spans="1:6">
      <c r="C217" t="s">
        <v>1667</v>
      </c>
    </row>
    <row r="218" spans="1:6">
      <c r="A218">
        <v>0.14000000000000001</v>
      </c>
      <c r="B218" t="s">
        <v>884</v>
      </c>
      <c r="C218" t="s">
        <v>1710</v>
      </c>
      <c r="D218">
        <v>3279.42</v>
      </c>
      <c r="E218" t="s">
        <v>884</v>
      </c>
      <c r="F218">
        <v>459.12</v>
      </c>
    </row>
    <row r="219" spans="1:6">
      <c r="A219">
        <v>1.1000000000000001</v>
      </c>
      <c r="B219" t="s">
        <v>883</v>
      </c>
      <c r="C219" t="s">
        <v>2082</v>
      </c>
      <c r="D219">
        <v>904.05</v>
      </c>
      <c r="E219" t="s">
        <v>883</v>
      </c>
      <c r="F219">
        <v>994.46</v>
      </c>
    </row>
    <row r="220" spans="1:6">
      <c r="A220">
        <v>0.5</v>
      </c>
      <c r="B220" t="s">
        <v>883</v>
      </c>
      <c r="C220" t="s">
        <v>1979</v>
      </c>
      <c r="D220">
        <v>590.1</v>
      </c>
      <c r="E220" t="s">
        <v>883</v>
      </c>
      <c r="F220">
        <v>295.05</v>
      </c>
    </row>
    <row r="221" spans="1:6">
      <c r="A221">
        <v>1.1000000000000001</v>
      </c>
      <c r="B221" t="s">
        <v>883</v>
      </c>
      <c r="C221" t="s">
        <v>324</v>
      </c>
      <c r="D221">
        <v>484.05</v>
      </c>
      <c r="E221" t="s">
        <v>883</v>
      </c>
      <c r="F221">
        <v>532.46</v>
      </c>
    </row>
    <row r="222" spans="1:6">
      <c r="B222" t="s">
        <v>448</v>
      </c>
      <c r="C222" t="s">
        <v>449</v>
      </c>
      <c r="D222" t="s">
        <v>995</v>
      </c>
      <c r="E222" t="s">
        <v>448</v>
      </c>
      <c r="F222">
        <v>5</v>
      </c>
    </row>
    <row r="223" spans="1:6">
      <c r="F223" t="s">
        <v>1667</v>
      </c>
    </row>
    <row r="224" spans="1:6">
      <c r="C224" t="s">
        <v>440</v>
      </c>
      <c r="F224">
        <v>2286.09</v>
      </c>
    </row>
    <row r="225" spans="1:6">
      <c r="F225" t="s">
        <v>1667</v>
      </c>
    </row>
    <row r="226" spans="1:6">
      <c r="C226" t="s">
        <v>555</v>
      </c>
      <c r="F226">
        <v>228.61</v>
      </c>
    </row>
    <row r="228" spans="1:6" ht="31.5">
      <c r="A228" t="s">
        <v>1172</v>
      </c>
      <c r="B228" t="s">
        <v>2338</v>
      </c>
      <c r="C228" s="29" t="s">
        <v>4410</v>
      </c>
    </row>
    <row r="229" spans="1:6">
      <c r="C229" t="s">
        <v>1667</v>
      </c>
    </row>
    <row r="230" spans="1:6">
      <c r="A230">
        <v>0.06</v>
      </c>
      <c r="B230" t="s">
        <v>884</v>
      </c>
      <c r="C230" t="s">
        <v>4411</v>
      </c>
      <c r="D230">
        <v>6733.47</v>
      </c>
      <c r="E230" t="s">
        <v>884</v>
      </c>
      <c r="F230">
        <f>A230*D230</f>
        <v>404.01</v>
      </c>
    </row>
    <row r="231" spans="1:6">
      <c r="A231">
        <v>0.5</v>
      </c>
      <c r="B231" t="s">
        <v>781</v>
      </c>
      <c r="C231" t="s">
        <v>2082</v>
      </c>
      <c r="D231">
        <v>904.05</v>
      </c>
      <c r="E231" t="s">
        <v>781</v>
      </c>
      <c r="F231">
        <f t="shared" ref="F231:F232" si="1">A231*D231</f>
        <v>452.03</v>
      </c>
    </row>
    <row r="232" spans="1:6">
      <c r="A232">
        <v>0.75</v>
      </c>
      <c r="B232" t="s">
        <v>781</v>
      </c>
      <c r="C232" t="s">
        <v>1979</v>
      </c>
      <c r="D232">
        <v>590.1</v>
      </c>
      <c r="E232" t="s">
        <v>781</v>
      </c>
      <c r="F232">
        <f t="shared" si="1"/>
        <v>442.58</v>
      </c>
    </row>
    <row r="233" spans="1:6">
      <c r="B233" t="s">
        <v>448</v>
      </c>
      <c r="C233" t="s">
        <v>449</v>
      </c>
      <c r="E233" t="s">
        <v>448</v>
      </c>
    </row>
    <row r="234" spans="1:6">
      <c r="F234" t="s">
        <v>1667</v>
      </c>
    </row>
    <row r="235" spans="1:6">
      <c r="C235" t="s">
        <v>1831</v>
      </c>
      <c r="F235">
        <f>SUM(F230:F234)</f>
        <v>1298.6199999999999</v>
      </c>
    </row>
    <row r="236" spans="1:6">
      <c r="F236" t="s">
        <v>1667</v>
      </c>
    </row>
    <row r="237" spans="1:6">
      <c r="C237" t="s">
        <v>555</v>
      </c>
      <c r="F237">
        <f>ROUND(PRODUCT(F235/0.743),2)</f>
        <v>1747.81</v>
      </c>
    </row>
    <row r="239" spans="1:6">
      <c r="A239" t="s">
        <v>536</v>
      </c>
      <c r="B239" t="s">
        <v>1981</v>
      </c>
      <c r="C239" t="s">
        <v>554</v>
      </c>
    </row>
    <row r="240" spans="1:6">
      <c r="C240" t="s">
        <v>537</v>
      </c>
    </row>
    <row r="241" spans="1:6">
      <c r="C241" t="s">
        <v>1667</v>
      </c>
    </row>
    <row r="242" spans="1:6">
      <c r="A242">
        <v>1</v>
      </c>
      <c r="B242" t="s">
        <v>526</v>
      </c>
      <c r="C242" t="s">
        <v>527</v>
      </c>
      <c r="D242">
        <v>51750</v>
      </c>
      <c r="E242" t="s">
        <v>528</v>
      </c>
      <c r="F242">
        <v>5175</v>
      </c>
    </row>
    <row r="243" spans="1:6">
      <c r="A243">
        <v>0.01</v>
      </c>
      <c r="B243" t="s">
        <v>526</v>
      </c>
      <c r="C243" t="s">
        <v>193</v>
      </c>
      <c r="D243">
        <v>50300</v>
      </c>
      <c r="E243" t="s">
        <v>528</v>
      </c>
      <c r="F243">
        <v>50.3</v>
      </c>
    </row>
    <row r="244" spans="1:6">
      <c r="A244">
        <v>3.5</v>
      </c>
      <c r="B244" t="s">
        <v>781</v>
      </c>
      <c r="C244" t="s">
        <v>529</v>
      </c>
      <c r="D244">
        <v>784.35</v>
      </c>
      <c r="E244" t="s">
        <v>781</v>
      </c>
      <c r="F244">
        <v>2745.23</v>
      </c>
    </row>
    <row r="245" spans="1:6">
      <c r="B245" t="s">
        <v>448</v>
      </c>
      <c r="C245" t="s">
        <v>449</v>
      </c>
      <c r="E245" t="s">
        <v>448</v>
      </c>
      <c r="F245">
        <v>0</v>
      </c>
    </row>
    <row r="246" spans="1:6">
      <c r="F246" t="s">
        <v>1667</v>
      </c>
    </row>
    <row r="247" spans="1:6">
      <c r="C247" t="s">
        <v>532</v>
      </c>
      <c r="F247">
        <v>7970.53</v>
      </c>
    </row>
    <row r="248" spans="1:6">
      <c r="F248" t="s">
        <v>1667</v>
      </c>
    </row>
    <row r="249" spans="1:6">
      <c r="C249" t="s">
        <v>533</v>
      </c>
      <c r="F249">
        <v>79705.3</v>
      </c>
    </row>
    <row r="252" spans="1:6">
      <c r="A252" t="s">
        <v>697</v>
      </c>
      <c r="B252" t="s">
        <v>2338</v>
      </c>
      <c r="C252" t="s">
        <v>4398</v>
      </c>
    </row>
    <row r="253" spans="1:6">
      <c r="C253" t="s">
        <v>1550</v>
      </c>
    </row>
    <row r="254" spans="1:6">
      <c r="C254" t="s">
        <v>1667</v>
      </c>
    </row>
    <row r="255" spans="1:6">
      <c r="A255">
        <v>9</v>
      </c>
      <c r="B255" t="s">
        <v>884</v>
      </c>
      <c r="C255" t="s">
        <v>701</v>
      </c>
      <c r="D255">
        <v>1562.34</v>
      </c>
      <c r="E255" t="s">
        <v>884</v>
      </c>
      <c r="F255">
        <v>14061.06</v>
      </c>
    </row>
    <row r="256" spans="1:6">
      <c r="A256">
        <v>4.5</v>
      </c>
      <c r="B256" t="s">
        <v>884</v>
      </c>
      <c r="C256" t="s">
        <v>123</v>
      </c>
      <c r="D256">
        <v>5854.14</v>
      </c>
      <c r="E256" t="s">
        <v>884</v>
      </c>
      <c r="F256">
        <v>26343.63</v>
      </c>
    </row>
    <row r="257" spans="1:6">
      <c r="A257">
        <v>1.8</v>
      </c>
      <c r="B257" t="s">
        <v>883</v>
      </c>
      <c r="C257" t="s">
        <v>1791</v>
      </c>
      <c r="D257">
        <v>844.2</v>
      </c>
      <c r="E257" t="s">
        <v>883</v>
      </c>
      <c r="F257">
        <v>1519.56</v>
      </c>
    </row>
    <row r="258" spans="1:6">
      <c r="A258">
        <v>17.7</v>
      </c>
      <c r="B258" t="s">
        <v>883</v>
      </c>
      <c r="C258" t="s">
        <v>1979</v>
      </c>
      <c r="D258">
        <v>590.1</v>
      </c>
      <c r="E258" t="s">
        <v>883</v>
      </c>
      <c r="F258">
        <v>10444.77</v>
      </c>
    </row>
    <row r="259" spans="1:6">
      <c r="A259">
        <v>14.1</v>
      </c>
      <c r="B259" t="s">
        <v>883</v>
      </c>
      <c r="C259" t="s">
        <v>324</v>
      </c>
      <c r="D259">
        <v>484.05</v>
      </c>
      <c r="E259" t="s">
        <v>883</v>
      </c>
      <c r="F259">
        <v>6825.11</v>
      </c>
    </row>
    <row r="260" spans="1:6">
      <c r="B260" t="s">
        <v>448</v>
      </c>
      <c r="C260" t="s">
        <v>449</v>
      </c>
      <c r="E260" t="s">
        <v>448</v>
      </c>
      <c r="F260">
        <v>0</v>
      </c>
    </row>
    <row r="261" spans="1:6">
      <c r="F261" t="s">
        <v>1667</v>
      </c>
    </row>
    <row r="262" spans="1:6">
      <c r="F262">
        <v>59194.13</v>
      </c>
    </row>
    <row r="263" spans="1:6">
      <c r="C263" t="s">
        <v>618</v>
      </c>
      <c r="F263" t="s">
        <v>1667</v>
      </c>
    </row>
    <row r="264" spans="1:6">
      <c r="F264">
        <v>5919.41</v>
      </c>
    </row>
    <row r="265" spans="1:6">
      <c r="F265" t="s">
        <v>2130</v>
      </c>
    </row>
    <row r="266" spans="1:6">
      <c r="B266" t="s">
        <v>1082</v>
      </c>
    </row>
    <row r="268" spans="1:6">
      <c r="A268">
        <v>1</v>
      </c>
      <c r="B268" t="s">
        <v>2226</v>
      </c>
      <c r="C268" t="s">
        <v>211</v>
      </c>
      <c r="D268">
        <v>271.95</v>
      </c>
      <c r="E268" t="s">
        <v>2226</v>
      </c>
      <c r="F268">
        <v>271.95</v>
      </c>
    </row>
    <row r="269" spans="1:6">
      <c r="A269">
        <v>1</v>
      </c>
      <c r="B269" t="s">
        <v>2226</v>
      </c>
      <c r="C269" t="s">
        <v>1083</v>
      </c>
      <c r="D269">
        <v>35.28</v>
      </c>
      <c r="E269" t="s">
        <v>2226</v>
      </c>
      <c r="F269">
        <v>35.28</v>
      </c>
    </row>
    <row r="270" spans="1:6">
      <c r="F270">
        <v>307.23</v>
      </c>
    </row>
    <row r="272" spans="1:6">
      <c r="A272" t="s">
        <v>1434</v>
      </c>
      <c r="B272" t="s">
        <v>2338</v>
      </c>
      <c r="C272" t="s">
        <v>4526</v>
      </c>
    </row>
    <row r="273" spans="1:6">
      <c r="C273" t="s">
        <v>1586</v>
      </c>
    </row>
    <row r="274" spans="1:6">
      <c r="C274" t="s">
        <v>1252</v>
      </c>
    </row>
    <row r="275" spans="1:6">
      <c r="C275" t="s">
        <v>1667</v>
      </c>
    </row>
    <row r="276" spans="1:6">
      <c r="A276">
        <v>1.4</v>
      </c>
      <c r="B276" t="s">
        <v>1297</v>
      </c>
      <c r="C276" t="s">
        <v>4527</v>
      </c>
      <c r="D276">
        <v>292.7</v>
      </c>
      <c r="E276" t="s">
        <v>1297</v>
      </c>
      <c r="F276">
        <v>409.78</v>
      </c>
    </row>
    <row r="277" spans="1:6">
      <c r="A277">
        <v>0.98</v>
      </c>
      <c r="B277" t="s">
        <v>1297</v>
      </c>
      <c r="C277" t="s">
        <v>4528</v>
      </c>
      <c r="D277">
        <v>146.1</v>
      </c>
      <c r="E277" t="s">
        <v>1297</v>
      </c>
      <c r="F277">
        <v>143.18</v>
      </c>
    </row>
    <row r="278" spans="1:6">
      <c r="A278">
        <v>2.2000000000000002</v>
      </c>
      <c r="B278" t="s">
        <v>781</v>
      </c>
      <c r="C278" t="s">
        <v>1229</v>
      </c>
      <c r="D278">
        <v>722.4</v>
      </c>
      <c r="E278" t="s">
        <v>781</v>
      </c>
      <c r="F278">
        <v>1589.28</v>
      </c>
    </row>
    <row r="279" spans="1:6">
      <c r="B279" t="s">
        <v>448</v>
      </c>
      <c r="C279" t="s">
        <v>1231</v>
      </c>
      <c r="D279" t="s">
        <v>995</v>
      </c>
      <c r="E279" t="s">
        <v>448</v>
      </c>
      <c r="F279">
        <v>2.5499999999999998</v>
      </c>
    </row>
    <row r="281" spans="1:6">
      <c r="C281" t="s">
        <v>440</v>
      </c>
      <c r="F281">
        <v>2144.79</v>
      </c>
    </row>
    <row r="282" spans="1:6">
      <c r="F282" t="s">
        <v>1667</v>
      </c>
    </row>
    <row r="283" spans="1:6">
      <c r="C283" t="s">
        <v>555</v>
      </c>
      <c r="F283">
        <v>214.48</v>
      </c>
    </row>
    <row r="286" spans="1:6">
      <c r="A286">
        <v>41</v>
      </c>
      <c r="B286" t="s">
        <v>2338</v>
      </c>
      <c r="C286" t="s">
        <v>1435</v>
      </c>
    </row>
    <row r="287" spans="1:6">
      <c r="C287" t="s">
        <v>1079</v>
      </c>
    </row>
    <row r="288" spans="1:6">
      <c r="C288" t="s">
        <v>1296</v>
      </c>
    </row>
    <row r="289" spans="1:6">
      <c r="C289" t="s">
        <v>1667</v>
      </c>
    </row>
    <row r="290" spans="1:6">
      <c r="A290">
        <v>2.2200000000000002</v>
      </c>
      <c r="B290" t="s">
        <v>1297</v>
      </c>
      <c r="C290" t="s">
        <v>1230</v>
      </c>
      <c r="D290">
        <v>225.4</v>
      </c>
      <c r="E290" t="s">
        <v>1297</v>
      </c>
      <c r="F290">
        <f>A290*D290</f>
        <v>500.39</v>
      </c>
    </row>
    <row r="291" spans="1:6">
      <c r="A291">
        <v>1.1000000000000001</v>
      </c>
      <c r="B291" t="s">
        <v>781</v>
      </c>
      <c r="C291" t="s">
        <v>1229</v>
      </c>
      <c r="D291">
        <v>722.4</v>
      </c>
      <c r="E291" t="s">
        <v>781</v>
      </c>
      <c r="F291">
        <v>794.64</v>
      </c>
    </row>
    <row r="292" spans="1:6">
      <c r="B292" t="s">
        <v>448</v>
      </c>
      <c r="C292" t="s">
        <v>1231</v>
      </c>
      <c r="D292" t="s">
        <v>995</v>
      </c>
      <c r="E292" t="s">
        <v>448</v>
      </c>
      <c r="F292">
        <v>1.5</v>
      </c>
    </row>
    <row r="293" spans="1:6">
      <c r="F293" t="s">
        <v>1667</v>
      </c>
    </row>
    <row r="294" spans="1:6">
      <c r="C294" t="s">
        <v>440</v>
      </c>
      <c r="F294">
        <f>SUM(F290:F293)</f>
        <v>1296.53</v>
      </c>
    </row>
    <row r="295" spans="1:6">
      <c r="F295" t="s">
        <v>1667</v>
      </c>
    </row>
    <row r="296" spans="1:6">
      <c r="C296" t="s">
        <v>555</v>
      </c>
      <c r="F296">
        <f>F294/10</f>
        <v>129.65</v>
      </c>
    </row>
    <row r="297" spans="1:6">
      <c r="C297" s="29"/>
    </row>
    <row r="298" spans="1:6" ht="63">
      <c r="C298" s="29" t="s">
        <v>4632</v>
      </c>
    </row>
    <row r="299" spans="1:6" ht="24" customHeight="1">
      <c r="A299">
        <v>1</v>
      </c>
      <c r="B299" t="s">
        <v>1458</v>
      </c>
      <c r="C299" t="s">
        <v>4650</v>
      </c>
      <c r="D299">
        <v>769</v>
      </c>
      <c r="E299" t="s">
        <v>1458</v>
      </c>
      <c r="F299">
        <f>A299*D299</f>
        <v>769</v>
      </c>
    </row>
    <row r="300" spans="1:6" ht="36" customHeight="1">
      <c r="A300">
        <v>1</v>
      </c>
      <c r="B300" t="s">
        <v>1458</v>
      </c>
      <c r="C300" s="29" t="s">
        <v>4633</v>
      </c>
      <c r="D300">
        <f>D299*15%</f>
        <v>115.35</v>
      </c>
      <c r="E300" t="s">
        <v>1458</v>
      </c>
      <c r="F300">
        <f>ROUND(PRODUCT(A300*D300),2)</f>
        <v>115.35</v>
      </c>
    </row>
    <row r="301" spans="1:6" ht="19.5" customHeight="1">
      <c r="C301" t="s">
        <v>4634</v>
      </c>
      <c r="F301">
        <f>SUM(F299:F300)</f>
        <v>884.35</v>
      </c>
    </row>
    <row r="303" spans="1:6">
      <c r="C303" t="s">
        <v>4001</v>
      </c>
    </row>
    <row r="304" spans="1:6">
      <c r="C304" t="s">
        <v>4002</v>
      </c>
    </row>
    <row r="305" spans="1:7">
      <c r="A305">
        <v>9</v>
      </c>
      <c r="B305" t="s">
        <v>884</v>
      </c>
      <c r="C305" t="s">
        <v>4654</v>
      </c>
      <c r="D305">
        <v>874.67</v>
      </c>
      <c r="E305" t="s">
        <v>884</v>
      </c>
      <c r="F305">
        <f>A305*D305</f>
        <v>7872.03</v>
      </c>
    </row>
    <row r="306" spans="1:7">
      <c r="A306">
        <v>4.5</v>
      </c>
      <c r="B306" t="s">
        <v>884</v>
      </c>
      <c r="C306" t="s">
        <v>4004</v>
      </c>
      <c r="D306">
        <f>F20</f>
        <v>5854.14</v>
      </c>
      <c r="E306" t="s">
        <v>884</v>
      </c>
      <c r="F306">
        <f t="shared" ref="F306:F309" si="2">A306*D306</f>
        <v>26343.63</v>
      </c>
    </row>
    <row r="307" spans="1:7">
      <c r="A307">
        <v>1.8</v>
      </c>
      <c r="B307" t="s">
        <v>1950</v>
      </c>
      <c r="C307" t="s">
        <v>1903</v>
      </c>
      <c r="D307">
        <f>D180</f>
        <v>844.2</v>
      </c>
      <c r="E307" t="s">
        <v>1950</v>
      </c>
      <c r="F307">
        <f t="shared" si="2"/>
        <v>1519.56</v>
      </c>
    </row>
    <row r="308" spans="1:7">
      <c r="A308">
        <v>17.7</v>
      </c>
      <c r="B308" t="s">
        <v>1950</v>
      </c>
      <c r="C308" t="s">
        <v>662</v>
      </c>
      <c r="D308">
        <f>D181</f>
        <v>590.1</v>
      </c>
      <c r="E308" t="s">
        <v>1950</v>
      </c>
      <c r="F308">
        <f t="shared" si="2"/>
        <v>10444.77</v>
      </c>
    </row>
    <row r="309" spans="1:7">
      <c r="A309">
        <v>14.1</v>
      </c>
      <c r="B309" t="s">
        <v>1950</v>
      </c>
      <c r="C309" t="s">
        <v>360</v>
      </c>
      <c r="D309">
        <f>D182</f>
        <v>484.05</v>
      </c>
      <c r="E309" t="s">
        <v>1950</v>
      </c>
      <c r="F309">
        <f t="shared" si="2"/>
        <v>6825.11</v>
      </c>
    </row>
    <row r="310" spans="1:7">
      <c r="C310" t="s">
        <v>3999</v>
      </c>
      <c r="F310">
        <f>G310*10%</f>
        <v>1878.94</v>
      </c>
      <c r="G310">
        <f>SUM(F307:F309)</f>
        <v>18789.439999999999</v>
      </c>
    </row>
    <row r="311" spans="1:7">
      <c r="C311" t="s">
        <v>618</v>
      </c>
      <c r="F311">
        <f>SUM(F305:F310)</f>
        <v>54884.04</v>
      </c>
    </row>
    <row r="312" spans="1:7">
      <c r="C312" t="s">
        <v>785</v>
      </c>
      <c r="F312">
        <f>F311/10</f>
        <v>5488.4</v>
      </c>
    </row>
    <row r="314" spans="1:7">
      <c r="C314" t="s">
        <v>4655</v>
      </c>
    </row>
    <row r="315" spans="1:7">
      <c r="A315" s="56">
        <v>2.5000000000000001E-2</v>
      </c>
      <c r="B315" t="s">
        <v>884</v>
      </c>
      <c r="C315" t="s">
        <v>4006</v>
      </c>
      <c r="D315">
        <f>F312</f>
        <v>5488.4</v>
      </c>
      <c r="E315" t="s">
        <v>884</v>
      </c>
      <c r="F315">
        <f>A315*D315</f>
        <v>137.21</v>
      </c>
    </row>
    <row r="316" spans="1:7">
      <c r="F316" t="s">
        <v>1667</v>
      </c>
    </row>
    <row r="317" spans="1:7">
      <c r="C317" s="38" t="s">
        <v>555</v>
      </c>
      <c r="D317" s="38"/>
      <c r="E317" s="38"/>
      <c r="F317" s="38">
        <f>SUM(F315:F316)</f>
        <v>137.21</v>
      </c>
    </row>
    <row r="320" spans="1:7" ht="31.5">
      <c r="C320" s="29" t="s">
        <v>4637</v>
      </c>
    </row>
    <row r="321" spans="1:6" ht="63">
      <c r="C321" s="29" t="s">
        <v>4638</v>
      </c>
    </row>
    <row r="323" spans="1:6">
      <c r="A323">
        <v>1.5</v>
      </c>
      <c r="B323" t="s">
        <v>840</v>
      </c>
      <c r="C323" t="s">
        <v>4639</v>
      </c>
      <c r="D323">
        <v>128</v>
      </c>
      <c r="E323" t="s">
        <v>840</v>
      </c>
      <c r="F323">
        <v>192</v>
      </c>
    </row>
    <row r="324" spans="1:6">
      <c r="A324">
        <v>2</v>
      </c>
      <c r="B324" t="s">
        <v>2068</v>
      </c>
      <c r="C324" t="s">
        <v>3027</v>
      </c>
      <c r="D324">
        <v>35</v>
      </c>
      <c r="E324" t="s">
        <v>2068</v>
      </c>
      <c r="F324">
        <v>70</v>
      </c>
    </row>
    <row r="326" spans="1:6">
      <c r="C326" s="29"/>
    </row>
    <row r="327" spans="1:6">
      <c r="A327">
        <v>8</v>
      </c>
      <c r="B327" t="s">
        <v>840</v>
      </c>
      <c r="C327" t="s">
        <v>3030</v>
      </c>
      <c r="D327">
        <v>24.1</v>
      </c>
      <c r="E327" t="s">
        <v>3484</v>
      </c>
      <c r="F327">
        <v>192.8</v>
      </c>
    </row>
    <row r="328" spans="1:6">
      <c r="A328">
        <v>1</v>
      </c>
      <c r="B328" t="s">
        <v>1454</v>
      </c>
      <c r="C328" t="s">
        <v>3031</v>
      </c>
      <c r="D328">
        <v>1537.67</v>
      </c>
      <c r="E328" t="s">
        <v>1458</v>
      </c>
      <c r="F328">
        <v>1537.67</v>
      </c>
    </row>
    <row r="329" spans="1:6">
      <c r="C329" t="s">
        <v>2612</v>
      </c>
      <c r="D329" t="s">
        <v>667</v>
      </c>
      <c r="F329">
        <v>15.53</v>
      </c>
    </row>
    <row r="330" spans="1:6">
      <c r="C330" t="s">
        <v>2475</v>
      </c>
      <c r="F330">
        <v>2008</v>
      </c>
    </row>
    <row r="332" spans="1:6">
      <c r="C332" t="s">
        <v>2613</v>
      </c>
    </row>
    <row r="333" spans="1:6">
      <c r="A333">
        <v>1</v>
      </c>
      <c r="B333" t="s">
        <v>1454</v>
      </c>
      <c r="C333" t="s">
        <v>2834</v>
      </c>
      <c r="D333">
        <v>817</v>
      </c>
      <c r="E333" t="s">
        <v>1454</v>
      </c>
      <c r="F333">
        <v>817</v>
      </c>
    </row>
    <row r="334" spans="1:6">
      <c r="A334">
        <v>1</v>
      </c>
      <c r="B334" t="s">
        <v>1454</v>
      </c>
      <c r="C334" t="s">
        <v>2901</v>
      </c>
      <c r="D334">
        <v>712</v>
      </c>
      <c r="E334" t="s">
        <v>1454</v>
      </c>
      <c r="F334">
        <v>712</v>
      </c>
    </row>
    <row r="335" spans="1:6">
      <c r="A335">
        <v>2</v>
      </c>
      <c r="B335" t="s">
        <v>1454</v>
      </c>
      <c r="C335" t="s">
        <v>2711</v>
      </c>
      <c r="D335">
        <v>708</v>
      </c>
      <c r="E335" t="s">
        <v>1454</v>
      </c>
      <c r="F335">
        <v>1416</v>
      </c>
    </row>
    <row r="336" spans="1:6">
      <c r="A336">
        <v>3</v>
      </c>
      <c r="B336" t="s">
        <v>1454</v>
      </c>
      <c r="C336" t="s">
        <v>2430</v>
      </c>
      <c r="D336">
        <v>556</v>
      </c>
      <c r="E336" t="s">
        <v>1454</v>
      </c>
      <c r="F336">
        <v>1668</v>
      </c>
    </row>
    <row r="337" spans="1:6">
      <c r="C337" t="s">
        <v>3014</v>
      </c>
      <c r="F337">
        <v>4613</v>
      </c>
    </row>
    <row r="338" spans="1:6">
      <c r="C338" t="s">
        <v>2929</v>
      </c>
      <c r="F338">
        <v>1537.67</v>
      </c>
    </row>
    <row r="341" spans="1:6">
      <c r="C341" t="s">
        <v>2477</v>
      </c>
    </row>
    <row r="343" spans="1:6">
      <c r="C343" t="s">
        <v>4640</v>
      </c>
    </row>
    <row r="345" spans="1:6">
      <c r="A345">
        <v>1</v>
      </c>
      <c r="B345" t="s">
        <v>1454</v>
      </c>
      <c r="C345" t="s">
        <v>4641</v>
      </c>
      <c r="D345">
        <v>1182</v>
      </c>
      <c r="E345" t="s">
        <v>1454</v>
      </c>
      <c r="F345">
        <v>1182</v>
      </c>
    </row>
    <row r="346" spans="1:6">
      <c r="A346">
        <v>1</v>
      </c>
      <c r="B346" t="s">
        <v>1454</v>
      </c>
      <c r="C346" t="s">
        <v>931</v>
      </c>
      <c r="D346">
        <v>2008</v>
      </c>
      <c r="E346" t="s">
        <v>1454</v>
      </c>
      <c r="F346">
        <v>2008</v>
      </c>
    </row>
    <row r="347" spans="1:6">
      <c r="C347" t="s">
        <v>2359</v>
      </c>
    </row>
    <row r="348" spans="1:6">
      <c r="C348" t="s">
        <v>1100</v>
      </c>
      <c r="F348">
        <v>3190</v>
      </c>
    </row>
    <row r="351" spans="1:6">
      <c r="C351" t="s">
        <v>4642</v>
      </c>
    </row>
    <row r="352" spans="1:6">
      <c r="A352">
        <v>1</v>
      </c>
      <c r="B352" t="s">
        <v>1454</v>
      </c>
      <c r="C352" t="s">
        <v>4643</v>
      </c>
      <c r="D352">
        <v>388</v>
      </c>
      <c r="E352" t="s">
        <v>1454</v>
      </c>
      <c r="F352">
        <v>388</v>
      </c>
    </row>
    <row r="353" spans="1:6">
      <c r="E353" t="s">
        <v>1454</v>
      </c>
      <c r="F353">
        <v>0</v>
      </c>
    </row>
    <row r="354" spans="1:6">
      <c r="C354" t="s">
        <v>4644</v>
      </c>
      <c r="E354" t="s">
        <v>1454</v>
      </c>
      <c r="F354">
        <v>275.19</v>
      </c>
    </row>
    <row r="355" spans="1:6">
      <c r="C355" t="s">
        <v>2359</v>
      </c>
      <c r="F355">
        <v>0.81</v>
      </c>
    </row>
    <row r="356" spans="1:6">
      <c r="C356" t="s">
        <v>3019</v>
      </c>
      <c r="F356">
        <v>664</v>
      </c>
    </row>
    <row r="358" spans="1:6">
      <c r="C358" t="s">
        <v>4646</v>
      </c>
    </row>
    <row r="360" spans="1:6" ht="63">
      <c r="C360" s="29" t="s">
        <v>2450</v>
      </c>
    </row>
    <row r="361" spans="1:6">
      <c r="A361">
        <v>1</v>
      </c>
      <c r="B361" t="s">
        <v>1454</v>
      </c>
      <c r="C361" t="s">
        <v>4647</v>
      </c>
      <c r="D361">
        <v>274.89999999999998</v>
      </c>
      <c r="E361" t="s">
        <v>1454</v>
      </c>
      <c r="F361">
        <v>274.89999999999998</v>
      </c>
    </row>
    <row r="362" spans="1:6">
      <c r="C362" t="s">
        <v>2359</v>
      </c>
      <c r="F362">
        <v>6</v>
      </c>
    </row>
    <row r="363" spans="1:6">
      <c r="C363" t="s">
        <v>931</v>
      </c>
      <c r="F363">
        <v>205.6</v>
      </c>
    </row>
    <row r="364" spans="1:6">
      <c r="C364" t="s">
        <v>2452</v>
      </c>
      <c r="F364">
        <v>486.5</v>
      </c>
    </row>
    <row r="367" spans="1:6">
      <c r="C367" t="s">
        <v>2453</v>
      </c>
    </row>
    <row r="368" spans="1:6">
      <c r="A368">
        <v>2</v>
      </c>
      <c r="B368" t="s">
        <v>1454</v>
      </c>
      <c r="C368" t="s">
        <v>2711</v>
      </c>
      <c r="D368">
        <v>708</v>
      </c>
      <c r="E368" t="s">
        <v>1454</v>
      </c>
      <c r="F368">
        <v>1416</v>
      </c>
    </row>
    <row r="369" spans="1:6">
      <c r="A369">
        <v>3</v>
      </c>
      <c r="B369" t="s">
        <v>1454</v>
      </c>
      <c r="C369" t="s">
        <v>2712</v>
      </c>
      <c r="D369">
        <v>556</v>
      </c>
      <c r="E369" t="s">
        <v>1454</v>
      </c>
      <c r="F369">
        <v>1668</v>
      </c>
    </row>
    <row r="370" spans="1:6">
      <c r="C370" t="s">
        <v>3633</v>
      </c>
      <c r="F370">
        <v>3084</v>
      </c>
    </row>
    <row r="371" spans="1:6">
      <c r="C371" t="s">
        <v>2929</v>
      </c>
      <c r="F371">
        <v>205.6</v>
      </c>
    </row>
    <row r="374" spans="1:6" ht="63">
      <c r="C374" s="29" t="s">
        <v>4066</v>
      </c>
    </row>
    <row r="375" spans="1:6">
      <c r="A375" s="1148" t="s">
        <v>1070</v>
      </c>
      <c r="B375" t="s">
        <v>227</v>
      </c>
      <c r="C375" t="s">
        <v>4075</v>
      </c>
      <c r="D375" t="s">
        <v>100</v>
      </c>
      <c r="E375" t="s">
        <v>3764</v>
      </c>
      <c r="F375" t="s">
        <v>994</v>
      </c>
    </row>
    <row r="376" spans="1:6">
      <c r="A376" s="854">
        <v>7.8975000000000004E-2</v>
      </c>
      <c r="B376" t="s">
        <v>3902</v>
      </c>
      <c r="C376" t="s">
        <v>4076</v>
      </c>
      <c r="D376">
        <v>111600</v>
      </c>
      <c r="E376" t="s">
        <v>3902</v>
      </c>
      <c r="F376">
        <f>ROUND(PRODUCT(A376*D376),2)</f>
        <v>8813.61</v>
      </c>
    </row>
    <row r="377" spans="1:6">
      <c r="A377" s="855">
        <v>0.17583209999999999</v>
      </c>
      <c r="B377" t="s">
        <v>3902</v>
      </c>
      <c r="C377" t="s">
        <v>4077</v>
      </c>
      <c r="D377">
        <v>99400</v>
      </c>
      <c r="E377" t="s">
        <v>3902</v>
      </c>
      <c r="F377">
        <f t="shared" ref="F377:F385" si="3">ROUND(PRODUCT(A377*D377),2)</f>
        <v>17477.71</v>
      </c>
    </row>
    <row r="378" spans="1:6">
      <c r="A378" s="855">
        <v>0.25481209999999999</v>
      </c>
      <c r="B378" t="s">
        <v>4029</v>
      </c>
      <c r="C378" t="s">
        <v>4078</v>
      </c>
      <c r="D378">
        <v>12390</v>
      </c>
      <c r="E378" t="s">
        <v>4029</v>
      </c>
      <c r="F378">
        <f t="shared" si="3"/>
        <v>3157.12</v>
      </c>
    </row>
    <row r="379" spans="1:6">
      <c r="A379" s="854">
        <v>7.2292500000000004</v>
      </c>
      <c r="B379" t="s">
        <v>4029</v>
      </c>
      <c r="C379" t="s">
        <v>4079</v>
      </c>
      <c r="D379">
        <v>387.4</v>
      </c>
      <c r="E379" t="s">
        <v>4029</v>
      </c>
      <c r="F379">
        <f t="shared" si="3"/>
        <v>2800.61</v>
      </c>
    </row>
    <row r="380" spans="1:6">
      <c r="A380">
        <v>9.07</v>
      </c>
      <c r="B380" t="s">
        <v>4029</v>
      </c>
      <c r="C380" t="s">
        <v>4080</v>
      </c>
      <c r="D380">
        <v>1160.25</v>
      </c>
      <c r="E380" t="s">
        <v>4029</v>
      </c>
      <c r="F380">
        <f t="shared" si="3"/>
        <v>10523.47</v>
      </c>
    </row>
    <row r="381" spans="1:6">
      <c r="A381">
        <v>36</v>
      </c>
      <c r="B381" t="s">
        <v>1492</v>
      </c>
      <c r="C381" t="s">
        <v>4686</v>
      </c>
      <c r="D381">
        <v>76.2</v>
      </c>
      <c r="E381" t="s">
        <v>1492</v>
      </c>
      <c r="F381">
        <f t="shared" si="3"/>
        <v>2743.2</v>
      </c>
    </row>
    <row r="382" spans="1:6">
      <c r="A382">
        <v>36</v>
      </c>
      <c r="B382" t="s">
        <v>1492</v>
      </c>
      <c r="C382" t="s">
        <v>4687</v>
      </c>
      <c r="D382">
        <v>45.7</v>
      </c>
      <c r="E382" t="s">
        <v>1492</v>
      </c>
      <c r="F382">
        <f t="shared" si="3"/>
        <v>1645.2</v>
      </c>
    </row>
    <row r="383" spans="1:6">
      <c r="A383">
        <v>18</v>
      </c>
      <c r="B383" t="s">
        <v>1492</v>
      </c>
      <c r="C383" t="s">
        <v>4688</v>
      </c>
      <c r="D383">
        <v>56.4</v>
      </c>
      <c r="E383" t="s">
        <v>1492</v>
      </c>
      <c r="F383">
        <f t="shared" si="3"/>
        <v>1015.2</v>
      </c>
    </row>
    <row r="384" spans="1:6">
      <c r="A384">
        <v>18</v>
      </c>
      <c r="B384" t="s">
        <v>1492</v>
      </c>
      <c r="C384" t="s">
        <v>4084</v>
      </c>
      <c r="D384">
        <v>63.2</v>
      </c>
      <c r="E384" t="s">
        <v>1492</v>
      </c>
      <c r="F384">
        <f t="shared" si="3"/>
        <v>1137.5999999999999</v>
      </c>
    </row>
    <row r="385" spans="1:6">
      <c r="A385">
        <v>29.1</v>
      </c>
      <c r="B385" t="s">
        <v>4029</v>
      </c>
      <c r="C385" t="s">
        <v>4689</v>
      </c>
      <c r="D385">
        <v>218.78</v>
      </c>
      <c r="E385" t="s">
        <v>4029</v>
      </c>
      <c r="F385">
        <f t="shared" si="3"/>
        <v>6366.5</v>
      </c>
    </row>
    <row r="386" spans="1:6">
      <c r="B386" t="s">
        <v>667</v>
      </c>
      <c r="C386" t="s">
        <v>4086</v>
      </c>
      <c r="F386">
        <v>20.04</v>
      </c>
    </row>
    <row r="387" spans="1:6">
      <c r="C387" t="s">
        <v>4088</v>
      </c>
      <c r="F387">
        <f>SUM(F376:F386)</f>
        <v>55700.26</v>
      </c>
    </row>
    <row r="389" spans="1:6">
      <c r="C389" s="38" t="s">
        <v>4089</v>
      </c>
      <c r="D389" s="38"/>
      <c r="E389" s="38"/>
      <c r="F389" s="38">
        <f>F387/11.84</f>
        <v>4704.41</v>
      </c>
    </row>
    <row r="392" spans="1:6" ht="31.5">
      <c r="C392" s="29" t="s">
        <v>4690</v>
      </c>
    </row>
    <row r="395" spans="1:6">
      <c r="A395">
        <v>38.86</v>
      </c>
      <c r="B395" t="s">
        <v>929</v>
      </c>
      <c r="C395" t="s">
        <v>4691</v>
      </c>
      <c r="D395">
        <v>301</v>
      </c>
      <c r="E395" t="s">
        <v>929</v>
      </c>
      <c r="F395">
        <v>11696.86</v>
      </c>
    </row>
    <row r="396" spans="1:6">
      <c r="A396">
        <v>2.4300000000000002</v>
      </c>
      <c r="B396" t="s">
        <v>234</v>
      </c>
      <c r="C396" t="s">
        <v>4692</v>
      </c>
      <c r="D396">
        <v>359</v>
      </c>
      <c r="E396" t="s">
        <v>234</v>
      </c>
      <c r="F396">
        <v>872.37</v>
      </c>
    </row>
    <row r="397" spans="1:6">
      <c r="A397">
        <v>4.8499999999999996</v>
      </c>
      <c r="B397" t="s">
        <v>234</v>
      </c>
      <c r="C397" t="s">
        <v>4693</v>
      </c>
      <c r="D397">
        <v>695</v>
      </c>
      <c r="E397" t="s">
        <v>781</v>
      </c>
      <c r="F397">
        <v>3370.75</v>
      </c>
    </row>
    <row r="398" spans="1:6">
      <c r="A398">
        <v>34.65</v>
      </c>
      <c r="B398" t="s">
        <v>840</v>
      </c>
      <c r="C398" t="s">
        <v>4694</v>
      </c>
      <c r="D398">
        <v>37.9</v>
      </c>
      <c r="E398" t="s">
        <v>840</v>
      </c>
      <c r="F398">
        <v>1313.24</v>
      </c>
    </row>
    <row r="399" spans="1:6">
      <c r="A399">
        <v>144</v>
      </c>
      <c r="B399" t="s">
        <v>1950</v>
      </c>
      <c r="C399" t="s">
        <v>4695</v>
      </c>
      <c r="D399">
        <v>2.39</v>
      </c>
      <c r="E399" t="s">
        <v>1454</v>
      </c>
      <c r="F399">
        <v>344.16</v>
      </c>
    </row>
    <row r="400" spans="1:6">
      <c r="A400">
        <v>12</v>
      </c>
      <c r="B400" t="s">
        <v>1950</v>
      </c>
      <c r="C400" t="s">
        <v>4696</v>
      </c>
      <c r="D400">
        <v>4.84</v>
      </c>
      <c r="E400" t="s">
        <v>1454</v>
      </c>
      <c r="F400">
        <v>58.08</v>
      </c>
    </row>
    <row r="401" spans="1:6">
      <c r="A401">
        <v>12</v>
      </c>
      <c r="B401" t="s">
        <v>1950</v>
      </c>
      <c r="C401" t="s">
        <v>4697</v>
      </c>
      <c r="D401">
        <v>1.07</v>
      </c>
      <c r="E401" t="s">
        <v>1454</v>
      </c>
      <c r="F401">
        <v>12.84</v>
      </c>
    </row>
    <row r="402" spans="1:6">
      <c r="A402">
        <v>2</v>
      </c>
      <c r="B402" t="s">
        <v>227</v>
      </c>
      <c r="C402" t="s">
        <v>4698</v>
      </c>
      <c r="D402">
        <v>11.1</v>
      </c>
      <c r="E402" t="s">
        <v>227</v>
      </c>
      <c r="F402">
        <v>22.2</v>
      </c>
    </row>
    <row r="403" spans="1:6">
      <c r="A403">
        <v>6.6150000000000002</v>
      </c>
      <c r="B403" t="s">
        <v>2371</v>
      </c>
      <c r="C403" t="s">
        <v>4699</v>
      </c>
      <c r="D403">
        <v>1810.2</v>
      </c>
      <c r="E403" t="s">
        <v>2371</v>
      </c>
      <c r="F403">
        <v>7011.57</v>
      </c>
    </row>
    <row r="405" spans="1:6">
      <c r="C405" t="s">
        <v>4700</v>
      </c>
      <c r="F405">
        <v>24702.07</v>
      </c>
    </row>
    <row r="406" spans="1:6">
      <c r="C406" s="38" t="s">
        <v>555</v>
      </c>
      <c r="D406" s="38"/>
      <c r="E406" s="38"/>
      <c r="F406" s="38">
        <v>3734.25</v>
      </c>
    </row>
    <row r="408" spans="1:6">
      <c r="A408">
        <v>1</v>
      </c>
      <c r="B408" t="s">
        <v>883</v>
      </c>
      <c r="C408" t="s">
        <v>4701</v>
      </c>
      <c r="D408">
        <v>798</v>
      </c>
      <c r="E408" t="s">
        <v>883</v>
      </c>
      <c r="F408">
        <v>798</v>
      </c>
    </row>
    <row r="409" spans="1:6">
      <c r="A409">
        <v>1</v>
      </c>
      <c r="B409" t="s">
        <v>883</v>
      </c>
      <c r="C409" t="s">
        <v>4702</v>
      </c>
      <c r="D409">
        <v>590.1</v>
      </c>
      <c r="E409" t="s">
        <v>883</v>
      </c>
      <c r="F409">
        <v>590.1</v>
      </c>
    </row>
    <row r="410" spans="1:6">
      <c r="A410">
        <v>0.5</v>
      </c>
      <c r="B410" t="s">
        <v>883</v>
      </c>
      <c r="C410" t="s">
        <v>4703</v>
      </c>
      <c r="D410">
        <v>844.2</v>
      </c>
      <c r="E410" t="s">
        <v>883</v>
      </c>
      <c r="F410">
        <v>422.1</v>
      </c>
    </row>
    <row r="411" spans="1:6">
      <c r="B411" t="s">
        <v>448</v>
      </c>
      <c r="E411" t="s">
        <v>448</v>
      </c>
    </row>
    <row r="412" spans="1:6">
      <c r="F412" t="s">
        <v>1667</v>
      </c>
    </row>
    <row r="413" spans="1:6">
      <c r="D413" t="s">
        <v>4704</v>
      </c>
      <c r="F413">
        <v>1810.2</v>
      </c>
    </row>
    <row r="414" spans="1:6">
      <c r="F414" t="s">
        <v>1667</v>
      </c>
    </row>
    <row r="416" spans="1:6">
      <c r="A416">
        <v>44.1</v>
      </c>
      <c r="B416" t="s">
        <v>2338</v>
      </c>
      <c r="C416" t="s">
        <v>1677</v>
      </c>
    </row>
    <row r="417" spans="1:6">
      <c r="C417" t="s">
        <v>1678</v>
      </c>
    </row>
    <row r="418" spans="1:6">
      <c r="C418" t="s">
        <v>4710</v>
      </c>
    </row>
    <row r="419" spans="1:6">
      <c r="C419" t="s">
        <v>1667</v>
      </c>
    </row>
    <row r="420" spans="1:6">
      <c r="A420">
        <v>3</v>
      </c>
      <c r="B420" t="s">
        <v>1854</v>
      </c>
      <c r="C420" t="s">
        <v>2123</v>
      </c>
      <c r="D420">
        <v>120.54</v>
      </c>
      <c r="E420" t="s">
        <v>1854</v>
      </c>
      <c r="F420">
        <v>361.62</v>
      </c>
    </row>
    <row r="421" spans="1:6">
      <c r="A421">
        <v>1</v>
      </c>
      <c r="B421" t="s">
        <v>883</v>
      </c>
      <c r="C421" t="s">
        <v>2172</v>
      </c>
      <c r="D421">
        <v>76</v>
      </c>
      <c r="E421" t="s">
        <v>883</v>
      </c>
      <c r="F421">
        <v>76</v>
      </c>
    </row>
    <row r="422" spans="1:6">
      <c r="A422">
        <v>1</v>
      </c>
      <c r="B422" t="s">
        <v>883</v>
      </c>
      <c r="C422" t="s">
        <v>2173</v>
      </c>
      <c r="D422">
        <v>79.5</v>
      </c>
      <c r="E422" t="s">
        <v>883</v>
      </c>
      <c r="F422">
        <v>79.5</v>
      </c>
    </row>
    <row r="423" spans="1:6">
      <c r="A423">
        <v>2</v>
      </c>
      <c r="B423" t="s">
        <v>883</v>
      </c>
      <c r="C423" t="s">
        <v>2174</v>
      </c>
      <c r="D423">
        <v>21.4</v>
      </c>
      <c r="E423" t="s">
        <v>883</v>
      </c>
      <c r="F423">
        <v>42.8</v>
      </c>
    </row>
    <row r="424" spans="1:6">
      <c r="A424">
        <v>1</v>
      </c>
      <c r="B424" t="s">
        <v>883</v>
      </c>
      <c r="C424" t="s">
        <v>2175</v>
      </c>
      <c r="D424">
        <v>31.8</v>
      </c>
      <c r="E424" t="s">
        <v>883</v>
      </c>
      <c r="F424">
        <v>31.8</v>
      </c>
    </row>
    <row r="425" spans="1:6">
      <c r="A425">
        <v>0.5</v>
      </c>
      <c r="B425" t="s">
        <v>883</v>
      </c>
      <c r="C425" t="s">
        <v>2176</v>
      </c>
      <c r="D425">
        <v>784.35</v>
      </c>
      <c r="E425" t="s">
        <v>883</v>
      </c>
      <c r="F425">
        <v>392.18</v>
      </c>
    </row>
    <row r="426" spans="1:6">
      <c r="B426" t="s">
        <v>448</v>
      </c>
      <c r="C426" t="s">
        <v>607</v>
      </c>
      <c r="E426" t="s">
        <v>448</v>
      </c>
    </row>
    <row r="427" spans="1:6">
      <c r="C427" t="s">
        <v>21</v>
      </c>
    </row>
    <row r="428" spans="1:6">
      <c r="F428" t="s">
        <v>1667</v>
      </c>
    </row>
    <row r="429" spans="1:6">
      <c r="C429" t="s">
        <v>1375</v>
      </c>
      <c r="F429">
        <v>983.9</v>
      </c>
    </row>
    <row r="430" spans="1:6">
      <c r="A430" t="s">
        <v>995</v>
      </c>
    </row>
    <row r="431" spans="1:6">
      <c r="F431" t="s">
        <v>1667</v>
      </c>
    </row>
    <row r="432" spans="1:6">
      <c r="C432" t="s">
        <v>1622</v>
      </c>
      <c r="F432">
        <v>327.97</v>
      </c>
    </row>
    <row r="439" spans="1:6">
      <c r="A439" s="29"/>
      <c r="B439" s="29"/>
      <c r="C439" s="29" t="s">
        <v>2496</v>
      </c>
      <c r="D439" s="29"/>
      <c r="E439" s="29"/>
      <c r="F439" s="29"/>
    </row>
    <row r="440" spans="1:6">
      <c r="A440" s="29"/>
      <c r="B440" s="29"/>
      <c r="C440" s="29" t="s">
        <v>4721</v>
      </c>
      <c r="D440" s="29"/>
      <c r="E440" s="29"/>
      <c r="F440" s="29"/>
    </row>
    <row r="441" spans="1:6" ht="141.75">
      <c r="A441" s="29"/>
      <c r="B441" s="29"/>
      <c r="C441" s="29" t="s">
        <v>4718</v>
      </c>
      <c r="D441" s="29"/>
      <c r="E441" s="29"/>
      <c r="F441" s="29"/>
    </row>
    <row r="442" spans="1:6">
      <c r="A442" s="29"/>
      <c r="B442" s="29"/>
      <c r="C442" s="29"/>
      <c r="D442" s="29"/>
      <c r="E442" s="29"/>
      <c r="F442" s="29"/>
    </row>
    <row r="443" spans="1:6" ht="31.5">
      <c r="A443" s="29">
        <v>180</v>
      </c>
      <c r="B443" s="29" t="s">
        <v>840</v>
      </c>
      <c r="C443" s="29" t="s">
        <v>2662</v>
      </c>
      <c r="D443" s="29">
        <v>15.5</v>
      </c>
      <c r="E443" s="29" t="s">
        <v>840</v>
      </c>
      <c r="F443" s="29">
        <v>2790</v>
      </c>
    </row>
    <row r="444" spans="1:6" ht="31.5">
      <c r="A444" s="29">
        <v>90</v>
      </c>
      <c r="B444" s="29" t="s">
        <v>840</v>
      </c>
      <c r="C444" s="29" t="s">
        <v>2466</v>
      </c>
      <c r="D444" s="29">
        <v>19.100000000000001</v>
      </c>
      <c r="E444" s="29" t="s">
        <v>840</v>
      </c>
      <c r="F444" s="29">
        <v>1719</v>
      </c>
    </row>
    <row r="445" spans="1:6">
      <c r="A445" s="29">
        <v>1</v>
      </c>
      <c r="B445" s="29" t="s">
        <v>3301</v>
      </c>
      <c r="C445" s="29" t="s">
        <v>4719</v>
      </c>
      <c r="D445" s="29">
        <v>39</v>
      </c>
      <c r="E445" s="29" t="s">
        <v>3301</v>
      </c>
      <c r="F445" s="29">
        <v>39</v>
      </c>
    </row>
    <row r="446" spans="1:6">
      <c r="A446" s="29">
        <v>300</v>
      </c>
      <c r="B446" s="29" t="s">
        <v>1492</v>
      </c>
      <c r="C446" s="29" t="s">
        <v>4720</v>
      </c>
      <c r="D446" s="29">
        <v>287</v>
      </c>
      <c r="E446" s="29" t="s">
        <v>3305</v>
      </c>
      <c r="F446" s="29">
        <v>86.1</v>
      </c>
    </row>
    <row r="447" spans="1:6">
      <c r="A447" s="29">
        <v>2</v>
      </c>
      <c r="B447" s="29" t="s">
        <v>2763</v>
      </c>
      <c r="C447" s="29" t="s">
        <v>3304</v>
      </c>
      <c r="D447" s="29">
        <v>68.8</v>
      </c>
      <c r="E447" s="29" t="s">
        <v>3301</v>
      </c>
      <c r="F447" s="29">
        <v>137.6</v>
      </c>
    </row>
    <row r="448" spans="1:6">
      <c r="A448" s="29">
        <v>0.33</v>
      </c>
      <c r="B448" s="29" t="s">
        <v>2759</v>
      </c>
      <c r="C448" s="29" t="s">
        <v>391</v>
      </c>
      <c r="D448" s="29">
        <v>298</v>
      </c>
      <c r="E448" s="29" t="s">
        <v>2759</v>
      </c>
      <c r="F448" s="29">
        <v>98.34</v>
      </c>
    </row>
    <row r="449" spans="1:6" ht="47.25">
      <c r="A449" s="29">
        <v>90</v>
      </c>
      <c r="B449" s="29" t="s">
        <v>840</v>
      </c>
      <c r="C449" s="29" t="s">
        <v>2765</v>
      </c>
      <c r="D449" s="29">
        <v>15.5</v>
      </c>
      <c r="E449" s="29" t="s">
        <v>2663</v>
      </c>
      <c r="F449" s="29">
        <v>1395</v>
      </c>
    </row>
    <row r="450" spans="1:6">
      <c r="A450" s="29" t="s">
        <v>3308</v>
      </c>
      <c r="B450" s="29"/>
      <c r="C450" s="29" t="s">
        <v>931</v>
      </c>
      <c r="D450" s="29">
        <v>6589</v>
      </c>
      <c r="E450" s="29"/>
      <c r="F450" s="29">
        <v>4392.67</v>
      </c>
    </row>
    <row r="451" spans="1:6">
      <c r="A451" s="29"/>
      <c r="B451" s="29"/>
      <c r="C451" s="29"/>
      <c r="D451" s="29"/>
      <c r="E451" s="29"/>
      <c r="F451" s="29">
        <v>10657.71</v>
      </c>
    </row>
    <row r="452" spans="1:6">
      <c r="A452" s="29"/>
      <c r="B452" s="29"/>
      <c r="C452" s="29" t="s">
        <v>2359</v>
      </c>
      <c r="D452" s="29"/>
      <c r="E452" s="29"/>
      <c r="F452" s="29">
        <v>79.290000000000006</v>
      </c>
    </row>
    <row r="453" spans="1:6">
      <c r="A453" s="29"/>
      <c r="B453" s="29"/>
      <c r="C453" s="29" t="s">
        <v>2498</v>
      </c>
      <c r="D453" s="29"/>
      <c r="E453" s="29"/>
      <c r="F453" s="29">
        <v>10737</v>
      </c>
    </row>
    <row r="454" spans="1:6">
      <c r="A454" s="29"/>
      <c r="B454" s="29"/>
      <c r="C454" s="29" t="s">
        <v>2499</v>
      </c>
      <c r="D454" s="29"/>
      <c r="E454" s="29"/>
      <c r="F454" s="29">
        <v>119.3</v>
      </c>
    </row>
    <row r="455" spans="1:6">
      <c r="A455" s="29"/>
      <c r="B455" s="29"/>
      <c r="C455" s="29"/>
      <c r="D455" s="29"/>
      <c r="E455" s="29"/>
      <c r="F455" s="29"/>
    </row>
    <row r="456" spans="1:6" ht="31.5">
      <c r="A456" s="29"/>
      <c r="B456" s="29"/>
      <c r="C456" s="29" t="s">
        <v>3306</v>
      </c>
      <c r="D456" s="29"/>
      <c r="E456" s="29"/>
      <c r="F456" s="29"/>
    </row>
    <row r="457" spans="1:6">
      <c r="A457" s="29"/>
      <c r="B457" s="29"/>
      <c r="C457" s="29"/>
      <c r="D457" s="29"/>
      <c r="E457" s="29"/>
      <c r="F457" s="29"/>
    </row>
    <row r="458" spans="1:6" ht="141.75">
      <c r="A458" s="29"/>
      <c r="B458" s="29"/>
      <c r="C458" s="29" t="s">
        <v>3170</v>
      </c>
      <c r="D458" s="29"/>
      <c r="E458" s="29"/>
      <c r="F458" s="29"/>
    </row>
    <row r="459" spans="1:6">
      <c r="A459" s="29"/>
      <c r="B459" s="29"/>
      <c r="C459" s="29"/>
      <c r="D459" s="29"/>
      <c r="E459" s="29"/>
      <c r="F459" s="29"/>
    </row>
    <row r="460" spans="1:6">
      <c r="A460" s="29"/>
      <c r="B460" s="29"/>
      <c r="C460" s="29" t="s">
        <v>3307</v>
      </c>
      <c r="D460" s="29"/>
      <c r="E460" s="29"/>
      <c r="F460" s="29">
        <v>10737</v>
      </c>
    </row>
    <row r="461" spans="1:6" ht="31.5">
      <c r="A461" s="29">
        <v>180</v>
      </c>
      <c r="B461" s="29" t="s">
        <v>840</v>
      </c>
      <c r="C461" s="29" t="s">
        <v>3419</v>
      </c>
      <c r="D461" s="29">
        <v>24.1</v>
      </c>
      <c r="E461" s="29" t="s">
        <v>840</v>
      </c>
      <c r="F461" s="29">
        <v>4338</v>
      </c>
    </row>
    <row r="462" spans="1:6" ht="31.5">
      <c r="A462" s="29">
        <v>180</v>
      </c>
      <c r="B462" s="29" t="s">
        <v>840</v>
      </c>
      <c r="C462" s="29" t="s">
        <v>3118</v>
      </c>
      <c r="D462" s="29">
        <v>15.5</v>
      </c>
      <c r="E462" s="29" t="s">
        <v>2663</v>
      </c>
      <c r="F462" s="29">
        <v>2790</v>
      </c>
    </row>
    <row r="463" spans="1:6">
      <c r="A463" s="29"/>
      <c r="B463" s="29"/>
      <c r="C463" s="29" t="s">
        <v>2359</v>
      </c>
      <c r="D463" s="29"/>
      <c r="E463" s="29"/>
      <c r="F463" s="29"/>
    </row>
    <row r="464" spans="1:6">
      <c r="A464" s="29"/>
      <c r="B464" s="29"/>
      <c r="C464" s="29" t="s">
        <v>3119</v>
      </c>
      <c r="D464" s="29"/>
      <c r="E464" s="29"/>
      <c r="F464" s="29">
        <v>12285</v>
      </c>
    </row>
    <row r="465" spans="1:6">
      <c r="A465" s="29"/>
      <c r="B465" s="29"/>
      <c r="C465" s="29" t="s">
        <v>2499</v>
      </c>
      <c r="D465" s="29"/>
      <c r="E465" s="29"/>
      <c r="F465" s="29">
        <v>136.5</v>
      </c>
    </row>
    <row r="466" spans="1:6">
      <c r="A466" s="29"/>
      <c r="B466" s="29"/>
      <c r="C466" s="29"/>
      <c r="D466" s="29"/>
      <c r="E466" s="29"/>
      <c r="F466" s="29"/>
    </row>
    <row r="467" spans="1:6">
      <c r="A467">
        <v>9</v>
      </c>
      <c r="B467" t="s">
        <v>2338</v>
      </c>
      <c r="C467" t="s">
        <v>3741</v>
      </c>
    </row>
    <row r="468" spans="1:6">
      <c r="C468" t="s">
        <v>3740</v>
      </c>
    </row>
    <row r="469" spans="1:6">
      <c r="C469" t="s">
        <v>1667</v>
      </c>
    </row>
    <row r="470" spans="1:6">
      <c r="A470">
        <v>4240</v>
      </c>
      <c r="B470" t="s">
        <v>1485</v>
      </c>
      <c r="C470" t="s">
        <v>3740</v>
      </c>
      <c r="D470">
        <v>6866.8</v>
      </c>
      <c r="E470" t="s">
        <v>1675</v>
      </c>
      <c r="F470">
        <v>29115.23</v>
      </c>
    </row>
    <row r="471" spans="1:6">
      <c r="A471">
        <v>2</v>
      </c>
      <c r="B471" t="s">
        <v>884</v>
      </c>
      <c r="C471" t="s">
        <v>1716</v>
      </c>
      <c r="D471">
        <v>2993.34</v>
      </c>
      <c r="E471" t="s">
        <v>884</v>
      </c>
      <c r="F471">
        <v>5986.68</v>
      </c>
    </row>
    <row r="472" spans="1:6">
      <c r="A472">
        <v>3.5</v>
      </c>
      <c r="B472" t="s">
        <v>883</v>
      </c>
      <c r="C472" t="s">
        <v>2082</v>
      </c>
      <c r="D472">
        <v>904.05</v>
      </c>
      <c r="E472" t="s">
        <v>883</v>
      </c>
      <c r="F472">
        <v>3164.18</v>
      </c>
    </row>
    <row r="473" spans="1:6">
      <c r="A473">
        <v>10.6</v>
      </c>
      <c r="B473" t="s">
        <v>883</v>
      </c>
      <c r="C473" t="s">
        <v>1791</v>
      </c>
      <c r="D473">
        <v>844.2</v>
      </c>
      <c r="E473" t="s">
        <v>883</v>
      </c>
      <c r="F473">
        <v>8948.52</v>
      </c>
    </row>
    <row r="474" spans="1:6">
      <c r="A474">
        <v>7.1</v>
      </c>
      <c r="B474" t="s">
        <v>883</v>
      </c>
      <c r="C474" t="s">
        <v>1979</v>
      </c>
      <c r="D474">
        <v>590.1</v>
      </c>
      <c r="E474" t="s">
        <v>883</v>
      </c>
      <c r="F474">
        <v>4189.71</v>
      </c>
    </row>
    <row r="475" spans="1:6">
      <c r="A475">
        <v>21.2</v>
      </c>
      <c r="B475" t="s">
        <v>883</v>
      </c>
      <c r="C475" t="s">
        <v>324</v>
      </c>
      <c r="D475">
        <v>484.05</v>
      </c>
      <c r="E475" t="s">
        <v>883</v>
      </c>
      <c r="F475">
        <v>10261.86</v>
      </c>
    </row>
    <row r="476" spans="1:6">
      <c r="B476" t="s">
        <v>448</v>
      </c>
      <c r="C476" t="s">
        <v>449</v>
      </c>
      <c r="E476" t="s">
        <v>448</v>
      </c>
      <c r="F476">
        <v>0</v>
      </c>
    </row>
    <row r="477" spans="1:6">
      <c r="F477" t="s">
        <v>1667</v>
      </c>
    </row>
    <row r="478" spans="1:6">
      <c r="C478" t="s">
        <v>618</v>
      </c>
      <c r="F478">
        <v>61666.18</v>
      </c>
    </row>
    <row r="479" spans="1:6">
      <c r="F479" t="s">
        <v>1667</v>
      </c>
    </row>
    <row r="480" spans="1:6">
      <c r="C480" t="s">
        <v>785</v>
      </c>
      <c r="F480">
        <v>6166.62</v>
      </c>
    </row>
    <row r="481" spans="1:6">
      <c r="F481" t="s">
        <v>2130</v>
      </c>
    </row>
    <row r="482" spans="1:6">
      <c r="C482" t="s">
        <v>388</v>
      </c>
      <c r="F482">
        <v>6238.02</v>
      </c>
    </row>
    <row r="483" spans="1:6">
      <c r="C483" t="s">
        <v>390</v>
      </c>
      <c r="F483">
        <v>6382.08</v>
      </c>
    </row>
    <row r="486" spans="1:6" ht="31.5">
      <c r="C486" s="597" t="s">
        <v>4383</v>
      </c>
    </row>
    <row r="487" spans="1:6">
      <c r="A487">
        <v>5</v>
      </c>
      <c r="B487" t="s">
        <v>1402</v>
      </c>
      <c r="C487" t="s">
        <v>4384</v>
      </c>
      <c r="D487">
        <v>1562.34</v>
      </c>
      <c r="F487">
        <v>7811.7</v>
      </c>
    </row>
    <row r="488" spans="1:6">
      <c r="A488">
        <v>3.3</v>
      </c>
      <c r="B488" t="s">
        <v>1402</v>
      </c>
      <c r="C488" t="s">
        <v>4385</v>
      </c>
      <c r="D488">
        <v>1283.3399999999999</v>
      </c>
      <c r="F488">
        <v>4235.0200000000004</v>
      </c>
    </row>
    <row r="489" spans="1:6">
      <c r="A489">
        <v>4.79</v>
      </c>
      <c r="B489" t="s">
        <v>1402</v>
      </c>
      <c r="C489" t="s">
        <v>4386</v>
      </c>
      <c r="D489">
        <v>1457.94</v>
      </c>
      <c r="F489">
        <v>6983.53</v>
      </c>
    </row>
    <row r="490" spans="1:6">
      <c r="A490">
        <v>3.25</v>
      </c>
      <c r="B490" t="s">
        <v>528</v>
      </c>
      <c r="C490" t="s">
        <v>391</v>
      </c>
      <c r="D490">
        <v>5960</v>
      </c>
      <c r="F490">
        <v>19370</v>
      </c>
    </row>
    <row r="491" spans="1:6">
      <c r="A491">
        <v>19.5</v>
      </c>
      <c r="B491" t="s">
        <v>1730</v>
      </c>
      <c r="C491" t="s">
        <v>4387</v>
      </c>
      <c r="D491">
        <v>42.8</v>
      </c>
      <c r="F491">
        <v>834.6</v>
      </c>
    </row>
    <row r="492" spans="1:6">
      <c r="A492">
        <v>3.5</v>
      </c>
      <c r="B492" t="s">
        <v>1492</v>
      </c>
      <c r="C492" t="s">
        <v>465</v>
      </c>
      <c r="D492">
        <v>844.2</v>
      </c>
      <c r="E492">
        <v>0</v>
      </c>
      <c r="F492">
        <v>2954.7</v>
      </c>
    </row>
    <row r="493" spans="1:6">
      <c r="A493">
        <v>21.2</v>
      </c>
      <c r="B493" t="s">
        <v>1492</v>
      </c>
      <c r="C493" t="s">
        <v>3682</v>
      </c>
      <c r="D493">
        <v>590.1</v>
      </c>
      <c r="F493">
        <v>12510.12</v>
      </c>
    </row>
    <row r="494" spans="1:6">
      <c r="A494">
        <v>35.299999999999997</v>
      </c>
      <c r="B494" t="s">
        <v>1492</v>
      </c>
      <c r="C494" t="s">
        <v>3683</v>
      </c>
      <c r="D494">
        <v>484.05</v>
      </c>
      <c r="F494">
        <v>17086.97</v>
      </c>
    </row>
    <row r="495" spans="1:6">
      <c r="C495" t="s">
        <v>4388</v>
      </c>
      <c r="D495">
        <v>0</v>
      </c>
      <c r="F495">
        <v>71786.64</v>
      </c>
    </row>
    <row r="496" spans="1:6">
      <c r="C496" t="s">
        <v>4389</v>
      </c>
      <c r="D496">
        <v>0</v>
      </c>
      <c r="F496">
        <v>7178.66</v>
      </c>
    </row>
    <row r="497" spans="1:6">
      <c r="A497">
        <v>1</v>
      </c>
      <c r="B497" t="s">
        <v>1402</v>
      </c>
      <c r="C497" t="s">
        <v>4390</v>
      </c>
      <c r="D497">
        <v>85.37</v>
      </c>
      <c r="F497">
        <v>85.37</v>
      </c>
    </row>
    <row r="498" spans="1:6">
      <c r="C498" t="s">
        <v>4391</v>
      </c>
      <c r="D498">
        <v>0</v>
      </c>
      <c r="F498">
        <v>7264.03</v>
      </c>
    </row>
    <row r="499" spans="1:6">
      <c r="A499" t="s">
        <v>667</v>
      </c>
      <c r="C499" t="s">
        <v>4392</v>
      </c>
      <c r="D499" t="s">
        <v>667</v>
      </c>
      <c r="F499">
        <v>36.32</v>
      </c>
    </row>
    <row r="500" spans="1:6">
      <c r="C500" t="s">
        <v>4393</v>
      </c>
      <c r="F500">
        <v>7300.35</v>
      </c>
    </row>
    <row r="501" spans="1:6">
      <c r="F501" t="s">
        <v>1667</v>
      </c>
    </row>
    <row r="502" spans="1:6">
      <c r="C502" t="s">
        <v>388</v>
      </c>
      <c r="F502">
        <v>7408.82</v>
      </c>
    </row>
    <row r="503" spans="1:6">
      <c r="C503" t="s">
        <v>390</v>
      </c>
      <c r="F503">
        <v>7622.5</v>
      </c>
    </row>
    <row r="505" spans="1:6">
      <c r="B505" t="s">
        <v>739</v>
      </c>
      <c r="C505" t="s">
        <v>735</v>
      </c>
      <c r="D505">
        <v>772.13</v>
      </c>
    </row>
    <row r="507" spans="1:6">
      <c r="B507" t="s">
        <v>519</v>
      </c>
      <c r="C507" t="s">
        <v>736</v>
      </c>
      <c r="D507">
        <v>866.09</v>
      </c>
    </row>
    <row r="509" spans="1:6">
      <c r="B509" t="s">
        <v>321</v>
      </c>
      <c r="C509" t="s">
        <v>737</v>
      </c>
      <c r="D509">
        <v>1039.31</v>
      </c>
    </row>
    <row r="511" spans="1:6">
      <c r="B511" t="s">
        <v>740</v>
      </c>
      <c r="C511" t="s">
        <v>738</v>
      </c>
      <c r="D511">
        <v>952.7</v>
      </c>
    </row>
    <row r="513" spans="1:6">
      <c r="A513">
        <v>29.5</v>
      </c>
      <c r="B513" t="s">
        <v>2338</v>
      </c>
      <c r="C513" t="s">
        <v>1891</v>
      </c>
    </row>
    <row r="514" spans="1:6">
      <c r="C514" t="s">
        <v>873</v>
      </c>
    </row>
    <row r="515" spans="1:6">
      <c r="C515" t="s">
        <v>2012</v>
      </c>
    </row>
    <row r="516" spans="1:6">
      <c r="C516" t="s">
        <v>1667</v>
      </c>
      <c r="D516" t="s">
        <v>1667</v>
      </c>
    </row>
    <row r="517" spans="1:6">
      <c r="A517">
        <v>10</v>
      </c>
      <c r="B517" t="s">
        <v>611</v>
      </c>
      <c r="C517" t="s">
        <v>2013</v>
      </c>
      <c r="D517">
        <v>363.34</v>
      </c>
      <c r="E517" t="s">
        <v>611</v>
      </c>
      <c r="F517">
        <v>3633.4</v>
      </c>
    </row>
    <row r="518" spans="1:6">
      <c r="A518">
        <v>0.21</v>
      </c>
      <c r="B518" t="s">
        <v>884</v>
      </c>
      <c r="C518" t="s">
        <v>1953</v>
      </c>
      <c r="D518">
        <v>4423.74</v>
      </c>
      <c r="E518" t="s">
        <v>884</v>
      </c>
      <c r="F518">
        <v>928.99</v>
      </c>
    </row>
    <row r="519" spans="1:6">
      <c r="C519" t="s">
        <v>1954</v>
      </c>
      <c r="D519" t="s">
        <v>995</v>
      </c>
      <c r="F519" t="s">
        <v>995</v>
      </c>
    </row>
    <row r="520" spans="1:6">
      <c r="A520">
        <v>1.1000000000000001</v>
      </c>
      <c r="B520" t="s">
        <v>781</v>
      </c>
      <c r="C520" t="s">
        <v>2082</v>
      </c>
      <c r="D520">
        <v>904.05</v>
      </c>
      <c r="E520" t="s">
        <v>781</v>
      </c>
      <c r="F520">
        <v>994.46</v>
      </c>
    </row>
    <row r="521" spans="1:6">
      <c r="A521">
        <v>1.1000000000000001</v>
      </c>
      <c r="B521" t="s">
        <v>781</v>
      </c>
      <c r="C521" t="s">
        <v>1791</v>
      </c>
      <c r="D521">
        <v>844.2</v>
      </c>
      <c r="E521" t="s">
        <v>781</v>
      </c>
      <c r="F521">
        <v>928.62</v>
      </c>
    </row>
    <row r="522" spans="1:6">
      <c r="A522">
        <v>2.2000000000000002</v>
      </c>
      <c r="B522" t="s">
        <v>781</v>
      </c>
      <c r="C522" t="s">
        <v>1979</v>
      </c>
      <c r="D522">
        <v>590.1</v>
      </c>
      <c r="E522" t="s">
        <v>781</v>
      </c>
      <c r="F522">
        <v>1298.22</v>
      </c>
    </row>
    <row r="523" spans="1:6">
      <c r="A523">
        <v>2.2000000000000002</v>
      </c>
      <c r="B523" t="s">
        <v>781</v>
      </c>
      <c r="C523" t="s">
        <v>324</v>
      </c>
      <c r="D523">
        <v>484.05</v>
      </c>
      <c r="E523" t="s">
        <v>781</v>
      </c>
      <c r="F523">
        <v>1064.9100000000001</v>
      </c>
    </row>
    <row r="524" spans="1:6">
      <c r="A524">
        <v>20</v>
      </c>
      <c r="B524" t="s">
        <v>1730</v>
      </c>
      <c r="C524" t="s">
        <v>877</v>
      </c>
      <c r="D524">
        <v>5960</v>
      </c>
      <c r="E524" t="s">
        <v>876</v>
      </c>
      <c r="F524">
        <v>119.2</v>
      </c>
    </row>
    <row r="525" spans="1:6">
      <c r="A525">
        <v>2</v>
      </c>
      <c r="B525" t="s">
        <v>1730</v>
      </c>
      <c r="C525" t="s">
        <v>4768</v>
      </c>
      <c r="D525">
        <v>36.1</v>
      </c>
      <c r="E525" t="s">
        <v>1730</v>
      </c>
      <c r="F525">
        <v>72.2</v>
      </c>
    </row>
    <row r="526" spans="1:6">
      <c r="A526">
        <v>1.6</v>
      </c>
      <c r="B526" t="s">
        <v>781</v>
      </c>
      <c r="C526" t="s">
        <v>1791</v>
      </c>
      <c r="D526">
        <v>844.2</v>
      </c>
      <c r="E526" t="s">
        <v>781</v>
      </c>
      <c r="F526">
        <v>1350.72</v>
      </c>
    </row>
    <row r="527" spans="1:6">
      <c r="A527">
        <v>0.5</v>
      </c>
      <c r="B527" t="s">
        <v>781</v>
      </c>
      <c r="C527" t="s">
        <v>1979</v>
      </c>
      <c r="D527">
        <v>590.1</v>
      </c>
      <c r="E527" t="s">
        <v>781</v>
      </c>
      <c r="F527">
        <v>295.05</v>
      </c>
    </row>
    <row r="528" spans="1:6">
      <c r="A528">
        <v>1.1000000000000001</v>
      </c>
      <c r="B528" t="s">
        <v>781</v>
      </c>
      <c r="C528" t="s">
        <v>324</v>
      </c>
      <c r="D528">
        <v>484.05</v>
      </c>
      <c r="E528" t="s">
        <v>781</v>
      </c>
      <c r="F528">
        <v>532.46</v>
      </c>
    </row>
    <row r="529" spans="2:6">
      <c r="B529" t="s">
        <v>448</v>
      </c>
      <c r="C529" t="s">
        <v>449</v>
      </c>
      <c r="E529" t="s">
        <v>448</v>
      </c>
      <c r="F529">
        <v>0</v>
      </c>
    </row>
    <row r="530" spans="2:6">
      <c r="F530" t="s">
        <v>1667</v>
      </c>
    </row>
    <row r="531" spans="2:6">
      <c r="C531" t="s">
        <v>440</v>
      </c>
      <c r="F531">
        <v>11218.23</v>
      </c>
    </row>
    <row r="532" spans="2:6">
      <c r="F532" t="s">
        <v>1667</v>
      </c>
    </row>
    <row r="533" spans="2:6">
      <c r="C533" t="s">
        <v>555</v>
      </c>
      <c r="F533">
        <v>1121.82</v>
      </c>
    </row>
    <row r="537" spans="2:6">
      <c r="C537" t="s">
        <v>3260</v>
      </c>
    </row>
    <row r="538" spans="2:6">
      <c r="C538" t="s">
        <v>3580</v>
      </c>
    </row>
    <row r="540" spans="2:6" ht="261.75" customHeight="1">
      <c r="C540" s="29" t="s">
        <v>2602</v>
      </c>
    </row>
    <row r="541" spans="2:6">
      <c r="C541" t="s">
        <v>2564</v>
      </c>
      <c r="F541">
        <v>14947.15</v>
      </c>
    </row>
    <row r="542" spans="2:6">
      <c r="C542" t="s">
        <v>2565</v>
      </c>
      <c r="F542">
        <v>136</v>
      </c>
    </row>
    <row r="543" spans="2:6">
      <c r="C543" t="s">
        <v>4778</v>
      </c>
      <c r="F543">
        <v>165</v>
      </c>
    </row>
    <row r="544" spans="2:6">
      <c r="C544" t="s">
        <v>2359</v>
      </c>
      <c r="F544">
        <v>73.849999999999994</v>
      </c>
    </row>
    <row r="545" spans="1:6">
      <c r="C545" t="s">
        <v>2540</v>
      </c>
      <c r="F545">
        <v>15050</v>
      </c>
    </row>
    <row r="546" spans="1:6">
      <c r="C546" t="s">
        <v>2541</v>
      </c>
      <c r="F546">
        <v>1505</v>
      </c>
    </row>
    <row r="549" spans="1:6">
      <c r="C549" t="s">
        <v>2654</v>
      </c>
    </row>
    <row r="550" spans="1:6">
      <c r="C550" t="s">
        <v>2655</v>
      </c>
    </row>
    <row r="552" spans="1:6" ht="78.75">
      <c r="C552" s="29" t="s">
        <v>4779</v>
      </c>
    </row>
    <row r="554" spans="1:6">
      <c r="A554">
        <v>1</v>
      </c>
      <c r="B554" t="s">
        <v>1454</v>
      </c>
      <c r="C554" t="s">
        <v>4780</v>
      </c>
      <c r="D554">
        <v>54</v>
      </c>
      <c r="E554" t="s">
        <v>1454</v>
      </c>
      <c r="F554">
        <v>54</v>
      </c>
    </row>
    <row r="555" spans="1:6">
      <c r="A555">
        <v>1</v>
      </c>
      <c r="B555" t="s">
        <v>1454</v>
      </c>
      <c r="C555" t="s">
        <v>3316</v>
      </c>
      <c r="D555">
        <v>63.1</v>
      </c>
      <c r="E555" t="s">
        <v>1454</v>
      </c>
      <c r="F555">
        <v>63.1</v>
      </c>
    </row>
    <row r="556" spans="1:6">
      <c r="A556">
        <v>1.4999999999999999E-2</v>
      </c>
      <c r="B556" t="s">
        <v>2371</v>
      </c>
      <c r="C556" t="s">
        <v>3317</v>
      </c>
      <c r="D556">
        <v>630</v>
      </c>
      <c r="E556" t="s">
        <v>2371</v>
      </c>
      <c r="F556">
        <v>9.4499999999999993</v>
      </c>
    </row>
    <row r="557" spans="1:6">
      <c r="A557" t="s">
        <v>667</v>
      </c>
      <c r="C557" t="s">
        <v>3318</v>
      </c>
      <c r="F557">
        <v>12.15</v>
      </c>
    </row>
    <row r="558" spans="1:6">
      <c r="C558" t="s">
        <v>1100</v>
      </c>
      <c r="F558">
        <v>138.69999999999999</v>
      </c>
    </row>
    <row r="563" spans="1:6">
      <c r="B563" t="s">
        <v>4782</v>
      </c>
    </row>
    <row r="564" spans="1:6">
      <c r="A564">
        <v>10</v>
      </c>
      <c r="B564" t="s">
        <v>611</v>
      </c>
      <c r="C564" t="s">
        <v>4783</v>
      </c>
      <c r="D564">
        <v>487</v>
      </c>
      <c r="E564" t="s">
        <v>611</v>
      </c>
      <c r="F564">
        <v>4870</v>
      </c>
    </row>
    <row r="565" spans="1:6">
      <c r="A565">
        <v>0.21</v>
      </c>
      <c r="B565" t="s">
        <v>884</v>
      </c>
      <c r="C565" t="s">
        <v>1953</v>
      </c>
      <c r="D565">
        <v>4423.74</v>
      </c>
      <c r="E565" t="s">
        <v>884</v>
      </c>
      <c r="F565">
        <v>928.99</v>
      </c>
    </row>
    <row r="566" spans="1:6">
      <c r="A566">
        <v>10</v>
      </c>
      <c r="C566" t="s">
        <v>4784</v>
      </c>
      <c r="D566">
        <v>286.17</v>
      </c>
      <c r="F566">
        <v>2861.7</v>
      </c>
    </row>
    <row r="567" spans="1:6">
      <c r="A567">
        <v>1.1000000000000001</v>
      </c>
      <c r="B567" t="s">
        <v>781</v>
      </c>
      <c r="C567" t="s">
        <v>2082</v>
      </c>
      <c r="D567">
        <v>904.05</v>
      </c>
      <c r="E567" t="s">
        <v>781</v>
      </c>
      <c r="F567">
        <v>994.46</v>
      </c>
    </row>
    <row r="568" spans="1:6">
      <c r="A568">
        <v>2.1</v>
      </c>
      <c r="B568" t="s">
        <v>781</v>
      </c>
      <c r="C568" t="s">
        <v>1791</v>
      </c>
      <c r="D568">
        <v>844.2</v>
      </c>
      <c r="E568" t="s">
        <v>781</v>
      </c>
      <c r="F568">
        <v>1772.82</v>
      </c>
    </row>
    <row r="569" spans="1:6">
      <c r="A569">
        <v>2.2000000000000002</v>
      </c>
      <c r="B569" t="s">
        <v>781</v>
      </c>
      <c r="C569" t="s">
        <v>1979</v>
      </c>
      <c r="D569">
        <v>590.1</v>
      </c>
      <c r="E569" t="s">
        <v>781</v>
      </c>
      <c r="F569">
        <v>1298.22</v>
      </c>
    </row>
    <row r="570" spans="1:6">
      <c r="A570">
        <v>1.1000000000000001</v>
      </c>
      <c r="B570" t="s">
        <v>781</v>
      </c>
      <c r="C570" t="s">
        <v>324</v>
      </c>
      <c r="D570">
        <v>484.05</v>
      </c>
      <c r="E570" t="s">
        <v>781</v>
      </c>
      <c r="F570">
        <v>532.46</v>
      </c>
    </row>
    <row r="571" spans="1:6">
      <c r="A571">
        <v>6.5</v>
      </c>
      <c r="B571" t="s">
        <v>1730</v>
      </c>
      <c r="C571" t="s">
        <v>4785</v>
      </c>
      <c r="D571">
        <v>17.18</v>
      </c>
      <c r="E571" t="s">
        <v>876</v>
      </c>
      <c r="F571">
        <v>111.67</v>
      </c>
    </row>
    <row r="572" spans="1:6">
      <c r="A572">
        <v>3</v>
      </c>
      <c r="B572" t="s">
        <v>1730</v>
      </c>
      <c r="C572" t="s">
        <v>4786</v>
      </c>
      <c r="D572">
        <v>27</v>
      </c>
      <c r="E572" t="s">
        <v>1730</v>
      </c>
      <c r="F572">
        <v>81</v>
      </c>
    </row>
    <row r="573" spans="1:6">
      <c r="A573">
        <v>2.15</v>
      </c>
      <c r="B573" t="s">
        <v>781</v>
      </c>
      <c r="C573" t="s">
        <v>4787</v>
      </c>
      <c r="D573">
        <v>45.8</v>
      </c>
      <c r="E573" t="s">
        <v>781</v>
      </c>
      <c r="F573">
        <v>98.47</v>
      </c>
    </row>
    <row r="574" spans="1:6">
      <c r="A574">
        <v>0.4</v>
      </c>
      <c r="B574" t="s">
        <v>781</v>
      </c>
      <c r="C574" t="s">
        <v>4788</v>
      </c>
      <c r="D574">
        <v>5367.71</v>
      </c>
      <c r="E574" t="s">
        <v>781</v>
      </c>
      <c r="F574">
        <v>2147.08</v>
      </c>
    </row>
    <row r="575" spans="1:6">
      <c r="E575" t="s">
        <v>781</v>
      </c>
      <c r="F575">
        <v>0</v>
      </c>
    </row>
    <row r="576" spans="1:6">
      <c r="B576" t="s">
        <v>448</v>
      </c>
      <c r="C576" t="s">
        <v>449</v>
      </c>
      <c r="E576" t="s">
        <v>448</v>
      </c>
      <c r="F576">
        <v>0.8</v>
      </c>
    </row>
    <row r="577" spans="1:6">
      <c r="F577" t="s">
        <v>1667</v>
      </c>
    </row>
    <row r="578" spans="1:6">
      <c r="C578" t="s">
        <v>440</v>
      </c>
      <c r="F578">
        <v>15697.67</v>
      </c>
    </row>
    <row r="579" spans="1:6">
      <c r="F579" t="s">
        <v>1667</v>
      </c>
    </row>
    <row r="580" spans="1:6">
      <c r="C580" t="s">
        <v>555</v>
      </c>
      <c r="F580">
        <v>1569.77</v>
      </c>
    </row>
    <row r="582" spans="1:6">
      <c r="A582" t="s">
        <v>8</v>
      </c>
      <c r="B582" t="s">
        <v>2338</v>
      </c>
      <c r="C582" t="s">
        <v>9</v>
      </c>
    </row>
    <row r="583" spans="1:6">
      <c r="C583" t="s">
        <v>1667</v>
      </c>
    </row>
    <row r="584" spans="1:6">
      <c r="A584">
        <v>0.1</v>
      </c>
      <c r="B584" t="s">
        <v>884</v>
      </c>
      <c r="C584" t="s">
        <v>1414</v>
      </c>
      <c r="D584">
        <v>4423.74</v>
      </c>
      <c r="E584" t="s">
        <v>884</v>
      </c>
      <c r="F584">
        <v>442.37</v>
      </c>
    </row>
    <row r="585" spans="1:6">
      <c r="A585">
        <v>1.1000000000000001</v>
      </c>
      <c r="B585" t="s">
        <v>883</v>
      </c>
      <c r="C585" t="s">
        <v>2082</v>
      </c>
      <c r="D585">
        <v>904.05</v>
      </c>
      <c r="E585" t="s">
        <v>883</v>
      </c>
      <c r="F585">
        <v>994.46</v>
      </c>
    </row>
    <row r="586" spans="1:6">
      <c r="A586">
        <v>1.1000000000000001</v>
      </c>
      <c r="B586" t="s">
        <v>883</v>
      </c>
      <c r="C586" t="s">
        <v>1979</v>
      </c>
      <c r="D586">
        <v>590.1</v>
      </c>
      <c r="E586" t="s">
        <v>883</v>
      </c>
      <c r="F586">
        <v>649.11</v>
      </c>
    </row>
    <row r="587" spans="1:6">
      <c r="A587">
        <v>1.1000000000000001</v>
      </c>
      <c r="B587" t="s">
        <v>883</v>
      </c>
      <c r="C587" t="s">
        <v>324</v>
      </c>
      <c r="D587">
        <v>484.05</v>
      </c>
      <c r="E587" t="s">
        <v>883</v>
      </c>
      <c r="F587">
        <v>532.46</v>
      </c>
    </row>
    <row r="588" spans="1:6">
      <c r="B588" t="s">
        <v>448</v>
      </c>
      <c r="C588" t="s">
        <v>449</v>
      </c>
      <c r="D588" t="s">
        <v>995</v>
      </c>
      <c r="E588" t="s">
        <v>448</v>
      </c>
      <c r="F588">
        <v>5</v>
      </c>
    </row>
    <row r="589" spans="1:6">
      <c r="F589" t="s">
        <v>1667</v>
      </c>
    </row>
    <row r="590" spans="1:6">
      <c r="C590" t="s">
        <v>440</v>
      </c>
      <c r="F590">
        <v>2623.4</v>
      </c>
    </row>
    <row r="591" spans="1:6">
      <c r="F591" t="s">
        <v>1667</v>
      </c>
    </row>
    <row r="592" spans="1:6">
      <c r="C592" t="s">
        <v>555</v>
      </c>
      <c r="F592">
        <v>262.33999999999997</v>
      </c>
    </row>
    <row r="594" spans="1:6">
      <c r="A594" t="s">
        <v>1878</v>
      </c>
      <c r="B594" t="s">
        <v>2338</v>
      </c>
      <c r="C594" t="s">
        <v>1555</v>
      </c>
    </row>
    <row r="595" spans="1:6">
      <c r="C595" t="s">
        <v>165</v>
      </c>
    </row>
    <row r="596" spans="1:6">
      <c r="C596" t="s">
        <v>1667</v>
      </c>
    </row>
    <row r="597" spans="1:6">
      <c r="A597">
        <v>1</v>
      </c>
      <c r="B597" t="s">
        <v>1730</v>
      </c>
      <c r="C597" t="s">
        <v>4792</v>
      </c>
      <c r="D597">
        <v>62.1</v>
      </c>
      <c r="E597" t="s">
        <v>1730</v>
      </c>
      <c r="F597">
        <v>62.1</v>
      </c>
    </row>
    <row r="598" spans="1:6">
      <c r="F598" t="s">
        <v>2130</v>
      </c>
    </row>
    <row r="600" spans="1:6">
      <c r="B600" t="s">
        <v>2338</v>
      </c>
      <c r="C600" t="s">
        <v>1911</v>
      </c>
    </row>
    <row r="601" spans="1:6">
      <c r="C601" t="s">
        <v>1667</v>
      </c>
    </row>
    <row r="602" spans="1:6">
      <c r="A602">
        <v>0.05</v>
      </c>
      <c r="B602" t="s">
        <v>884</v>
      </c>
      <c r="C602" t="s">
        <v>2077</v>
      </c>
      <c r="D602">
        <v>1322</v>
      </c>
      <c r="E602" t="s">
        <v>884</v>
      </c>
      <c r="F602">
        <v>66.099999999999994</v>
      </c>
    </row>
    <row r="603" spans="1:6">
      <c r="A603">
        <v>1.1000000000000001</v>
      </c>
      <c r="B603" t="s">
        <v>883</v>
      </c>
      <c r="C603" t="s">
        <v>1791</v>
      </c>
      <c r="D603">
        <v>844.2</v>
      </c>
      <c r="E603" t="s">
        <v>883</v>
      </c>
      <c r="F603">
        <v>928.62</v>
      </c>
    </row>
    <row r="604" spans="1:6">
      <c r="A604">
        <v>0.3</v>
      </c>
      <c r="B604" t="s">
        <v>883</v>
      </c>
      <c r="C604" t="s">
        <v>1979</v>
      </c>
      <c r="D604">
        <v>590.1</v>
      </c>
      <c r="E604" t="s">
        <v>883</v>
      </c>
      <c r="F604">
        <v>177.03</v>
      </c>
    </row>
    <row r="605" spans="1:6">
      <c r="A605">
        <v>1.9</v>
      </c>
      <c r="B605" t="s">
        <v>883</v>
      </c>
      <c r="C605" t="s">
        <v>324</v>
      </c>
      <c r="D605">
        <v>484.05</v>
      </c>
      <c r="E605" t="s">
        <v>883</v>
      </c>
      <c r="F605">
        <v>919.7</v>
      </c>
    </row>
    <row r="606" spans="1:6">
      <c r="B606" t="s">
        <v>448</v>
      </c>
      <c r="C606" t="s">
        <v>1913</v>
      </c>
      <c r="D606" t="s">
        <v>995</v>
      </c>
      <c r="E606" t="s">
        <v>448</v>
      </c>
      <c r="F606">
        <v>1.46</v>
      </c>
    </row>
    <row r="607" spans="1:6">
      <c r="F607" t="s">
        <v>1667</v>
      </c>
    </row>
    <row r="608" spans="1:6">
      <c r="C608" t="s">
        <v>1915</v>
      </c>
      <c r="F608">
        <v>2092.91</v>
      </c>
    </row>
    <row r="609" spans="1:6">
      <c r="F609" t="s">
        <v>1667</v>
      </c>
    </row>
    <row r="610" spans="1:6">
      <c r="C610" t="s">
        <v>555</v>
      </c>
      <c r="F610">
        <v>20.93</v>
      </c>
    </row>
    <row r="613" spans="1:6">
      <c r="A613">
        <v>57</v>
      </c>
      <c r="B613" t="s">
        <v>2338</v>
      </c>
      <c r="C613" t="s">
        <v>4799</v>
      </c>
    </row>
    <row r="614" spans="1:6">
      <c r="C614" t="s">
        <v>204</v>
      </c>
    </row>
    <row r="615" spans="1:6">
      <c r="C615" t="s">
        <v>1855</v>
      </c>
    </row>
    <row r="616" spans="1:6">
      <c r="C616" t="s">
        <v>1667</v>
      </c>
    </row>
    <row r="617" spans="1:6">
      <c r="A617">
        <v>1</v>
      </c>
      <c r="B617" t="s">
        <v>799</v>
      </c>
      <c r="C617" t="s">
        <v>1166</v>
      </c>
      <c r="D617">
        <v>3060</v>
      </c>
      <c r="E617" t="s">
        <v>799</v>
      </c>
      <c r="F617">
        <v>3060</v>
      </c>
    </row>
    <row r="618" spans="1:6">
      <c r="C618" t="s">
        <v>1208</v>
      </c>
    </row>
    <row r="619" spans="1:6">
      <c r="A619">
        <v>1</v>
      </c>
      <c r="B619" t="s">
        <v>883</v>
      </c>
      <c r="C619" t="s">
        <v>2082</v>
      </c>
      <c r="D619">
        <v>904.05</v>
      </c>
      <c r="E619" t="s">
        <v>883</v>
      </c>
      <c r="F619">
        <v>904.05</v>
      </c>
    </row>
    <row r="620" spans="1:6">
      <c r="A620">
        <v>2</v>
      </c>
      <c r="B620" t="s">
        <v>883</v>
      </c>
      <c r="C620" t="s">
        <v>2176</v>
      </c>
      <c r="D620">
        <v>784.35</v>
      </c>
      <c r="E620" t="s">
        <v>883</v>
      </c>
      <c r="F620">
        <v>1568.7</v>
      </c>
    </row>
    <row r="621" spans="1:6">
      <c r="A621">
        <v>1</v>
      </c>
      <c r="B621" t="s">
        <v>883</v>
      </c>
      <c r="C621" t="s">
        <v>324</v>
      </c>
      <c r="D621">
        <v>484.05</v>
      </c>
      <c r="E621" t="s">
        <v>883</v>
      </c>
      <c r="F621">
        <v>484.05</v>
      </c>
    </row>
    <row r="622" spans="1:6">
      <c r="C622" t="s">
        <v>721</v>
      </c>
    </row>
    <row r="623" spans="1:6">
      <c r="A623">
        <v>0.5</v>
      </c>
      <c r="B623" t="s">
        <v>883</v>
      </c>
      <c r="C623" t="s">
        <v>2176</v>
      </c>
      <c r="D623">
        <v>784.35</v>
      </c>
      <c r="E623" t="s">
        <v>883</v>
      </c>
      <c r="F623">
        <v>392.18</v>
      </c>
    </row>
    <row r="624" spans="1:6">
      <c r="A624">
        <v>0.5</v>
      </c>
      <c r="B624" t="s">
        <v>883</v>
      </c>
      <c r="C624" t="s">
        <v>1979</v>
      </c>
      <c r="D624">
        <v>590.1</v>
      </c>
      <c r="E624" t="s">
        <v>883</v>
      </c>
      <c r="F624">
        <v>295.05</v>
      </c>
    </row>
    <row r="625" spans="2:6">
      <c r="C625" t="s">
        <v>4800</v>
      </c>
      <c r="D625">
        <v>0</v>
      </c>
      <c r="F625">
        <v>-164</v>
      </c>
    </row>
    <row r="626" spans="2:6">
      <c r="C626" t="s">
        <v>4801</v>
      </c>
      <c r="F626">
        <v>134.1</v>
      </c>
    </row>
    <row r="627" spans="2:6">
      <c r="B627" t="s">
        <v>448</v>
      </c>
      <c r="C627" t="s">
        <v>449</v>
      </c>
      <c r="E627" t="s">
        <v>448</v>
      </c>
      <c r="F627">
        <v>0.7</v>
      </c>
    </row>
    <row r="628" spans="2:6">
      <c r="C628" t="s">
        <v>1834</v>
      </c>
    </row>
    <row r="629" spans="2:6">
      <c r="F629">
        <v>6674.83</v>
      </c>
    </row>
  </sheetData>
  <printOptions horizontalCentered="1"/>
  <pageMargins left="0.7" right="0.2" top="0.5" bottom="0.5" header="0.3" footer="0.3"/>
  <pageSetup paperSize="9" scale="90" orientation="portrait" r:id="rId1"/>
</worksheet>
</file>

<file path=xl/worksheets/sheet45.xml><?xml version="1.0" encoding="utf-8"?>
<worksheet xmlns="http://schemas.openxmlformats.org/spreadsheetml/2006/main" xmlns:r="http://schemas.openxmlformats.org/officeDocument/2006/relationships">
  <sheetPr>
    <tabColor rgb="FFFF0000"/>
  </sheetPr>
  <dimension ref="A1:F74"/>
  <sheetViews>
    <sheetView view="pageBreakPreview" zoomScale="70" zoomScaleNormal="60" zoomScaleSheetLayoutView="70" workbookViewId="0">
      <selection activeCell="A4" sqref="A4:F4"/>
    </sheetView>
  </sheetViews>
  <sheetFormatPr defaultRowHeight="15"/>
  <cols>
    <col min="1" max="1" width="6.33203125" style="1011" customWidth="1"/>
    <col min="2" max="2" width="7.77734375" style="1011" customWidth="1"/>
    <col min="3" max="3" width="46.6640625" style="1050" customWidth="1"/>
    <col min="4" max="4" width="11.5546875" style="1011" customWidth="1"/>
    <col min="5" max="5" width="6.44140625" style="1011" customWidth="1"/>
    <col min="6" max="6" width="13.5546875" style="1011" customWidth="1"/>
    <col min="7" max="16384" width="8.88671875" style="1011"/>
  </cols>
  <sheetData>
    <row r="1" spans="1:6" s="1050" customFormat="1" ht="28.5" customHeight="1">
      <c r="A1" s="1296" t="s">
        <v>4224</v>
      </c>
      <c r="B1" s="1296"/>
      <c r="C1" s="1296"/>
      <c r="D1" s="1296"/>
      <c r="E1" s="1296"/>
      <c r="F1" s="1296"/>
    </row>
    <row r="2" spans="1:6" s="1050" customFormat="1" ht="28.5" customHeight="1">
      <c r="A2" s="1296" t="s">
        <v>4225</v>
      </c>
      <c r="B2" s="1296"/>
      <c r="C2" s="1296"/>
      <c r="D2" s="1296"/>
      <c r="E2" s="1296"/>
      <c r="F2" s="1296"/>
    </row>
    <row r="3" spans="1:6" ht="85.5" customHeight="1">
      <c r="A3" s="1297" t="str">
        <f>'Electrical Abs'!A1:F1</f>
        <v>N/W: RENOVATION AND UPGRADING THE EXISTING WORKING WOMEN’S HOSTEL AT SOORAMANGALAM IN SALEM CITY UNDER SOCIAL WELFARE DEPARTMENT</v>
      </c>
      <c r="B3" s="1298"/>
      <c r="C3" s="1298"/>
      <c r="D3" s="1298"/>
      <c r="E3" s="1298"/>
      <c r="F3" s="1299"/>
    </row>
    <row r="4" spans="1:6" ht="26.25" customHeight="1">
      <c r="A4" s="1300" t="s">
        <v>4459</v>
      </c>
      <c r="B4" s="1300"/>
      <c r="C4" s="1300"/>
      <c r="D4" s="1300"/>
      <c r="E4" s="1300"/>
      <c r="F4" s="1300"/>
    </row>
    <row r="5" spans="1:6" ht="30" customHeight="1">
      <c r="A5" s="1012" t="s">
        <v>3747</v>
      </c>
      <c r="B5" s="1012" t="s">
        <v>1070</v>
      </c>
      <c r="C5" s="1012" t="s">
        <v>1860</v>
      </c>
      <c r="D5" s="1012" t="s">
        <v>100</v>
      </c>
      <c r="E5" s="1012" t="s">
        <v>4329</v>
      </c>
      <c r="F5" s="1012" t="s">
        <v>994</v>
      </c>
    </row>
    <row r="6" spans="1:6" ht="141.75">
      <c r="A6" s="1013">
        <v>1</v>
      </c>
      <c r="B6" s="1014">
        <f>'Ex. WS Det.'!H9</f>
        <v>1</v>
      </c>
      <c r="C6" s="1030" t="s">
        <v>4421</v>
      </c>
      <c r="D6" s="1016">
        <v>42308</v>
      </c>
      <c r="E6" s="1017" t="s">
        <v>1458</v>
      </c>
      <c r="F6" s="1018">
        <f>ROUND(PRODUCT(D6*B6),2)</f>
        <v>42308</v>
      </c>
    </row>
    <row r="7" spans="1:6" ht="182.25">
      <c r="A7" s="1013">
        <v>2</v>
      </c>
      <c r="B7" s="1014">
        <f>'Ex. WS Det.'!H12</f>
        <v>1</v>
      </c>
      <c r="C7" s="1052" t="s">
        <v>4422</v>
      </c>
      <c r="D7" s="1016">
        <v>32380</v>
      </c>
      <c r="E7" s="1017" t="s">
        <v>1458</v>
      </c>
      <c r="F7" s="1018">
        <f t="shared" ref="F7:F44" si="0">ROUND(PRODUCT(D7*B7),2)</f>
        <v>32380</v>
      </c>
    </row>
    <row r="8" spans="1:6" ht="122.25" customHeight="1">
      <c r="A8" s="1013">
        <v>3</v>
      </c>
      <c r="B8" s="1014">
        <f>'Ex. WS Det.'!H17</f>
        <v>2</v>
      </c>
      <c r="C8" s="1030" t="s">
        <v>4423</v>
      </c>
      <c r="D8" s="1018">
        <v>9758.34</v>
      </c>
      <c r="E8" s="1017" t="s">
        <v>1458</v>
      </c>
      <c r="F8" s="1018">
        <f t="shared" si="0"/>
        <v>19516.68</v>
      </c>
    </row>
    <row r="9" spans="1:6" ht="106.5" customHeight="1">
      <c r="A9" s="1017">
        <v>4</v>
      </c>
      <c r="B9" s="1018"/>
      <c r="C9" s="1052" t="s">
        <v>4425</v>
      </c>
      <c r="D9" s="1019"/>
      <c r="E9" s="1017"/>
      <c r="F9" s="1018">
        <f t="shared" si="0"/>
        <v>0</v>
      </c>
    </row>
    <row r="10" spans="1:6" ht="53.25" customHeight="1">
      <c r="A10" s="1017"/>
      <c r="B10" s="1018">
        <f>'Ex. WS Det.'!H20</f>
        <v>1</v>
      </c>
      <c r="C10" s="1051" t="s">
        <v>4377</v>
      </c>
      <c r="D10" s="1018">
        <v>13283</v>
      </c>
      <c r="E10" s="1017" t="s">
        <v>1458</v>
      </c>
      <c r="F10" s="1018">
        <f t="shared" si="0"/>
        <v>13283</v>
      </c>
    </row>
    <row r="11" spans="1:6" ht="53.25" customHeight="1">
      <c r="A11" s="1017"/>
      <c r="B11" s="1018">
        <f>'Ex. WS Det.'!H21</f>
        <v>1</v>
      </c>
      <c r="C11" s="1051" t="s">
        <v>4378</v>
      </c>
      <c r="D11" s="1018">
        <v>13656</v>
      </c>
      <c r="E11" s="1017" t="s">
        <v>1458</v>
      </c>
      <c r="F11" s="1018">
        <f t="shared" si="0"/>
        <v>13656</v>
      </c>
    </row>
    <row r="12" spans="1:6" ht="151.5" customHeight="1">
      <c r="A12" s="1017">
        <v>5</v>
      </c>
      <c r="B12" s="1018">
        <f>'Ex. WS Det.'!H25</f>
        <v>290</v>
      </c>
      <c r="C12" s="1030" t="s">
        <v>4424</v>
      </c>
      <c r="D12" s="1018">
        <v>116</v>
      </c>
      <c r="E12" s="1017" t="s">
        <v>840</v>
      </c>
      <c r="F12" s="1018">
        <f t="shared" si="0"/>
        <v>33640</v>
      </c>
    </row>
    <row r="13" spans="1:6" ht="169.5" customHeight="1">
      <c r="A13" s="1013">
        <v>6</v>
      </c>
      <c r="B13" s="1014">
        <f>'Ex. WS Det.'!H31</f>
        <v>307</v>
      </c>
      <c r="C13" s="1030" t="s">
        <v>4426</v>
      </c>
      <c r="D13" s="1016">
        <v>111</v>
      </c>
      <c r="E13" s="1017" t="s">
        <v>840</v>
      </c>
      <c r="F13" s="1018">
        <f t="shared" si="0"/>
        <v>34077</v>
      </c>
    </row>
    <row r="14" spans="1:6" ht="151.5" customHeight="1">
      <c r="A14" s="1017">
        <v>7</v>
      </c>
      <c r="B14" s="1018">
        <f>'Ex. WS Det.'!H36</f>
        <v>60</v>
      </c>
      <c r="C14" s="1030" t="s">
        <v>4358</v>
      </c>
      <c r="D14" s="1014">
        <f>DATA1!F344</f>
        <v>314.98</v>
      </c>
      <c r="E14" s="1013" t="s">
        <v>840</v>
      </c>
      <c r="F14" s="1018">
        <f t="shared" si="0"/>
        <v>18898.8</v>
      </c>
    </row>
    <row r="15" spans="1:6" ht="129" customHeight="1">
      <c r="A15" s="1013">
        <v>8</v>
      </c>
      <c r="B15" s="1014"/>
      <c r="C15" s="1030" t="s">
        <v>4380</v>
      </c>
      <c r="D15" s="1014"/>
      <c r="E15" s="1013"/>
      <c r="F15" s="1018">
        <f t="shared" si="0"/>
        <v>0</v>
      </c>
    </row>
    <row r="16" spans="1:6" ht="45" customHeight="1">
      <c r="A16" s="1017"/>
      <c r="B16" s="1018">
        <f>'Ex. WS Det.'!H41</f>
        <v>7.5</v>
      </c>
      <c r="C16" s="1051" t="s">
        <v>4427</v>
      </c>
      <c r="D16" s="1018">
        <v>209</v>
      </c>
      <c r="E16" s="1017" t="s">
        <v>840</v>
      </c>
      <c r="F16" s="1018">
        <f t="shared" si="0"/>
        <v>1567.5</v>
      </c>
    </row>
    <row r="17" spans="1:6" ht="45" customHeight="1">
      <c r="A17" s="1013"/>
      <c r="B17" s="1014">
        <f>'Ex. WS Det.'!H44</f>
        <v>3</v>
      </c>
      <c r="C17" s="1051" t="s">
        <v>4428</v>
      </c>
      <c r="D17" s="1016">
        <v>163</v>
      </c>
      <c r="E17" s="1017" t="s">
        <v>840</v>
      </c>
      <c r="F17" s="1018">
        <f t="shared" si="0"/>
        <v>489</v>
      </c>
    </row>
    <row r="18" spans="1:6" ht="68.25" customHeight="1">
      <c r="A18" s="1013"/>
      <c r="B18" s="1014">
        <f>'Ex. WS Det.'!H47</f>
        <v>60</v>
      </c>
      <c r="C18" s="1032" t="s">
        <v>4381</v>
      </c>
      <c r="D18" s="1017">
        <f>DATA1!F351</f>
        <v>215.67</v>
      </c>
      <c r="E18" s="1017" t="s">
        <v>840</v>
      </c>
      <c r="F18" s="1018">
        <f t="shared" si="0"/>
        <v>12940.2</v>
      </c>
    </row>
    <row r="19" spans="1:6" ht="121.5">
      <c r="A19" s="1017">
        <v>9</v>
      </c>
      <c r="B19" s="1018"/>
      <c r="C19" s="1032" t="s">
        <v>4341</v>
      </c>
      <c r="D19" s="1016"/>
      <c r="E19" s="1017"/>
      <c r="F19" s="1018">
        <f t="shared" si="0"/>
        <v>0</v>
      </c>
    </row>
    <row r="20" spans="1:6" ht="31.5" customHeight="1">
      <c r="A20" s="1017"/>
      <c r="B20" s="1018">
        <f>'Ex. WS Det.'!H51</f>
        <v>2</v>
      </c>
      <c r="C20" s="1032" t="s">
        <v>4342</v>
      </c>
      <c r="D20" s="1016">
        <v>87</v>
      </c>
      <c r="E20" s="1017" t="s">
        <v>1458</v>
      </c>
      <c r="F20" s="1018">
        <f t="shared" si="0"/>
        <v>174</v>
      </c>
    </row>
    <row r="21" spans="1:6" ht="31.5" customHeight="1">
      <c r="A21" s="1017"/>
      <c r="B21" s="1018">
        <f>'Ex. WS Det.'!H53</f>
        <v>1</v>
      </c>
      <c r="C21" s="1032" t="s">
        <v>4344</v>
      </c>
      <c r="D21" s="1016">
        <v>69.8</v>
      </c>
      <c r="E21" s="1017" t="s">
        <v>1458</v>
      </c>
      <c r="F21" s="1018">
        <f t="shared" si="0"/>
        <v>69.8</v>
      </c>
    </row>
    <row r="22" spans="1:6" ht="31.5" customHeight="1">
      <c r="A22" s="1017"/>
      <c r="B22" s="1018">
        <f>'Ex. WS Det.'!H54</f>
        <v>1</v>
      </c>
      <c r="C22" s="1032" t="s">
        <v>4346</v>
      </c>
      <c r="D22" s="1016">
        <v>959</v>
      </c>
      <c r="E22" s="1017" t="s">
        <v>1458</v>
      </c>
      <c r="F22" s="1018">
        <f t="shared" si="0"/>
        <v>959</v>
      </c>
    </row>
    <row r="23" spans="1:6" ht="31.5" customHeight="1">
      <c r="A23" s="1017"/>
      <c r="B23" s="1018">
        <f>'Ex. WS Det.'!H55</f>
        <v>4</v>
      </c>
      <c r="C23" s="1032" t="s">
        <v>4352</v>
      </c>
      <c r="D23" s="1016">
        <v>197.5</v>
      </c>
      <c r="E23" s="1017" t="s">
        <v>1458</v>
      </c>
      <c r="F23" s="1018">
        <f t="shared" si="0"/>
        <v>790</v>
      </c>
    </row>
    <row r="24" spans="1:6" ht="31.5" customHeight="1">
      <c r="A24" s="1017"/>
      <c r="B24" s="1018">
        <f>'Ex. WS Det.'!H56</f>
        <v>2</v>
      </c>
      <c r="C24" s="1032" t="s">
        <v>4457</v>
      </c>
      <c r="D24" s="1016">
        <v>206.85</v>
      </c>
      <c r="E24" s="1017" t="s">
        <v>1458</v>
      </c>
      <c r="F24" s="1018">
        <f t="shared" si="0"/>
        <v>413.7</v>
      </c>
    </row>
    <row r="25" spans="1:6" ht="31.5" customHeight="1">
      <c r="A25" s="1017"/>
      <c r="B25" s="1018">
        <f>'Ex. WS Det.'!H57</f>
        <v>2</v>
      </c>
      <c r="C25" s="1032" t="s">
        <v>4347</v>
      </c>
      <c r="D25" s="1016">
        <v>116.3</v>
      </c>
      <c r="E25" s="1017" t="s">
        <v>1458</v>
      </c>
      <c r="F25" s="1018">
        <f t="shared" si="0"/>
        <v>232.6</v>
      </c>
    </row>
    <row r="26" spans="1:6" ht="31.5" customHeight="1">
      <c r="A26" s="1017"/>
      <c r="B26" s="1018">
        <f>'Ex. WS Det.'!H58</f>
        <v>2</v>
      </c>
      <c r="C26" s="1032" t="s">
        <v>4348</v>
      </c>
      <c r="D26" s="1016">
        <v>87</v>
      </c>
      <c r="E26" s="1017" t="s">
        <v>1458</v>
      </c>
      <c r="F26" s="1018">
        <f t="shared" si="0"/>
        <v>174</v>
      </c>
    </row>
    <row r="27" spans="1:6" ht="31.5" customHeight="1">
      <c r="A27" s="1017"/>
      <c r="B27" s="1018">
        <f>'Ex. WS Det.'!H59</f>
        <v>4</v>
      </c>
      <c r="C27" s="1032" t="s">
        <v>4349</v>
      </c>
      <c r="D27" s="1016">
        <v>69.8</v>
      </c>
      <c r="E27" s="1017" t="s">
        <v>1458</v>
      </c>
      <c r="F27" s="1018">
        <f t="shared" si="0"/>
        <v>279.2</v>
      </c>
    </row>
    <row r="28" spans="1:6" ht="31.5" customHeight="1">
      <c r="A28" s="1017"/>
      <c r="B28" s="1018">
        <f>'Ex. WS Det.'!H60</f>
        <v>2</v>
      </c>
      <c r="C28" s="1032" t="s">
        <v>4429</v>
      </c>
      <c r="D28" s="1016">
        <v>9</v>
      </c>
      <c r="E28" s="1017" t="s">
        <v>1458</v>
      </c>
      <c r="F28" s="1018">
        <f t="shared" si="0"/>
        <v>18</v>
      </c>
    </row>
    <row r="29" spans="1:6" ht="51.75" customHeight="1">
      <c r="A29" s="1017"/>
      <c r="B29" s="1018">
        <f>'Ex. WS Det.'!H61</f>
        <v>1</v>
      </c>
      <c r="C29" s="1032" t="s">
        <v>4449</v>
      </c>
      <c r="D29" s="1016">
        <v>1300</v>
      </c>
      <c r="E29" s="1017" t="s">
        <v>1458</v>
      </c>
      <c r="F29" s="1018">
        <f t="shared" si="0"/>
        <v>1300</v>
      </c>
    </row>
    <row r="30" spans="1:6" ht="31.5" customHeight="1">
      <c r="A30" s="1017"/>
      <c r="B30" s="1018">
        <f>'Ex. WS Det.'!H62</f>
        <v>1</v>
      </c>
      <c r="C30" s="1032" t="s">
        <v>4458</v>
      </c>
      <c r="D30" s="1016">
        <v>1927.8</v>
      </c>
      <c r="E30" s="1017" t="s">
        <v>1458</v>
      </c>
      <c r="F30" s="1018">
        <f t="shared" si="0"/>
        <v>1927.8</v>
      </c>
    </row>
    <row r="31" spans="1:6" ht="31.5" customHeight="1">
      <c r="A31" s="1017"/>
      <c r="B31" s="1018">
        <f>'Ex. WS Det.'!H63</f>
        <v>1</v>
      </c>
      <c r="C31" s="1032" t="s">
        <v>4451</v>
      </c>
      <c r="D31" s="1016">
        <v>750</v>
      </c>
      <c r="E31" s="1017" t="s">
        <v>1458</v>
      </c>
      <c r="F31" s="1018">
        <f t="shared" si="0"/>
        <v>750</v>
      </c>
    </row>
    <row r="32" spans="1:6" ht="31.5" customHeight="1">
      <c r="A32" s="1017"/>
      <c r="B32" s="1018">
        <f>'Ex. WS Det.'!H64</f>
        <v>2</v>
      </c>
      <c r="C32" s="1032" t="s">
        <v>4452</v>
      </c>
      <c r="D32" s="1016">
        <v>139.80000000000001</v>
      </c>
      <c r="E32" s="1017" t="s">
        <v>1458</v>
      </c>
      <c r="F32" s="1018">
        <f t="shared" si="0"/>
        <v>279.60000000000002</v>
      </c>
    </row>
    <row r="33" spans="1:6" ht="31.5" customHeight="1">
      <c r="A33" s="1017"/>
      <c r="B33" s="1018">
        <f>'Ex. WS Det.'!H65</f>
        <v>2</v>
      </c>
      <c r="C33" s="1032" t="s">
        <v>4453</v>
      </c>
      <c r="D33" s="1016">
        <v>24</v>
      </c>
      <c r="E33" s="1017" t="s">
        <v>1458</v>
      </c>
      <c r="F33" s="1018">
        <f t="shared" si="0"/>
        <v>48</v>
      </c>
    </row>
    <row r="34" spans="1:6" ht="31.5" customHeight="1">
      <c r="A34" s="1017"/>
      <c r="B34" s="1018">
        <f>'Ex. WS Det.'!H66</f>
        <v>2</v>
      </c>
      <c r="C34" s="1032" t="s">
        <v>4454</v>
      </c>
      <c r="D34" s="1016">
        <v>22</v>
      </c>
      <c r="E34" s="1017" t="s">
        <v>1458</v>
      </c>
      <c r="F34" s="1018">
        <f t="shared" si="0"/>
        <v>44</v>
      </c>
    </row>
    <row r="35" spans="1:6" ht="31.5" customHeight="1">
      <c r="A35" s="1017"/>
      <c r="B35" s="1018">
        <f>'Ex. WS Det.'!H67</f>
        <v>2</v>
      </c>
      <c r="C35" s="1032" t="s">
        <v>4455</v>
      </c>
      <c r="D35" s="1016">
        <v>24.5</v>
      </c>
      <c r="E35" s="1017" t="s">
        <v>1458</v>
      </c>
      <c r="F35" s="1018">
        <f t="shared" si="0"/>
        <v>49</v>
      </c>
    </row>
    <row r="36" spans="1:6" ht="31.5" customHeight="1">
      <c r="A36" s="1017"/>
      <c r="B36" s="1018">
        <f>'Ex. WS Det.'!H68</f>
        <v>2</v>
      </c>
      <c r="C36" s="1032" t="s">
        <v>4456</v>
      </c>
      <c r="D36" s="1016">
        <v>19.600000000000001</v>
      </c>
      <c r="E36" s="1017" t="s">
        <v>1458</v>
      </c>
      <c r="F36" s="1018">
        <f t="shared" si="0"/>
        <v>39.200000000000003</v>
      </c>
    </row>
    <row r="37" spans="1:6" ht="53.25" customHeight="1">
      <c r="A37" s="1017">
        <v>10</v>
      </c>
      <c r="B37" s="1018"/>
      <c r="C37" s="1032" t="s">
        <v>4353</v>
      </c>
      <c r="D37" s="1016"/>
      <c r="E37" s="1017"/>
      <c r="F37" s="1018">
        <f t="shared" si="0"/>
        <v>0</v>
      </c>
    </row>
    <row r="38" spans="1:6" ht="43.5" customHeight="1">
      <c r="A38" s="1017"/>
      <c r="B38" s="1018">
        <f>'Ex. WS Det.'!H74</f>
        <v>75</v>
      </c>
      <c r="C38" s="1032" t="s">
        <v>4354</v>
      </c>
      <c r="D38" s="1016">
        <f>DATA1!F358</f>
        <v>320.3</v>
      </c>
      <c r="E38" s="1017" t="s">
        <v>840</v>
      </c>
      <c r="F38" s="1018">
        <f t="shared" si="0"/>
        <v>24022.5</v>
      </c>
    </row>
    <row r="39" spans="1:6" ht="40.5">
      <c r="A39" s="1017"/>
      <c r="B39" s="1018">
        <f>'Ex. WS Det.'!H76</f>
        <v>17</v>
      </c>
      <c r="C39" s="1032" t="s">
        <v>4355</v>
      </c>
      <c r="D39" s="1016">
        <f>DATA1!F366</f>
        <v>270.8</v>
      </c>
      <c r="E39" s="1017" t="s">
        <v>840</v>
      </c>
      <c r="F39" s="1018">
        <f t="shared" si="0"/>
        <v>4603.6000000000004</v>
      </c>
    </row>
    <row r="40" spans="1:6" ht="141.75">
      <c r="A40" s="1017">
        <v>11</v>
      </c>
      <c r="B40" s="1018"/>
      <c r="C40" s="1032" t="s">
        <v>4330</v>
      </c>
      <c r="D40" s="1016"/>
      <c r="E40" s="1017"/>
      <c r="F40" s="1018">
        <f t="shared" si="0"/>
        <v>0</v>
      </c>
    </row>
    <row r="41" spans="1:6" ht="41.25" customHeight="1">
      <c r="A41" s="1017"/>
      <c r="B41" s="1018">
        <f>'Ex. WS Det.'!H81</f>
        <v>2</v>
      </c>
      <c r="C41" s="1032" t="s">
        <v>4447</v>
      </c>
      <c r="D41" s="1016">
        <v>12726</v>
      </c>
      <c r="E41" s="1017" t="s">
        <v>1458</v>
      </c>
      <c r="F41" s="1018">
        <f t="shared" si="0"/>
        <v>25452</v>
      </c>
    </row>
    <row r="42" spans="1:6" ht="41.25" customHeight="1">
      <c r="A42" s="1017"/>
      <c r="B42" s="1018">
        <f>'Ex. WS Det.'!H84</f>
        <v>31</v>
      </c>
      <c r="C42" s="1032" t="s">
        <v>4445</v>
      </c>
      <c r="D42" s="1016">
        <v>1040</v>
      </c>
      <c r="E42" s="1017" t="s">
        <v>1458</v>
      </c>
      <c r="F42" s="1018">
        <f t="shared" si="0"/>
        <v>32240</v>
      </c>
    </row>
    <row r="43" spans="1:6" ht="41.25" customHeight="1">
      <c r="A43" s="1017"/>
      <c r="B43" s="1018">
        <f>'Ex. WS Det.'!H88</f>
        <v>14</v>
      </c>
      <c r="C43" s="1032" t="s">
        <v>4446</v>
      </c>
      <c r="D43" s="1016">
        <v>660</v>
      </c>
      <c r="E43" s="1017" t="s">
        <v>1458</v>
      </c>
      <c r="F43" s="1018">
        <f t="shared" si="0"/>
        <v>9240</v>
      </c>
    </row>
    <row r="44" spans="1:6" ht="91.5" customHeight="1">
      <c r="A44" s="1017">
        <v>12</v>
      </c>
      <c r="B44" s="1018">
        <f>'Ex. WS Det.'!H91</f>
        <v>15</v>
      </c>
      <c r="C44" s="1032" t="s">
        <v>4444</v>
      </c>
      <c r="D44" s="1016">
        <v>300</v>
      </c>
      <c r="E44" s="1017" t="s">
        <v>1458</v>
      </c>
      <c r="F44" s="1018">
        <f t="shared" si="0"/>
        <v>4500</v>
      </c>
    </row>
    <row r="45" spans="1:6" s="1055" customFormat="1" ht="22.5" customHeight="1">
      <c r="A45" s="1032"/>
      <c r="B45" s="1053"/>
      <c r="C45" s="1029"/>
      <c r="D45" s="1053"/>
      <c r="E45" s="1026"/>
      <c r="F45" s="1054"/>
    </row>
    <row r="46" spans="1:6" s="1055" customFormat="1" ht="33.75" customHeight="1">
      <c r="A46" s="1056"/>
      <c r="B46" s="1057"/>
      <c r="C46" s="1063" t="s">
        <v>4331</v>
      </c>
      <c r="D46" s="1054"/>
      <c r="E46" s="1040"/>
      <c r="F46" s="1103">
        <f>SUM(F6:F45)</f>
        <v>330362.18</v>
      </c>
    </row>
    <row r="47" spans="1:6" s="1055" customFormat="1" ht="20.25">
      <c r="A47" s="1058"/>
      <c r="B47" s="1058"/>
      <c r="C47" s="1059"/>
      <c r="D47" s="1058"/>
      <c r="E47" s="1058"/>
      <c r="F47" s="1060"/>
    </row>
    <row r="48" spans="1:6" s="1055" customFormat="1" ht="20.25">
      <c r="A48" s="1061"/>
      <c r="B48" s="1061"/>
      <c r="C48" s="1061"/>
      <c r="D48" s="1061"/>
      <c r="E48" s="1061"/>
      <c r="F48" s="1061"/>
    </row>
    <row r="49" spans="3:3" s="1055" customFormat="1">
      <c r="C49" s="1062"/>
    </row>
    <row r="50" spans="3:3" s="1055" customFormat="1">
      <c r="C50" s="1062"/>
    </row>
    <row r="51" spans="3:3" s="1055" customFormat="1">
      <c r="C51" s="1062"/>
    </row>
    <row r="52" spans="3:3" s="1055" customFormat="1">
      <c r="C52" s="1062"/>
    </row>
    <row r="53" spans="3:3" s="1055" customFormat="1">
      <c r="C53" s="1062"/>
    </row>
    <row r="54" spans="3:3" s="1055" customFormat="1">
      <c r="C54" s="1062"/>
    </row>
    <row r="55" spans="3:3" s="1055" customFormat="1">
      <c r="C55" s="1062"/>
    </row>
    <row r="56" spans="3:3" s="1055" customFormat="1">
      <c r="C56" s="1062"/>
    </row>
    <row r="57" spans="3:3" s="1055" customFormat="1">
      <c r="C57" s="1062"/>
    </row>
    <row r="58" spans="3:3" s="1055" customFormat="1">
      <c r="C58" s="1062"/>
    </row>
    <row r="59" spans="3:3" s="1055" customFormat="1">
      <c r="C59" s="1062"/>
    </row>
    <row r="60" spans="3:3" s="1055" customFormat="1">
      <c r="C60" s="1062"/>
    </row>
    <row r="61" spans="3:3" s="1055" customFormat="1">
      <c r="C61" s="1062"/>
    </row>
    <row r="62" spans="3:3" s="1055" customFormat="1">
      <c r="C62" s="1062"/>
    </row>
    <row r="63" spans="3:3" s="1055" customFormat="1">
      <c r="C63" s="1062"/>
    </row>
    <row r="64" spans="3:3" s="1055" customFormat="1">
      <c r="C64" s="1062"/>
    </row>
    <row r="65" spans="3:3" s="1055" customFormat="1">
      <c r="C65" s="1062"/>
    </row>
    <row r="66" spans="3:3" s="1055" customFormat="1">
      <c r="C66" s="1062"/>
    </row>
    <row r="67" spans="3:3" s="1055" customFormat="1">
      <c r="C67" s="1062"/>
    </row>
    <row r="68" spans="3:3" s="1055" customFormat="1">
      <c r="C68" s="1062"/>
    </row>
    <row r="69" spans="3:3" s="1055" customFormat="1">
      <c r="C69" s="1062"/>
    </row>
    <row r="70" spans="3:3" s="1055" customFormat="1">
      <c r="C70" s="1062"/>
    </row>
    <row r="71" spans="3:3" s="1055" customFormat="1">
      <c r="C71" s="1062"/>
    </row>
    <row r="72" spans="3:3" s="1055" customFormat="1">
      <c r="C72" s="1062"/>
    </row>
    <row r="73" spans="3:3" s="1055" customFormat="1">
      <c r="C73" s="1062"/>
    </row>
    <row r="74" spans="3:3" s="1055" customFormat="1">
      <c r="C74" s="1062"/>
    </row>
  </sheetData>
  <mergeCells count="4">
    <mergeCell ref="A1:F1"/>
    <mergeCell ref="A2:F2"/>
    <mergeCell ref="A3:F3"/>
    <mergeCell ref="A4:F4"/>
  </mergeCells>
  <printOptions horizontalCentered="1"/>
  <pageMargins left="0.75" right="0.2" top="0.75" bottom="0.75" header="0.3" footer="0.3"/>
  <pageSetup paperSize="9" scale="80" orientation="portrait" r:id="rId1"/>
  <drawing r:id="rId2"/>
</worksheet>
</file>

<file path=xl/worksheets/sheet46.xml><?xml version="1.0" encoding="utf-8"?>
<worksheet xmlns="http://schemas.openxmlformats.org/spreadsheetml/2006/main" xmlns:r="http://schemas.openxmlformats.org/officeDocument/2006/relationships">
  <sheetPr>
    <tabColor rgb="FFFF0000"/>
  </sheetPr>
  <dimension ref="A1:F24"/>
  <sheetViews>
    <sheetView view="pageBreakPreview" zoomScaleSheetLayoutView="100" workbookViewId="0">
      <selection activeCell="C7" sqref="C7"/>
    </sheetView>
  </sheetViews>
  <sheetFormatPr defaultRowHeight="15.75"/>
  <cols>
    <col min="1" max="1" width="5" customWidth="1"/>
    <col min="2" max="2" width="8" customWidth="1"/>
    <col min="3" max="3" width="37.5546875" customWidth="1"/>
    <col min="4" max="4" width="7.77734375" customWidth="1"/>
    <col min="5" max="5" width="6.88671875" customWidth="1"/>
    <col min="6" max="6" width="9.44140625" customWidth="1"/>
  </cols>
  <sheetData>
    <row r="1" spans="1:6" ht="51.75" customHeight="1">
      <c r="A1" s="1262" t="str">
        <f>'CCTV Abs'!A1:F1</f>
        <v>N/W: RENOVATION AND UPGRADING THE EXISTING WORKING WOMEN’S HOSTEL AT SOORAMANGALAM IN SALEM CITY UNDER SOCIAL WELFARE DEPARTMENT</v>
      </c>
      <c r="B1" s="1263"/>
      <c r="C1" s="1263"/>
      <c r="D1" s="1263"/>
      <c r="E1" s="1263"/>
      <c r="F1" s="1264"/>
    </row>
    <row r="2" spans="1:6" ht="24.75" customHeight="1">
      <c r="A2" s="1205" t="s">
        <v>4218</v>
      </c>
      <c r="B2" s="1205"/>
      <c r="C2" s="1205"/>
      <c r="D2" s="1205"/>
      <c r="E2" s="1205"/>
      <c r="F2" s="1205"/>
    </row>
    <row r="3" spans="1:6">
      <c r="A3" s="878" t="s">
        <v>3747</v>
      </c>
      <c r="B3" s="879" t="s">
        <v>1070</v>
      </c>
      <c r="C3" s="879" t="s">
        <v>3748</v>
      </c>
      <c r="D3" s="879" t="s">
        <v>100</v>
      </c>
      <c r="E3" s="879" t="s">
        <v>3764</v>
      </c>
      <c r="F3" s="879" t="s">
        <v>994</v>
      </c>
    </row>
    <row r="4" spans="1:6" ht="75">
      <c r="A4" s="822">
        <v>1</v>
      </c>
      <c r="B4" s="870">
        <f>'Septic Tank Det'!H12</f>
        <v>33.700000000000003</v>
      </c>
      <c r="C4" s="862" t="s">
        <v>4320</v>
      </c>
      <c r="D4" s="870">
        <f>DATA1!F73</f>
        <v>88.2</v>
      </c>
      <c r="E4" s="844" t="s">
        <v>3902</v>
      </c>
      <c r="F4" s="844">
        <f>ROUND(PRODUCT(B4*D4),2)</f>
        <v>2972.34</v>
      </c>
    </row>
    <row r="5" spans="1:6" ht="34.5" customHeight="1">
      <c r="A5" s="822">
        <v>2</v>
      </c>
      <c r="B5" s="870">
        <f>'Septic Tank Det'!H14</f>
        <v>1.6</v>
      </c>
      <c r="C5" s="862" t="s">
        <v>4209</v>
      </c>
      <c r="D5" s="870">
        <f>DATA1!F167</f>
        <v>1156.57</v>
      </c>
      <c r="E5" s="844" t="s">
        <v>3902</v>
      </c>
      <c r="F5" s="844">
        <f t="shared" ref="F5:F22" si="0">ROUND(PRODUCT(B5*D5),2)</f>
        <v>1850.51</v>
      </c>
    </row>
    <row r="6" spans="1:6" ht="45" customHeight="1">
      <c r="A6" s="822">
        <v>3</v>
      </c>
      <c r="B6" s="870">
        <f>'Septic Tank Det'!H16</f>
        <v>1.6</v>
      </c>
      <c r="C6" s="862" t="s">
        <v>4208</v>
      </c>
      <c r="D6" s="870">
        <f>DATA1!F175</f>
        <v>1550.57</v>
      </c>
      <c r="E6" s="871" t="s">
        <v>3902</v>
      </c>
      <c r="F6" s="844">
        <f t="shared" si="0"/>
        <v>2480.91</v>
      </c>
    </row>
    <row r="7" spans="1:6" ht="60">
      <c r="A7" s="822">
        <v>4</v>
      </c>
      <c r="B7" s="870">
        <f>'Septic Tank Det'!H19</f>
        <v>0.6</v>
      </c>
      <c r="C7" s="850" t="s">
        <v>4094</v>
      </c>
      <c r="D7" s="870">
        <f>DATA1!F97</f>
        <v>4121.9799999999996</v>
      </c>
      <c r="E7" s="871" t="s">
        <v>3902</v>
      </c>
      <c r="F7" s="844">
        <f t="shared" si="0"/>
        <v>2473.19</v>
      </c>
    </row>
    <row r="8" spans="1:6" ht="31.5" customHeight="1">
      <c r="A8" s="822">
        <v>5</v>
      </c>
      <c r="B8" s="870">
        <f>'Septic Tank Det'!H22</f>
        <v>3.4</v>
      </c>
      <c r="C8" s="862" t="s">
        <v>4275</v>
      </c>
      <c r="D8" s="870">
        <f>DATA1!F189</f>
        <v>5604.1</v>
      </c>
      <c r="E8" s="844" t="s">
        <v>3902</v>
      </c>
      <c r="F8" s="844">
        <f t="shared" si="0"/>
        <v>19053.939999999999</v>
      </c>
    </row>
    <row r="9" spans="1:6" ht="31.5" customHeight="1">
      <c r="A9" s="822">
        <v>6</v>
      </c>
      <c r="B9" s="870">
        <f>'Septic Tank Det'!H25</f>
        <v>0.2</v>
      </c>
      <c r="C9" s="862" t="s">
        <v>4277</v>
      </c>
      <c r="D9" s="870">
        <f>DATA1!F204</f>
        <v>3598.29</v>
      </c>
      <c r="E9" s="844" t="s">
        <v>3902</v>
      </c>
      <c r="F9" s="844">
        <f t="shared" si="0"/>
        <v>719.66</v>
      </c>
    </row>
    <row r="10" spans="1:6" ht="49.5" customHeight="1">
      <c r="A10" s="822">
        <v>7</v>
      </c>
      <c r="B10" s="870">
        <f>'Septic Tank Det'!H31</f>
        <v>1.4</v>
      </c>
      <c r="C10" s="862" t="s">
        <v>4394</v>
      </c>
      <c r="D10" s="870">
        <f>DATA1!F114</f>
        <v>6834.23</v>
      </c>
      <c r="E10" s="844" t="s">
        <v>3902</v>
      </c>
      <c r="F10" s="844">
        <f t="shared" si="0"/>
        <v>9567.92</v>
      </c>
    </row>
    <row r="11" spans="1:6" ht="55.5" customHeight="1">
      <c r="A11" s="822">
        <v>8</v>
      </c>
      <c r="B11" s="870">
        <f>'Septic Tank Det'!H39</f>
        <v>10.7</v>
      </c>
      <c r="C11" s="903" t="s">
        <v>4205</v>
      </c>
      <c r="D11" s="870">
        <f>DATA1!F220</f>
        <v>5845.4</v>
      </c>
      <c r="E11" s="844" t="s">
        <v>3902</v>
      </c>
      <c r="F11" s="844">
        <f t="shared" si="0"/>
        <v>62545.78</v>
      </c>
    </row>
    <row r="12" spans="1:6" ht="40.5" customHeight="1">
      <c r="A12" s="822">
        <v>9</v>
      </c>
      <c r="B12" s="870">
        <f>'Septic Tank Det'!H44</f>
        <v>2.7</v>
      </c>
      <c r="C12" s="903" t="s">
        <v>4288</v>
      </c>
      <c r="D12" s="870">
        <f>DATA1!F231</f>
        <v>1329.42</v>
      </c>
      <c r="E12" s="844" t="s">
        <v>2371</v>
      </c>
      <c r="F12" s="844">
        <f t="shared" si="0"/>
        <v>3589.43</v>
      </c>
    </row>
    <row r="13" spans="1:6" ht="45.75" customHeight="1">
      <c r="A13" s="822">
        <v>10</v>
      </c>
      <c r="B13" s="870">
        <f>'Septic Tank Det'!H49</f>
        <v>4.9000000000000004</v>
      </c>
      <c r="C13" s="903" t="s">
        <v>4291</v>
      </c>
      <c r="D13" s="870">
        <f>DATA1!F244</f>
        <v>422.03</v>
      </c>
      <c r="E13" s="844" t="s">
        <v>2371</v>
      </c>
      <c r="F13" s="844">
        <f t="shared" si="0"/>
        <v>2067.9499999999998</v>
      </c>
    </row>
    <row r="14" spans="1:6" ht="50.25" customHeight="1">
      <c r="A14" s="822">
        <v>11</v>
      </c>
      <c r="B14" s="870">
        <f>'Septic Tank Det'!H58</f>
        <v>41</v>
      </c>
      <c r="C14" s="877" t="s">
        <v>3903</v>
      </c>
      <c r="D14" s="870">
        <f>DATA1!F256</f>
        <v>207.75</v>
      </c>
      <c r="E14" s="844" t="s">
        <v>2371</v>
      </c>
      <c r="F14" s="844">
        <f t="shared" si="0"/>
        <v>8517.75</v>
      </c>
    </row>
    <row r="15" spans="1:6" ht="49.5" customHeight="1">
      <c r="A15" s="822">
        <v>12</v>
      </c>
      <c r="B15" s="870">
        <f>'Septic Tank Det'!H65</f>
        <v>31.8</v>
      </c>
      <c r="C15" s="877" t="s">
        <v>3950</v>
      </c>
      <c r="D15" s="870">
        <f>DATA1!F143</f>
        <v>213.6</v>
      </c>
      <c r="E15" s="844" t="s">
        <v>2371</v>
      </c>
      <c r="F15" s="844">
        <f t="shared" si="0"/>
        <v>6792.48</v>
      </c>
    </row>
    <row r="16" spans="1:6" ht="43.5" customHeight="1">
      <c r="A16" s="822">
        <v>13</v>
      </c>
      <c r="B16" s="870">
        <f>'Septic Tank Det'!H66</f>
        <v>0.14000000000000001</v>
      </c>
      <c r="C16" s="877" t="s">
        <v>4169</v>
      </c>
      <c r="D16" s="870">
        <f>DATA1!F155</f>
        <v>69949.8</v>
      </c>
      <c r="E16" s="844" t="s">
        <v>528</v>
      </c>
      <c r="F16" s="844">
        <f t="shared" si="0"/>
        <v>9792.9699999999993</v>
      </c>
    </row>
    <row r="17" spans="1:6" ht="43.5" customHeight="1">
      <c r="A17" s="822">
        <v>14</v>
      </c>
      <c r="B17" s="870">
        <f>'Septic Tank Det'!H69</f>
        <v>1</v>
      </c>
      <c r="C17" s="903" t="s">
        <v>4319</v>
      </c>
      <c r="D17" s="870">
        <f>DATA1!F267</f>
        <v>441.7</v>
      </c>
      <c r="E17" s="844" t="s">
        <v>840</v>
      </c>
      <c r="F17" s="844">
        <f t="shared" si="0"/>
        <v>441.7</v>
      </c>
    </row>
    <row r="18" spans="1:6" ht="43.5" customHeight="1">
      <c r="A18" s="822">
        <v>15</v>
      </c>
      <c r="B18" s="870">
        <f>'Septic Tank Det'!H72</f>
        <v>8</v>
      </c>
      <c r="C18" s="903" t="s">
        <v>4409</v>
      </c>
      <c r="D18" s="870">
        <f>DATA1!F294</f>
        <v>341.79</v>
      </c>
      <c r="E18" s="844" t="s">
        <v>840</v>
      </c>
      <c r="F18" s="844">
        <f t="shared" si="0"/>
        <v>2734.32</v>
      </c>
    </row>
    <row r="19" spans="1:6" ht="43.5" customHeight="1">
      <c r="A19" s="822">
        <v>16</v>
      </c>
      <c r="B19" s="870"/>
      <c r="C19" s="903" t="s">
        <v>4312</v>
      </c>
      <c r="D19" s="870"/>
      <c r="E19" s="844"/>
      <c r="F19" s="844">
        <f t="shared" si="0"/>
        <v>0</v>
      </c>
    </row>
    <row r="20" spans="1:6" ht="43.5" customHeight="1">
      <c r="A20" s="822"/>
      <c r="B20" s="870">
        <f>'Septic Tank Det'!H78</f>
        <v>2.6</v>
      </c>
      <c r="C20" s="903" t="s">
        <v>1904</v>
      </c>
      <c r="D20" s="870">
        <f>DATA1!D122</f>
        <v>693.56</v>
      </c>
      <c r="E20" s="844" t="s">
        <v>2371</v>
      </c>
      <c r="F20" s="844">
        <f t="shared" si="0"/>
        <v>1803.26</v>
      </c>
    </row>
    <row r="21" spans="1:6" ht="43.5" customHeight="1">
      <c r="A21" s="822"/>
      <c r="B21" s="870">
        <f>'Septic Tank Det'!H83</f>
        <v>5.6</v>
      </c>
      <c r="C21" s="903" t="s">
        <v>4315</v>
      </c>
      <c r="D21" s="870">
        <f>DATA1!D124</f>
        <v>782.8</v>
      </c>
      <c r="E21" s="844" t="s">
        <v>2371</v>
      </c>
      <c r="F21" s="844">
        <f t="shared" si="0"/>
        <v>4383.68</v>
      </c>
    </row>
    <row r="22" spans="1:6" ht="56.25" customHeight="1">
      <c r="A22" s="822">
        <v>17</v>
      </c>
      <c r="B22" s="870">
        <f>'Septic Tank Det'!H86</f>
        <v>1.8</v>
      </c>
      <c r="C22" s="903" t="s">
        <v>4206</v>
      </c>
      <c r="D22" s="870">
        <f>DATA1!F83</f>
        <v>1443.29</v>
      </c>
      <c r="E22" s="844" t="s">
        <v>2226</v>
      </c>
      <c r="F22" s="844">
        <f t="shared" si="0"/>
        <v>2597.92</v>
      </c>
    </row>
    <row r="23" spans="1:6">
      <c r="A23" s="822"/>
      <c r="B23" s="870"/>
      <c r="C23" s="862"/>
      <c r="D23" s="870"/>
      <c r="E23" s="844"/>
      <c r="F23" s="844"/>
    </row>
    <row r="24" spans="1:6" ht="20.25" customHeight="1">
      <c r="A24" s="822"/>
      <c r="B24" s="870"/>
      <c r="C24" s="875" t="s">
        <v>2332</v>
      </c>
      <c r="D24" s="870"/>
      <c r="E24" s="844"/>
      <c r="F24" s="820">
        <f>SUM(F4:F23)</f>
        <v>144385.71</v>
      </c>
    </row>
  </sheetData>
  <mergeCells count="2">
    <mergeCell ref="A1:F1"/>
    <mergeCell ref="A2:F2"/>
  </mergeCells>
  <printOptions horizontalCentered="1"/>
  <pageMargins left="0.7" right="0.2"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sheetPr>
    <tabColor rgb="FFFF0000"/>
  </sheetPr>
  <dimension ref="A1:V108"/>
  <sheetViews>
    <sheetView view="pageBreakPreview" topLeftCell="A37" zoomScale="110" zoomScaleSheetLayoutView="110" workbookViewId="0">
      <selection activeCell="J55" sqref="J55"/>
    </sheetView>
  </sheetViews>
  <sheetFormatPr defaultRowHeight="15"/>
  <cols>
    <col min="1" max="1" width="4.21875" style="973" bestFit="1" customWidth="1"/>
    <col min="2" max="2" width="23.44140625" style="973" customWidth="1"/>
    <col min="3" max="3" width="3.6640625" style="973" bestFit="1" customWidth="1"/>
    <col min="4" max="4" width="2.33203125" style="973" bestFit="1" customWidth="1"/>
    <col min="5" max="5" width="1.5546875" style="973" bestFit="1" customWidth="1"/>
    <col min="6" max="6" width="2.33203125" style="973" bestFit="1" customWidth="1"/>
    <col min="7" max="8" width="1.5546875" style="973" bestFit="1" customWidth="1"/>
    <col min="9" max="9" width="4.33203125" style="973" bestFit="1" customWidth="1"/>
    <col min="10" max="11" width="2" style="973" bestFit="1" customWidth="1"/>
    <col min="12" max="15" width="5.88671875" style="973" bestFit="1" customWidth="1"/>
    <col min="16" max="16" width="4.33203125" style="973" bestFit="1" customWidth="1"/>
    <col min="17" max="17" width="10.21875" style="973" bestFit="1" customWidth="1"/>
    <col min="18" max="18" width="8.88671875" style="973"/>
    <col min="19" max="19" width="5.21875" style="973" bestFit="1" customWidth="1"/>
    <col min="20" max="21" width="8.88671875" style="973"/>
    <col min="22" max="22" width="5.5546875" style="973" bestFit="1" customWidth="1"/>
    <col min="23" max="16384" width="8.88671875" style="973"/>
  </cols>
  <sheetData>
    <row r="1" spans="1:17" s="921" customFormat="1" ht="16.5">
      <c r="A1" s="1303"/>
      <c r="B1" s="1303"/>
      <c r="C1" s="1303"/>
      <c r="D1" s="1303"/>
      <c r="E1" s="1303"/>
      <c r="F1" s="1303"/>
      <c r="G1" s="1303"/>
      <c r="H1" s="1303"/>
      <c r="I1" s="1303"/>
      <c r="J1" s="1303"/>
      <c r="K1" s="920"/>
    </row>
    <row r="2" spans="1:17" s="921" customFormat="1" ht="57.75" customHeight="1">
      <c r="A2" s="1301" t="str">
        <f>'CCTV Det'!A1:H1</f>
        <v>N/W: RENOVATION AND UPGRADING THE EXISTING WORKING WOMEN’S HOSTEL AT SOORAMANGALAM IN SALEM CITY UNDER SOCIAL WELFARE DEPARTMENT</v>
      </c>
      <c r="B2" s="1301"/>
      <c r="C2" s="1301"/>
      <c r="D2" s="1301"/>
      <c r="E2" s="1301"/>
      <c r="F2" s="1301"/>
      <c r="G2" s="1301"/>
      <c r="H2" s="1301"/>
      <c r="I2" s="1301"/>
      <c r="J2" s="1301"/>
      <c r="K2" s="1301"/>
      <c r="L2" s="1301"/>
      <c r="M2" s="1301"/>
      <c r="N2" s="1301"/>
      <c r="O2" s="1301"/>
      <c r="P2" s="1301"/>
    </row>
    <row r="3" spans="1:17" s="942" customFormat="1" ht="18.75">
      <c r="A3" s="1304" t="s">
        <v>4232</v>
      </c>
      <c r="B3" s="1304"/>
      <c r="C3" s="1304"/>
      <c r="D3" s="1304"/>
      <c r="E3" s="1304"/>
      <c r="F3" s="1304"/>
      <c r="G3" s="1304"/>
      <c r="H3" s="1304"/>
      <c r="I3" s="1304"/>
      <c r="J3" s="1304"/>
      <c r="K3" s="1304"/>
      <c r="L3" s="1304"/>
      <c r="M3" s="1304"/>
      <c r="N3" s="1304"/>
      <c r="O3" s="1304"/>
      <c r="P3" s="1304"/>
    </row>
    <row r="4" spans="1:17" s="942" customFormat="1">
      <c r="A4" s="1305" t="s">
        <v>4233</v>
      </c>
      <c r="B4" s="1305" t="s">
        <v>1860</v>
      </c>
      <c r="C4" s="1305" t="s">
        <v>4234</v>
      </c>
      <c r="D4" s="1305" t="s">
        <v>4226</v>
      </c>
      <c r="E4" s="1305"/>
      <c r="F4" s="1305"/>
      <c r="G4" s="1305"/>
      <c r="H4" s="1305"/>
      <c r="I4" s="1305" t="s">
        <v>4235</v>
      </c>
      <c r="J4" s="1305"/>
      <c r="K4" s="1305"/>
      <c r="L4" s="1305" t="s">
        <v>4236</v>
      </c>
      <c r="M4" s="1305"/>
      <c r="N4" s="1305"/>
      <c r="O4" s="1305"/>
      <c r="P4" s="1305"/>
    </row>
    <row r="5" spans="1:17" s="944" customFormat="1" ht="14.25">
      <c r="A5" s="1305"/>
      <c r="B5" s="1305"/>
      <c r="C5" s="1305"/>
      <c r="D5" s="1305"/>
      <c r="E5" s="1305"/>
      <c r="F5" s="1305"/>
      <c r="G5" s="1305"/>
      <c r="H5" s="1305"/>
      <c r="I5" s="943" t="s">
        <v>3811</v>
      </c>
      <c r="J5" s="943" t="s">
        <v>1635</v>
      </c>
      <c r="K5" s="943" t="s">
        <v>3812</v>
      </c>
      <c r="L5" s="943" t="s">
        <v>4237</v>
      </c>
      <c r="M5" s="943" t="s">
        <v>4238</v>
      </c>
      <c r="N5" s="943" t="s">
        <v>4239</v>
      </c>
      <c r="O5" s="943" t="s">
        <v>4240</v>
      </c>
      <c r="P5" s="943" t="s">
        <v>4241</v>
      </c>
    </row>
    <row r="6" spans="1:17" s="951" customFormat="1" ht="18.75">
      <c r="A6" s="945"/>
      <c r="B6" s="946" t="s">
        <v>4242</v>
      </c>
      <c r="C6" s="947"/>
      <c r="D6" s="948"/>
      <c r="E6" s="948"/>
      <c r="F6" s="948"/>
      <c r="G6" s="948"/>
      <c r="H6" s="948"/>
      <c r="I6" s="949"/>
      <c r="J6" s="949"/>
      <c r="K6" s="949"/>
      <c r="L6" s="949"/>
      <c r="M6" s="950"/>
      <c r="N6" s="949"/>
      <c r="O6" s="949"/>
      <c r="P6" s="950"/>
      <c r="Q6" s="942"/>
    </row>
    <row r="7" spans="1:17" s="942" customFormat="1">
      <c r="A7" s="952"/>
      <c r="B7" s="953" t="s">
        <v>4243</v>
      </c>
      <c r="C7" s="954" t="s">
        <v>4238</v>
      </c>
      <c r="D7" s="955">
        <v>1</v>
      </c>
      <c r="E7" s="955" t="s">
        <v>4231</v>
      </c>
      <c r="F7" s="955">
        <v>1</v>
      </c>
      <c r="G7" s="955"/>
      <c r="H7" s="955"/>
      <c r="I7" s="956">
        <v>4.5</v>
      </c>
      <c r="J7" s="956"/>
      <c r="K7" s="957"/>
      <c r="L7" s="957"/>
      <c r="M7" s="957">
        <f t="shared" ref="M7:M36" si="0">PRODUCT(D7:K7)</f>
        <v>4.5</v>
      </c>
      <c r="N7" s="957"/>
      <c r="O7" s="956"/>
      <c r="P7" s="957"/>
    </row>
    <row r="8" spans="1:17" s="942" customFormat="1">
      <c r="A8" s="952"/>
      <c r="B8" s="953"/>
      <c r="C8" s="954" t="s">
        <v>4238</v>
      </c>
      <c r="D8" s="955">
        <v>1</v>
      </c>
      <c r="E8" s="955" t="s">
        <v>4231</v>
      </c>
      <c r="F8" s="955">
        <v>2</v>
      </c>
      <c r="G8" s="955"/>
      <c r="H8" s="955"/>
      <c r="I8" s="956">
        <v>4.4000000000000004</v>
      </c>
      <c r="J8" s="956"/>
      <c r="K8" s="957"/>
      <c r="L8" s="957"/>
      <c r="M8" s="957">
        <f t="shared" si="0"/>
        <v>8.8000000000000007</v>
      </c>
      <c r="N8" s="957"/>
      <c r="O8" s="956"/>
      <c r="P8" s="957"/>
    </row>
    <row r="9" spans="1:17" s="942" customFormat="1">
      <c r="A9" s="952"/>
      <c r="B9" s="953"/>
      <c r="C9" s="954" t="s">
        <v>4238</v>
      </c>
      <c r="D9" s="955">
        <v>1</v>
      </c>
      <c r="E9" s="955" t="s">
        <v>4231</v>
      </c>
      <c r="F9" s="955">
        <v>2</v>
      </c>
      <c r="G9" s="955"/>
      <c r="H9" s="955"/>
      <c r="I9" s="956">
        <v>4.2</v>
      </c>
      <c r="J9" s="956"/>
      <c r="K9" s="957"/>
      <c r="L9" s="957"/>
      <c r="M9" s="957">
        <f t="shared" si="0"/>
        <v>8.4</v>
      </c>
      <c r="N9" s="957"/>
      <c r="O9" s="956"/>
      <c r="P9" s="957"/>
    </row>
    <row r="10" spans="1:17" s="942" customFormat="1">
      <c r="A10" s="952"/>
      <c r="B10" s="953"/>
      <c r="C10" s="954" t="s">
        <v>4238</v>
      </c>
      <c r="D10" s="955">
        <v>1</v>
      </c>
      <c r="E10" s="955" t="s">
        <v>4231</v>
      </c>
      <c r="F10" s="955">
        <v>2</v>
      </c>
      <c r="G10" s="955"/>
      <c r="H10" s="955"/>
      <c r="I10" s="956">
        <v>4</v>
      </c>
      <c r="J10" s="956"/>
      <c r="K10" s="957"/>
      <c r="L10" s="957"/>
      <c r="M10" s="957">
        <f t="shared" si="0"/>
        <v>8</v>
      </c>
      <c r="N10" s="957"/>
      <c r="O10" s="956"/>
      <c r="P10" s="957"/>
    </row>
    <row r="11" spans="1:17" s="942" customFormat="1">
      <c r="A11" s="952"/>
      <c r="B11" s="953"/>
      <c r="C11" s="954" t="s">
        <v>4238</v>
      </c>
      <c r="D11" s="955">
        <v>1</v>
      </c>
      <c r="E11" s="955" t="s">
        <v>4231</v>
      </c>
      <c r="F11" s="955">
        <v>2</v>
      </c>
      <c r="G11" s="955"/>
      <c r="H11" s="955"/>
      <c r="I11" s="956">
        <v>3.8</v>
      </c>
      <c r="J11" s="956"/>
      <c r="K11" s="957"/>
      <c r="L11" s="957"/>
      <c r="M11" s="957">
        <f t="shared" si="0"/>
        <v>7.6</v>
      </c>
      <c r="N11" s="957"/>
      <c r="O11" s="956"/>
      <c r="P11" s="957"/>
    </row>
    <row r="12" spans="1:17" s="942" customFormat="1">
      <c r="A12" s="952"/>
      <c r="B12" s="953"/>
      <c r="C12" s="954" t="s">
        <v>4238</v>
      </c>
      <c r="D12" s="955">
        <v>1</v>
      </c>
      <c r="E12" s="955" t="s">
        <v>4231</v>
      </c>
      <c r="F12" s="955">
        <v>2</v>
      </c>
      <c r="G12" s="955"/>
      <c r="H12" s="955"/>
      <c r="I12" s="956">
        <v>3.6</v>
      </c>
      <c r="J12" s="956"/>
      <c r="K12" s="957"/>
      <c r="L12" s="957"/>
      <c r="M12" s="957">
        <f t="shared" si="0"/>
        <v>7.2</v>
      </c>
      <c r="N12" s="957"/>
      <c r="O12" s="956"/>
      <c r="P12" s="957"/>
    </row>
    <row r="13" spans="1:17" s="942" customFormat="1">
      <c r="A13" s="952"/>
      <c r="B13" s="953"/>
      <c r="C13" s="954" t="s">
        <v>4238</v>
      </c>
      <c r="D13" s="955">
        <v>1</v>
      </c>
      <c r="E13" s="955" t="s">
        <v>4231</v>
      </c>
      <c r="F13" s="955">
        <v>2</v>
      </c>
      <c r="G13" s="955"/>
      <c r="H13" s="955"/>
      <c r="I13" s="956">
        <v>3.3</v>
      </c>
      <c r="J13" s="956"/>
      <c r="K13" s="957"/>
      <c r="L13" s="957"/>
      <c r="M13" s="957">
        <f t="shared" si="0"/>
        <v>6.6</v>
      </c>
      <c r="N13" s="957"/>
      <c r="O13" s="956"/>
      <c r="P13" s="957"/>
    </row>
    <row r="14" spans="1:17" s="942" customFormat="1">
      <c r="A14" s="952"/>
      <c r="B14" s="953"/>
      <c r="C14" s="954" t="s">
        <v>4238</v>
      </c>
      <c r="D14" s="955">
        <v>1</v>
      </c>
      <c r="E14" s="955" t="s">
        <v>4231</v>
      </c>
      <c r="F14" s="955">
        <v>2</v>
      </c>
      <c r="G14" s="955"/>
      <c r="H14" s="955"/>
      <c r="I14" s="956">
        <v>3</v>
      </c>
      <c r="J14" s="956"/>
      <c r="K14" s="957"/>
      <c r="L14" s="957"/>
      <c r="M14" s="957">
        <f t="shared" si="0"/>
        <v>6</v>
      </c>
      <c r="N14" s="957"/>
      <c r="O14" s="956"/>
      <c r="P14" s="957"/>
    </row>
    <row r="15" spans="1:17" s="942" customFormat="1">
      <c r="A15" s="952"/>
      <c r="B15" s="953"/>
      <c r="C15" s="954" t="s">
        <v>4238</v>
      </c>
      <c r="D15" s="955">
        <v>1</v>
      </c>
      <c r="E15" s="955" t="s">
        <v>4231</v>
      </c>
      <c r="F15" s="955">
        <v>2</v>
      </c>
      <c r="G15" s="955"/>
      <c r="H15" s="955"/>
      <c r="I15" s="956">
        <v>2.7</v>
      </c>
      <c r="J15" s="956"/>
      <c r="K15" s="957"/>
      <c r="L15" s="957"/>
      <c r="M15" s="957">
        <f t="shared" si="0"/>
        <v>5.4</v>
      </c>
      <c r="N15" s="957"/>
      <c r="O15" s="956"/>
      <c r="P15" s="957"/>
    </row>
    <row r="16" spans="1:17" s="942" customFormat="1">
      <c r="A16" s="952"/>
      <c r="B16" s="953"/>
      <c r="C16" s="954" t="s">
        <v>4238</v>
      </c>
      <c r="D16" s="955">
        <v>1</v>
      </c>
      <c r="E16" s="955" t="s">
        <v>4231</v>
      </c>
      <c r="F16" s="955">
        <v>2</v>
      </c>
      <c r="G16" s="955"/>
      <c r="H16" s="955"/>
      <c r="I16" s="956">
        <v>2.5</v>
      </c>
      <c r="J16" s="956"/>
      <c r="K16" s="957"/>
      <c r="L16" s="957"/>
      <c r="M16" s="957">
        <f t="shared" si="0"/>
        <v>5</v>
      </c>
      <c r="N16" s="957"/>
      <c r="O16" s="956"/>
      <c r="P16" s="957"/>
    </row>
    <row r="17" spans="1:16" s="942" customFormat="1">
      <c r="A17" s="952"/>
      <c r="B17" s="953"/>
      <c r="C17" s="954" t="s">
        <v>4238</v>
      </c>
      <c r="D17" s="955">
        <v>1</v>
      </c>
      <c r="E17" s="955" t="s">
        <v>4231</v>
      </c>
      <c r="F17" s="955">
        <v>2</v>
      </c>
      <c r="G17" s="955"/>
      <c r="H17" s="955"/>
      <c r="I17" s="956">
        <v>2.2999999999999998</v>
      </c>
      <c r="J17" s="956"/>
      <c r="K17" s="957"/>
      <c r="L17" s="957"/>
      <c r="M17" s="957">
        <f t="shared" si="0"/>
        <v>4.5999999999999996</v>
      </c>
      <c r="N17" s="957"/>
      <c r="O17" s="956"/>
      <c r="P17" s="957"/>
    </row>
    <row r="18" spans="1:16" s="942" customFormat="1">
      <c r="A18" s="952"/>
      <c r="B18" s="953"/>
      <c r="C18" s="954" t="s">
        <v>4238</v>
      </c>
      <c r="D18" s="955">
        <v>1</v>
      </c>
      <c r="E18" s="955" t="s">
        <v>4231</v>
      </c>
      <c r="F18" s="955">
        <v>2</v>
      </c>
      <c r="G18" s="955"/>
      <c r="H18" s="955"/>
      <c r="I18" s="956">
        <v>2.1</v>
      </c>
      <c r="J18" s="956"/>
      <c r="K18" s="957"/>
      <c r="L18" s="957"/>
      <c r="M18" s="957">
        <f t="shared" si="0"/>
        <v>4.2</v>
      </c>
      <c r="N18" s="957"/>
      <c r="O18" s="956"/>
      <c r="P18" s="957"/>
    </row>
    <row r="19" spans="1:16" s="942" customFormat="1">
      <c r="A19" s="952"/>
      <c r="B19" s="953"/>
      <c r="C19" s="954" t="s">
        <v>4238</v>
      </c>
      <c r="D19" s="955">
        <v>1</v>
      </c>
      <c r="E19" s="955" t="s">
        <v>4231</v>
      </c>
      <c r="F19" s="955">
        <v>2</v>
      </c>
      <c r="G19" s="955"/>
      <c r="H19" s="955"/>
      <c r="I19" s="956">
        <v>1.8</v>
      </c>
      <c r="J19" s="956"/>
      <c r="K19" s="957"/>
      <c r="L19" s="957"/>
      <c r="M19" s="957">
        <f t="shared" si="0"/>
        <v>3.6</v>
      </c>
      <c r="N19" s="957"/>
      <c r="O19" s="956"/>
      <c r="P19" s="957"/>
    </row>
    <row r="20" spans="1:16" s="942" customFormat="1">
      <c r="A20" s="952"/>
      <c r="B20" s="953"/>
      <c r="C20" s="954" t="s">
        <v>4238</v>
      </c>
      <c r="D20" s="955">
        <v>1</v>
      </c>
      <c r="E20" s="955" t="s">
        <v>4231</v>
      </c>
      <c r="F20" s="955">
        <v>2</v>
      </c>
      <c r="G20" s="955"/>
      <c r="H20" s="955"/>
      <c r="I20" s="956">
        <v>1.7</v>
      </c>
      <c r="J20" s="956"/>
      <c r="K20" s="957"/>
      <c r="L20" s="957"/>
      <c r="M20" s="957">
        <f t="shared" si="0"/>
        <v>3.4</v>
      </c>
      <c r="N20" s="957"/>
      <c r="O20" s="956"/>
      <c r="P20" s="957"/>
    </row>
    <row r="21" spans="1:16" s="942" customFormat="1">
      <c r="A21" s="952"/>
      <c r="B21" s="953"/>
      <c r="C21" s="954" t="s">
        <v>4238</v>
      </c>
      <c r="D21" s="955">
        <v>1</v>
      </c>
      <c r="E21" s="955" t="s">
        <v>4231</v>
      </c>
      <c r="F21" s="955">
        <v>2</v>
      </c>
      <c r="G21" s="955"/>
      <c r="H21" s="955"/>
      <c r="I21" s="956">
        <v>1.6</v>
      </c>
      <c r="J21" s="956"/>
      <c r="K21" s="957"/>
      <c r="L21" s="957"/>
      <c r="M21" s="957">
        <f t="shared" si="0"/>
        <v>3.2</v>
      </c>
      <c r="N21" s="957"/>
      <c r="O21" s="956"/>
      <c r="P21" s="957"/>
    </row>
    <row r="22" spans="1:16" s="942" customFormat="1">
      <c r="A22" s="952"/>
      <c r="B22" s="953" t="s">
        <v>4244</v>
      </c>
      <c r="C22" s="954" t="s">
        <v>4238</v>
      </c>
      <c r="D22" s="955">
        <v>1</v>
      </c>
      <c r="E22" s="955" t="s">
        <v>4231</v>
      </c>
      <c r="F22" s="955">
        <v>2</v>
      </c>
      <c r="G22" s="955"/>
      <c r="H22" s="955"/>
      <c r="I22" s="956">
        <v>1.6</v>
      </c>
      <c r="J22" s="956"/>
      <c r="K22" s="957"/>
      <c r="L22" s="957"/>
      <c r="M22" s="957">
        <f t="shared" si="0"/>
        <v>3.2</v>
      </c>
      <c r="N22" s="957"/>
      <c r="O22" s="956"/>
      <c r="P22" s="957"/>
    </row>
    <row r="23" spans="1:16" s="942" customFormat="1">
      <c r="A23" s="952"/>
      <c r="B23" s="953"/>
      <c r="C23" s="954" t="s">
        <v>4238</v>
      </c>
      <c r="D23" s="955">
        <v>1</v>
      </c>
      <c r="E23" s="955" t="s">
        <v>4231</v>
      </c>
      <c r="F23" s="955">
        <v>2</v>
      </c>
      <c r="G23" s="955"/>
      <c r="H23" s="955"/>
      <c r="I23" s="956">
        <v>1.7</v>
      </c>
      <c r="J23" s="956"/>
      <c r="K23" s="957"/>
      <c r="L23" s="957"/>
      <c r="M23" s="957">
        <f t="shared" si="0"/>
        <v>3.4</v>
      </c>
      <c r="N23" s="957"/>
      <c r="O23" s="956"/>
      <c r="P23" s="957"/>
    </row>
    <row r="24" spans="1:16" s="942" customFormat="1">
      <c r="A24" s="952"/>
      <c r="B24" s="953"/>
      <c r="C24" s="954" t="s">
        <v>4238</v>
      </c>
      <c r="D24" s="955">
        <v>1</v>
      </c>
      <c r="E24" s="955" t="s">
        <v>4231</v>
      </c>
      <c r="F24" s="955">
        <v>2</v>
      </c>
      <c r="G24" s="955"/>
      <c r="H24" s="955"/>
      <c r="I24" s="956">
        <v>1.8</v>
      </c>
      <c r="J24" s="956"/>
      <c r="K24" s="957"/>
      <c r="L24" s="957"/>
      <c r="M24" s="957">
        <f t="shared" si="0"/>
        <v>3.6</v>
      </c>
      <c r="N24" s="957"/>
      <c r="O24" s="956"/>
      <c r="P24" s="957"/>
    </row>
    <row r="25" spans="1:16" s="942" customFormat="1">
      <c r="A25" s="952"/>
      <c r="B25" s="953"/>
      <c r="C25" s="954" t="s">
        <v>4238</v>
      </c>
      <c r="D25" s="955">
        <v>1</v>
      </c>
      <c r="E25" s="955" t="s">
        <v>4231</v>
      </c>
      <c r="F25" s="955">
        <v>2</v>
      </c>
      <c r="G25" s="955"/>
      <c r="H25" s="955"/>
      <c r="I25" s="956">
        <v>2.1</v>
      </c>
      <c r="J25" s="956"/>
      <c r="K25" s="957"/>
      <c r="L25" s="957"/>
      <c r="M25" s="957">
        <f t="shared" si="0"/>
        <v>4.2</v>
      </c>
      <c r="N25" s="957"/>
      <c r="O25" s="956"/>
      <c r="P25" s="957"/>
    </row>
    <row r="26" spans="1:16" s="942" customFormat="1">
      <c r="A26" s="952"/>
      <c r="B26" s="953"/>
      <c r="C26" s="954" t="s">
        <v>4238</v>
      </c>
      <c r="D26" s="955">
        <v>1</v>
      </c>
      <c r="E26" s="955" t="s">
        <v>4231</v>
      </c>
      <c r="F26" s="955">
        <v>2</v>
      </c>
      <c r="G26" s="955"/>
      <c r="H26" s="955"/>
      <c r="I26" s="956">
        <v>2.2999999999999998</v>
      </c>
      <c r="J26" s="956"/>
      <c r="K26" s="957"/>
      <c r="L26" s="957"/>
      <c r="M26" s="957">
        <f t="shared" si="0"/>
        <v>4.5999999999999996</v>
      </c>
      <c r="N26" s="957"/>
      <c r="O26" s="956"/>
      <c r="P26" s="957"/>
    </row>
    <row r="27" spans="1:16" s="942" customFormat="1">
      <c r="A27" s="952"/>
      <c r="B27" s="953"/>
      <c r="C27" s="954" t="s">
        <v>4238</v>
      </c>
      <c r="D27" s="955">
        <v>1</v>
      </c>
      <c r="E27" s="955" t="s">
        <v>4231</v>
      </c>
      <c r="F27" s="955">
        <v>2</v>
      </c>
      <c r="G27" s="955"/>
      <c r="H27" s="955"/>
      <c r="I27" s="956">
        <v>2.5</v>
      </c>
      <c r="J27" s="956"/>
      <c r="K27" s="957"/>
      <c r="L27" s="957"/>
      <c r="M27" s="957">
        <f t="shared" si="0"/>
        <v>5</v>
      </c>
      <c r="N27" s="957"/>
      <c r="O27" s="956"/>
      <c r="P27" s="957"/>
    </row>
    <row r="28" spans="1:16" s="942" customFormat="1">
      <c r="A28" s="952"/>
      <c r="B28" s="953"/>
      <c r="C28" s="954" t="s">
        <v>4238</v>
      </c>
      <c r="D28" s="955">
        <v>1</v>
      </c>
      <c r="E28" s="955" t="s">
        <v>4231</v>
      </c>
      <c r="F28" s="955">
        <v>2</v>
      </c>
      <c r="G28" s="955"/>
      <c r="H28" s="955"/>
      <c r="I28" s="956">
        <v>2.7</v>
      </c>
      <c r="J28" s="956"/>
      <c r="K28" s="957"/>
      <c r="L28" s="957"/>
      <c r="M28" s="957">
        <f t="shared" si="0"/>
        <v>5.4</v>
      </c>
      <c r="N28" s="957"/>
      <c r="O28" s="956"/>
      <c r="P28" s="957"/>
    </row>
    <row r="29" spans="1:16" s="942" customFormat="1">
      <c r="A29" s="952"/>
      <c r="B29" s="953"/>
      <c r="C29" s="954" t="s">
        <v>4238</v>
      </c>
      <c r="D29" s="955">
        <v>1</v>
      </c>
      <c r="E29" s="955" t="s">
        <v>4231</v>
      </c>
      <c r="F29" s="955">
        <v>2</v>
      </c>
      <c r="G29" s="955"/>
      <c r="H29" s="955"/>
      <c r="I29" s="956">
        <v>3</v>
      </c>
      <c r="J29" s="956"/>
      <c r="K29" s="957"/>
      <c r="L29" s="957"/>
      <c r="M29" s="957">
        <f t="shared" si="0"/>
        <v>6</v>
      </c>
      <c r="N29" s="957"/>
      <c r="O29" s="956"/>
      <c r="P29" s="957"/>
    </row>
    <row r="30" spans="1:16" s="942" customFormat="1">
      <c r="A30" s="952"/>
      <c r="B30" s="953"/>
      <c r="C30" s="954" t="s">
        <v>4238</v>
      </c>
      <c r="D30" s="955">
        <v>1</v>
      </c>
      <c r="E30" s="955" t="s">
        <v>4231</v>
      </c>
      <c r="F30" s="955">
        <v>2</v>
      </c>
      <c r="G30" s="955"/>
      <c r="H30" s="955"/>
      <c r="I30" s="956">
        <v>3.3</v>
      </c>
      <c r="J30" s="956"/>
      <c r="K30" s="957"/>
      <c r="L30" s="957"/>
      <c r="M30" s="957">
        <f t="shared" si="0"/>
        <v>6.6</v>
      </c>
      <c r="N30" s="957"/>
      <c r="O30" s="956"/>
      <c r="P30" s="957"/>
    </row>
    <row r="31" spans="1:16" s="942" customFormat="1">
      <c r="A31" s="952"/>
      <c r="B31" s="953"/>
      <c r="C31" s="954" t="s">
        <v>4238</v>
      </c>
      <c r="D31" s="955">
        <v>1</v>
      </c>
      <c r="E31" s="955" t="s">
        <v>4231</v>
      </c>
      <c r="F31" s="955">
        <v>2</v>
      </c>
      <c r="G31" s="955"/>
      <c r="H31" s="955"/>
      <c r="I31" s="956">
        <v>3.6</v>
      </c>
      <c r="J31" s="956"/>
      <c r="K31" s="957"/>
      <c r="L31" s="957"/>
      <c r="M31" s="957">
        <f t="shared" si="0"/>
        <v>7.2</v>
      </c>
      <c r="N31" s="957"/>
      <c r="O31" s="956"/>
      <c r="P31" s="957"/>
    </row>
    <row r="32" spans="1:16" s="942" customFormat="1">
      <c r="A32" s="952"/>
      <c r="B32" s="953"/>
      <c r="C32" s="954" t="s">
        <v>4238</v>
      </c>
      <c r="D32" s="955">
        <v>1</v>
      </c>
      <c r="E32" s="955" t="s">
        <v>4231</v>
      </c>
      <c r="F32" s="955">
        <v>2</v>
      </c>
      <c r="G32" s="955"/>
      <c r="H32" s="955"/>
      <c r="I32" s="956">
        <v>3.8</v>
      </c>
      <c r="J32" s="956"/>
      <c r="K32" s="957"/>
      <c r="L32" s="957"/>
      <c r="M32" s="957">
        <f t="shared" si="0"/>
        <v>7.6</v>
      </c>
      <c r="N32" s="957"/>
      <c r="O32" s="956"/>
      <c r="P32" s="957"/>
    </row>
    <row r="33" spans="1:16" s="942" customFormat="1">
      <c r="A33" s="952"/>
      <c r="B33" s="953"/>
      <c r="C33" s="954" t="s">
        <v>4238</v>
      </c>
      <c r="D33" s="955">
        <v>1</v>
      </c>
      <c r="E33" s="955" t="s">
        <v>4231</v>
      </c>
      <c r="F33" s="955">
        <v>2</v>
      </c>
      <c r="G33" s="955"/>
      <c r="H33" s="955"/>
      <c r="I33" s="956">
        <v>4</v>
      </c>
      <c r="J33" s="956"/>
      <c r="K33" s="957"/>
      <c r="L33" s="957"/>
      <c r="M33" s="957">
        <f t="shared" si="0"/>
        <v>8</v>
      </c>
      <c r="N33" s="957"/>
      <c r="O33" s="956"/>
      <c r="P33" s="957"/>
    </row>
    <row r="34" spans="1:16" s="942" customFormat="1">
      <c r="A34" s="952"/>
      <c r="B34" s="953"/>
      <c r="C34" s="954" t="s">
        <v>4238</v>
      </c>
      <c r="D34" s="955">
        <v>1</v>
      </c>
      <c r="E34" s="955" t="s">
        <v>4231</v>
      </c>
      <c r="F34" s="955">
        <v>2</v>
      </c>
      <c r="G34" s="955"/>
      <c r="H34" s="955"/>
      <c r="I34" s="956">
        <v>4.2</v>
      </c>
      <c r="J34" s="956"/>
      <c r="K34" s="957"/>
      <c r="L34" s="957"/>
      <c r="M34" s="957">
        <f t="shared" si="0"/>
        <v>8.4</v>
      </c>
      <c r="N34" s="957"/>
      <c r="O34" s="956"/>
      <c r="P34" s="957"/>
    </row>
    <row r="35" spans="1:16" s="942" customFormat="1">
      <c r="A35" s="952"/>
      <c r="B35" s="953"/>
      <c r="C35" s="954" t="s">
        <v>4238</v>
      </c>
      <c r="D35" s="955">
        <v>1</v>
      </c>
      <c r="E35" s="955" t="s">
        <v>4231</v>
      </c>
      <c r="F35" s="955">
        <v>2</v>
      </c>
      <c r="G35" s="955"/>
      <c r="H35" s="955"/>
      <c r="I35" s="956">
        <v>4.4000000000000004</v>
      </c>
      <c r="J35" s="956"/>
      <c r="K35" s="957"/>
      <c r="L35" s="957"/>
      <c r="M35" s="957">
        <f t="shared" si="0"/>
        <v>8.8000000000000007</v>
      </c>
      <c r="N35" s="957"/>
      <c r="O35" s="956"/>
      <c r="P35" s="957"/>
    </row>
    <row r="36" spans="1:16" s="942" customFormat="1">
      <c r="A36" s="952"/>
      <c r="B36" s="953"/>
      <c r="C36" s="954" t="s">
        <v>4238</v>
      </c>
      <c r="D36" s="955">
        <v>1</v>
      </c>
      <c r="E36" s="955" t="s">
        <v>4231</v>
      </c>
      <c r="F36" s="955">
        <v>1</v>
      </c>
      <c r="G36" s="955"/>
      <c r="H36" s="955"/>
      <c r="I36" s="956">
        <v>4.5</v>
      </c>
      <c r="J36" s="956"/>
      <c r="K36" s="957"/>
      <c r="L36" s="957"/>
      <c r="M36" s="957">
        <f t="shared" si="0"/>
        <v>4.5</v>
      </c>
      <c r="N36" s="957"/>
      <c r="O36" s="956"/>
      <c r="P36" s="957"/>
    </row>
    <row r="37" spans="1:16" s="942" customFormat="1">
      <c r="A37" s="952"/>
      <c r="B37" s="953" t="s">
        <v>4245</v>
      </c>
      <c r="C37" s="954" t="s">
        <v>4238</v>
      </c>
      <c r="D37" s="955">
        <v>11</v>
      </c>
      <c r="E37" s="955" t="s">
        <v>4231</v>
      </c>
      <c r="F37" s="955">
        <v>2</v>
      </c>
      <c r="G37" s="955"/>
      <c r="H37" s="955"/>
      <c r="I37" s="956">
        <v>0.9</v>
      </c>
      <c r="J37" s="956"/>
      <c r="K37" s="956"/>
      <c r="L37" s="956"/>
      <c r="M37" s="957">
        <f>PRODUCT(D37:K37)</f>
        <v>19.8</v>
      </c>
      <c r="N37" s="952"/>
      <c r="O37" s="956"/>
      <c r="P37" s="957"/>
    </row>
    <row r="38" spans="1:16" s="942" customFormat="1">
      <c r="A38" s="952"/>
      <c r="B38" s="953" t="s">
        <v>4246</v>
      </c>
      <c r="C38" s="954" t="s">
        <v>4238</v>
      </c>
      <c r="D38" s="955">
        <v>1</v>
      </c>
      <c r="E38" s="955" t="s">
        <v>4231</v>
      </c>
      <c r="F38" s="955">
        <v>1</v>
      </c>
      <c r="G38" s="955"/>
      <c r="H38" s="955"/>
      <c r="I38" s="956">
        <v>4.5999999999999996</v>
      </c>
      <c r="J38" s="956"/>
      <c r="K38" s="957"/>
      <c r="L38" s="957"/>
      <c r="M38" s="957">
        <f t="shared" ref="M38:M67" si="1">PRODUCT(D38:K38)</f>
        <v>4.5999999999999996</v>
      </c>
      <c r="N38" s="957"/>
      <c r="O38" s="956"/>
      <c r="P38" s="957"/>
    </row>
    <row r="39" spans="1:16" s="942" customFormat="1">
      <c r="A39" s="952"/>
      <c r="B39" s="953"/>
      <c r="C39" s="954" t="s">
        <v>4238</v>
      </c>
      <c r="D39" s="955">
        <v>1</v>
      </c>
      <c r="E39" s="955" t="s">
        <v>4231</v>
      </c>
      <c r="F39" s="955">
        <v>2</v>
      </c>
      <c r="G39" s="955"/>
      <c r="H39" s="955"/>
      <c r="I39" s="956">
        <v>4.5</v>
      </c>
      <c r="J39" s="956"/>
      <c r="K39" s="957"/>
      <c r="L39" s="957"/>
      <c r="M39" s="957">
        <f t="shared" si="1"/>
        <v>9</v>
      </c>
      <c r="N39" s="957"/>
      <c r="O39" s="956"/>
      <c r="P39" s="957"/>
    </row>
    <row r="40" spans="1:16" s="942" customFormat="1">
      <c r="A40" s="952"/>
      <c r="B40" s="953"/>
      <c r="C40" s="954" t="s">
        <v>4238</v>
      </c>
      <c r="D40" s="955">
        <v>1</v>
      </c>
      <c r="E40" s="955" t="s">
        <v>4231</v>
      </c>
      <c r="F40" s="955">
        <v>2</v>
      </c>
      <c r="G40" s="955"/>
      <c r="H40" s="955"/>
      <c r="I40" s="956">
        <v>4.3</v>
      </c>
      <c r="J40" s="956"/>
      <c r="K40" s="957"/>
      <c r="L40" s="957"/>
      <c r="M40" s="957">
        <f t="shared" si="1"/>
        <v>8.6</v>
      </c>
      <c r="N40" s="957"/>
      <c r="O40" s="956"/>
      <c r="P40" s="957"/>
    </row>
    <row r="41" spans="1:16" s="942" customFormat="1">
      <c r="A41" s="952"/>
      <c r="B41" s="953"/>
      <c r="C41" s="954" t="s">
        <v>4238</v>
      </c>
      <c r="D41" s="955">
        <v>1</v>
      </c>
      <c r="E41" s="955" t="s">
        <v>4231</v>
      </c>
      <c r="F41" s="955">
        <v>2</v>
      </c>
      <c r="G41" s="955"/>
      <c r="H41" s="955"/>
      <c r="I41" s="956">
        <v>4.0999999999999996</v>
      </c>
      <c r="J41" s="956"/>
      <c r="K41" s="957"/>
      <c r="L41" s="957"/>
      <c r="M41" s="957">
        <f t="shared" si="1"/>
        <v>8.1999999999999993</v>
      </c>
      <c r="N41" s="957"/>
      <c r="O41" s="956"/>
      <c r="P41" s="957"/>
    </row>
    <row r="42" spans="1:16" s="942" customFormat="1">
      <c r="A42" s="952"/>
      <c r="B42" s="953"/>
      <c r="C42" s="954" t="s">
        <v>4238</v>
      </c>
      <c r="D42" s="955">
        <v>1</v>
      </c>
      <c r="E42" s="955" t="s">
        <v>4231</v>
      </c>
      <c r="F42" s="955">
        <v>2</v>
      </c>
      <c r="G42" s="955"/>
      <c r="H42" s="955"/>
      <c r="I42" s="956">
        <v>3.9</v>
      </c>
      <c r="J42" s="956"/>
      <c r="K42" s="957"/>
      <c r="L42" s="957"/>
      <c r="M42" s="957">
        <f t="shared" si="1"/>
        <v>7.8</v>
      </c>
      <c r="N42" s="957"/>
      <c r="O42" s="956"/>
      <c r="P42" s="957"/>
    </row>
    <row r="43" spans="1:16" s="942" customFormat="1">
      <c r="A43" s="952"/>
      <c r="B43" s="953"/>
      <c r="C43" s="954" t="s">
        <v>4238</v>
      </c>
      <c r="D43" s="955">
        <v>1</v>
      </c>
      <c r="E43" s="955" t="s">
        <v>4231</v>
      </c>
      <c r="F43" s="955">
        <v>2</v>
      </c>
      <c r="G43" s="955"/>
      <c r="H43" s="955"/>
      <c r="I43" s="956">
        <v>3.7</v>
      </c>
      <c r="J43" s="956"/>
      <c r="K43" s="957"/>
      <c r="L43" s="957"/>
      <c r="M43" s="957">
        <f t="shared" si="1"/>
        <v>7.4</v>
      </c>
      <c r="N43" s="957"/>
      <c r="O43" s="956"/>
      <c r="P43" s="957"/>
    </row>
    <row r="44" spans="1:16" s="942" customFormat="1">
      <c r="A44" s="952"/>
      <c r="B44" s="953"/>
      <c r="C44" s="954" t="s">
        <v>4238</v>
      </c>
      <c r="D44" s="955">
        <v>1</v>
      </c>
      <c r="E44" s="955" t="s">
        <v>4231</v>
      </c>
      <c r="F44" s="955">
        <v>2</v>
      </c>
      <c r="G44" s="955"/>
      <c r="H44" s="955"/>
      <c r="I44" s="956">
        <v>3.4</v>
      </c>
      <c r="J44" s="956"/>
      <c r="K44" s="957"/>
      <c r="L44" s="957"/>
      <c r="M44" s="957">
        <f t="shared" si="1"/>
        <v>6.8</v>
      </c>
      <c r="N44" s="957"/>
      <c r="O44" s="956"/>
      <c r="P44" s="957"/>
    </row>
    <row r="45" spans="1:16" s="942" customFormat="1">
      <c r="A45" s="952"/>
      <c r="B45" s="953"/>
      <c r="C45" s="954" t="s">
        <v>4238</v>
      </c>
      <c r="D45" s="955">
        <v>1</v>
      </c>
      <c r="E45" s="955" t="s">
        <v>4231</v>
      </c>
      <c r="F45" s="955">
        <v>2</v>
      </c>
      <c r="G45" s="955"/>
      <c r="H45" s="955"/>
      <c r="I45" s="956">
        <v>3.1</v>
      </c>
      <c r="J45" s="956"/>
      <c r="K45" s="957"/>
      <c r="L45" s="957"/>
      <c r="M45" s="957">
        <f t="shared" si="1"/>
        <v>6.2</v>
      </c>
      <c r="N45" s="957"/>
      <c r="O45" s="956"/>
      <c r="P45" s="957"/>
    </row>
    <row r="46" spans="1:16" s="942" customFormat="1">
      <c r="A46" s="952"/>
      <c r="B46" s="953"/>
      <c r="C46" s="954" t="s">
        <v>4238</v>
      </c>
      <c r="D46" s="955">
        <v>1</v>
      </c>
      <c r="E46" s="955" t="s">
        <v>4231</v>
      </c>
      <c r="F46" s="955">
        <v>2</v>
      </c>
      <c r="G46" s="955"/>
      <c r="H46" s="955"/>
      <c r="I46" s="956">
        <v>2.8</v>
      </c>
      <c r="J46" s="956"/>
      <c r="K46" s="957"/>
      <c r="L46" s="957"/>
      <c r="M46" s="957">
        <f t="shared" si="1"/>
        <v>5.6</v>
      </c>
      <c r="N46" s="957"/>
      <c r="O46" s="956"/>
      <c r="P46" s="957"/>
    </row>
    <row r="47" spans="1:16" s="942" customFormat="1">
      <c r="A47" s="952"/>
      <c r="B47" s="953"/>
      <c r="C47" s="954" t="s">
        <v>4238</v>
      </c>
      <c r="D47" s="955">
        <v>1</v>
      </c>
      <c r="E47" s="955" t="s">
        <v>4231</v>
      </c>
      <c r="F47" s="955">
        <v>2</v>
      </c>
      <c r="G47" s="955"/>
      <c r="H47" s="955"/>
      <c r="I47" s="956">
        <v>2.6</v>
      </c>
      <c r="J47" s="956"/>
      <c r="K47" s="957"/>
      <c r="L47" s="957"/>
      <c r="M47" s="957">
        <f t="shared" si="1"/>
        <v>5.2</v>
      </c>
      <c r="N47" s="957"/>
      <c r="O47" s="956"/>
      <c r="P47" s="957"/>
    </row>
    <row r="48" spans="1:16" s="942" customFormat="1">
      <c r="A48" s="952"/>
      <c r="B48" s="953"/>
      <c r="C48" s="954" t="s">
        <v>4238</v>
      </c>
      <c r="D48" s="955">
        <v>1</v>
      </c>
      <c r="E48" s="955" t="s">
        <v>4231</v>
      </c>
      <c r="F48" s="955">
        <v>2</v>
      </c>
      <c r="G48" s="955"/>
      <c r="H48" s="955"/>
      <c r="I48" s="956">
        <v>2.4</v>
      </c>
      <c r="J48" s="956"/>
      <c r="K48" s="957"/>
      <c r="L48" s="957"/>
      <c r="M48" s="957">
        <f t="shared" si="1"/>
        <v>4.8</v>
      </c>
      <c r="N48" s="957"/>
      <c r="O48" s="956"/>
      <c r="P48" s="957"/>
    </row>
    <row r="49" spans="1:16" s="942" customFormat="1">
      <c r="A49" s="952"/>
      <c r="B49" s="953"/>
      <c r="C49" s="954" t="s">
        <v>4238</v>
      </c>
      <c r="D49" s="955">
        <v>1</v>
      </c>
      <c r="E49" s="955" t="s">
        <v>4231</v>
      </c>
      <c r="F49" s="955">
        <v>2</v>
      </c>
      <c r="G49" s="955"/>
      <c r="H49" s="955"/>
      <c r="I49" s="956">
        <v>2.2000000000000002</v>
      </c>
      <c r="J49" s="956"/>
      <c r="K49" s="957"/>
      <c r="L49" s="957"/>
      <c r="M49" s="957">
        <f t="shared" si="1"/>
        <v>4.4000000000000004</v>
      </c>
      <c r="N49" s="957"/>
      <c r="O49" s="956"/>
      <c r="P49" s="957"/>
    </row>
    <row r="50" spans="1:16" s="942" customFormat="1">
      <c r="A50" s="952"/>
      <c r="B50" s="953"/>
      <c r="C50" s="954" t="s">
        <v>4238</v>
      </c>
      <c r="D50" s="955">
        <v>1</v>
      </c>
      <c r="E50" s="955" t="s">
        <v>4231</v>
      </c>
      <c r="F50" s="955">
        <v>2</v>
      </c>
      <c r="G50" s="955"/>
      <c r="H50" s="955"/>
      <c r="I50" s="956">
        <v>1.9</v>
      </c>
      <c r="J50" s="956"/>
      <c r="K50" s="957"/>
      <c r="L50" s="957"/>
      <c r="M50" s="957">
        <f t="shared" si="1"/>
        <v>3.8</v>
      </c>
      <c r="N50" s="957"/>
      <c r="O50" s="956"/>
      <c r="P50" s="957"/>
    </row>
    <row r="51" spans="1:16" s="942" customFormat="1">
      <c r="A51" s="952"/>
      <c r="B51" s="953"/>
      <c r="C51" s="954" t="s">
        <v>4238</v>
      </c>
      <c r="D51" s="955">
        <v>1</v>
      </c>
      <c r="E51" s="955" t="s">
        <v>4231</v>
      </c>
      <c r="F51" s="955">
        <v>2</v>
      </c>
      <c r="G51" s="955"/>
      <c r="H51" s="955"/>
      <c r="I51" s="956">
        <v>1.8</v>
      </c>
      <c r="J51" s="956"/>
      <c r="K51" s="957"/>
      <c r="L51" s="957"/>
      <c r="M51" s="957">
        <f t="shared" si="1"/>
        <v>3.6</v>
      </c>
      <c r="N51" s="957"/>
      <c r="O51" s="956"/>
      <c r="P51" s="957"/>
    </row>
    <row r="52" spans="1:16" s="942" customFormat="1">
      <c r="A52" s="952"/>
      <c r="B52" s="953"/>
      <c r="C52" s="954" t="s">
        <v>4238</v>
      </c>
      <c r="D52" s="955">
        <v>1</v>
      </c>
      <c r="E52" s="955" t="s">
        <v>4231</v>
      </c>
      <c r="F52" s="955">
        <v>2</v>
      </c>
      <c r="G52" s="955"/>
      <c r="H52" s="955"/>
      <c r="I52" s="956">
        <v>1.7</v>
      </c>
      <c r="J52" s="956"/>
      <c r="K52" s="957"/>
      <c r="L52" s="957"/>
      <c r="M52" s="957">
        <f t="shared" si="1"/>
        <v>3.4</v>
      </c>
      <c r="N52" s="957"/>
      <c r="O52" s="956"/>
      <c r="P52" s="957"/>
    </row>
    <row r="53" spans="1:16" s="942" customFormat="1">
      <c r="A53" s="952"/>
      <c r="B53" s="953" t="s">
        <v>4247</v>
      </c>
      <c r="C53" s="954" t="s">
        <v>4238</v>
      </c>
      <c r="D53" s="955">
        <v>1</v>
      </c>
      <c r="E53" s="955" t="s">
        <v>4231</v>
      </c>
      <c r="F53" s="955">
        <v>2</v>
      </c>
      <c r="G53" s="955"/>
      <c r="H53" s="955"/>
      <c r="I53" s="956">
        <v>1.7</v>
      </c>
      <c r="J53" s="956"/>
      <c r="K53" s="957"/>
      <c r="L53" s="957"/>
      <c r="M53" s="957">
        <f t="shared" si="1"/>
        <v>3.4</v>
      </c>
      <c r="N53" s="957"/>
      <c r="O53" s="956"/>
      <c r="P53" s="957"/>
    </row>
    <row r="54" spans="1:16" s="942" customFormat="1">
      <c r="A54" s="952"/>
      <c r="B54" s="953"/>
      <c r="C54" s="954" t="s">
        <v>4238</v>
      </c>
      <c r="D54" s="955">
        <v>1</v>
      </c>
      <c r="E54" s="955" t="s">
        <v>4231</v>
      </c>
      <c r="F54" s="955">
        <v>2</v>
      </c>
      <c r="G54" s="955"/>
      <c r="H54" s="955"/>
      <c r="I54" s="956">
        <v>1.8</v>
      </c>
      <c r="J54" s="956"/>
      <c r="K54" s="957"/>
      <c r="L54" s="957"/>
      <c r="M54" s="957">
        <f t="shared" si="1"/>
        <v>3.6</v>
      </c>
      <c r="N54" s="957"/>
      <c r="O54" s="956"/>
      <c r="P54" s="957"/>
    </row>
    <row r="55" spans="1:16" s="942" customFormat="1">
      <c r="A55" s="952"/>
      <c r="B55" s="953"/>
      <c r="C55" s="954" t="s">
        <v>4238</v>
      </c>
      <c r="D55" s="955">
        <v>1</v>
      </c>
      <c r="E55" s="955" t="s">
        <v>4231</v>
      </c>
      <c r="F55" s="955">
        <v>2</v>
      </c>
      <c r="G55" s="955"/>
      <c r="H55" s="955"/>
      <c r="I55" s="956">
        <v>1.9</v>
      </c>
      <c r="J55" s="956"/>
      <c r="K55" s="957"/>
      <c r="L55" s="957"/>
      <c r="M55" s="957">
        <f t="shared" si="1"/>
        <v>3.8</v>
      </c>
      <c r="N55" s="957"/>
      <c r="O55" s="956"/>
      <c r="P55" s="957"/>
    </row>
    <row r="56" spans="1:16" s="942" customFormat="1">
      <c r="A56" s="952"/>
      <c r="B56" s="953"/>
      <c r="C56" s="954" t="s">
        <v>4238</v>
      </c>
      <c r="D56" s="955">
        <v>1</v>
      </c>
      <c r="E56" s="955" t="s">
        <v>4231</v>
      </c>
      <c r="F56" s="955">
        <v>2</v>
      </c>
      <c r="G56" s="955"/>
      <c r="H56" s="955"/>
      <c r="I56" s="956">
        <v>2.2000000000000002</v>
      </c>
      <c r="J56" s="956"/>
      <c r="K56" s="957"/>
      <c r="L56" s="957"/>
      <c r="M56" s="957">
        <f t="shared" si="1"/>
        <v>4.4000000000000004</v>
      </c>
      <c r="N56" s="957"/>
      <c r="O56" s="956"/>
      <c r="P56" s="957"/>
    </row>
    <row r="57" spans="1:16" s="942" customFormat="1">
      <c r="A57" s="952"/>
      <c r="B57" s="953"/>
      <c r="C57" s="954" t="s">
        <v>4238</v>
      </c>
      <c r="D57" s="955">
        <v>1</v>
      </c>
      <c r="E57" s="955" t="s">
        <v>4231</v>
      </c>
      <c r="F57" s="955">
        <v>2</v>
      </c>
      <c r="G57" s="955"/>
      <c r="H57" s="955"/>
      <c r="I57" s="956">
        <v>2.4</v>
      </c>
      <c r="J57" s="956"/>
      <c r="K57" s="957"/>
      <c r="L57" s="957"/>
      <c r="M57" s="957">
        <f t="shared" si="1"/>
        <v>4.8</v>
      </c>
      <c r="N57" s="957"/>
      <c r="O57" s="956"/>
      <c r="P57" s="957"/>
    </row>
    <row r="58" spans="1:16" s="942" customFormat="1">
      <c r="A58" s="952"/>
      <c r="B58" s="953"/>
      <c r="C58" s="954" t="s">
        <v>4238</v>
      </c>
      <c r="D58" s="955">
        <v>1</v>
      </c>
      <c r="E58" s="955" t="s">
        <v>4231</v>
      </c>
      <c r="F58" s="955">
        <v>2</v>
      </c>
      <c r="G58" s="955"/>
      <c r="H58" s="955"/>
      <c r="I58" s="956">
        <v>2.6</v>
      </c>
      <c r="J58" s="956"/>
      <c r="K58" s="957"/>
      <c r="L58" s="957"/>
      <c r="M58" s="957">
        <f t="shared" si="1"/>
        <v>5.2</v>
      </c>
      <c r="N58" s="957"/>
      <c r="O58" s="956"/>
      <c r="P58" s="957"/>
    </row>
    <row r="59" spans="1:16" s="942" customFormat="1">
      <c r="A59" s="952"/>
      <c r="B59" s="953"/>
      <c r="C59" s="954" t="s">
        <v>4238</v>
      </c>
      <c r="D59" s="955">
        <v>1</v>
      </c>
      <c r="E59" s="955" t="s">
        <v>4231</v>
      </c>
      <c r="F59" s="955">
        <v>2</v>
      </c>
      <c r="G59" s="955"/>
      <c r="H59" s="955"/>
      <c r="I59" s="956">
        <v>2.8</v>
      </c>
      <c r="J59" s="956"/>
      <c r="K59" s="957"/>
      <c r="L59" s="957"/>
      <c r="M59" s="957">
        <f t="shared" si="1"/>
        <v>5.6</v>
      </c>
      <c r="N59" s="957"/>
      <c r="O59" s="956"/>
      <c r="P59" s="957"/>
    </row>
    <row r="60" spans="1:16" s="942" customFormat="1">
      <c r="A60" s="952"/>
      <c r="B60" s="953"/>
      <c r="C60" s="954" t="s">
        <v>4238</v>
      </c>
      <c r="D60" s="955">
        <v>1</v>
      </c>
      <c r="E60" s="955" t="s">
        <v>4231</v>
      </c>
      <c r="F60" s="955">
        <v>2</v>
      </c>
      <c r="G60" s="955"/>
      <c r="H60" s="955"/>
      <c r="I60" s="956">
        <v>3.1</v>
      </c>
      <c r="J60" s="956"/>
      <c r="K60" s="957"/>
      <c r="L60" s="957"/>
      <c r="M60" s="957">
        <f t="shared" si="1"/>
        <v>6.2</v>
      </c>
      <c r="N60" s="957"/>
      <c r="O60" s="956"/>
      <c r="P60" s="957"/>
    </row>
    <row r="61" spans="1:16" s="942" customFormat="1">
      <c r="A61" s="952"/>
      <c r="B61" s="953"/>
      <c r="C61" s="954" t="s">
        <v>4238</v>
      </c>
      <c r="D61" s="955">
        <v>1</v>
      </c>
      <c r="E61" s="955" t="s">
        <v>4231</v>
      </c>
      <c r="F61" s="955">
        <v>2</v>
      </c>
      <c r="G61" s="955"/>
      <c r="H61" s="955"/>
      <c r="I61" s="956">
        <v>3.4</v>
      </c>
      <c r="J61" s="956"/>
      <c r="K61" s="957"/>
      <c r="L61" s="957"/>
      <c r="M61" s="957">
        <f t="shared" si="1"/>
        <v>6.8</v>
      </c>
      <c r="N61" s="957"/>
      <c r="O61" s="956"/>
      <c r="P61" s="957"/>
    </row>
    <row r="62" spans="1:16" s="942" customFormat="1">
      <c r="A62" s="952"/>
      <c r="B62" s="953"/>
      <c r="C62" s="954" t="s">
        <v>4238</v>
      </c>
      <c r="D62" s="955">
        <v>1</v>
      </c>
      <c r="E62" s="955" t="s">
        <v>4231</v>
      </c>
      <c r="F62" s="955">
        <v>2</v>
      </c>
      <c r="G62" s="955"/>
      <c r="H62" s="955"/>
      <c r="I62" s="956">
        <v>3.7</v>
      </c>
      <c r="J62" s="956"/>
      <c r="K62" s="957"/>
      <c r="L62" s="957"/>
      <c r="M62" s="957">
        <f t="shared" si="1"/>
        <v>7.4</v>
      </c>
      <c r="N62" s="957"/>
      <c r="O62" s="956"/>
      <c r="P62" s="957"/>
    </row>
    <row r="63" spans="1:16" s="942" customFormat="1">
      <c r="A63" s="952"/>
      <c r="B63" s="953"/>
      <c r="C63" s="954" t="s">
        <v>4238</v>
      </c>
      <c r="D63" s="955">
        <v>1</v>
      </c>
      <c r="E63" s="955" t="s">
        <v>4231</v>
      </c>
      <c r="F63" s="955">
        <v>2</v>
      </c>
      <c r="G63" s="955"/>
      <c r="H63" s="955"/>
      <c r="I63" s="956">
        <v>3.9</v>
      </c>
      <c r="J63" s="956"/>
      <c r="K63" s="957"/>
      <c r="L63" s="957"/>
      <c r="M63" s="957">
        <f t="shared" si="1"/>
        <v>7.8</v>
      </c>
      <c r="N63" s="957"/>
      <c r="O63" s="956"/>
      <c r="P63" s="957"/>
    </row>
    <row r="64" spans="1:16" s="942" customFormat="1">
      <c r="A64" s="952"/>
      <c r="B64" s="953"/>
      <c r="C64" s="954" t="s">
        <v>4238</v>
      </c>
      <c r="D64" s="955">
        <v>1</v>
      </c>
      <c r="E64" s="955" t="s">
        <v>4231</v>
      </c>
      <c r="F64" s="955">
        <v>2</v>
      </c>
      <c r="G64" s="955"/>
      <c r="H64" s="955"/>
      <c r="I64" s="956">
        <v>4.0999999999999996</v>
      </c>
      <c r="J64" s="956"/>
      <c r="K64" s="957"/>
      <c r="L64" s="957"/>
      <c r="M64" s="957">
        <f t="shared" si="1"/>
        <v>8.1999999999999993</v>
      </c>
      <c r="N64" s="957"/>
      <c r="O64" s="956"/>
      <c r="P64" s="957"/>
    </row>
    <row r="65" spans="1:17" s="942" customFormat="1">
      <c r="A65" s="952"/>
      <c r="B65" s="953"/>
      <c r="C65" s="954" t="s">
        <v>4238</v>
      </c>
      <c r="D65" s="955">
        <v>1</v>
      </c>
      <c r="E65" s="955" t="s">
        <v>4231</v>
      </c>
      <c r="F65" s="955">
        <v>2</v>
      </c>
      <c r="G65" s="955"/>
      <c r="H65" s="955"/>
      <c r="I65" s="956">
        <v>4.3</v>
      </c>
      <c r="J65" s="956"/>
      <c r="K65" s="957"/>
      <c r="L65" s="957"/>
      <c r="M65" s="957">
        <f t="shared" si="1"/>
        <v>8.6</v>
      </c>
      <c r="N65" s="957"/>
      <c r="O65" s="956"/>
      <c r="P65" s="957"/>
    </row>
    <row r="66" spans="1:17" s="942" customFormat="1">
      <c r="A66" s="952"/>
      <c r="B66" s="953"/>
      <c r="C66" s="954" t="s">
        <v>4238</v>
      </c>
      <c r="D66" s="955">
        <v>1</v>
      </c>
      <c r="E66" s="955" t="s">
        <v>4231</v>
      </c>
      <c r="F66" s="955">
        <v>2</v>
      </c>
      <c r="G66" s="955"/>
      <c r="H66" s="955"/>
      <c r="I66" s="956">
        <v>4.5</v>
      </c>
      <c r="J66" s="956"/>
      <c r="K66" s="957"/>
      <c r="L66" s="957"/>
      <c r="M66" s="957">
        <f t="shared" si="1"/>
        <v>9</v>
      </c>
      <c r="N66" s="957"/>
      <c r="O66" s="956"/>
      <c r="P66" s="957"/>
    </row>
    <row r="67" spans="1:17" s="942" customFormat="1">
      <c r="A67" s="952"/>
      <c r="B67" s="953"/>
      <c r="C67" s="954" t="s">
        <v>4238</v>
      </c>
      <c r="D67" s="955">
        <v>1</v>
      </c>
      <c r="E67" s="955" t="s">
        <v>4231</v>
      </c>
      <c r="F67" s="955">
        <v>1</v>
      </c>
      <c r="G67" s="955"/>
      <c r="H67" s="955"/>
      <c r="I67" s="956">
        <v>4.5999999999999996</v>
      </c>
      <c r="J67" s="956"/>
      <c r="K67" s="957"/>
      <c r="L67" s="957"/>
      <c r="M67" s="957">
        <f t="shared" si="1"/>
        <v>4.5999999999999996</v>
      </c>
      <c r="N67" s="957"/>
      <c r="O67" s="956"/>
      <c r="P67" s="957"/>
    </row>
    <row r="68" spans="1:17" s="942" customFormat="1">
      <c r="A68" s="952"/>
      <c r="B68" s="953" t="s">
        <v>4248</v>
      </c>
      <c r="C68" s="954" t="s">
        <v>4238</v>
      </c>
      <c r="D68" s="955">
        <v>1</v>
      </c>
      <c r="E68" s="955" t="s">
        <v>4231</v>
      </c>
      <c r="F68" s="955">
        <v>74</v>
      </c>
      <c r="G68" s="955"/>
      <c r="H68" s="955"/>
      <c r="I68" s="956">
        <v>1.1000000000000001</v>
      </c>
      <c r="J68" s="956"/>
      <c r="K68" s="956"/>
      <c r="L68" s="956"/>
      <c r="M68" s="957">
        <f>PRODUCT(D68:K68)</f>
        <v>81.400000000000006</v>
      </c>
      <c r="N68" s="956"/>
      <c r="O68" s="956"/>
      <c r="P68" s="957"/>
    </row>
    <row r="69" spans="1:17" s="942" customFormat="1">
      <c r="A69" s="952"/>
      <c r="B69" s="953" t="s">
        <v>4249</v>
      </c>
      <c r="C69" s="954" t="s">
        <v>4238</v>
      </c>
      <c r="D69" s="955">
        <v>1</v>
      </c>
      <c r="E69" s="955" t="s">
        <v>4231</v>
      </c>
      <c r="F69" s="955">
        <v>66</v>
      </c>
      <c r="G69" s="955"/>
      <c r="H69" s="955"/>
      <c r="I69" s="956">
        <v>2.6</v>
      </c>
      <c r="J69" s="956"/>
      <c r="K69" s="956"/>
      <c r="L69" s="956"/>
      <c r="M69" s="957">
        <f>PRODUCT(D69:K69)</f>
        <v>171.6</v>
      </c>
      <c r="N69" s="952"/>
      <c r="O69" s="956"/>
      <c r="P69" s="957"/>
    </row>
    <row r="70" spans="1:17" s="942" customFormat="1">
      <c r="A70" s="952"/>
      <c r="B70" s="953" t="s">
        <v>4250</v>
      </c>
      <c r="C70" s="954" t="s">
        <v>4238</v>
      </c>
      <c r="D70" s="955">
        <v>1</v>
      </c>
      <c r="E70" s="955" t="s">
        <v>4231</v>
      </c>
      <c r="F70" s="955">
        <v>69</v>
      </c>
      <c r="G70" s="955"/>
      <c r="H70" s="955"/>
      <c r="I70" s="956">
        <v>2.6</v>
      </c>
      <c r="J70" s="956"/>
      <c r="K70" s="956"/>
      <c r="L70" s="956"/>
      <c r="M70" s="957">
        <f>PRODUCT(D70:K70)</f>
        <v>179.4</v>
      </c>
      <c r="N70" s="952"/>
      <c r="O70" s="956"/>
      <c r="P70" s="957"/>
    </row>
    <row r="71" spans="1:17" s="942" customFormat="1">
      <c r="A71" s="952"/>
      <c r="B71" s="953" t="s">
        <v>4251</v>
      </c>
      <c r="C71" s="954" t="s">
        <v>4237</v>
      </c>
      <c r="D71" s="955">
        <v>11</v>
      </c>
      <c r="E71" s="955" t="s">
        <v>4231</v>
      </c>
      <c r="F71" s="955">
        <v>2</v>
      </c>
      <c r="G71" s="955"/>
      <c r="H71" s="955"/>
      <c r="I71" s="956">
        <v>10.6</v>
      </c>
      <c r="J71" s="956"/>
      <c r="K71" s="956"/>
      <c r="L71" s="957">
        <f>PRODUCT(D71:K71)</f>
        <v>233.2</v>
      </c>
      <c r="M71" s="957"/>
      <c r="N71" s="956"/>
      <c r="O71" s="956"/>
      <c r="P71" s="957"/>
    </row>
    <row r="72" spans="1:17" s="942" customFormat="1">
      <c r="A72" s="952"/>
      <c r="B72" s="953" t="s">
        <v>4252</v>
      </c>
      <c r="C72" s="954" t="s">
        <v>4238</v>
      </c>
      <c r="D72" s="955">
        <v>3</v>
      </c>
      <c r="E72" s="955" t="s">
        <v>4231</v>
      </c>
      <c r="F72" s="955">
        <v>12</v>
      </c>
      <c r="G72" s="955"/>
      <c r="H72" s="955"/>
      <c r="I72" s="956">
        <v>0.9</v>
      </c>
      <c r="J72" s="956"/>
      <c r="K72" s="956"/>
      <c r="L72" s="957"/>
      <c r="M72" s="957">
        <f>PRODUCT(D72:K72)</f>
        <v>32.4</v>
      </c>
      <c r="N72" s="956"/>
      <c r="O72" s="956"/>
      <c r="P72" s="957"/>
    </row>
    <row r="73" spans="1:17" s="942" customFormat="1">
      <c r="A73" s="952"/>
      <c r="B73" s="955"/>
      <c r="C73" s="954"/>
      <c r="D73" s="955"/>
      <c r="E73" s="955"/>
      <c r="F73" s="955"/>
      <c r="G73" s="955"/>
      <c r="H73" s="955"/>
      <c r="I73" s="955"/>
      <c r="J73" s="955"/>
      <c r="K73" s="955"/>
      <c r="L73" s="955"/>
      <c r="M73" s="955"/>
      <c r="N73" s="955"/>
      <c r="O73" s="955"/>
      <c r="P73" s="952"/>
    </row>
    <row r="74" spans="1:17" s="961" customFormat="1">
      <c r="A74" s="958">
        <v>15</v>
      </c>
      <c r="B74" s="958" t="s">
        <v>4253</v>
      </c>
      <c r="C74" s="954"/>
      <c r="D74" s="955"/>
      <c r="E74" s="955"/>
      <c r="F74" s="955"/>
      <c r="G74" s="955"/>
      <c r="H74" s="955"/>
      <c r="I74" s="956"/>
      <c r="J74" s="956"/>
      <c r="K74" s="956"/>
      <c r="L74" s="957"/>
      <c r="M74" s="957"/>
      <c r="N74" s="959"/>
      <c r="O74" s="960"/>
      <c r="P74" s="959"/>
      <c r="Q74" s="942" t="s">
        <v>4254</v>
      </c>
    </row>
    <row r="75" spans="1:17" s="942" customFormat="1">
      <c r="A75" s="952"/>
      <c r="B75" s="953" t="s">
        <v>4255</v>
      </c>
      <c r="C75" s="954" t="s">
        <v>4238</v>
      </c>
      <c r="D75" s="955">
        <v>1</v>
      </c>
      <c r="E75" s="955" t="s">
        <v>4231</v>
      </c>
      <c r="F75" s="955">
        <v>1</v>
      </c>
      <c r="G75" s="955"/>
      <c r="H75" s="955"/>
      <c r="I75" s="956">
        <v>3.3</v>
      </c>
      <c r="J75" s="956"/>
      <c r="K75" s="956"/>
      <c r="L75" s="956"/>
      <c r="M75" s="957">
        <f t="shared" ref="M75:M95" si="2">PRODUCT(D75:K75)</f>
        <v>3.3</v>
      </c>
      <c r="N75" s="956"/>
      <c r="O75" s="956"/>
      <c r="P75" s="957"/>
    </row>
    <row r="76" spans="1:17" s="942" customFormat="1">
      <c r="A76" s="952"/>
      <c r="B76" s="953"/>
      <c r="C76" s="954" t="s">
        <v>4238</v>
      </c>
      <c r="D76" s="955">
        <v>1</v>
      </c>
      <c r="E76" s="955" t="s">
        <v>4231</v>
      </c>
      <c r="F76" s="955">
        <v>2</v>
      </c>
      <c r="G76" s="955"/>
      <c r="H76" s="955"/>
      <c r="I76" s="956">
        <v>3.2</v>
      </c>
      <c r="J76" s="956"/>
      <c r="K76" s="956"/>
      <c r="L76" s="956"/>
      <c r="M76" s="957">
        <f t="shared" si="2"/>
        <v>6.4</v>
      </c>
      <c r="N76" s="956"/>
      <c r="O76" s="956"/>
      <c r="P76" s="957"/>
    </row>
    <row r="77" spans="1:17" s="942" customFormat="1">
      <c r="A77" s="952"/>
      <c r="B77" s="953"/>
      <c r="C77" s="954" t="s">
        <v>4238</v>
      </c>
      <c r="D77" s="955">
        <v>1</v>
      </c>
      <c r="E77" s="955" t="s">
        <v>4231</v>
      </c>
      <c r="F77" s="955">
        <v>2</v>
      </c>
      <c r="G77" s="955"/>
      <c r="H77" s="955"/>
      <c r="I77" s="956">
        <v>3</v>
      </c>
      <c r="J77" s="956"/>
      <c r="K77" s="956"/>
      <c r="L77" s="956"/>
      <c r="M77" s="957">
        <f t="shared" si="2"/>
        <v>6</v>
      </c>
      <c r="N77" s="956"/>
      <c r="O77" s="956"/>
      <c r="P77" s="957"/>
    </row>
    <row r="78" spans="1:17" s="942" customFormat="1">
      <c r="A78" s="952"/>
      <c r="B78" s="953"/>
      <c r="C78" s="954" t="s">
        <v>4238</v>
      </c>
      <c r="D78" s="955">
        <v>1</v>
      </c>
      <c r="E78" s="955" t="s">
        <v>4231</v>
      </c>
      <c r="F78" s="955">
        <v>2</v>
      </c>
      <c r="G78" s="955"/>
      <c r="H78" s="955"/>
      <c r="I78" s="956">
        <v>2.8</v>
      </c>
      <c r="J78" s="956"/>
      <c r="K78" s="956"/>
      <c r="L78" s="956"/>
      <c r="M78" s="957">
        <f t="shared" si="2"/>
        <v>5.6</v>
      </c>
      <c r="N78" s="956"/>
      <c r="O78" s="956"/>
      <c r="P78" s="957"/>
    </row>
    <row r="79" spans="1:17" s="942" customFormat="1">
      <c r="A79" s="952"/>
      <c r="B79" s="953"/>
      <c r="C79" s="954" t="s">
        <v>4238</v>
      </c>
      <c r="D79" s="955">
        <v>1</v>
      </c>
      <c r="E79" s="955" t="s">
        <v>4231</v>
      </c>
      <c r="F79" s="955">
        <v>2</v>
      </c>
      <c r="G79" s="955"/>
      <c r="H79" s="955"/>
      <c r="I79" s="956">
        <v>2.6</v>
      </c>
      <c r="J79" s="956"/>
      <c r="K79" s="956"/>
      <c r="L79" s="956"/>
      <c r="M79" s="957">
        <f t="shared" si="2"/>
        <v>5.2</v>
      </c>
      <c r="N79" s="956"/>
      <c r="O79" s="956"/>
      <c r="P79" s="957"/>
    </row>
    <row r="80" spans="1:17" s="942" customFormat="1">
      <c r="A80" s="952"/>
      <c r="B80" s="953"/>
      <c r="C80" s="954" t="s">
        <v>4238</v>
      </c>
      <c r="D80" s="955">
        <v>1</v>
      </c>
      <c r="E80" s="955" t="s">
        <v>4231</v>
      </c>
      <c r="F80" s="955">
        <v>2</v>
      </c>
      <c r="G80" s="955"/>
      <c r="H80" s="955"/>
      <c r="I80" s="956">
        <v>2.5</v>
      </c>
      <c r="J80" s="956"/>
      <c r="K80" s="956"/>
      <c r="L80" s="956"/>
      <c r="M80" s="957">
        <f t="shared" si="2"/>
        <v>5</v>
      </c>
      <c r="N80" s="956"/>
      <c r="O80" s="956"/>
      <c r="P80" s="957"/>
    </row>
    <row r="81" spans="1:16" s="942" customFormat="1">
      <c r="A81" s="952"/>
      <c r="B81" s="953"/>
      <c r="C81" s="954" t="s">
        <v>4238</v>
      </c>
      <c r="D81" s="955">
        <v>1</v>
      </c>
      <c r="E81" s="955" t="s">
        <v>4231</v>
      </c>
      <c r="F81" s="955">
        <v>2</v>
      </c>
      <c r="G81" s="955"/>
      <c r="H81" s="955"/>
      <c r="I81" s="956">
        <v>2.2000000000000002</v>
      </c>
      <c r="J81" s="956"/>
      <c r="K81" s="956"/>
      <c r="L81" s="956"/>
      <c r="M81" s="957">
        <f t="shared" si="2"/>
        <v>4.4000000000000004</v>
      </c>
      <c r="N81" s="956"/>
      <c r="O81" s="956"/>
      <c r="P81" s="957"/>
    </row>
    <row r="82" spans="1:16" s="942" customFormat="1">
      <c r="A82" s="952"/>
      <c r="B82" s="953"/>
      <c r="C82" s="954" t="s">
        <v>4238</v>
      </c>
      <c r="D82" s="955">
        <v>1</v>
      </c>
      <c r="E82" s="955" t="s">
        <v>4231</v>
      </c>
      <c r="F82" s="955">
        <v>2</v>
      </c>
      <c r="G82" s="955"/>
      <c r="H82" s="955"/>
      <c r="I82" s="956">
        <v>2</v>
      </c>
      <c r="J82" s="956"/>
      <c r="K82" s="956"/>
      <c r="L82" s="956"/>
      <c r="M82" s="957">
        <f t="shared" si="2"/>
        <v>4</v>
      </c>
      <c r="N82" s="956"/>
      <c r="O82" s="956"/>
      <c r="P82" s="957"/>
    </row>
    <row r="83" spans="1:16" s="942" customFormat="1">
      <c r="A83" s="952"/>
      <c r="B83" s="953"/>
      <c r="C83" s="954" t="s">
        <v>4238</v>
      </c>
      <c r="D83" s="955">
        <v>1</v>
      </c>
      <c r="E83" s="955" t="s">
        <v>4231</v>
      </c>
      <c r="F83" s="955">
        <v>2</v>
      </c>
      <c r="G83" s="955"/>
      <c r="H83" s="955"/>
      <c r="I83" s="956">
        <v>1.9</v>
      </c>
      <c r="J83" s="956"/>
      <c r="K83" s="956"/>
      <c r="L83" s="956"/>
      <c r="M83" s="957">
        <f t="shared" si="2"/>
        <v>3.8</v>
      </c>
      <c r="N83" s="956"/>
      <c r="O83" s="956"/>
      <c r="P83" s="957"/>
    </row>
    <row r="84" spans="1:16" s="942" customFormat="1">
      <c r="A84" s="952"/>
      <c r="B84" s="953"/>
      <c r="C84" s="954" t="s">
        <v>4238</v>
      </c>
      <c r="D84" s="955">
        <v>1</v>
      </c>
      <c r="E84" s="955" t="s">
        <v>4231</v>
      </c>
      <c r="F84" s="955">
        <v>2</v>
      </c>
      <c r="G84" s="955"/>
      <c r="H84" s="955"/>
      <c r="I84" s="956">
        <v>1.8</v>
      </c>
      <c r="J84" s="956"/>
      <c r="K84" s="956"/>
      <c r="L84" s="956"/>
      <c r="M84" s="957">
        <f t="shared" si="2"/>
        <v>3.6</v>
      </c>
      <c r="N84" s="956"/>
      <c r="O84" s="956"/>
      <c r="P84" s="957"/>
    </row>
    <row r="85" spans="1:16" s="942" customFormat="1">
      <c r="A85" s="952"/>
      <c r="B85" s="953"/>
      <c r="C85" s="954" t="s">
        <v>4238</v>
      </c>
      <c r="D85" s="955">
        <v>1</v>
      </c>
      <c r="E85" s="955" t="s">
        <v>4231</v>
      </c>
      <c r="F85" s="955">
        <v>2</v>
      </c>
      <c r="G85" s="955"/>
      <c r="H85" s="955"/>
      <c r="I85" s="956">
        <v>1.7</v>
      </c>
      <c r="J85" s="956"/>
      <c r="K85" s="956"/>
      <c r="L85" s="956"/>
      <c r="M85" s="957">
        <f t="shared" si="2"/>
        <v>3.4</v>
      </c>
      <c r="N85" s="956"/>
      <c r="O85" s="956"/>
      <c r="P85" s="957"/>
    </row>
    <row r="86" spans="1:16" s="942" customFormat="1">
      <c r="A86" s="952"/>
      <c r="B86" s="953"/>
      <c r="C86" s="954" t="s">
        <v>4238</v>
      </c>
      <c r="D86" s="955">
        <v>1</v>
      </c>
      <c r="E86" s="955" t="s">
        <v>4231</v>
      </c>
      <c r="F86" s="955">
        <v>2</v>
      </c>
      <c r="G86" s="955"/>
      <c r="H86" s="955"/>
      <c r="I86" s="956">
        <v>1.6</v>
      </c>
      <c r="J86" s="956"/>
      <c r="K86" s="956"/>
      <c r="L86" s="956"/>
      <c r="M86" s="957">
        <f t="shared" si="2"/>
        <v>3.2</v>
      </c>
      <c r="N86" s="956"/>
      <c r="O86" s="956"/>
      <c r="P86" s="957"/>
    </row>
    <row r="87" spans="1:16" s="942" customFormat="1">
      <c r="A87" s="952"/>
      <c r="B87" s="953" t="s">
        <v>4256</v>
      </c>
      <c r="C87" s="954" t="s">
        <v>4238</v>
      </c>
      <c r="D87" s="955">
        <v>1</v>
      </c>
      <c r="E87" s="955" t="s">
        <v>4231</v>
      </c>
      <c r="F87" s="955">
        <v>2</v>
      </c>
      <c r="G87" s="955"/>
      <c r="H87" s="955"/>
      <c r="I87" s="956">
        <v>1.6</v>
      </c>
      <c r="J87" s="956"/>
      <c r="K87" s="956"/>
      <c r="L87" s="956"/>
      <c r="M87" s="957">
        <f t="shared" si="2"/>
        <v>3.2</v>
      </c>
      <c r="N87" s="956"/>
      <c r="O87" s="956"/>
      <c r="P87" s="957"/>
    </row>
    <row r="88" spans="1:16" s="942" customFormat="1">
      <c r="A88" s="952"/>
      <c r="B88" s="953"/>
      <c r="C88" s="954" t="s">
        <v>4238</v>
      </c>
      <c r="D88" s="955">
        <v>1</v>
      </c>
      <c r="E88" s="955" t="s">
        <v>4231</v>
      </c>
      <c r="F88" s="955">
        <v>2</v>
      </c>
      <c r="G88" s="955"/>
      <c r="H88" s="955"/>
      <c r="I88" s="956">
        <v>1.7</v>
      </c>
      <c r="J88" s="956"/>
      <c r="K88" s="956"/>
      <c r="L88" s="956"/>
      <c r="M88" s="957">
        <f t="shared" si="2"/>
        <v>3.4</v>
      </c>
      <c r="N88" s="956"/>
      <c r="O88" s="956"/>
      <c r="P88" s="957"/>
    </row>
    <row r="89" spans="1:16" s="942" customFormat="1">
      <c r="A89" s="952"/>
      <c r="B89" s="953"/>
      <c r="C89" s="954" t="s">
        <v>4238</v>
      </c>
      <c r="D89" s="955">
        <v>1</v>
      </c>
      <c r="E89" s="955" t="s">
        <v>4231</v>
      </c>
      <c r="F89" s="955">
        <v>2</v>
      </c>
      <c r="G89" s="955"/>
      <c r="H89" s="955"/>
      <c r="I89" s="956">
        <v>1.8</v>
      </c>
      <c r="J89" s="956"/>
      <c r="K89" s="956"/>
      <c r="L89" s="956"/>
      <c r="M89" s="957">
        <f t="shared" si="2"/>
        <v>3.6</v>
      </c>
      <c r="N89" s="956"/>
      <c r="O89" s="956"/>
      <c r="P89" s="957"/>
    </row>
    <row r="90" spans="1:16" s="942" customFormat="1">
      <c r="A90" s="952"/>
      <c r="B90" s="953"/>
      <c r="C90" s="954" t="s">
        <v>4238</v>
      </c>
      <c r="D90" s="955">
        <v>1</v>
      </c>
      <c r="E90" s="955" t="s">
        <v>4231</v>
      </c>
      <c r="F90" s="955">
        <v>2</v>
      </c>
      <c r="G90" s="955"/>
      <c r="H90" s="955"/>
      <c r="I90" s="956">
        <v>1.9</v>
      </c>
      <c r="J90" s="956"/>
      <c r="K90" s="956"/>
      <c r="L90" s="956"/>
      <c r="M90" s="957">
        <f t="shared" si="2"/>
        <v>3.8</v>
      </c>
      <c r="N90" s="956"/>
      <c r="O90" s="956"/>
      <c r="P90" s="957"/>
    </row>
    <row r="91" spans="1:16" s="942" customFormat="1">
      <c r="A91" s="952"/>
      <c r="B91" s="953"/>
      <c r="C91" s="954" t="s">
        <v>4238</v>
      </c>
      <c r="D91" s="955">
        <v>1</v>
      </c>
      <c r="E91" s="955" t="s">
        <v>4231</v>
      </c>
      <c r="F91" s="955">
        <v>2</v>
      </c>
      <c r="G91" s="955"/>
      <c r="H91" s="955"/>
      <c r="I91" s="956">
        <v>2</v>
      </c>
      <c r="J91" s="956"/>
      <c r="K91" s="956"/>
      <c r="L91" s="956"/>
      <c r="M91" s="957">
        <f t="shared" si="2"/>
        <v>4</v>
      </c>
      <c r="N91" s="956"/>
      <c r="O91" s="956"/>
      <c r="P91" s="957"/>
    </row>
    <row r="92" spans="1:16" s="942" customFormat="1">
      <c r="A92" s="952"/>
      <c r="B92" s="953"/>
      <c r="C92" s="954" t="s">
        <v>4238</v>
      </c>
      <c r="D92" s="955">
        <v>1</v>
      </c>
      <c r="E92" s="955" t="s">
        <v>4231</v>
      </c>
      <c r="F92" s="955">
        <v>2</v>
      </c>
      <c r="G92" s="955"/>
      <c r="H92" s="955"/>
      <c r="I92" s="956">
        <v>2.2000000000000002</v>
      </c>
      <c r="J92" s="956"/>
      <c r="K92" s="956"/>
      <c r="L92" s="956"/>
      <c r="M92" s="957">
        <f t="shared" si="2"/>
        <v>4.4000000000000004</v>
      </c>
      <c r="N92" s="956"/>
      <c r="O92" s="956"/>
      <c r="P92" s="957"/>
    </row>
    <row r="93" spans="1:16" s="942" customFormat="1">
      <c r="A93" s="952"/>
      <c r="B93" s="953"/>
      <c r="C93" s="954" t="s">
        <v>4238</v>
      </c>
      <c r="D93" s="955">
        <v>1</v>
      </c>
      <c r="E93" s="955" t="s">
        <v>4231</v>
      </c>
      <c r="F93" s="955">
        <v>2</v>
      </c>
      <c r="G93" s="955"/>
      <c r="H93" s="955"/>
      <c r="I93" s="956">
        <v>2.5</v>
      </c>
      <c r="J93" s="956"/>
      <c r="K93" s="956"/>
      <c r="L93" s="956"/>
      <c r="M93" s="957">
        <f t="shared" si="2"/>
        <v>5</v>
      </c>
      <c r="N93" s="956"/>
      <c r="O93" s="956"/>
      <c r="P93" s="957"/>
    </row>
    <row r="94" spans="1:16" s="942" customFormat="1">
      <c r="A94" s="952"/>
      <c r="B94" s="953"/>
      <c r="C94" s="954" t="s">
        <v>4238</v>
      </c>
      <c r="D94" s="955">
        <v>1</v>
      </c>
      <c r="E94" s="955" t="s">
        <v>4231</v>
      </c>
      <c r="F94" s="955">
        <v>2</v>
      </c>
      <c r="G94" s="955"/>
      <c r="H94" s="955"/>
      <c r="I94" s="956">
        <v>2.6</v>
      </c>
      <c r="J94" s="956"/>
      <c r="K94" s="956"/>
      <c r="L94" s="956"/>
      <c r="M94" s="957">
        <f t="shared" si="2"/>
        <v>5.2</v>
      </c>
      <c r="N94" s="956"/>
      <c r="O94" s="956"/>
      <c r="P94" s="957"/>
    </row>
    <row r="95" spans="1:16" s="942" customFormat="1">
      <c r="A95" s="952"/>
      <c r="B95" s="953"/>
      <c r="C95" s="954" t="s">
        <v>4238</v>
      </c>
      <c r="D95" s="955">
        <v>1</v>
      </c>
      <c r="E95" s="955" t="s">
        <v>4231</v>
      </c>
      <c r="F95" s="955">
        <v>2</v>
      </c>
      <c r="G95" s="955"/>
      <c r="H95" s="955"/>
      <c r="I95" s="956">
        <v>2.8</v>
      </c>
      <c r="J95" s="956"/>
      <c r="K95" s="956"/>
      <c r="L95" s="956"/>
      <c r="M95" s="957">
        <f t="shared" si="2"/>
        <v>5.6</v>
      </c>
      <c r="N95" s="956"/>
      <c r="O95" s="956"/>
      <c r="P95" s="957"/>
    </row>
    <row r="96" spans="1:16" s="942" customFormat="1">
      <c r="A96" s="952"/>
      <c r="B96" s="953"/>
      <c r="C96" s="954" t="s">
        <v>4238</v>
      </c>
      <c r="D96" s="955">
        <v>1</v>
      </c>
      <c r="E96" s="955" t="s">
        <v>4231</v>
      </c>
      <c r="F96" s="955">
        <v>2</v>
      </c>
      <c r="G96" s="955"/>
      <c r="H96" s="955"/>
      <c r="I96" s="956">
        <v>3</v>
      </c>
      <c r="J96" s="956"/>
      <c r="K96" s="956"/>
      <c r="L96" s="952"/>
      <c r="M96" s="957">
        <f>PRODUCT(D96:K96)</f>
        <v>6</v>
      </c>
      <c r="N96" s="956"/>
      <c r="O96" s="956"/>
      <c r="P96" s="957"/>
    </row>
    <row r="97" spans="1:22" s="942" customFormat="1">
      <c r="A97" s="952"/>
      <c r="B97" s="953"/>
      <c r="C97" s="954" t="s">
        <v>4238</v>
      </c>
      <c r="D97" s="955">
        <v>1</v>
      </c>
      <c r="E97" s="955" t="s">
        <v>4231</v>
      </c>
      <c r="F97" s="955">
        <v>2</v>
      </c>
      <c r="G97" s="955"/>
      <c r="H97" s="955"/>
      <c r="I97" s="956">
        <v>3.2</v>
      </c>
      <c r="J97" s="956"/>
      <c r="K97" s="956"/>
      <c r="L97" s="952"/>
      <c r="M97" s="957">
        <f>PRODUCT(D97:K97)</f>
        <v>6.4</v>
      </c>
      <c r="N97" s="956"/>
      <c r="O97" s="956"/>
      <c r="P97" s="957"/>
    </row>
    <row r="98" spans="1:22" s="942" customFormat="1">
      <c r="A98" s="952"/>
      <c r="B98" s="953"/>
      <c r="C98" s="954" t="s">
        <v>4238</v>
      </c>
      <c r="D98" s="955">
        <v>1</v>
      </c>
      <c r="E98" s="955" t="s">
        <v>4231</v>
      </c>
      <c r="F98" s="955">
        <v>1</v>
      </c>
      <c r="G98" s="955"/>
      <c r="H98" s="955"/>
      <c r="I98" s="956">
        <v>3.3</v>
      </c>
      <c r="J98" s="956"/>
      <c r="K98" s="956"/>
      <c r="L98" s="952"/>
      <c r="M98" s="957">
        <f>PRODUCT(D98:K98)</f>
        <v>3.3</v>
      </c>
      <c r="N98" s="956"/>
      <c r="O98" s="956"/>
      <c r="P98" s="957"/>
    </row>
    <row r="99" spans="1:22" s="942" customFormat="1">
      <c r="A99" s="952"/>
      <c r="B99" s="953" t="s">
        <v>4257</v>
      </c>
      <c r="C99" s="954" t="s">
        <v>4239</v>
      </c>
      <c r="D99" s="955">
        <v>2</v>
      </c>
      <c r="E99" s="955" t="s">
        <v>4231</v>
      </c>
      <c r="F99" s="955">
        <v>3</v>
      </c>
      <c r="G99" s="955"/>
      <c r="H99" s="955"/>
      <c r="I99" s="956">
        <v>3.3</v>
      </c>
      <c r="J99" s="956"/>
      <c r="K99" s="956"/>
      <c r="L99" s="952"/>
      <c r="M99" s="952"/>
      <c r="N99" s="957">
        <f>PRODUCT(D99:K99)</f>
        <v>19.8</v>
      </c>
      <c r="O99" s="956"/>
      <c r="P99" s="957"/>
    </row>
    <row r="100" spans="1:22" s="942" customFormat="1">
      <c r="A100" s="952"/>
      <c r="B100" s="953" t="s">
        <v>4258</v>
      </c>
      <c r="C100" s="954" t="s">
        <v>4237</v>
      </c>
      <c r="D100" s="955">
        <v>1</v>
      </c>
      <c r="E100" s="955" t="s">
        <v>4231</v>
      </c>
      <c r="F100" s="955">
        <v>18</v>
      </c>
      <c r="G100" s="955"/>
      <c r="H100" s="955"/>
      <c r="I100" s="956">
        <v>0.62</v>
      </c>
      <c r="J100" s="956"/>
      <c r="K100" s="956"/>
      <c r="L100" s="957">
        <f>PRODUCT(D100:K100)</f>
        <v>11.16</v>
      </c>
      <c r="M100" s="952"/>
      <c r="N100" s="956"/>
      <c r="O100" s="956"/>
      <c r="P100" s="957"/>
    </row>
    <row r="101" spans="1:22" s="942" customFormat="1">
      <c r="A101" s="952"/>
      <c r="B101" s="953" t="s">
        <v>4259</v>
      </c>
      <c r="C101" s="954" t="s">
        <v>4239</v>
      </c>
      <c r="D101" s="955">
        <v>2</v>
      </c>
      <c r="E101" s="955" t="s">
        <v>4231</v>
      </c>
      <c r="F101" s="955">
        <v>4</v>
      </c>
      <c r="G101" s="955"/>
      <c r="H101" s="955"/>
      <c r="I101" s="956">
        <v>2</v>
      </c>
      <c r="J101" s="956"/>
      <c r="K101" s="956"/>
      <c r="L101" s="952"/>
      <c r="M101" s="952"/>
      <c r="N101" s="957">
        <f>PRODUCT(D101:K101)</f>
        <v>16</v>
      </c>
      <c r="O101" s="956"/>
      <c r="P101" s="957"/>
    </row>
    <row r="102" spans="1:22" s="942" customFormat="1">
      <c r="A102" s="952"/>
      <c r="B102" s="953" t="s">
        <v>4252</v>
      </c>
      <c r="C102" s="954" t="s">
        <v>4238</v>
      </c>
      <c r="D102" s="955">
        <v>1</v>
      </c>
      <c r="E102" s="955" t="s">
        <v>4231</v>
      </c>
      <c r="F102" s="955">
        <v>9</v>
      </c>
      <c r="G102" s="955"/>
      <c r="H102" s="955"/>
      <c r="I102" s="956">
        <v>0.9</v>
      </c>
      <c r="J102" s="956"/>
      <c r="K102" s="956"/>
      <c r="L102" s="952"/>
      <c r="M102" s="957">
        <f>PRODUCT(D102:K102)</f>
        <v>8.1</v>
      </c>
      <c r="N102" s="956"/>
      <c r="O102" s="956"/>
      <c r="P102" s="957"/>
    </row>
    <row r="103" spans="1:22" s="942" customFormat="1">
      <c r="A103" s="952"/>
      <c r="B103" s="953" t="s">
        <v>4260</v>
      </c>
      <c r="C103" s="954" t="s">
        <v>4238</v>
      </c>
      <c r="D103" s="955">
        <v>2</v>
      </c>
      <c r="E103" s="955" t="s">
        <v>4231</v>
      </c>
      <c r="F103" s="955">
        <v>10</v>
      </c>
      <c r="G103" s="955"/>
      <c r="H103" s="955"/>
      <c r="I103" s="956">
        <v>1.1000000000000001</v>
      </c>
      <c r="J103" s="956"/>
      <c r="K103" s="956"/>
      <c r="L103" s="952"/>
      <c r="M103" s="957">
        <f>PRODUCT(D103:K103)</f>
        <v>22</v>
      </c>
      <c r="N103" s="956"/>
      <c r="O103" s="956"/>
      <c r="P103" s="957"/>
    </row>
    <row r="104" spans="1:22" s="966" customFormat="1" ht="15.75">
      <c r="A104" s="962"/>
      <c r="B104" s="963" t="s">
        <v>4261</v>
      </c>
      <c r="C104" s="955"/>
      <c r="D104" s="955"/>
      <c r="E104" s="955"/>
      <c r="F104" s="955"/>
      <c r="G104" s="955"/>
      <c r="H104" s="955"/>
      <c r="I104" s="956"/>
      <c r="J104" s="964"/>
      <c r="K104" s="964"/>
      <c r="L104" s="965">
        <f>SUM(L6:L103)</f>
        <v>244.36</v>
      </c>
      <c r="M104" s="965">
        <f>SUM(M6:M103)</f>
        <v>974.3</v>
      </c>
      <c r="N104" s="965">
        <f>SUM(N6:N103)</f>
        <v>35.799999999999997</v>
      </c>
      <c r="O104" s="965">
        <f>SUM(O6:O103)</f>
        <v>0</v>
      </c>
      <c r="P104" s="965">
        <f>SUM(P6:P103)</f>
        <v>0</v>
      </c>
    </row>
    <row r="105" spans="1:22" s="966" customFormat="1">
      <c r="A105" s="962"/>
      <c r="B105" s="963" t="s">
        <v>4262</v>
      </c>
      <c r="C105" s="955"/>
      <c r="D105" s="955"/>
      <c r="E105" s="955"/>
      <c r="F105" s="955"/>
      <c r="G105" s="955"/>
      <c r="H105" s="955"/>
      <c r="I105" s="956"/>
      <c r="J105" s="956"/>
      <c r="K105" s="956"/>
      <c r="L105" s="967">
        <v>0.39500000000000002</v>
      </c>
      <c r="M105" s="967">
        <v>0.61699999999999999</v>
      </c>
      <c r="N105" s="968">
        <v>0.88800000000000001</v>
      </c>
      <c r="O105" s="967">
        <v>1.5780000000000001</v>
      </c>
      <c r="P105" s="967">
        <v>2.4689999999999999</v>
      </c>
    </row>
    <row r="106" spans="1:22" s="966" customFormat="1" ht="15.75">
      <c r="A106" s="962"/>
      <c r="B106" s="963" t="s">
        <v>4263</v>
      </c>
      <c r="C106" s="955"/>
      <c r="D106" s="955"/>
      <c r="E106" s="955"/>
      <c r="F106" s="955"/>
      <c r="G106" s="955"/>
      <c r="H106" s="955"/>
      <c r="I106" s="956"/>
      <c r="J106" s="969"/>
      <c r="K106" s="969"/>
      <c r="L106" s="956">
        <f>L105*L104</f>
        <v>96.52</v>
      </c>
      <c r="M106" s="956">
        <f>M105*M104</f>
        <v>601.14</v>
      </c>
      <c r="N106" s="956">
        <f>N105*N104</f>
        <v>31.79</v>
      </c>
      <c r="O106" s="956">
        <f>O105*O104</f>
        <v>0</v>
      </c>
      <c r="P106" s="956">
        <f>P105*P104</f>
        <v>0</v>
      </c>
    </row>
    <row r="107" spans="1:22" s="972" customFormat="1" ht="18.75">
      <c r="A107" s="970"/>
      <c r="B107" s="963" t="s">
        <v>4264</v>
      </c>
      <c r="C107" s="943"/>
      <c r="D107" s="943"/>
      <c r="E107" s="943"/>
      <c r="F107" s="943"/>
      <c r="G107" s="943"/>
      <c r="H107" s="943"/>
      <c r="I107" s="971"/>
      <c r="J107" s="969"/>
      <c r="K107" s="969"/>
      <c r="L107" s="1302">
        <f>SUM(L106:P106)/1000</f>
        <v>0.72899999999999998</v>
      </c>
      <c r="M107" s="1302"/>
      <c r="N107" s="1302"/>
      <c r="O107" s="1302"/>
      <c r="P107" s="1302"/>
      <c r="S107" s="972">
        <v>9.2769999999999992</v>
      </c>
      <c r="V107" s="972" t="e">
        <f>'[3]Detailed Estimate'!$I$603</f>
        <v>#REF!</v>
      </c>
    </row>
    <row r="108" spans="1:22">
      <c r="R108" s="974">
        <f>(L106+M106+N106)/1000</f>
        <v>0.72899999999999998</v>
      </c>
      <c r="S108" s="974">
        <f>S107-L107</f>
        <v>8.548</v>
      </c>
    </row>
  </sheetData>
  <mergeCells count="10">
    <mergeCell ref="A2:P2"/>
    <mergeCell ref="L107:P107"/>
    <mergeCell ref="A1:J1"/>
    <mergeCell ref="A3:P3"/>
    <mergeCell ref="A4:A5"/>
    <mergeCell ref="B4:B5"/>
    <mergeCell ref="C4:C5"/>
    <mergeCell ref="D4:H5"/>
    <mergeCell ref="I4:K4"/>
    <mergeCell ref="L4:P4"/>
  </mergeCells>
  <printOptions horizontalCentered="1"/>
  <pageMargins left="0.7" right="0.45" top="0.75" bottom="1" header="0.3" footer="0.3"/>
  <pageSetup paperSize="9" scale="98" orientation="portrait" r:id="rId1"/>
</worksheet>
</file>

<file path=xl/worksheets/sheet48.xml><?xml version="1.0" encoding="utf-8"?>
<worksheet xmlns="http://schemas.openxmlformats.org/spreadsheetml/2006/main" xmlns:r="http://schemas.openxmlformats.org/officeDocument/2006/relationships">
  <sheetPr>
    <tabColor rgb="FFFF0000"/>
  </sheetPr>
  <dimension ref="A1:I88"/>
  <sheetViews>
    <sheetView view="pageBreakPreview" zoomScale="90" zoomScaleSheetLayoutView="90" workbookViewId="0">
      <selection activeCell="E72" sqref="E72"/>
    </sheetView>
  </sheetViews>
  <sheetFormatPr defaultRowHeight="15.75"/>
  <cols>
    <col min="1" max="1" width="6.109375" style="1004" customWidth="1"/>
    <col min="2" max="2" width="36.88671875" style="976" customWidth="1"/>
    <col min="3" max="3" width="4.77734375" style="1003" customWidth="1"/>
    <col min="4" max="4" width="6.33203125" style="1004" customWidth="1"/>
    <col min="5" max="5" width="8.6640625" style="976" customWidth="1"/>
    <col min="6" max="6" width="8.109375" style="976" customWidth="1"/>
    <col min="7" max="7" width="8.33203125" style="976" customWidth="1"/>
    <col min="8" max="8" width="10.44140625" style="976" customWidth="1"/>
    <col min="9" max="9" width="3.5546875" style="979" customWidth="1"/>
    <col min="10" max="11" width="8.88671875" style="976"/>
    <col min="12" max="12" width="11" style="976" customWidth="1"/>
    <col min="13" max="16384" width="8.88671875" style="976"/>
  </cols>
  <sheetData>
    <row r="1" spans="1:9" ht="72" customHeight="1">
      <c r="A1" s="1312" t="str">
        <f>'Sump Steel'!A2:P2</f>
        <v>N/W: RENOVATION AND UPGRADING THE EXISTING WORKING WOMEN’S HOSTEL AT SOORAMANGALAM IN SALEM CITY UNDER SOCIAL WELFARE DEPARTMENT</v>
      </c>
      <c r="B1" s="1312"/>
      <c r="C1" s="1312"/>
      <c r="D1" s="1312"/>
      <c r="E1" s="1312"/>
      <c r="F1" s="1312"/>
      <c r="G1" s="1312"/>
      <c r="H1" s="1312"/>
      <c r="I1" s="975"/>
    </row>
    <row r="2" spans="1:9" ht="23.25" customHeight="1">
      <c r="A2" s="1313" t="s">
        <v>4265</v>
      </c>
      <c r="B2" s="1313"/>
      <c r="C2" s="1313"/>
      <c r="D2" s="1313"/>
      <c r="E2" s="1313"/>
      <c r="F2" s="1313"/>
      <c r="G2" s="1313"/>
      <c r="H2" s="1313"/>
      <c r="I2" s="1313"/>
    </row>
    <row r="3" spans="1:9" ht="30.75" customHeight="1">
      <c r="A3" s="1314" t="s">
        <v>3916</v>
      </c>
      <c r="B3" s="1314"/>
      <c r="C3" s="1314"/>
      <c r="D3" s="1314"/>
      <c r="E3" s="1314"/>
      <c r="F3" s="1314"/>
      <c r="G3" s="1314"/>
      <c r="H3" s="1314"/>
      <c r="I3" s="1314"/>
    </row>
    <row r="4" spans="1:9" ht="14.25" customHeight="1">
      <c r="A4" s="1006"/>
      <c r="B4" s="977"/>
      <c r="C4" s="977"/>
      <c r="D4" s="977"/>
      <c r="E4" s="977"/>
      <c r="F4" s="977"/>
      <c r="G4" s="977"/>
      <c r="H4" s="977"/>
      <c r="I4" s="977"/>
    </row>
    <row r="5" spans="1:9" ht="18.75">
      <c r="A5" s="1315" t="s">
        <v>4233</v>
      </c>
      <c r="B5" s="1306" t="s">
        <v>3748</v>
      </c>
      <c r="C5" s="1306" t="s">
        <v>1454</v>
      </c>
      <c r="D5" s="1306"/>
      <c r="E5" s="1306" t="s">
        <v>3749</v>
      </c>
      <c r="F5" s="1306"/>
      <c r="G5" s="1306"/>
      <c r="H5" s="1306" t="s">
        <v>1070</v>
      </c>
    </row>
    <row r="6" spans="1:9" ht="18.75">
      <c r="A6" s="1315"/>
      <c r="B6" s="1306"/>
      <c r="C6" s="1306"/>
      <c r="D6" s="1306"/>
      <c r="E6" s="978" t="s">
        <v>3811</v>
      </c>
      <c r="F6" s="978" t="s">
        <v>1635</v>
      </c>
      <c r="G6" s="978" t="s">
        <v>3812</v>
      </c>
      <c r="H6" s="1306"/>
    </row>
    <row r="7" spans="1:9" ht="48" customHeight="1">
      <c r="A7" s="1007">
        <v>1</v>
      </c>
      <c r="B7" s="980" t="s">
        <v>4266</v>
      </c>
      <c r="C7" s="981"/>
      <c r="D7" s="982"/>
      <c r="E7" s="983"/>
      <c r="F7" s="983"/>
      <c r="G7" s="983"/>
      <c r="H7" s="983"/>
    </row>
    <row r="8" spans="1:9" ht="33" customHeight="1">
      <c r="A8" s="982"/>
      <c r="B8" s="984" t="s">
        <v>4267</v>
      </c>
      <c r="C8" s="981"/>
      <c r="D8" s="982"/>
      <c r="E8" s="983"/>
      <c r="F8" s="983"/>
      <c r="G8" s="983"/>
      <c r="H8" s="983"/>
    </row>
    <row r="9" spans="1:9" ht="33" customHeight="1">
      <c r="A9" s="982"/>
      <c r="B9" s="983" t="s">
        <v>4268</v>
      </c>
      <c r="C9" s="985">
        <v>1</v>
      </c>
      <c r="D9" s="982">
        <v>1</v>
      </c>
      <c r="E9" s="983">
        <v>2.9</v>
      </c>
      <c r="F9" s="983">
        <v>4.5999999999999996</v>
      </c>
      <c r="G9" s="983">
        <v>2</v>
      </c>
      <c r="H9" s="983">
        <f>PRODUCT(C9:G9)</f>
        <v>26.68</v>
      </c>
    </row>
    <row r="10" spans="1:9" ht="33" customHeight="1">
      <c r="A10" s="982"/>
      <c r="B10" s="983" t="s">
        <v>4269</v>
      </c>
      <c r="C10" s="985">
        <v>1</v>
      </c>
      <c r="D10" s="982">
        <v>1</v>
      </c>
      <c r="E10" s="983">
        <v>8</v>
      </c>
      <c r="F10" s="983">
        <v>1</v>
      </c>
      <c r="G10" s="983">
        <v>0.6</v>
      </c>
      <c r="H10" s="983">
        <f>PRODUCT(C10:G10)</f>
        <v>4.8</v>
      </c>
    </row>
    <row r="11" spans="1:9" ht="33" customHeight="1">
      <c r="A11" s="982"/>
      <c r="B11" s="983" t="s">
        <v>4270</v>
      </c>
      <c r="C11" s="985">
        <v>1</v>
      </c>
      <c r="D11" s="982">
        <v>2</v>
      </c>
      <c r="E11" s="983">
        <v>1.36</v>
      </c>
      <c r="F11" s="983">
        <v>1.36</v>
      </c>
      <c r="G11" s="983">
        <v>0.6</v>
      </c>
      <c r="H11" s="983">
        <f>PRODUCT(C11:G11)</f>
        <v>2.2200000000000002</v>
      </c>
    </row>
    <row r="12" spans="1:9" ht="33" customHeight="1">
      <c r="A12" s="982"/>
      <c r="B12" s="983"/>
      <c r="C12" s="985"/>
      <c r="D12" s="982"/>
      <c r="E12" s="983"/>
      <c r="F12" s="983"/>
      <c r="G12" s="986" t="s">
        <v>2332</v>
      </c>
      <c r="H12" s="986">
        <f>SUM(H9:H11)</f>
        <v>33.700000000000003</v>
      </c>
      <c r="I12" s="979" t="s">
        <v>2226</v>
      </c>
    </row>
    <row r="13" spans="1:9" ht="33" customHeight="1">
      <c r="A13" s="1007">
        <v>2</v>
      </c>
      <c r="B13" s="983" t="s">
        <v>4271</v>
      </c>
      <c r="C13" s="985"/>
      <c r="D13" s="982"/>
      <c r="E13" s="983"/>
      <c r="F13" s="983"/>
      <c r="G13" s="983"/>
      <c r="H13" s="987"/>
    </row>
    <row r="14" spans="1:9" ht="33" customHeight="1">
      <c r="A14" s="1007"/>
      <c r="B14" s="983" t="s">
        <v>4272</v>
      </c>
      <c r="C14" s="985">
        <v>1</v>
      </c>
      <c r="D14" s="982">
        <v>1</v>
      </c>
      <c r="E14" s="983">
        <v>8</v>
      </c>
      <c r="F14" s="983">
        <v>1</v>
      </c>
      <c r="G14" s="983">
        <v>0.2</v>
      </c>
      <c r="H14" s="987">
        <f>PRODUCT(C14:G14)</f>
        <v>1.6</v>
      </c>
      <c r="I14" s="979" t="s">
        <v>2226</v>
      </c>
    </row>
    <row r="15" spans="1:9" ht="33" customHeight="1">
      <c r="A15" s="1007">
        <v>3</v>
      </c>
      <c r="B15" s="983" t="s">
        <v>4273</v>
      </c>
      <c r="C15" s="985"/>
      <c r="D15" s="982"/>
      <c r="E15" s="983"/>
      <c r="F15" s="983"/>
      <c r="G15" s="983"/>
      <c r="H15" s="987"/>
    </row>
    <row r="16" spans="1:9" ht="33" customHeight="1">
      <c r="A16" s="1007"/>
      <c r="B16" s="983" t="s">
        <v>4272</v>
      </c>
      <c r="C16" s="985">
        <v>1</v>
      </c>
      <c r="D16" s="982">
        <v>1</v>
      </c>
      <c r="E16" s="983">
        <v>8</v>
      </c>
      <c r="F16" s="983">
        <v>1</v>
      </c>
      <c r="G16" s="983">
        <v>0.2</v>
      </c>
      <c r="H16" s="987">
        <f>PRODUCT(C16:G16)</f>
        <v>1.6</v>
      </c>
      <c r="I16" s="979" t="s">
        <v>2226</v>
      </c>
    </row>
    <row r="17" spans="1:9" ht="52.5" customHeight="1">
      <c r="A17" s="1007">
        <v>4</v>
      </c>
      <c r="B17" s="980" t="s">
        <v>4274</v>
      </c>
      <c r="C17" s="985"/>
      <c r="D17" s="982"/>
      <c r="E17" s="983"/>
      <c r="F17" s="983"/>
      <c r="G17" s="983"/>
      <c r="H17" s="987"/>
    </row>
    <row r="18" spans="1:9" ht="33" customHeight="1">
      <c r="A18" s="1007"/>
      <c r="B18" s="983" t="s">
        <v>4270</v>
      </c>
      <c r="C18" s="985">
        <v>1</v>
      </c>
      <c r="D18" s="982">
        <v>2</v>
      </c>
      <c r="E18" s="983">
        <v>1.36</v>
      </c>
      <c r="F18" s="983">
        <v>1.36</v>
      </c>
      <c r="G18" s="983">
        <v>0.15</v>
      </c>
      <c r="H18" s="987">
        <f>PRODUCT(C18:G18)</f>
        <v>0.55000000000000004</v>
      </c>
    </row>
    <row r="19" spans="1:9" ht="33" customHeight="1">
      <c r="A19" s="1007"/>
      <c r="B19" s="983"/>
      <c r="C19" s="985"/>
      <c r="D19" s="982"/>
      <c r="E19" s="983"/>
      <c r="F19" s="983"/>
      <c r="G19" s="988" t="s">
        <v>3678</v>
      </c>
      <c r="H19" s="987">
        <f>ROUNDUP(H18,1)</f>
        <v>0.6</v>
      </c>
      <c r="I19" s="979" t="s">
        <v>2226</v>
      </c>
    </row>
    <row r="20" spans="1:9" ht="33" customHeight="1">
      <c r="A20" s="1007">
        <v>5</v>
      </c>
      <c r="B20" s="983" t="s">
        <v>4275</v>
      </c>
      <c r="C20" s="985"/>
      <c r="D20" s="982"/>
      <c r="E20" s="983"/>
      <c r="F20" s="983"/>
      <c r="G20" s="983"/>
      <c r="H20" s="987"/>
    </row>
    <row r="21" spans="1:9" ht="33" customHeight="1">
      <c r="A21" s="1007"/>
      <c r="B21" s="983" t="s">
        <v>4276</v>
      </c>
      <c r="C21" s="985">
        <v>1</v>
      </c>
      <c r="D21" s="982">
        <v>1</v>
      </c>
      <c r="E21" s="983">
        <v>2.9</v>
      </c>
      <c r="F21" s="983">
        <v>4.5999999999999996</v>
      </c>
      <c r="G21" s="983">
        <v>0.25</v>
      </c>
      <c r="H21" s="987">
        <f>PRODUCT(C21:G21)</f>
        <v>3.34</v>
      </c>
    </row>
    <row r="22" spans="1:9" ht="33" customHeight="1">
      <c r="A22" s="1007"/>
      <c r="B22" s="983"/>
      <c r="C22" s="985"/>
      <c r="D22" s="982"/>
      <c r="E22" s="983"/>
      <c r="F22" s="983"/>
      <c r="G22" s="988" t="s">
        <v>3678</v>
      </c>
      <c r="H22" s="987">
        <f>ROUNDUP(H21,1)</f>
        <v>3.4</v>
      </c>
      <c r="I22" s="979" t="s">
        <v>2226</v>
      </c>
    </row>
    <row r="23" spans="1:9" ht="33" customHeight="1">
      <c r="A23" s="1007">
        <v>6</v>
      </c>
      <c r="B23" s="983" t="s">
        <v>4277</v>
      </c>
      <c r="C23" s="985"/>
      <c r="D23" s="982"/>
      <c r="E23" s="983"/>
      <c r="F23" s="983"/>
      <c r="G23" s="983"/>
      <c r="H23" s="987"/>
    </row>
    <row r="24" spans="1:9" ht="33" customHeight="1">
      <c r="A24" s="1007"/>
      <c r="B24" s="983" t="s">
        <v>4278</v>
      </c>
      <c r="C24" s="985">
        <v>1</v>
      </c>
      <c r="D24" s="982">
        <v>2</v>
      </c>
      <c r="E24" s="983">
        <v>0.6</v>
      </c>
      <c r="F24" s="983">
        <v>0.6</v>
      </c>
      <c r="G24" s="983">
        <v>0.15</v>
      </c>
      <c r="H24" s="987">
        <f>PRODUCT(C24:G24)</f>
        <v>0.11</v>
      </c>
    </row>
    <row r="25" spans="1:9" ht="33" customHeight="1">
      <c r="A25" s="1007"/>
      <c r="B25" s="983"/>
      <c r="C25" s="985"/>
      <c r="D25" s="982"/>
      <c r="E25" s="983"/>
      <c r="F25" s="983"/>
      <c r="G25" s="988" t="s">
        <v>3678</v>
      </c>
      <c r="H25" s="987">
        <f>ROUNDUP(H24,1)</f>
        <v>0.2</v>
      </c>
      <c r="I25" s="979" t="s">
        <v>2226</v>
      </c>
    </row>
    <row r="26" spans="1:9" ht="33" customHeight="1">
      <c r="A26" s="1007">
        <v>7</v>
      </c>
      <c r="B26" s="983" t="s">
        <v>4279</v>
      </c>
      <c r="C26" s="985"/>
      <c r="D26" s="982"/>
      <c r="E26" s="983"/>
      <c r="F26" s="983"/>
      <c r="G26" s="983"/>
      <c r="H26" s="987"/>
    </row>
    <row r="27" spans="1:9" ht="33" customHeight="1">
      <c r="A27" s="1007"/>
      <c r="B27" s="983" t="s">
        <v>4280</v>
      </c>
      <c r="C27" s="985">
        <v>1</v>
      </c>
      <c r="D27" s="982">
        <v>1</v>
      </c>
      <c r="E27" s="983">
        <v>2.2599999999999998</v>
      </c>
      <c r="F27" s="983">
        <v>3.96</v>
      </c>
      <c r="G27" s="983">
        <v>0.15</v>
      </c>
      <c r="H27" s="983">
        <f>PRODUCT(C27:G27)</f>
        <v>1.34</v>
      </c>
    </row>
    <row r="28" spans="1:9" ht="33" customHeight="1">
      <c r="A28" s="1007"/>
      <c r="B28" s="983" t="s">
        <v>4281</v>
      </c>
      <c r="C28" s="985">
        <v>1</v>
      </c>
      <c r="D28" s="982">
        <v>2</v>
      </c>
      <c r="E28" s="983">
        <v>-0.6</v>
      </c>
      <c r="F28" s="983">
        <v>0.6</v>
      </c>
      <c r="G28" s="983">
        <v>0.15</v>
      </c>
      <c r="H28" s="983">
        <f>PRODUCT(C28:G28)</f>
        <v>-0.11</v>
      </c>
    </row>
    <row r="29" spans="1:9" ht="33" customHeight="1">
      <c r="A29" s="1007"/>
      <c r="B29" s="983" t="s">
        <v>4282</v>
      </c>
      <c r="C29" s="985">
        <v>1</v>
      </c>
      <c r="D29" s="982">
        <v>1</v>
      </c>
      <c r="E29" s="983">
        <v>2.2599999999999998</v>
      </c>
      <c r="F29" s="983">
        <v>0.23</v>
      </c>
      <c r="G29" s="983">
        <v>0.23</v>
      </c>
      <c r="H29" s="983">
        <f>PRODUCT(C29:G29)</f>
        <v>0.12</v>
      </c>
    </row>
    <row r="30" spans="1:9" ht="33" customHeight="1">
      <c r="A30" s="1007"/>
      <c r="B30" s="983"/>
      <c r="C30" s="985"/>
      <c r="D30" s="982"/>
      <c r="E30" s="983"/>
      <c r="F30" s="983"/>
      <c r="G30" s="986" t="s">
        <v>2332</v>
      </c>
      <c r="H30" s="987">
        <f>SUM(H27:H29)</f>
        <v>1.35</v>
      </c>
    </row>
    <row r="31" spans="1:9" ht="33" customHeight="1">
      <c r="A31" s="1007"/>
      <c r="B31" s="983"/>
      <c r="C31" s="985"/>
      <c r="D31" s="982"/>
      <c r="E31" s="983"/>
      <c r="F31" s="983"/>
      <c r="G31" s="986" t="s">
        <v>3678</v>
      </c>
      <c r="H31" s="987">
        <f>ROUNDUP(H30,1)</f>
        <v>1.4</v>
      </c>
      <c r="I31" s="979" t="s">
        <v>2226</v>
      </c>
    </row>
    <row r="32" spans="1:9" ht="54" customHeight="1">
      <c r="A32" s="1007">
        <v>8</v>
      </c>
      <c r="B32" s="1307" t="s">
        <v>4283</v>
      </c>
      <c r="C32" s="1307"/>
      <c r="D32" s="1307"/>
      <c r="E32" s="983"/>
      <c r="F32" s="983"/>
      <c r="G32" s="983"/>
      <c r="H32" s="987"/>
    </row>
    <row r="33" spans="1:9" ht="33" customHeight="1">
      <c r="A33" s="1007"/>
      <c r="B33" s="983" t="s">
        <v>4284</v>
      </c>
      <c r="C33" s="985">
        <v>1</v>
      </c>
      <c r="D33" s="982">
        <v>1</v>
      </c>
      <c r="E33" s="983">
        <v>12.2</v>
      </c>
      <c r="F33" s="983">
        <v>0.45</v>
      </c>
      <c r="G33" s="983">
        <v>0.45</v>
      </c>
      <c r="H33" s="983">
        <f>PRODUCT(C33:G33)</f>
        <v>2.4700000000000002</v>
      </c>
    </row>
    <row r="34" spans="1:9" ht="33" customHeight="1">
      <c r="A34" s="1007"/>
      <c r="B34" s="983" t="s">
        <v>4285</v>
      </c>
      <c r="C34" s="985">
        <v>1</v>
      </c>
      <c r="D34" s="982">
        <v>1</v>
      </c>
      <c r="E34" s="983">
        <v>11.76</v>
      </c>
      <c r="F34" s="983">
        <v>0.34</v>
      </c>
      <c r="G34" s="983">
        <v>0.6</v>
      </c>
      <c r="H34" s="983">
        <f>PRODUCT(C34:G34)</f>
        <v>2.4</v>
      </c>
    </row>
    <row r="35" spans="1:9" ht="33" customHeight="1">
      <c r="A35" s="1007"/>
      <c r="B35" s="983" t="s">
        <v>4286</v>
      </c>
      <c r="C35" s="985">
        <v>1</v>
      </c>
      <c r="D35" s="982">
        <v>1</v>
      </c>
      <c r="E35" s="983">
        <v>11.32</v>
      </c>
      <c r="F35" s="983">
        <v>0.23</v>
      </c>
      <c r="G35" s="983">
        <v>1.5</v>
      </c>
      <c r="H35" s="983">
        <f>PRODUCT(C35:G35)</f>
        <v>3.91</v>
      </c>
    </row>
    <row r="36" spans="1:9" ht="33" customHeight="1">
      <c r="A36" s="1007"/>
      <c r="B36" s="983" t="s">
        <v>4287</v>
      </c>
      <c r="C36" s="985">
        <v>1</v>
      </c>
      <c r="D36" s="982">
        <v>1</v>
      </c>
      <c r="E36" s="983">
        <v>1.8</v>
      </c>
      <c r="F36" s="983">
        <v>0.23</v>
      </c>
      <c r="G36" s="983">
        <v>1.65</v>
      </c>
      <c r="H36" s="983">
        <f>PRODUCT(C36:G36)</f>
        <v>0.68</v>
      </c>
    </row>
    <row r="37" spans="1:9" ht="33" customHeight="1">
      <c r="A37" s="1007"/>
      <c r="B37" s="983" t="s">
        <v>4278</v>
      </c>
      <c r="C37" s="985">
        <v>1</v>
      </c>
      <c r="D37" s="982">
        <v>2</v>
      </c>
      <c r="E37" s="983">
        <v>2.2599999999999998</v>
      </c>
      <c r="F37" s="983">
        <v>0.23</v>
      </c>
      <c r="G37" s="983">
        <f>0.85+0.3</f>
        <v>1.1499999999999999</v>
      </c>
      <c r="H37" s="983">
        <f>PRODUCT(C37:G37)</f>
        <v>1.2</v>
      </c>
    </row>
    <row r="38" spans="1:9" ht="33" customHeight="1">
      <c r="A38" s="1007"/>
      <c r="B38" s="983"/>
      <c r="C38" s="985"/>
      <c r="D38" s="982"/>
      <c r="E38" s="983"/>
      <c r="F38" s="983"/>
      <c r="G38" s="986" t="s">
        <v>2332</v>
      </c>
      <c r="H38" s="987">
        <f>SUM(H33:H37)</f>
        <v>10.66</v>
      </c>
    </row>
    <row r="39" spans="1:9" ht="33" customHeight="1">
      <c r="A39" s="1007"/>
      <c r="B39" s="983"/>
      <c r="C39" s="985"/>
      <c r="D39" s="982"/>
      <c r="E39" s="983"/>
      <c r="F39" s="983"/>
      <c r="G39" s="986" t="s">
        <v>3678</v>
      </c>
      <c r="H39" s="987">
        <f>ROUNDUP(H38,1)</f>
        <v>10.7</v>
      </c>
      <c r="I39" s="979" t="s">
        <v>2226</v>
      </c>
    </row>
    <row r="40" spans="1:9" ht="33" customHeight="1">
      <c r="A40" s="1007">
        <v>9</v>
      </c>
      <c r="B40" s="983" t="s">
        <v>4288</v>
      </c>
      <c r="C40" s="985"/>
      <c r="D40" s="982"/>
      <c r="E40" s="983"/>
      <c r="F40" s="983"/>
      <c r="G40" s="983"/>
      <c r="H40" s="987"/>
    </row>
    <row r="41" spans="1:9" ht="33" customHeight="1">
      <c r="A41" s="1007"/>
      <c r="B41" s="983" t="s">
        <v>4289</v>
      </c>
      <c r="C41" s="985">
        <v>1</v>
      </c>
      <c r="D41" s="982">
        <v>2</v>
      </c>
      <c r="E41" s="983">
        <v>0.8</v>
      </c>
      <c r="F41" s="983">
        <v>0.8</v>
      </c>
      <c r="G41" s="983"/>
      <c r="H41" s="983">
        <f>PRODUCT(C41:G41)</f>
        <v>1.28</v>
      </c>
    </row>
    <row r="42" spans="1:9" ht="33" customHeight="1">
      <c r="A42" s="1007"/>
      <c r="B42" s="983" t="s">
        <v>4290</v>
      </c>
      <c r="C42" s="985">
        <v>1</v>
      </c>
      <c r="D42" s="982">
        <v>2</v>
      </c>
      <c r="E42" s="983">
        <v>0.83</v>
      </c>
      <c r="F42" s="983">
        <v>0.83</v>
      </c>
      <c r="G42" s="983"/>
      <c r="H42" s="983">
        <f>PRODUCT(C42:G42)</f>
        <v>1.38</v>
      </c>
    </row>
    <row r="43" spans="1:9" ht="33" customHeight="1">
      <c r="A43" s="1007" t="s">
        <v>4318</v>
      </c>
      <c r="B43" s="983"/>
      <c r="C43" s="985"/>
      <c r="D43" s="982"/>
      <c r="E43" s="983"/>
      <c r="F43" s="983"/>
      <c r="G43" s="986" t="s">
        <v>2332</v>
      </c>
      <c r="H43" s="987">
        <f>SUM(H41:H42)</f>
        <v>2.66</v>
      </c>
    </row>
    <row r="44" spans="1:9" ht="33" customHeight="1">
      <c r="A44" s="1007"/>
      <c r="B44" s="983"/>
      <c r="C44" s="985"/>
      <c r="D44" s="982"/>
      <c r="E44" s="983"/>
      <c r="F44" s="983"/>
      <c r="G44" s="986" t="s">
        <v>3678</v>
      </c>
      <c r="H44" s="987">
        <f>ROUNDUP(H43,1)</f>
        <v>2.7</v>
      </c>
      <c r="I44" s="979" t="s">
        <v>2371</v>
      </c>
    </row>
    <row r="45" spans="1:9" ht="46.5" customHeight="1">
      <c r="A45" s="1007">
        <v>10</v>
      </c>
      <c r="B45" s="989" t="s">
        <v>4291</v>
      </c>
      <c r="C45" s="985"/>
      <c r="D45" s="982"/>
      <c r="E45" s="983"/>
      <c r="F45" s="983"/>
      <c r="G45" s="986"/>
      <c r="H45" s="987"/>
    </row>
    <row r="46" spans="1:9" ht="33" customHeight="1">
      <c r="A46" s="1007"/>
      <c r="B46" s="983" t="s">
        <v>4292</v>
      </c>
      <c r="C46" s="985">
        <v>1</v>
      </c>
      <c r="D46" s="982">
        <v>1</v>
      </c>
      <c r="E46" s="983">
        <v>2.56</v>
      </c>
      <c r="F46" s="983">
        <v>2.16</v>
      </c>
      <c r="G46" s="986"/>
      <c r="H46" s="983">
        <f>PRODUCT(C46:G46)</f>
        <v>5.53</v>
      </c>
    </row>
    <row r="47" spans="1:9" ht="33" customHeight="1">
      <c r="A47" s="1007"/>
      <c r="B47" s="983" t="s">
        <v>4293</v>
      </c>
      <c r="C47" s="985">
        <v>1</v>
      </c>
      <c r="D47" s="982">
        <v>-2</v>
      </c>
      <c r="E47" s="983">
        <v>0.6</v>
      </c>
      <c r="F47" s="983">
        <v>0.6</v>
      </c>
      <c r="G47" s="986"/>
      <c r="H47" s="983">
        <f>PRODUCT(C47:G47)</f>
        <v>-0.72</v>
      </c>
    </row>
    <row r="48" spans="1:9" ht="33" customHeight="1">
      <c r="A48" s="1007"/>
      <c r="B48" s="983"/>
      <c r="C48" s="985"/>
      <c r="D48" s="982"/>
      <c r="E48" s="983"/>
      <c r="F48" s="983"/>
      <c r="G48" s="986"/>
      <c r="H48" s="987">
        <f>SUM(H46:H47)</f>
        <v>4.8099999999999996</v>
      </c>
    </row>
    <row r="49" spans="1:9" ht="33" customHeight="1">
      <c r="A49" s="1007"/>
      <c r="B49" s="983"/>
      <c r="C49" s="985"/>
      <c r="D49" s="982"/>
      <c r="E49" s="983"/>
      <c r="F49" s="983"/>
      <c r="G49" s="990" t="s">
        <v>3678</v>
      </c>
      <c r="H49" s="991">
        <f>ROUNDUP(H48,1)</f>
        <v>4.9000000000000004</v>
      </c>
      <c r="I49" s="992" t="s">
        <v>2371</v>
      </c>
    </row>
    <row r="50" spans="1:9" ht="33" customHeight="1">
      <c r="A50" s="982">
        <v>11</v>
      </c>
      <c r="B50" s="993" t="s">
        <v>4294</v>
      </c>
      <c r="C50" s="985"/>
      <c r="D50" s="982"/>
      <c r="E50" s="983"/>
      <c r="F50" s="983"/>
      <c r="G50" s="983"/>
      <c r="H50" s="987"/>
    </row>
    <row r="51" spans="1:9" ht="33" customHeight="1">
      <c r="A51" s="1007"/>
      <c r="B51" s="989" t="s">
        <v>4295</v>
      </c>
      <c r="C51" s="985">
        <v>1</v>
      </c>
      <c r="D51" s="982">
        <v>1</v>
      </c>
      <c r="E51" s="983">
        <v>14</v>
      </c>
      <c r="F51" s="983"/>
      <c r="G51" s="983">
        <v>0.45</v>
      </c>
      <c r="H51" s="983">
        <f t="shared" ref="H51:H56" si="0">PRODUCT(C51:G51)</f>
        <v>6.3</v>
      </c>
    </row>
    <row r="52" spans="1:9" ht="33" customHeight="1">
      <c r="A52" s="1007"/>
      <c r="B52" s="989" t="s">
        <v>4296</v>
      </c>
      <c r="C52" s="985">
        <v>1</v>
      </c>
      <c r="D52" s="982">
        <v>1</v>
      </c>
      <c r="E52" s="983">
        <v>13.12</v>
      </c>
      <c r="F52" s="983"/>
      <c r="G52" s="983">
        <v>0.6</v>
      </c>
      <c r="H52" s="983">
        <f t="shared" si="0"/>
        <v>7.87</v>
      </c>
    </row>
    <row r="53" spans="1:9" ht="33" customHeight="1">
      <c r="A53" s="1007"/>
      <c r="B53" s="989" t="s">
        <v>4297</v>
      </c>
      <c r="C53" s="985">
        <v>1</v>
      </c>
      <c r="D53" s="982">
        <v>1</v>
      </c>
      <c r="E53" s="983">
        <v>12.24</v>
      </c>
      <c r="F53" s="983"/>
      <c r="G53" s="983">
        <v>1.5</v>
      </c>
      <c r="H53" s="983">
        <f t="shared" si="0"/>
        <v>18.36</v>
      </c>
    </row>
    <row r="54" spans="1:9" ht="33" customHeight="1">
      <c r="A54" s="1007"/>
      <c r="B54" s="989" t="s">
        <v>4298</v>
      </c>
      <c r="C54" s="985">
        <v>1</v>
      </c>
      <c r="D54" s="982">
        <v>1</v>
      </c>
      <c r="E54" s="983">
        <v>14</v>
      </c>
      <c r="F54" s="983"/>
      <c r="G54" s="983">
        <v>0.11</v>
      </c>
      <c r="H54" s="983">
        <f t="shared" si="0"/>
        <v>1.54</v>
      </c>
    </row>
    <row r="55" spans="1:9" ht="33" customHeight="1">
      <c r="A55" s="1007"/>
      <c r="B55" s="989" t="s">
        <v>4299</v>
      </c>
      <c r="C55" s="985">
        <v>1</v>
      </c>
      <c r="D55" s="982">
        <v>1</v>
      </c>
      <c r="E55" s="983">
        <v>13.12</v>
      </c>
      <c r="F55" s="983"/>
      <c r="G55" s="983">
        <v>0.11</v>
      </c>
      <c r="H55" s="983">
        <f t="shared" si="0"/>
        <v>1.44</v>
      </c>
    </row>
    <row r="56" spans="1:9" ht="33" customHeight="1">
      <c r="A56" s="1007"/>
      <c r="B56" s="989" t="s">
        <v>4300</v>
      </c>
      <c r="C56" s="985">
        <v>1</v>
      </c>
      <c r="D56" s="982">
        <v>2</v>
      </c>
      <c r="E56" s="983">
        <v>2.72</v>
      </c>
      <c r="F56" s="983"/>
      <c r="G56" s="983">
        <v>1</v>
      </c>
      <c r="H56" s="983">
        <f t="shared" si="0"/>
        <v>5.44</v>
      </c>
    </row>
    <row r="57" spans="1:9" ht="33" customHeight="1">
      <c r="A57" s="1007"/>
      <c r="B57" s="989"/>
      <c r="C57" s="985"/>
      <c r="D57" s="982"/>
      <c r="E57" s="983"/>
      <c r="F57" s="983"/>
      <c r="G57" s="986" t="s">
        <v>2332</v>
      </c>
      <c r="H57" s="987">
        <f>SUM(H51:H56)</f>
        <v>40.950000000000003</v>
      </c>
    </row>
    <row r="58" spans="1:9" ht="33" customHeight="1">
      <c r="A58" s="1007"/>
      <c r="B58" s="989"/>
      <c r="C58" s="985"/>
      <c r="D58" s="982"/>
      <c r="E58" s="983"/>
      <c r="F58" s="983"/>
      <c r="G58" s="986" t="s">
        <v>3678</v>
      </c>
      <c r="H58" s="987">
        <f>ROUNDUP(H57,1)</f>
        <v>41</v>
      </c>
      <c r="I58" s="979" t="s">
        <v>2371</v>
      </c>
    </row>
    <row r="59" spans="1:9" ht="33" customHeight="1">
      <c r="A59" s="1007">
        <v>12</v>
      </c>
      <c r="B59" s="993" t="s">
        <v>4301</v>
      </c>
      <c r="C59" s="985"/>
      <c r="D59" s="982"/>
      <c r="E59" s="983"/>
      <c r="F59" s="983"/>
      <c r="G59" s="983"/>
      <c r="H59" s="987"/>
    </row>
    <row r="60" spans="1:9" ht="33" customHeight="1">
      <c r="A60" s="1007"/>
      <c r="B60" s="983" t="s">
        <v>4302</v>
      </c>
      <c r="C60" s="985">
        <v>1</v>
      </c>
      <c r="D60" s="982">
        <v>1</v>
      </c>
      <c r="E60" s="983">
        <v>10.4</v>
      </c>
      <c r="F60" s="983"/>
      <c r="G60" s="983">
        <v>1.9</v>
      </c>
      <c r="H60" s="983">
        <f>PRODUCT(C60:G60)</f>
        <v>19.760000000000002</v>
      </c>
    </row>
    <row r="61" spans="1:9" ht="33" customHeight="1">
      <c r="A61" s="1007"/>
      <c r="B61" s="983" t="s">
        <v>4303</v>
      </c>
      <c r="C61" s="985">
        <v>1</v>
      </c>
      <c r="D61" s="982">
        <v>2</v>
      </c>
      <c r="E61" s="983">
        <v>2.46</v>
      </c>
      <c r="F61" s="983"/>
      <c r="G61" s="983">
        <v>2.6</v>
      </c>
      <c r="H61" s="983">
        <f>E61*0.15</f>
        <v>0.37</v>
      </c>
    </row>
    <row r="62" spans="1:9" ht="33" customHeight="1">
      <c r="A62" s="1007"/>
      <c r="B62" s="983" t="s">
        <v>4304</v>
      </c>
      <c r="C62" s="985">
        <v>1</v>
      </c>
      <c r="D62" s="982">
        <v>1</v>
      </c>
      <c r="E62" s="983">
        <v>1.8</v>
      </c>
      <c r="F62" s="983"/>
      <c r="G62" s="983">
        <v>3.52</v>
      </c>
      <c r="H62" s="983">
        <f>PRODUCT(C62:G62)</f>
        <v>6.34</v>
      </c>
    </row>
    <row r="63" spans="1:9" ht="33" customHeight="1">
      <c r="A63" s="1007"/>
      <c r="B63" s="983" t="s">
        <v>4304</v>
      </c>
      <c r="C63" s="985">
        <v>1</v>
      </c>
      <c r="D63" s="982">
        <v>1</v>
      </c>
      <c r="E63" s="983">
        <v>1.8</v>
      </c>
      <c r="F63" s="983"/>
      <c r="G63" s="983">
        <v>2.92</v>
      </c>
      <c r="H63" s="983">
        <f>PRODUCT(C63:G63)</f>
        <v>5.26</v>
      </c>
    </row>
    <row r="64" spans="1:9" ht="33" customHeight="1">
      <c r="A64" s="1007"/>
      <c r="B64" s="983"/>
      <c r="C64" s="985"/>
      <c r="D64" s="982"/>
      <c r="E64" s="983"/>
      <c r="F64" s="983"/>
      <c r="G64" s="986" t="s">
        <v>2332</v>
      </c>
      <c r="H64" s="987">
        <f>SUM(H60:H63)</f>
        <v>31.73</v>
      </c>
    </row>
    <row r="65" spans="1:9" ht="33" customHeight="1">
      <c r="A65" s="1007"/>
      <c r="B65" s="983"/>
      <c r="C65" s="985"/>
      <c r="D65" s="982"/>
      <c r="E65" s="983"/>
      <c r="F65" s="983"/>
      <c r="G65" s="986" t="s">
        <v>3678</v>
      </c>
      <c r="H65" s="987">
        <f>ROUNDUP(H64,1)</f>
        <v>31.8</v>
      </c>
      <c r="I65" s="979" t="s">
        <v>2371</v>
      </c>
    </row>
    <row r="66" spans="1:9" ht="42" customHeight="1">
      <c r="A66" s="1007">
        <v>13</v>
      </c>
      <c r="B66" s="989" t="s">
        <v>4305</v>
      </c>
      <c r="C66" s="1308" t="s">
        <v>4306</v>
      </c>
      <c r="D66" s="1309"/>
      <c r="E66" s="1309"/>
      <c r="F66" s="1310"/>
      <c r="G66" s="986"/>
      <c r="H66" s="991">
        <v>0.14000000000000001</v>
      </c>
      <c r="I66" s="992" t="s">
        <v>528</v>
      </c>
    </row>
    <row r="67" spans="1:9" ht="33" customHeight="1">
      <c r="A67" s="1007"/>
      <c r="B67" s="983"/>
      <c r="C67" s="985"/>
      <c r="D67" s="982"/>
      <c r="E67" s="983"/>
      <c r="F67" s="983"/>
      <c r="G67" s="986"/>
      <c r="H67" s="987"/>
    </row>
    <row r="68" spans="1:9" ht="51.75" customHeight="1">
      <c r="A68" s="982">
        <v>14</v>
      </c>
      <c r="B68" s="989" t="s">
        <v>4307</v>
      </c>
      <c r="C68" s="982"/>
      <c r="D68" s="982"/>
      <c r="E68" s="983"/>
      <c r="F68" s="983"/>
      <c r="G68" s="983"/>
      <c r="H68" s="983"/>
    </row>
    <row r="69" spans="1:9" ht="33" customHeight="1">
      <c r="A69" s="982"/>
      <c r="B69" s="989" t="s">
        <v>4308</v>
      </c>
      <c r="C69" s="982">
        <v>1</v>
      </c>
      <c r="D69" s="982">
        <v>1</v>
      </c>
      <c r="E69" s="983"/>
      <c r="F69" s="983"/>
      <c r="G69" s="983"/>
      <c r="H69" s="987">
        <f>PRODUCT(C69:G69)</f>
        <v>1</v>
      </c>
      <c r="I69" s="979" t="s">
        <v>1454</v>
      </c>
    </row>
    <row r="70" spans="1:9" s="995" customFormat="1" ht="30" customHeight="1">
      <c r="A70" s="1008">
        <v>15</v>
      </c>
      <c r="B70" s="994" t="s">
        <v>4309</v>
      </c>
      <c r="C70" s="994"/>
      <c r="D70" s="994"/>
      <c r="E70" s="994"/>
      <c r="F70" s="994"/>
      <c r="G70" s="994"/>
      <c r="H70" s="991"/>
      <c r="I70" s="992"/>
    </row>
    <row r="71" spans="1:9" s="995" customFormat="1" ht="30.75" customHeight="1">
      <c r="A71" s="1008"/>
      <c r="B71" s="996" t="s">
        <v>4310</v>
      </c>
      <c r="C71" s="997"/>
      <c r="D71" s="997"/>
      <c r="E71" s="994"/>
      <c r="F71" s="994"/>
      <c r="G71" s="994"/>
      <c r="H71" s="991"/>
      <c r="I71" s="992"/>
    </row>
    <row r="72" spans="1:9" s="995" customFormat="1" ht="46.5" customHeight="1">
      <c r="A72" s="997"/>
      <c r="B72" s="998" t="s">
        <v>4311</v>
      </c>
      <c r="C72" s="997">
        <v>1</v>
      </c>
      <c r="D72" s="997">
        <v>1</v>
      </c>
      <c r="E72" s="994">
        <v>8</v>
      </c>
      <c r="F72" s="994"/>
      <c r="G72" s="994"/>
      <c r="H72" s="991">
        <f>PRODUCT(C72:G72)</f>
        <v>8</v>
      </c>
      <c r="I72" s="992" t="s">
        <v>840</v>
      </c>
    </row>
    <row r="73" spans="1:9" ht="30" customHeight="1">
      <c r="A73" s="982">
        <v>16</v>
      </c>
      <c r="B73" s="989" t="s">
        <v>4312</v>
      </c>
      <c r="C73" s="982"/>
      <c r="D73" s="982"/>
      <c r="E73" s="994"/>
      <c r="F73" s="983"/>
      <c r="G73" s="983"/>
      <c r="H73" s="983"/>
    </row>
    <row r="74" spans="1:9" ht="62.25" customHeight="1">
      <c r="A74" s="982"/>
      <c r="B74" s="993" t="s">
        <v>1904</v>
      </c>
      <c r="C74" s="982"/>
      <c r="D74" s="982"/>
      <c r="E74" s="994"/>
      <c r="F74" s="983"/>
      <c r="G74" s="983"/>
      <c r="H74" s="983"/>
    </row>
    <row r="75" spans="1:9" ht="30" customHeight="1">
      <c r="A75" s="982"/>
      <c r="B75" s="989" t="s">
        <v>4313</v>
      </c>
      <c r="C75" s="982">
        <v>1</v>
      </c>
      <c r="D75" s="982">
        <v>1</v>
      </c>
      <c r="E75" s="983">
        <v>12.44</v>
      </c>
      <c r="F75" s="983"/>
      <c r="G75" s="983">
        <v>0.15</v>
      </c>
      <c r="H75" s="983">
        <f>PRODUCT(C75:G75)</f>
        <v>1.87</v>
      </c>
    </row>
    <row r="76" spans="1:9" ht="30" customHeight="1">
      <c r="A76" s="982"/>
      <c r="B76" s="989" t="s">
        <v>4314</v>
      </c>
      <c r="C76" s="982">
        <v>1</v>
      </c>
      <c r="D76" s="982">
        <v>2</v>
      </c>
      <c r="E76" s="983">
        <v>2.4</v>
      </c>
      <c r="F76" s="983"/>
      <c r="G76" s="983">
        <v>0.15</v>
      </c>
      <c r="H76" s="983">
        <f>PRODUCT(C76:G76)</f>
        <v>0.72</v>
      </c>
    </row>
    <row r="77" spans="1:9" ht="30" customHeight="1">
      <c r="A77" s="982"/>
      <c r="B77" s="989"/>
      <c r="C77" s="982"/>
      <c r="D77" s="982"/>
      <c r="E77" s="994"/>
      <c r="F77" s="983"/>
      <c r="G77" s="986" t="s">
        <v>2332</v>
      </c>
      <c r="H77" s="983">
        <f>SUM(H75:H76)</f>
        <v>2.59</v>
      </c>
    </row>
    <row r="78" spans="1:9" ht="30" customHeight="1">
      <c r="A78" s="982"/>
      <c r="B78" s="989"/>
      <c r="C78" s="982"/>
      <c r="D78" s="982"/>
      <c r="E78" s="994"/>
      <c r="F78" s="983"/>
      <c r="G78" s="988" t="s">
        <v>3678</v>
      </c>
      <c r="H78" s="987">
        <f>ROUNDUP(H77,1)</f>
        <v>2.6</v>
      </c>
      <c r="I78" s="979" t="s">
        <v>2371</v>
      </c>
    </row>
    <row r="79" spans="1:9" ht="30" customHeight="1">
      <c r="A79" s="982"/>
      <c r="B79" s="993" t="s">
        <v>4315</v>
      </c>
      <c r="C79" s="982"/>
      <c r="D79" s="982"/>
      <c r="E79" s="994"/>
      <c r="F79" s="983"/>
      <c r="G79" s="983"/>
      <c r="H79" s="987"/>
    </row>
    <row r="80" spans="1:9" ht="30" customHeight="1">
      <c r="A80" s="982"/>
      <c r="B80" s="989" t="s">
        <v>4316</v>
      </c>
      <c r="C80" s="982">
        <v>1</v>
      </c>
      <c r="D80" s="982">
        <v>1</v>
      </c>
      <c r="E80" s="983">
        <v>1.8</v>
      </c>
      <c r="F80" s="983">
        <v>3.5</v>
      </c>
      <c r="G80" s="983"/>
      <c r="H80" s="983">
        <f>PRODUCT(C80:G80)</f>
        <v>6.3</v>
      </c>
    </row>
    <row r="81" spans="1:9" ht="30" customHeight="1">
      <c r="A81" s="982"/>
      <c r="B81" s="989" t="s">
        <v>4317</v>
      </c>
      <c r="C81" s="982">
        <v>-1</v>
      </c>
      <c r="D81" s="982">
        <v>2</v>
      </c>
      <c r="E81" s="994">
        <v>0.6</v>
      </c>
      <c r="F81" s="983">
        <v>0.6</v>
      </c>
      <c r="G81" s="983"/>
      <c r="H81" s="983">
        <f>PRODUCT(C81:G81)</f>
        <v>-0.72</v>
      </c>
    </row>
    <row r="82" spans="1:9" ht="30" customHeight="1">
      <c r="A82" s="982"/>
      <c r="B82" s="989"/>
      <c r="C82" s="982"/>
      <c r="D82" s="982"/>
      <c r="E82" s="983"/>
      <c r="F82" s="983"/>
      <c r="G82" s="986" t="s">
        <v>2332</v>
      </c>
      <c r="H82" s="987">
        <f>SUM(H80:H81)</f>
        <v>5.58</v>
      </c>
    </row>
    <row r="83" spans="1:9" ht="32.25" customHeight="1">
      <c r="A83" s="1001"/>
      <c r="B83" s="999"/>
      <c r="C83" s="1000"/>
      <c r="D83" s="1001"/>
      <c r="E83" s="999"/>
      <c r="F83" s="999"/>
      <c r="G83" s="988" t="s">
        <v>3678</v>
      </c>
      <c r="H83" s="987">
        <f>ROUNDUP(H82,1)</f>
        <v>5.6</v>
      </c>
      <c r="I83" s="979" t="s">
        <v>2371</v>
      </c>
    </row>
    <row r="84" spans="1:9" ht="75">
      <c r="A84" s="982">
        <v>17</v>
      </c>
      <c r="B84" s="989" t="s">
        <v>4206</v>
      </c>
      <c r="C84" s="1000"/>
      <c r="D84" s="1001"/>
      <c r="E84" s="999"/>
      <c r="F84" s="999"/>
      <c r="G84" s="988"/>
      <c r="H84" s="987"/>
    </row>
    <row r="85" spans="1:9" ht="18.75">
      <c r="A85" s="1001"/>
      <c r="B85" s="989" t="s">
        <v>4216</v>
      </c>
      <c r="C85" s="1000">
        <v>1</v>
      </c>
      <c r="D85" s="1001">
        <v>1</v>
      </c>
      <c r="E85" s="999">
        <v>6</v>
      </c>
      <c r="F85" s="999">
        <v>1</v>
      </c>
      <c r="G85" s="988">
        <v>0.3</v>
      </c>
      <c r="H85" s="987">
        <f>PRODUCT(C85:G85)</f>
        <v>1.8</v>
      </c>
    </row>
    <row r="86" spans="1:9" ht="18.75">
      <c r="A86" s="1001"/>
      <c r="B86" s="999"/>
      <c r="C86" s="1000"/>
      <c r="D86" s="1001"/>
      <c r="E86" s="999"/>
      <c r="F86" s="999"/>
      <c r="G86" s="1002" t="s">
        <v>2332</v>
      </c>
      <c r="H86" s="991">
        <f>SUM(H85)</f>
        <v>1.8</v>
      </c>
    </row>
    <row r="88" spans="1:9" s="1005" customFormat="1" ht="27" customHeight="1">
      <c r="A88" s="1311"/>
      <c r="B88" s="1311"/>
      <c r="C88" s="1311"/>
      <c r="D88" s="1311"/>
      <c r="E88" s="1311"/>
      <c r="F88" s="1311"/>
      <c r="G88" s="1311"/>
      <c r="H88" s="1311"/>
      <c r="I88" s="1311"/>
    </row>
  </sheetData>
  <mergeCells count="11">
    <mergeCell ref="H5:H6"/>
    <mergeCell ref="B32:D32"/>
    <mergeCell ref="C66:F66"/>
    <mergeCell ref="A88:I88"/>
    <mergeCell ref="A1:H1"/>
    <mergeCell ref="A2:I2"/>
    <mergeCell ref="A3:I3"/>
    <mergeCell ref="A5:A6"/>
    <mergeCell ref="B5:B6"/>
    <mergeCell ref="C5:D6"/>
    <mergeCell ref="E5:G5"/>
  </mergeCells>
  <printOptions horizontalCentered="1"/>
  <pageMargins left="0.7" right="0.2" top="0.5" bottom="0.75" header="0.3" footer="0.3"/>
  <pageSetup paperSize="9" scale="80" orientation="portrait" r:id="rId1"/>
  <colBreaks count="1" manualBreakCount="1">
    <brk id="9" max="1048575" man="1"/>
  </colBreaks>
</worksheet>
</file>

<file path=xl/worksheets/sheet49.xml><?xml version="1.0" encoding="utf-8"?>
<worksheet xmlns="http://schemas.openxmlformats.org/spreadsheetml/2006/main" xmlns:r="http://schemas.openxmlformats.org/officeDocument/2006/relationships">
  <dimension ref="A1:H38"/>
  <sheetViews>
    <sheetView view="pageBreakPreview" zoomScale="106" zoomScaleSheetLayoutView="106" workbookViewId="0">
      <selection sqref="A1:H1"/>
    </sheetView>
  </sheetViews>
  <sheetFormatPr defaultRowHeight="15.75"/>
  <cols>
    <col min="1" max="1" width="3.88671875" customWidth="1"/>
    <col min="2" max="2" width="37.88671875" style="813" customWidth="1"/>
    <col min="3" max="3" width="3.109375" customWidth="1"/>
    <col min="4" max="4" width="2.88671875" bestFit="1" customWidth="1"/>
    <col min="5" max="5" width="7.5546875" customWidth="1"/>
    <col min="6" max="6" width="7.77734375" customWidth="1"/>
    <col min="7" max="7" width="7.5546875" customWidth="1"/>
    <col min="8" max="8" width="8.109375" customWidth="1"/>
    <col min="10" max="11" width="9" bestFit="1" customWidth="1"/>
  </cols>
  <sheetData>
    <row r="1" spans="1:8" ht="54.75" customHeight="1">
      <c r="A1" s="1205" t="s">
        <v>4193</v>
      </c>
      <c r="B1" s="1205"/>
      <c r="C1" s="1205"/>
      <c r="D1" s="1205"/>
      <c r="E1" s="1205"/>
      <c r="F1" s="1205"/>
      <c r="G1" s="1205"/>
      <c r="H1" s="1205"/>
    </row>
    <row r="2" spans="1:8" ht="27.75" customHeight="1">
      <c r="A2" s="1262" t="s">
        <v>4145</v>
      </c>
      <c r="B2" s="1263"/>
      <c r="C2" s="1263"/>
      <c r="D2" s="1263"/>
      <c r="E2" s="1263"/>
      <c r="F2" s="1263"/>
      <c r="G2" s="1263"/>
      <c r="H2" s="1264"/>
    </row>
    <row r="3" spans="1:8" ht="31.5">
      <c r="A3" s="889" t="s">
        <v>3747</v>
      </c>
      <c r="B3" s="888" t="s">
        <v>3748</v>
      </c>
      <c r="C3" s="1277" t="s">
        <v>1454</v>
      </c>
      <c r="D3" s="1277"/>
      <c r="E3" s="888" t="s">
        <v>3751</v>
      </c>
      <c r="F3" s="888" t="s">
        <v>3752</v>
      </c>
      <c r="G3" s="888" t="s">
        <v>3753</v>
      </c>
      <c r="H3" s="888" t="s">
        <v>1669</v>
      </c>
    </row>
    <row r="4" spans="1:8" ht="60">
      <c r="A4" s="863">
        <v>1</v>
      </c>
      <c r="B4" s="862" t="s">
        <v>4142</v>
      </c>
      <c r="C4" s="864"/>
      <c r="D4" s="865"/>
      <c r="E4" s="866"/>
      <c r="F4" s="866"/>
      <c r="G4" s="866"/>
      <c r="H4" s="866"/>
    </row>
    <row r="5" spans="1:8">
      <c r="A5" s="863"/>
      <c r="B5" s="862" t="s">
        <v>4093</v>
      </c>
      <c r="C5" s="867"/>
      <c r="D5" s="867"/>
      <c r="E5" s="862"/>
      <c r="F5" s="862"/>
      <c r="G5" s="862"/>
      <c r="H5" s="866"/>
    </row>
    <row r="6" spans="1:8">
      <c r="A6" s="863"/>
      <c r="B6" s="862" t="s">
        <v>4143</v>
      </c>
      <c r="C6" s="867">
        <v>1</v>
      </c>
      <c r="D6" s="867">
        <v>1</v>
      </c>
      <c r="E6" s="862">
        <v>62</v>
      </c>
      <c r="F6" s="862">
        <v>4.5</v>
      </c>
      <c r="G6" s="862">
        <v>0.3</v>
      </c>
      <c r="H6" s="866">
        <f>ROUND(PRODUCT(C6:G6),2)</f>
        <v>83.7</v>
      </c>
    </row>
    <row r="7" spans="1:8">
      <c r="A7" s="863"/>
      <c r="B7" s="862" t="s">
        <v>4144</v>
      </c>
      <c r="C7" s="867">
        <v>1</v>
      </c>
      <c r="D7" s="867">
        <v>1</v>
      </c>
      <c r="E7" s="862">
        <v>62</v>
      </c>
      <c r="F7" s="862">
        <v>0.3</v>
      </c>
      <c r="G7" s="862">
        <v>0.3</v>
      </c>
      <c r="H7" s="866">
        <f>ROUND(PRODUCT(C7:G7),2)</f>
        <v>5.58</v>
      </c>
    </row>
    <row r="8" spans="1:8">
      <c r="A8" s="863"/>
      <c r="B8" s="862"/>
      <c r="C8" s="867"/>
      <c r="D8" s="867"/>
      <c r="E8" s="862"/>
      <c r="F8" s="862"/>
      <c r="G8" s="866" t="s">
        <v>2332</v>
      </c>
      <c r="H8" s="868">
        <f>SUM(H6:H7)</f>
        <v>89.28</v>
      </c>
    </row>
    <row r="9" spans="1:8">
      <c r="A9" s="863"/>
      <c r="B9" s="862"/>
      <c r="C9" s="867"/>
      <c r="D9" s="867"/>
      <c r="E9" s="862"/>
      <c r="F9" s="862"/>
      <c r="G9" s="866"/>
      <c r="H9" s="868">
        <v>0.02</v>
      </c>
    </row>
    <row r="10" spans="1:8">
      <c r="A10" s="863"/>
      <c r="B10" s="862"/>
      <c r="C10" s="867"/>
      <c r="D10" s="867"/>
      <c r="E10" s="862"/>
      <c r="F10" s="862"/>
      <c r="G10" s="866" t="s">
        <v>3907</v>
      </c>
      <c r="H10" s="869">
        <f>SUM(H8:H9)</f>
        <v>89.3</v>
      </c>
    </row>
    <row r="11" spans="1:8">
      <c r="A11" s="863"/>
      <c r="B11" s="862"/>
      <c r="C11" s="867"/>
      <c r="D11" s="867"/>
      <c r="E11" s="862"/>
      <c r="F11" s="862"/>
      <c r="G11" s="862"/>
      <c r="H11" s="866"/>
    </row>
    <row r="12" spans="1:8" ht="60">
      <c r="A12" s="863">
        <v>2</v>
      </c>
      <c r="B12" s="850" t="s">
        <v>4094</v>
      </c>
      <c r="C12" s="867"/>
      <c r="D12" s="865"/>
      <c r="E12" s="866"/>
      <c r="F12" s="866"/>
      <c r="G12" s="866"/>
      <c r="H12" s="866"/>
    </row>
    <row r="13" spans="1:8">
      <c r="A13" s="863"/>
      <c r="B13" s="862" t="s">
        <v>4143</v>
      </c>
      <c r="C13" s="867">
        <v>1</v>
      </c>
      <c r="D13" s="865">
        <v>1</v>
      </c>
      <c r="E13" s="866">
        <v>62</v>
      </c>
      <c r="F13" s="866">
        <v>4.5</v>
      </c>
      <c r="G13" s="866">
        <v>0.15</v>
      </c>
      <c r="H13" s="866">
        <f>ROUND(PRODUCT(C13:G13),2)</f>
        <v>41.85</v>
      </c>
    </row>
    <row r="14" spans="1:8">
      <c r="A14" s="863"/>
      <c r="B14" s="862"/>
      <c r="C14" s="867"/>
      <c r="D14" s="865"/>
      <c r="E14" s="866"/>
      <c r="F14" s="866"/>
      <c r="G14" s="866" t="s">
        <v>2332</v>
      </c>
      <c r="H14" s="868">
        <f>SUM(H13:H13)</f>
        <v>41.85</v>
      </c>
    </row>
    <row r="15" spans="1:8">
      <c r="A15" s="863"/>
      <c r="B15" s="862"/>
      <c r="C15" s="867"/>
      <c r="D15" s="865"/>
      <c r="E15" s="866"/>
      <c r="F15" s="866"/>
      <c r="G15" s="866"/>
      <c r="H15" s="868">
        <v>0.05</v>
      </c>
    </row>
    <row r="16" spans="1:8">
      <c r="A16" s="863"/>
      <c r="B16" s="862"/>
      <c r="C16" s="867"/>
      <c r="D16" s="865"/>
      <c r="E16" s="866"/>
      <c r="F16" s="866"/>
      <c r="G16" s="866" t="s">
        <v>3907</v>
      </c>
      <c r="H16" s="869">
        <f>SUM(H14:H15)</f>
        <v>41.9</v>
      </c>
    </row>
    <row r="17" spans="1:8">
      <c r="A17" s="863"/>
      <c r="B17" s="862"/>
      <c r="C17" s="867"/>
      <c r="D17" s="865"/>
      <c r="E17" s="866"/>
      <c r="F17" s="866"/>
      <c r="G17" s="866"/>
      <c r="H17" s="866"/>
    </row>
    <row r="18" spans="1:8" ht="45">
      <c r="A18" s="863">
        <v>3</v>
      </c>
      <c r="B18" s="850" t="s">
        <v>4146</v>
      </c>
      <c r="C18" s="867"/>
      <c r="D18" s="865"/>
      <c r="E18" s="866"/>
      <c r="F18" s="866"/>
      <c r="G18" s="866"/>
      <c r="H18" s="866"/>
    </row>
    <row r="19" spans="1:8">
      <c r="A19" s="863"/>
      <c r="B19" s="850" t="s">
        <v>4143</v>
      </c>
      <c r="C19" s="867">
        <v>1</v>
      </c>
      <c r="D19" s="865">
        <v>1</v>
      </c>
      <c r="E19" s="866">
        <v>62</v>
      </c>
      <c r="F19" s="866">
        <v>4.5</v>
      </c>
      <c r="G19" s="866">
        <v>0.05</v>
      </c>
      <c r="H19" s="866">
        <f>ROUND(PRODUCT(C19:G19),2)</f>
        <v>13.95</v>
      </c>
    </row>
    <row r="20" spans="1:8">
      <c r="A20" s="863"/>
      <c r="B20" s="862"/>
      <c r="C20" s="867"/>
      <c r="D20" s="865"/>
      <c r="E20" s="866"/>
      <c r="F20" s="866"/>
      <c r="G20" s="866" t="s">
        <v>2332</v>
      </c>
      <c r="H20" s="868">
        <f>SUM(H19:H19)</f>
        <v>13.95</v>
      </c>
    </row>
    <row r="21" spans="1:8">
      <c r="A21" s="863"/>
      <c r="B21" s="862"/>
      <c r="C21" s="867"/>
      <c r="D21" s="865"/>
      <c r="E21" s="866"/>
      <c r="F21" s="866"/>
      <c r="G21" s="866"/>
      <c r="H21" s="868">
        <v>0.05</v>
      </c>
    </row>
    <row r="22" spans="1:8">
      <c r="A22" s="863"/>
      <c r="B22" s="862"/>
      <c r="C22" s="867"/>
      <c r="D22" s="865"/>
      <c r="E22" s="866"/>
      <c r="F22" s="866"/>
      <c r="G22" s="866" t="s">
        <v>3907</v>
      </c>
      <c r="H22" s="869">
        <f>SUM(H20:H21)</f>
        <v>14</v>
      </c>
    </row>
    <row r="23" spans="1:8">
      <c r="A23" s="863"/>
      <c r="B23" s="862"/>
      <c r="C23" s="867"/>
      <c r="D23" s="865"/>
      <c r="E23" s="866"/>
      <c r="F23" s="866"/>
      <c r="G23" s="866"/>
      <c r="H23" s="866"/>
    </row>
    <row r="24" spans="1:8">
      <c r="A24" s="863"/>
      <c r="B24" s="862"/>
      <c r="C24" s="867"/>
      <c r="D24" s="865"/>
      <c r="E24" s="866"/>
      <c r="F24" s="866"/>
      <c r="G24" s="866"/>
      <c r="H24" s="866"/>
    </row>
    <row r="25" spans="1:8" ht="30">
      <c r="A25" s="863">
        <v>4</v>
      </c>
      <c r="B25" s="862" t="s">
        <v>4147</v>
      </c>
      <c r="C25" s="867"/>
      <c r="D25" s="865"/>
      <c r="E25" s="866"/>
      <c r="F25" s="866"/>
      <c r="G25" s="866"/>
      <c r="H25" s="866"/>
    </row>
    <row r="26" spans="1:8">
      <c r="A26" s="863"/>
      <c r="B26" s="862" t="s">
        <v>4143</v>
      </c>
      <c r="C26" s="867">
        <v>1</v>
      </c>
      <c r="D26" s="865">
        <v>21</v>
      </c>
      <c r="E26" s="866">
        <v>4.5</v>
      </c>
      <c r="F26" s="866"/>
      <c r="G26" s="882">
        <v>0.2</v>
      </c>
      <c r="H26" s="866">
        <f>ROUND(PRODUCT(C26:G26),2)</f>
        <v>18.899999999999999</v>
      </c>
    </row>
    <row r="27" spans="1:8">
      <c r="A27" s="863"/>
      <c r="B27" s="862"/>
      <c r="C27" s="867"/>
      <c r="D27" s="865"/>
      <c r="E27" s="866"/>
      <c r="F27" s="866"/>
      <c r="G27" s="851" t="s">
        <v>2332</v>
      </c>
      <c r="H27" s="869">
        <f>SUM(H25:H26)</f>
        <v>18.899999999999999</v>
      </c>
    </row>
    <row r="28" spans="1:8" ht="15" customHeight="1">
      <c r="A28" s="863"/>
      <c r="B28" s="862"/>
      <c r="C28" s="867"/>
      <c r="D28" s="865"/>
      <c r="E28" s="866"/>
      <c r="F28" s="866"/>
      <c r="G28" s="851"/>
      <c r="H28" s="851"/>
    </row>
    <row r="29" spans="1:8" ht="30">
      <c r="A29" s="863">
        <v>5</v>
      </c>
      <c r="B29" s="850" t="s">
        <v>4148</v>
      </c>
      <c r="C29" s="867"/>
      <c r="D29" s="865"/>
      <c r="E29" s="866"/>
      <c r="F29" s="866"/>
      <c r="G29" s="866"/>
      <c r="H29" s="866"/>
    </row>
    <row r="30" spans="1:8">
      <c r="A30" s="863"/>
      <c r="B30" s="862" t="s">
        <v>4149</v>
      </c>
      <c r="C30" s="867">
        <v>1</v>
      </c>
      <c r="D30" s="865">
        <v>2</v>
      </c>
      <c r="E30" s="866">
        <v>62</v>
      </c>
      <c r="F30" s="866"/>
      <c r="G30" s="876"/>
      <c r="H30" s="866">
        <f>ROUND(PRODUCT(C30:G30),2)</f>
        <v>124</v>
      </c>
    </row>
    <row r="31" spans="1:8">
      <c r="A31" s="863"/>
      <c r="B31" s="862"/>
      <c r="C31" s="867"/>
      <c r="D31" s="865"/>
      <c r="E31" s="866"/>
      <c r="F31" s="866"/>
      <c r="G31" s="851" t="s">
        <v>2332</v>
      </c>
      <c r="H31" s="869">
        <f>SUM(H30:H30)</f>
        <v>124</v>
      </c>
    </row>
    <row r="32" spans="1:8">
      <c r="A32" s="863"/>
      <c r="B32" s="862"/>
      <c r="C32" s="867"/>
      <c r="D32" s="865"/>
      <c r="E32" s="866"/>
      <c r="F32" s="866"/>
      <c r="G32" s="866"/>
      <c r="H32" s="866"/>
    </row>
    <row r="33" spans="1:8" ht="30">
      <c r="A33" s="863">
        <v>6</v>
      </c>
      <c r="B33" s="862" t="s">
        <v>4150</v>
      </c>
      <c r="C33" s="867"/>
      <c r="D33" s="865"/>
      <c r="E33" s="866"/>
      <c r="F33" s="866"/>
      <c r="G33" s="866"/>
      <c r="H33" s="866"/>
    </row>
    <row r="34" spans="1:8">
      <c r="A34" s="863"/>
      <c r="B34" s="862" t="s">
        <v>4144</v>
      </c>
      <c r="C34" s="867">
        <v>1</v>
      </c>
      <c r="D34" s="865">
        <v>2</v>
      </c>
      <c r="E34" s="866">
        <v>62</v>
      </c>
      <c r="F34" s="866"/>
      <c r="G34" s="866">
        <v>0.5</v>
      </c>
      <c r="H34" s="866">
        <f>ROUND(PRODUCT(C34:G34),2)</f>
        <v>62</v>
      </c>
    </row>
    <row r="35" spans="1:8">
      <c r="A35" s="863"/>
      <c r="B35" s="862"/>
      <c r="C35" s="867"/>
      <c r="D35" s="865"/>
      <c r="E35" s="866"/>
      <c r="F35" s="866"/>
      <c r="G35" s="866" t="s">
        <v>2332</v>
      </c>
      <c r="H35" s="868">
        <f>SUM(H34:H34)</f>
        <v>62</v>
      </c>
    </row>
    <row r="36" spans="1:8">
      <c r="A36" s="863"/>
      <c r="B36" s="862"/>
      <c r="C36" s="867"/>
      <c r="D36" s="865"/>
      <c r="E36" s="866"/>
      <c r="F36" s="866"/>
      <c r="G36" s="866"/>
      <c r="H36" s="868">
        <v>0</v>
      </c>
    </row>
    <row r="37" spans="1:8">
      <c r="A37" s="863"/>
      <c r="B37" s="862"/>
      <c r="C37" s="867"/>
      <c r="D37" s="865"/>
      <c r="E37" s="866"/>
      <c r="F37" s="866"/>
      <c r="G37" s="866" t="s">
        <v>3907</v>
      </c>
      <c r="H37" s="869">
        <f>SUM(H35:H36)</f>
        <v>62</v>
      </c>
    </row>
    <row r="38" spans="1:8">
      <c r="A38" s="863"/>
      <c r="B38" s="862"/>
      <c r="C38" s="867"/>
      <c r="D38" s="865"/>
      <c r="E38" s="866"/>
      <c r="F38" s="866"/>
      <c r="G38" s="866"/>
      <c r="H38" s="866"/>
    </row>
  </sheetData>
  <mergeCells count="3">
    <mergeCell ref="A1:H1"/>
    <mergeCell ref="A2:H2"/>
    <mergeCell ref="C3:D3"/>
  </mergeCells>
  <pageMargins left="0.7" right="0.15" top="0.5" bottom="0.25" header="0.3" footer="0.3"/>
  <pageSetup paperSize="9" scale="95" orientation="portrait" horizontalDpi="300" verticalDpi="300" r:id="rId1"/>
  <colBreaks count="1" manualBreakCount="1">
    <brk id="8" max="802" man="1"/>
  </colBreaks>
</worksheet>
</file>

<file path=xl/worksheets/sheet50.xml><?xml version="1.0" encoding="utf-8"?>
<worksheet xmlns="http://schemas.openxmlformats.org/spreadsheetml/2006/main" xmlns:r="http://schemas.openxmlformats.org/officeDocument/2006/relationships">
  <sheetPr>
    <tabColor rgb="FFFF0000"/>
  </sheetPr>
  <dimension ref="A1:I97"/>
  <sheetViews>
    <sheetView view="pageBreakPreview" topLeftCell="A58" zoomScale="70" zoomScaleNormal="50" zoomScaleSheetLayoutView="70" workbookViewId="0">
      <selection activeCell="E72" sqref="E72"/>
    </sheetView>
  </sheetViews>
  <sheetFormatPr defaultRowHeight="15"/>
  <cols>
    <col min="1" max="1" width="8.88671875" style="1011"/>
    <col min="2" max="2" width="41.44140625" style="1011" customWidth="1"/>
    <col min="3" max="4" width="3.77734375" style="1011" customWidth="1"/>
    <col min="5" max="5" width="8" style="1011" customWidth="1"/>
    <col min="6" max="6" width="6.21875" style="1011" customWidth="1"/>
    <col min="7" max="7" width="5.77734375" style="1011" customWidth="1"/>
    <col min="8" max="8" width="8.88671875" style="1011" customWidth="1"/>
    <col min="9" max="9" width="5.33203125" style="1011" customWidth="1"/>
    <col min="10" max="16384" width="8.88671875" style="1011"/>
  </cols>
  <sheetData>
    <row r="1" spans="1:9" ht="23.25" customHeight="1">
      <c r="A1" s="1316" t="s">
        <v>4224</v>
      </c>
      <c r="B1" s="1316"/>
      <c r="C1" s="1316"/>
      <c r="D1" s="1316"/>
      <c r="E1" s="1316"/>
      <c r="F1" s="1316"/>
      <c r="G1" s="1316"/>
      <c r="H1" s="1316"/>
      <c r="I1" s="1316"/>
    </row>
    <row r="2" spans="1:9" ht="23.25" customHeight="1">
      <c r="A2" s="1316" t="s">
        <v>4225</v>
      </c>
      <c r="B2" s="1316"/>
      <c r="C2" s="1316"/>
      <c r="D2" s="1316"/>
      <c r="E2" s="1316"/>
      <c r="F2" s="1316"/>
      <c r="G2" s="1316"/>
      <c r="H2" s="1316"/>
      <c r="I2" s="1316"/>
    </row>
    <row r="3" spans="1:9" ht="61.5" customHeight="1">
      <c r="A3" s="1317" t="str">
        <f>'Electrical Det'!A1:H1</f>
        <v>N/W: RENOVATION AND UPGRADING THE EXISTING WORKING WOMEN’S HOSTEL AT SOORAMANGALAM IN SALEM CITY UNDER SOCIAL WELFARE DEPARTMENT</v>
      </c>
      <c r="B3" s="1317"/>
      <c r="C3" s="1317"/>
      <c r="D3" s="1317"/>
      <c r="E3" s="1317"/>
      <c r="F3" s="1317"/>
      <c r="G3" s="1317"/>
      <c r="H3" s="1317"/>
      <c r="I3" s="1317"/>
    </row>
    <row r="4" spans="1:9" ht="27" customHeight="1">
      <c r="A4" s="1318" t="s">
        <v>4460</v>
      </c>
      <c r="B4" s="1318"/>
      <c r="C4" s="1318"/>
      <c r="D4" s="1318"/>
      <c r="E4" s="1318"/>
      <c r="F4" s="1318"/>
      <c r="G4" s="1318"/>
      <c r="H4" s="1318"/>
      <c r="I4" s="1318"/>
    </row>
    <row r="5" spans="1:9" ht="18.75">
      <c r="A5" s="1318" t="s">
        <v>3747</v>
      </c>
      <c r="B5" s="1318" t="s">
        <v>1860</v>
      </c>
      <c r="C5" s="1318" t="s">
        <v>1492</v>
      </c>
      <c r="D5" s="1318"/>
      <c r="E5" s="1319" t="s">
        <v>4227</v>
      </c>
      <c r="F5" s="1319"/>
      <c r="G5" s="1319"/>
      <c r="H5" s="1320" t="s">
        <v>4228</v>
      </c>
      <c r="I5" s="1320"/>
    </row>
    <row r="6" spans="1:9" ht="37.5">
      <c r="A6" s="1318"/>
      <c r="B6" s="1318"/>
      <c r="C6" s="1318"/>
      <c r="D6" s="1318"/>
      <c r="E6" s="1104" t="s">
        <v>4229</v>
      </c>
      <c r="F6" s="1105" t="s">
        <v>4230</v>
      </c>
      <c r="G6" s="1104" t="s">
        <v>3753</v>
      </c>
      <c r="H6" s="1320"/>
      <c r="I6" s="1320"/>
    </row>
    <row r="7" spans="1:9" ht="174.75" customHeight="1">
      <c r="A7" s="1064">
        <v>1</v>
      </c>
      <c r="B7" s="1032" t="s">
        <v>4368</v>
      </c>
      <c r="C7" s="1022"/>
      <c r="D7" s="1022"/>
      <c r="E7" s="1024"/>
      <c r="F7" s="1025"/>
      <c r="G7" s="1025"/>
      <c r="H7" s="1024"/>
      <c r="I7" s="1026"/>
    </row>
    <row r="8" spans="1:9" ht="33.75" customHeight="1">
      <c r="A8" s="1064"/>
      <c r="B8" s="1020" t="s">
        <v>4335</v>
      </c>
      <c r="C8" s="1022">
        <v>1</v>
      </c>
      <c r="D8" s="1022">
        <v>1</v>
      </c>
      <c r="E8" s="1024"/>
      <c r="F8" s="1025"/>
      <c r="G8" s="1025"/>
      <c r="H8" s="1024">
        <f>PRODUCT(C8:G8)</f>
        <v>1</v>
      </c>
      <c r="I8" s="1026"/>
    </row>
    <row r="9" spans="1:9" ht="20.25">
      <c r="A9" s="1064"/>
      <c r="B9" s="1020"/>
      <c r="C9" s="1022"/>
      <c r="D9" s="1022"/>
      <c r="E9" s="1024"/>
      <c r="F9" s="1025"/>
      <c r="G9" s="1027" t="s">
        <v>2332</v>
      </c>
      <c r="H9" s="1028">
        <f>SUM(H8)</f>
        <v>1</v>
      </c>
      <c r="I9" s="1029" t="s">
        <v>1454</v>
      </c>
    </row>
    <row r="10" spans="1:9" ht="182.25">
      <c r="A10" s="1064">
        <v>2</v>
      </c>
      <c r="B10" s="1020" t="s">
        <v>4367</v>
      </c>
      <c r="C10" s="1022"/>
      <c r="D10" s="1022"/>
      <c r="E10" s="1024"/>
      <c r="F10" s="1025"/>
      <c r="G10" s="1027"/>
      <c r="H10" s="1028"/>
      <c r="I10" s="1029"/>
    </row>
    <row r="11" spans="1:9" ht="22.5" customHeight="1">
      <c r="A11" s="1064"/>
      <c r="B11" s="1032" t="s">
        <v>4152</v>
      </c>
      <c r="C11" s="1022">
        <v>1</v>
      </c>
      <c r="D11" s="1022">
        <v>1</v>
      </c>
      <c r="E11" s="1024"/>
      <c r="F11" s="1025"/>
      <c r="G11" s="1025"/>
      <c r="H11" s="1024">
        <f>PRODUCT(C11:G11)</f>
        <v>1</v>
      </c>
      <c r="I11" s="1026"/>
    </row>
    <row r="12" spans="1:9" ht="20.25">
      <c r="A12" s="1064"/>
      <c r="B12" s="1020"/>
      <c r="C12" s="1022"/>
      <c r="D12" s="1022"/>
      <c r="E12" s="1024"/>
      <c r="F12" s="1025"/>
      <c r="G12" s="1027" t="s">
        <v>2332</v>
      </c>
      <c r="H12" s="1028">
        <f>SUM(H11:H11)</f>
        <v>1</v>
      </c>
      <c r="I12" s="1029" t="s">
        <v>1492</v>
      </c>
    </row>
    <row r="13" spans="1:9" ht="20.25">
      <c r="A13" s="1064"/>
      <c r="B13" s="1020"/>
      <c r="C13" s="1022"/>
      <c r="D13" s="1022"/>
      <c r="E13" s="1024"/>
      <c r="F13" s="1025"/>
      <c r="G13" s="1027"/>
      <c r="H13" s="1028"/>
      <c r="I13" s="1029"/>
    </row>
    <row r="14" spans="1:9" ht="342.75" customHeight="1">
      <c r="A14" s="1064">
        <v>3</v>
      </c>
      <c r="B14" s="1015" t="s">
        <v>4336</v>
      </c>
      <c r="C14" s="1022"/>
      <c r="D14" s="1022"/>
      <c r="E14" s="1016"/>
      <c r="F14" s="1016"/>
      <c r="G14" s="1016"/>
      <c r="H14" s="1024"/>
      <c r="I14" s="1026"/>
    </row>
    <row r="15" spans="1:9" ht="20.25">
      <c r="A15" s="1064"/>
      <c r="B15" s="1032" t="s">
        <v>4365</v>
      </c>
      <c r="C15" s="1022">
        <v>1</v>
      </c>
      <c r="D15" s="1022">
        <v>1</v>
      </c>
      <c r="E15" s="1016">
        <v>1</v>
      </c>
      <c r="F15" s="1016"/>
      <c r="G15" s="1016"/>
      <c r="H15" s="1024">
        <f>PRODUCT(C15:G15)</f>
        <v>1</v>
      </c>
      <c r="I15" s="1026"/>
    </row>
    <row r="16" spans="1:9" ht="20.25">
      <c r="A16" s="1064"/>
      <c r="B16" s="1041" t="s">
        <v>4366</v>
      </c>
      <c r="C16" s="1022">
        <v>1</v>
      </c>
      <c r="D16" s="1022">
        <v>1</v>
      </c>
      <c r="E16" s="1016">
        <v>1</v>
      </c>
      <c r="F16" s="1025"/>
      <c r="G16" s="1025"/>
      <c r="H16" s="1024">
        <f>PRODUCT(C16:G16)</f>
        <v>1</v>
      </c>
      <c r="I16" s="1029"/>
    </row>
    <row r="17" spans="1:9" ht="20.25">
      <c r="A17" s="1064"/>
      <c r="B17" s="1041"/>
      <c r="C17" s="1022"/>
      <c r="D17" s="1022"/>
      <c r="E17" s="1016"/>
      <c r="F17" s="1025"/>
      <c r="G17" s="1027" t="s">
        <v>2332</v>
      </c>
      <c r="H17" s="1028">
        <f>H15+H16</f>
        <v>2</v>
      </c>
      <c r="I17" s="1029" t="s">
        <v>1492</v>
      </c>
    </row>
    <row r="18" spans="1:9" ht="20.25">
      <c r="A18" s="1064"/>
      <c r="B18" s="1041"/>
      <c r="C18" s="1022"/>
      <c r="D18" s="1022"/>
      <c r="E18" s="1016"/>
      <c r="F18" s="1025"/>
      <c r="G18" s="1027"/>
      <c r="H18" s="1028"/>
      <c r="I18" s="1029"/>
    </row>
    <row r="19" spans="1:9" ht="111.75" customHeight="1">
      <c r="A19" s="1064">
        <v>4</v>
      </c>
      <c r="B19" s="1015" t="s">
        <v>4376</v>
      </c>
      <c r="C19" s="1022"/>
      <c r="D19" s="1022"/>
      <c r="E19" s="1016"/>
      <c r="F19" s="1016"/>
      <c r="G19" s="1016"/>
      <c r="H19" s="1028"/>
      <c r="I19" s="1029"/>
    </row>
    <row r="20" spans="1:9" ht="31.5" customHeight="1">
      <c r="A20" s="1064"/>
      <c r="B20" s="1041" t="s">
        <v>4377</v>
      </c>
      <c r="C20" s="1022">
        <v>1</v>
      </c>
      <c r="D20" s="1022">
        <v>1</v>
      </c>
      <c r="E20" s="1016"/>
      <c r="F20" s="1025"/>
      <c r="G20" s="1025"/>
      <c r="H20" s="1028">
        <f>PRODUCT(C20:G20)</f>
        <v>1</v>
      </c>
      <c r="I20" s="1029" t="s">
        <v>1454</v>
      </c>
    </row>
    <row r="21" spans="1:9" ht="31.5" customHeight="1">
      <c r="A21" s="1064"/>
      <c r="B21" s="1041" t="s">
        <v>4378</v>
      </c>
      <c r="C21" s="1022">
        <v>1</v>
      </c>
      <c r="D21" s="1022">
        <v>1</v>
      </c>
      <c r="E21" s="1016"/>
      <c r="F21" s="1016"/>
      <c r="G21" s="1016"/>
      <c r="H21" s="1028">
        <f>PRODUCT(C21:G21)</f>
        <v>1</v>
      </c>
      <c r="I21" s="1029" t="s">
        <v>1454</v>
      </c>
    </row>
    <row r="22" spans="1:9" ht="20.25">
      <c r="A22" s="1064"/>
      <c r="B22" s="1041"/>
      <c r="C22" s="1022"/>
      <c r="D22" s="1022"/>
      <c r="E22" s="1016"/>
      <c r="F22" s="1025"/>
      <c r="G22" s="1027"/>
      <c r="H22" s="1028"/>
      <c r="I22" s="1029"/>
    </row>
    <row r="23" spans="1:9" ht="136.5" customHeight="1">
      <c r="A23" s="1064">
        <v>5</v>
      </c>
      <c r="B23" s="1015" t="s">
        <v>4337</v>
      </c>
      <c r="C23" s="1033"/>
      <c r="D23" s="1033"/>
      <c r="E23" s="1038"/>
      <c r="F23" s="1038"/>
      <c r="G23" s="1038"/>
      <c r="H23" s="1034"/>
      <c r="I23" s="1039"/>
    </row>
    <row r="24" spans="1:9" ht="20.25">
      <c r="A24" s="1064"/>
      <c r="B24" s="1065" t="s">
        <v>4338</v>
      </c>
      <c r="C24" s="1033">
        <v>1</v>
      </c>
      <c r="D24" s="1033">
        <v>1</v>
      </c>
      <c r="E24" s="1038">
        <v>290</v>
      </c>
      <c r="F24" s="1038"/>
      <c r="G24" s="1038"/>
      <c r="H24" s="1024">
        <f>C24*D24*E24</f>
        <v>290</v>
      </c>
      <c r="I24" s="1039"/>
    </row>
    <row r="25" spans="1:9" ht="20.25">
      <c r="A25" s="1064"/>
      <c r="B25" s="1066"/>
      <c r="C25" s="1033"/>
      <c r="D25" s="1033"/>
      <c r="E25" s="1038"/>
      <c r="F25" s="1038"/>
      <c r="G25" s="1036" t="s">
        <v>2332</v>
      </c>
      <c r="H25" s="1036">
        <f>SUM(H24)</f>
        <v>290</v>
      </c>
      <c r="I25" s="1037" t="s">
        <v>840</v>
      </c>
    </row>
    <row r="26" spans="1:9" ht="20.25">
      <c r="A26" s="1064"/>
      <c r="B26" s="1066"/>
      <c r="C26" s="1033"/>
      <c r="D26" s="1033"/>
      <c r="E26" s="1038"/>
      <c r="F26" s="1038"/>
      <c r="G26" s="1036"/>
      <c r="H26" s="1036"/>
      <c r="I26" s="1037"/>
    </row>
    <row r="27" spans="1:9" ht="168" customHeight="1">
      <c r="A27" s="1064">
        <v>6</v>
      </c>
      <c r="B27" s="1015" t="s">
        <v>4359</v>
      </c>
      <c r="C27" s="1033"/>
      <c r="D27" s="1033"/>
      <c r="E27" s="1038"/>
      <c r="F27" s="1038"/>
      <c r="G27" s="1038"/>
      <c r="H27" s="1034"/>
      <c r="I27" s="1039"/>
    </row>
    <row r="28" spans="1:9" s="1050" customFormat="1" ht="27" customHeight="1">
      <c r="A28" s="1064"/>
      <c r="B28" s="1067" t="s">
        <v>4360</v>
      </c>
      <c r="C28" s="1022">
        <v>1</v>
      </c>
      <c r="D28" s="1022">
        <v>1</v>
      </c>
      <c r="E28" s="1016">
        <v>290</v>
      </c>
      <c r="F28" s="1016"/>
      <c r="G28" s="1016"/>
      <c r="H28" s="1024">
        <f>PRODUCT(C28:G28)</f>
        <v>290</v>
      </c>
      <c r="I28" s="1026"/>
    </row>
    <row r="29" spans="1:9" s="1050" customFormat="1" ht="27" customHeight="1">
      <c r="A29" s="1064"/>
      <c r="B29" s="1067" t="s">
        <v>4361</v>
      </c>
      <c r="C29" s="1022">
        <v>1</v>
      </c>
      <c r="D29" s="1022">
        <v>1</v>
      </c>
      <c r="E29" s="1016">
        <v>7</v>
      </c>
      <c r="F29" s="1016"/>
      <c r="G29" s="1016"/>
      <c r="H29" s="1024">
        <f>PRODUCT(C29:G29)</f>
        <v>7</v>
      </c>
      <c r="I29" s="1029"/>
    </row>
    <row r="30" spans="1:9" s="1050" customFormat="1" ht="27" customHeight="1">
      <c r="A30" s="1064"/>
      <c r="B30" s="1067" t="s">
        <v>4362</v>
      </c>
      <c r="C30" s="1022">
        <v>1</v>
      </c>
      <c r="D30" s="1022">
        <v>1</v>
      </c>
      <c r="E30" s="1016">
        <v>10</v>
      </c>
      <c r="F30" s="1016"/>
      <c r="G30" s="1016"/>
      <c r="H30" s="1024">
        <f>PRODUCT(C30:G30)</f>
        <v>10</v>
      </c>
      <c r="I30" s="1029"/>
    </row>
    <row r="31" spans="1:9" s="1050" customFormat="1" ht="27" customHeight="1">
      <c r="A31" s="1064"/>
      <c r="B31" s="1067"/>
      <c r="C31" s="1022"/>
      <c r="D31" s="1022"/>
      <c r="E31" s="1016"/>
      <c r="F31" s="1016"/>
      <c r="G31" s="1016"/>
      <c r="H31" s="1028">
        <f>SUM(H28:H30)</f>
        <v>307</v>
      </c>
      <c r="I31" s="1037" t="s">
        <v>3646</v>
      </c>
    </row>
    <row r="32" spans="1:9" ht="29.25" customHeight="1">
      <c r="A32" s="1064"/>
      <c r="B32" s="1065"/>
      <c r="C32" s="1033"/>
      <c r="D32" s="1033"/>
      <c r="E32" s="1038"/>
      <c r="F32" s="1038"/>
      <c r="G32" s="1038"/>
      <c r="H32" s="1028"/>
      <c r="I32" s="1037"/>
    </row>
    <row r="33" spans="1:9" ht="162">
      <c r="A33" s="1064">
        <v>7</v>
      </c>
      <c r="B33" s="1015" t="s">
        <v>4358</v>
      </c>
      <c r="C33" s="1033"/>
      <c r="D33" s="1033"/>
      <c r="E33" s="1038"/>
      <c r="F33" s="1038"/>
      <c r="G33" s="1036"/>
      <c r="H33" s="1036"/>
      <c r="I33" s="1037"/>
    </row>
    <row r="34" spans="1:9" s="1050" customFormat="1" ht="36" customHeight="1">
      <c r="A34" s="1064"/>
      <c r="B34" s="1041" t="s">
        <v>4364</v>
      </c>
      <c r="C34" s="1022">
        <v>1</v>
      </c>
      <c r="D34" s="1022">
        <v>1</v>
      </c>
      <c r="E34" s="1016">
        <v>30</v>
      </c>
      <c r="F34" s="1016"/>
      <c r="G34" s="1028"/>
      <c r="H34" s="1024">
        <f>C34*D34*E34</f>
        <v>30</v>
      </c>
      <c r="I34" s="1029"/>
    </row>
    <row r="35" spans="1:9" s="1050" customFormat="1" ht="40.5" customHeight="1">
      <c r="A35" s="1064"/>
      <c r="B35" s="1068" t="s">
        <v>4363</v>
      </c>
      <c r="C35" s="1022">
        <v>1</v>
      </c>
      <c r="D35" s="1022">
        <v>1</v>
      </c>
      <c r="E35" s="1016">
        <v>30</v>
      </c>
      <c r="F35" s="1016"/>
      <c r="G35" s="1028"/>
      <c r="H35" s="1024">
        <f>C35*D35*E35</f>
        <v>30</v>
      </c>
      <c r="I35" s="1029"/>
    </row>
    <row r="36" spans="1:9" ht="20.25">
      <c r="A36" s="1064"/>
      <c r="B36" s="1066"/>
      <c r="C36" s="1033"/>
      <c r="D36" s="1033"/>
      <c r="E36" s="1038"/>
      <c r="F36" s="1038"/>
      <c r="G36" s="1036"/>
      <c r="H36" s="1036">
        <f>SUM(H34:H35)</f>
        <v>60</v>
      </c>
      <c r="I36" s="1037" t="s">
        <v>840</v>
      </c>
    </row>
    <row r="37" spans="1:9" ht="20.25">
      <c r="A37" s="1064"/>
      <c r="B37" s="1066"/>
      <c r="C37" s="1033"/>
      <c r="D37" s="1033"/>
      <c r="E37" s="1038"/>
      <c r="F37" s="1038"/>
      <c r="G37" s="1036"/>
      <c r="H37" s="1036"/>
      <c r="I37" s="1037"/>
    </row>
    <row r="38" spans="1:9" ht="149.25" customHeight="1">
      <c r="A38" s="1064">
        <v>8</v>
      </c>
      <c r="B38" s="1015" t="s">
        <v>4339</v>
      </c>
      <c r="C38" s="1033"/>
      <c r="D38" s="1033"/>
      <c r="E38" s="1038"/>
      <c r="F38" s="1038"/>
      <c r="G38" s="1038"/>
      <c r="H38" s="1036"/>
      <c r="I38" s="1037"/>
    </row>
    <row r="39" spans="1:9" ht="20.25">
      <c r="A39" s="1064"/>
      <c r="B39" s="1015" t="s">
        <v>4340</v>
      </c>
      <c r="C39" s="1033"/>
      <c r="D39" s="1033"/>
      <c r="E39" s="1038"/>
      <c r="F39" s="1038"/>
      <c r="G39" s="1045"/>
      <c r="H39" s="1036"/>
      <c r="I39" s="1037"/>
    </row>
    <row r="40" spans="1:9" ht="20.25">
      <c r="A40" s="1064"/>
      <c r="B40" s="1015" t="s">
        <v>4357</v>
      </c>
      <c r="C40" s="1033">
        <v>1</v>
      </c>
      <c r="D40" s="1033">
        <v>1</v>
      </c>
      <c r="E40" s="1038">
        <v>7.5</v>
      </c>
      <c r="F40" s="1038"/>
      <c r="G40" s="1045"/>
      <c r="H40" s="1024">
        <f>PRODUCT(C40:G40)</f>
        <v>7.5</v>
      </c>
      <c r="I40" s="1037"/>
    </row>
    <row r="41" spans="1:9" ht="20.25">
      <c r="A41" s="1064"/>
      <c r="B41" s="1015"/>
      <c r="C41" s="1033"/>
      <c r="D41" s="1033"/>
      <c r="E41" s="1038"/>
      <c r="F41" s="1038"/>
      <c r="G41" s="1036" t="s">
        <v>2332</v>
      </c>
      <c r="H41" s="1036">
        <f>SUM(H40:H40)</f>
        <v>7.5</v>
      </c>
      <c r="I41" s="1037" t="s">
        <v>840</v>
      </c>
    </row>
    <row r="42" spans="1:9" ht="20.25">
      <c r="A42" s="1064"/>
      <c r="B42" s="1015"/>
      <c r="C42" s="1033"/>
      <c r="D42" s="1033"/>
      <c r="E42" s="1038"/>
      <c r="F42" s="1038"/>
      <c r="G42" s="1036"/>
      <c r="H42" s="1036"/>
      <c r="I42" s="1037"/>
    </row>
    <row r="43" spans="1:9" ht="20.25">
      <c r="A43" s="1064"/>
      <c r="B43" s="1015" t="s">
        <v>4356</v>
      </c>
      <c r="C43" s="1033"/>
      <c r="D43" s="1033"/>
      <c r="E43" s="1038"/>
      <c r="F43" s="1038"/>
      <c r="G43" s="1036"/>
      <c r="H43" s="1036"/>
      <c r="I43" s="1037"/>
    </row>
    <row r="44" spans="1:9" ht="20.25">
      <c r="A44" s="1064"/>
      <c r="B44" s="1015" t="s">
        <v>3821</v>
      </c>
      <c r="C44" s="1033">
        <v>1</v>
      </c>
      <c r="D44" s="1033">
        <v>1</v>
      </c>
      <c r="E44" s="1038">
        <v>3</v>
      </c>
      <c r="F44" s="1038"/>
      <c r="G44" s="1036"/>
      <c r="H44" s="1028">
        <f>PRODUCT(C44:G44)</f>
        <v>3</v>
      </c>
      <c r="I44" s="1037" t="s">
        <v>840</v>
      </c>
    </row>
    <row r="45" spans="1:9" ht="20.25">
      <c r="A45" s="1064"/>
      <c r="B45" s="1015"/>
      <c r="C45" s="1033"/>
      <c r="D45" s="1033"/>
      <c r="E45" s="1038"/>
      <c r="F45" s="1038"/>
      <c r="G45" s="1036"/>
      <c r="H45" s="1028"/>
      <c r="I45" s="1037"/>
    </row>
    <row r="46" spans="1:9" ht="60.75">
      <c r="A46" s="1064"/>
      <c r="B46" s="1015" t="s">
        <v>4374</v>
      </c>
      <c r="C46" s="1033"/>
      <c r="D46" s="1033"/>
      <c r="E46" s="1038"/>
      <c r="F46" s="1038"/>
      <c r="G46" s="1036"/>
      <c r="H46" s="1028"/>
      <c r="I46" s="1037"/>
    </row>
    <row r="47" spans="1:9" ht="20.25">
      <c r="A47" s="1064"/>
      <c r="B47" s="1015" t="s">
        <v>4375</v>
      </c>
      <c r="C47" s="1033"/>
      <c r="D47" s="1033"/>
      <c r="E47" s="1038"/>
      <c r="F47" s="1038"/>
      <c r="G47" s="1036"/>
      <c r="H47" s="1028">
        <f>H36</f>
        <v>60</v>
      </c>
      <c r="I47" s="1037" t="s">
        <v>840</v>
      </c>
    </row>
    <row r="48" spans="1:9" ht="20.25">
      <c r="A48" s="1064"/>
      <c r="B48" s="1015"/>
      <c r="C48" s="1033"/>
      <c r="D48" s="1033"/>
      <c r="E48" s="1038"/>
      <c r="F48" s="1038"/>
      <c r="G48" s="1036"/>
      <c r="H48" s="1036"/>
      <c r="I48" s="1037"/>
    </row>
    <row r="49" spans="1:9" ht="144.75" customHeight="1">
      <c r="A49" s="1064">
        <v>9</v>
      </c>
      <c r="B49" s="1015" t="s">
        <v>4341</v>
      </c>
      <c r="C49" s="1033"/>
      <c r="D49" s="1033"/>
      <c r="E49" s="1034"/>
      <c r="F49" s="1035"/>
      <c r="G49" s="1035"/>
      <c r="H49" s="1036"/>
      <c r="I49" s="1037"/>
    </row>
    <row r="50" spans="1:9" ht="26.25" customHeight="1">
      <c r="A50" s="1064"/>
      <c r="B50" s="1021" t="s">
        <v>4342</v>
      </c>
      <c r="C50" s="1033"/>
      <c r="D50" s="1033"/>
      <c r="E50" s="1038"/>
      <c r="F50" s="1035"/>
      <c r="G50" s="1035"/>
      <c r="H50" s="1024"/>
      <c r="I50" s="1037"/>
    </row>
    <row r="51" spans="1:9" ht="26.25" customHeight="1">
      <c r="A51" s="1064"/>
      <c r="B51" s="1015" t="s">
        <v>4343</v>
      </c>
      <c r="C51" s="1022">
        <v>1</v>
      </c>
      <c r="D51" s="1022">
        <v>2</v>
      </c>
      <c r="E51" s="1016"/>
      <c r="F51" s="1025"/>
      <c r="G51" s="1025"/>
      <c r="H51" s="1024">
        <f>PRODUCT(C51:G51)</f>
        <v>2</v>
      </c>
      <c r="I51" s="1039" t="s">
        <v>1492</v>
      </c>
    </row>
    <row r="52" spans="1:9" ht="26.25" customHeight="1">
      <c r="A52" s="1064"/>
      <c r="B52" s="1021" t="s">
        <v>4344</v>
      </c>
      <c r="C52" s="1033"/>
      <c r="D52" s="1033"/>
      <c r="E52" s="1038"/>
      <c r="F52" s="1035"/>
      <c r="G52" s="1035"/>
      <c r="H52" s="1024"/>
      <c r="I52" s="1039"/>
    </row>
    <row r="53" spans="1:9" ht="26.25" customHeight="1">
      <c r="A53" s="1064"/>
      <c r="B53" s="1015" t="s">
        <v>4345</v>
      </c>
      <c r="C53" s="1022">
        <v>1</v>
      </c>
      <c r="D53" s="1022">
        <v>1</v>
      </c>
      <c r="E53" s="1016"/>
      <c r="F53" s="1025"/>
      <c r="G53" s="1025"/>
      <c r="H53" s="1024">
        <f>PRODUCT(C53:G53)</f>
        <v>1</v>
      </c>
      <c r="I53" s="1039" t="s">
        <v>1454</v>
      </c>
    </row>
    <row r="54" spans="1:9" ht="26.25" customHeight="1">
      <c r="A54" s="1064"/>
      <c r="B54" s="1021" t="s">
        <v>4346</v>
      </c>
      <c r="C54" s="1022">
        <v>1</v>
      </c>
      <c r="D54" s="1022">
        <v>1</v>
      </c>
      <c r="E54" s="1016"/>
      <c r="F54" s="1025"/>
      <c r="G54" s="1025"/>
      <c r="H54" s="1024">
        <f t="shared" ref="H54:H62" si="0">PRODUCT(C54:G54)</f>
        <v>1</v>
      </c>
      <c r="I54" s="1026" t="s">
        <v>1454</v>
      </c>
    </row>
    <row r="55" spans="1:9" ht="26.25" customHeight="1">
      <c r="A55" s="1064"/>
      <c r="B55" s="1015" t="s">
        <v>4352</v>
      </c>
      <c r="C55" s="1022">
        <v>1</v>
      </c>
      <c r="D55" s="1022">
        <v>4</v>
      </c>
      <c r="E55" s="1016"/>
      <c r="F55" s="1025"/>
      <c r="G55" s="1025"/>
      <c r="H55" s="1024">
        <f>PRODUCT(C55:G55)</f>
        <v>4</v>
      </c>
      <c r="I55" s="1039" t="s">
        <v>1492</v>
      </c>
    </row>
    <row r="56" spans="1:9" ht="26.25" customHeight="1">
      <c r="A56" s="1064"/>
      <c r="B56" s="1032" t="s">
        <v>4448</v>
      </c>
      <c r="C56" s="1022">
        <v>1</v>
      </c>
      <c r="D56" s="1022">
        <v>2</v>
      </c>
      <c r="E56" s="1016"/>
      <c r="F56" s="1025"/>
      <c r="G56" s="1025"/>
      <c r="H56" s="1024">
        <f t="shared" si="0"/>
        <v>2</v>
      </c>
      <c r="I56" s="1026" t="s">
        <v>1492</v>
      </c>
    </row>
    <row r="57" spans="1:9" ht="26.25" customHeight="1">
      <c r="A57" s="1064"/>
      <c r="B57" s="1021" t="s">
        <v>4347</v>
      </c>
      <c r="C57" s="1022">
        <v>1</v>
      </c>
      <c r="D57" s="1022">
        <v>2</v>
      </c>
      <c r="E57" s="1016"/>
      <c r="F57" s="1025"/>
      <c r="G57" s="1025"/>
      <c r="H57" s="1024">
        <f t="shared" si="0"/>
        <v>2</v>
      </c>
      <c r="I57" s="1026" t="s">
        <v>1492</v>
      </c>
    </row>
    <row r="58" spans="1:9" ht="26.25" customHeight="1">
      <c r="A58" s="1064"/>
      <c r="B58" s="1021" t="s">
        <v>4348</v>
      </c>
      <c r="C58" s="1022">
        <v>1</v>
      </c>
      <c r="D58" s="1022">
        <v>2</v>
      </c>
      <c r="E58" s="1016"/>
      <c r="F58" s="1025"/>
      <c r="G58" s="1025"/>
      <c r="H58" s="1024">
        <f t="shared" si="0"/>
        <v>2</v>
      </c>
      <c r="I58" s="1026" t="s">
        <v>1492</v>
      </c>
    </row>
    <row r="59" spans="1:9" ht="26.25" customHeight="1">
      <c r="A59" s="1064"/>
      <c r="B59" s="1021" t="s">
        <v>4349</v>
      </c>
      <c r="C59" s="1022">
        <v>2</v>
      </c>
      <c r="D59" s="1022">
        <v>2</v>
      </c>
      <c r="E59" s="1016"/>
      <c r="F59" s="1025"/>
      <c r="G59" s="1025"/>
      <c r="H59" s="1024">
        <f t="shared" si="0"/>
        <v>4</v>
      </c>
      <c r="I59" s="1026" t="s">
        <v>1492</v>
      </c>
    </row>
    <row r="60" spans="1:9" ht="26.25" customHeight="1">
      <c r="A60" s="1064"/>
      <c r="B60" s="1041" t="s">
        <v>4429</v>
      </c>
      <c r="C60" s="1022">
        <v>1</v>
      </c>
      <c r="D60" s="1022">
        <v>2</v>
      </c>
      <c r="E60" s="1016"/>
      <c r="F60" s="1025"/>
      <c r="G60" s="1025"/>
      <c r="H60" s="1024">
        <f t="shared" si="0"/>
        <v>2</v>
      </c>
      <c r="I60" s="1026" t="s">
        <v>1492</v>
      </c>
    </row>
    <row r="61" spans="1:9" ht="40.5">
      <c r="A61" s="1064"/>
      <c r="B61" s="1041" t="s">
        <v>4449</v>
      </c>
      <c r="C61" s="1022">
        <v>1</v>
      </c>
      <c r="D61" s="1022">
        <v>1</v>
      </c>
      <c r="E61" s="1016"/>
      <c r="F61" s="1025"/>
      <c r="G61" s="1025"/>
      <c r="H61" s="1024">
        <f t="shared" si="0"/>
        <v>1</v>
      </c>
      <c r="I61" s="1026" t="s">
        <v>1454</v>
      </c>
    </row>
    <row r="62" spans="1:9" ht="26.25" customHeight="1">
      <c r="A62" s="1064"/>
      <c r="B62" s="1041" t="s">
        <v>4450</v>
      </c>
      <c r="C62" s="1022">
        <v>1</v>
      </c>
      <c r="D62" s="1022">
        <v>1</v>
      </c>
      <c r="E62" s="1016"/>
      <c r="F62" s="1025"/>
      <c r="G62" s="1025"/>
      <c r="H62" s="1024">
        <f t="shared" si="0"/>
        <v>1</v>
      </c>
      <c r="I62" s="1026" t="s">
        <v>1454</v>
      </c>
    </row>
    <row r="63" spans="1:9" ht="26.25" customHeight="1">
      <c r="A63" s="1064"/>
      <c r="B63" s="1041" t="s">
        <v>4451</v>
      </c>
      <c r="C63" s="1022">
        <v>1</v>
      </c>
      <c r="D63" s="1022">
        <v>1</v>
      </c>
      <c r="E63" s="1016"/>
      <c r="F63" s="1025"/>
      <c r="G63" s="1025"/>
      <c r="H63" s="1024">
        <v>1</v>
      </c>
      <c r="I63" s="1026" t="s">
        <v>1454</v>
      </c>
    </row>
    <row r="64" spans="1:9" ht="26.25" customHeight="1">
      <c r="A64" s="1064"/>
      <c r="B64" s="1041" t="s">
        <v>4452</v>
      </c>
      <c r="C64" s="1022">
        <v>1</v>
      </c>
      <c r="D64" s="1022">
        <v>2</v>
      </c>
      <c r="E64" s="1016"/>
      <c r="F64" s="1025"/>
      <c r="G64" s="1025"/>
      <c r="H64" s="1024">
        <v>2</v>
      </c>
      <c r="I64" s="1026" t="s">
        <v>1492</v>
      </c>
    </row>
    <row r="65" spans="1:9" ht="26.25" customHeight="1">
      <c r="A65" s="1064"/>
      <c r="B65" s="1041" t="s">
        <v>4453</v>
      </c>
      <c r="C65" s="1022">
        <v>1</v>
      </c>
      <c r="D65" s="1022">
        <v>2</v>
      </c>
      <c r="E65" s="1016"/>
      <c r="F65" s="1025"/>
      <c r="G65" s="1025"/>
      <c r="H65" s="1024">
        <v>2</v>
      </c>
      <c r="I65" s="1026" t="s">
        <v>1492</v>
      </c>
    </row>
    <row r="66" spans="1:9" ht="26.25" customHeight="1">
      <c r="A66" s="1064"/>
      <c r="B66" s="1041" t="s">
        <v>4454</v>
      </c>
      <c r="C66" s="1022">
        <v>1</v>
      </c>
      <c r="D66" s="1022">
        <v>2</v>
      </c>
      <c r="E66" s="1016"/>
      <c r="F66" s="1025"/>
      <c r="G66" s="1025"/>
      <c r="H66" s="1024">
        <v>2</v>
      </c>
      <c r="I66" s="1026" t="s">
        <v>1492</v>
      </c>
    </row>
    <row r="67" spans="1:9" ht="26.25" customHeight="1">
      <c r="A67" s="1064"/>
      <c r="B67" s="1041" t="s">
        <v>4455</v>
      </c>
      <c r="C67" s="1022">
        <v>1</v>
      </c>
      <c r="D67" s="1022">
        <v>2</v>
      </c>
      <c r="E67" s="1016"/>
      <c r="F67" s="1025"/>
      <c r="G67" s="1025"/>
      <c r="H67" s="1024">
        <v>2</v>
      </c>
      <c r="I67" s="1026" t="s">
        <v>1492</v>
      </c>
    </row>
    <row r="68" spans="1:9" ht="26.25" customHeight="1">
      <c r="A68" s="1064"/>
      <c r="B68" s="1041" t="s">
        <v>4456</v>
      </c>
      <c r="C68" s="1022">
        <v>1</v>
      </c>
      <c r="D68" s="1022">
        <v>2</v>
      </c>
      <c r="E68" s="1016"/>
      <c r="F68" s="1025"/>
      <c r="G68" s="1025"/>
      <c r="H68" s="1024">
        <v>2</v>
      </c>
      <c r="I68" s="1026" t="s">
        <v>1492</v>
      </c>
    </row>
    <row r="69" spans="1:9" s="1049" customFormat="1" ht="20.25">
      <c r="A69" s="1064"/>
      <c r="B69" s="1041"/>
      <c r="C69" s="1022"/>
      <c r="D69" s="1022"/>
      <c r="E69" s="1016"/>
      <c r="F69" s="1025"/>
      <c r="G69" s="1025"/>
      <c r="H69" s="1024"/>
      <c r="I69" s="1026"/>
    </row>
    <row r="70" spans="1:9" ht="60.75">
      <c r="A70" s="1064">
        <v>10</v>
      </c>
      <c r="B70" s="1015" t="s">
        <v>4353</v>
      </c>
      <c r="C70" s="1042"/>
      <c r="D70" s="1042"/>
      <c r="E70" s="1038"/>
      <c r="F70" s="1033"/>
      <c r="G70" s="1033"/>
      <c r="H70" s="1043"/>
      <c r="I70" s="1037"/>
    </row>
    <row r="71" spans="1:9" ht="24" customHeight="1">
      <c r="A71" s="1064"/>
      <c r="B71" s="1020" t="s">
        <v>4354</v>
      </c>
      <c r="C71" s="1044"/>
      <c r="D71" s="1044"/>
      <c r="E71" s="1045"/>
      <c r="F71" s="1046"/>
      <c r="G71" s="1046"/>
      <c r="H71" s="1043"/>
      <c r="I71" s="1037"/>
    </row>
    <row r="72" spans="1:9" ht="24" customHeight="1">
      <c r="A72" s="1064"/>
      <c r="B72" s="1020" t="s">
        <v>4350</v>
      </c>
      <c r="C72" s="1033">
        <v>1</v>
      </c>
      <c r="D72" s="1033">
        <v>1</v>
      </c>
      <c r="E72" s="1038">
        <v>30</v>
      </c>
      <c r="F72" s="1038"/>
      <c r="G72" s="1038"/>
      <c r="H72" s="1024">
        <f>PRODUCT(C72:G72)</f>
        <v>30</v>
      </c>
      <c r="I72" s="1037"/>
    </row>
    <row r="73" spans="1:9" ht="24" customHeight="1">
      <c r="A73" s="1064"/>
      <c r="B73" s="1020" t="s">
        <v>4351</v>
      </c>
      <c r="C73" s="1033">
        <v>1</v>
      </c>
      <c r="D73" s="1033">
        <v>1</v>
      </c>
      <c r="E73" s="1038">
        <v>45</v>
      </c>
      <c r="F73" s="1038"/>
      <c r="G73" s="1038"/>
      <c r="H73" s="1024">
        <f>PRODUCT(C73:G73)</f>
        <v>45</v>
      </c>
      <c r="I73" s="1037"/>
    </row>
    <row r="74" spans="1:9" ht="24" customHeight="1">
      <c r="A74" s="1064"/>
      <c r="B74" s="1020"/>
      <c r="C74" s="1033"/>
      <c r="D74" s="1033"/>
      <c r="E74" s="1038"/>
      <c r="F74" s="1038"/>
      <c r="G74" s="1036" t="s">
        <v>2332</v>
      </c>
      <c r="H74" s="1036">
        <f>SUM(H72:H73)</f>
        <v>75</v>
      </c>
      <c r="I74" s="1037" t="s">
        <v>840</v>
      </c>
    </row>
    <row r="75" spans="1:9" ht="24" customHeight="1">
      <c r="A75" s="1064"/>
      <c r="B75" s="1020"/>
      <c r="C75" s="1033"/>
      <c r="D75" s="1033"/>
      <c r="E75" s="1038"/>
      <c r="F75" s="1038"/>
      <c r="G75" s="1036"/>
      <c r="H75" s="1036"/>
      <c r="I75" s="1037"/>
    </row>
    <row r="76" spans="1:9" s="1049" customFormat="1" ht="40.5">
      <c r="A76" s="1064"/>
      <c r="B76" s="1041" t="s">
        <v>4355</v>
      </c>
      <c r="C76" s="1022">
        <v>1</v>
      </c>
      <c r="D76" s="1022">
        <v>1</v>
      </c>
      <c r="E76" s="1016">
        <v>20</v>
      </c>
      <c r="F76" s="1016"/>
      <c r="G76" s="1028"/>
      <c r="H76" s="1028">
        <v>17</v>
      </c>
      <c r="I76" s="1029" t="s">
        <v>840</v>
      </c>
    </row>
    <row r="77" spans="1:9" ht="20.25">
      <c r="A77" s="1064"/>
      <c r="B77" s="1041"/>
      <c r="C77" s="1033"/>
      <c r="D77" s="1033"/>
      <c r="E77" s="1038"/>
      <c r="F77" s="1038"/>
      <c r="G77" s="1036"/>
      <c r="H77" s="1036"/>
      <c r="I77" s="1037"/>
    </row>
    <row r="78" spans="1:9" ht="141.75">
      <c r="A78" s="1064">
        <v>11</v>
      </c>
      <c r="B78" s="1023" t="s">
        <v>4330</v>
      </c>
      <c r="C78" s="1042"/>
      <c r="D78" s="1042"/>
      <c r="E78" s="1047"/>
      <c r="F78" s="1047"/>
      <c r="G78" s="1047"/>
      <c r="H78" s="1048"/>
      <c r="I78" s="1037"/>
    </row>
    <row r="79" spans="1:9" ht="20.25">
      <c r="A79" s="1064"/>
      <c r="B79" s="1020" t="s">
        <v>4370</v>
      </c>
      <c r="C79" s="1033"/>
      <c r="D79" s="1033"/>
      <c r="E79" s="1038"/>
      <c r="F79" s="1038"/>
      <c r="G79" s="1038"/>
      <c r="H79" s="1024"/>
      <c r="I79" s="1037"/>
    </row>
    <row r="80" spans="1:9" ht="20.25">
      <c r="A80" s="1064"/>
      <c r="B80" s="1020" t="s">
        <v>4369</v>
      </c>
      <c r="C80" s="1033">
        <v>1</v>
      </c>
      <c r="D80" s="1033">
        <v>2</v>
      </c>
      <c r="E80" s="1038"/>
      <c r="F80" s="1038"/>
      <c r="G80" s="1038"/>
      <c r="H80" s="1024">
        <f>PRODUCT(C80:G80)</f>
        <v>2</v>
      </c>
      <c r="I80" s="1037"/>
    </row>
    <row r="81" spans="1:9" ht="20.25">
      <c r="A81" s="1064"/>
      <c r="B81" s="1020"/>
      <c r="C81" s="1033"/>
      <c r="D81" s="1033"/>
      <c r="E81" s="1038"/>
      <c r="F81" s="1038"/>
      <c r="G81" s="1036" t="s">
        <v>2332</v>
      </c>
      <c r="H81" s="1036">
        <f>SUM(H80)</f>
        <v>2</v>
      </c>
      <c r="I81" s="1037" t="s">
        <v>1454</v>
      </c>
    </row>
    <row r="82" spans="1:9" ht="20.25">
      <c r="A82" s="1064"/>
      <c r="B82" s="1020"/>
      <c r="C82" s="1033"/>
      <c r="D82" s="1033"/>
      <c r="E82" s="1038"/>
      <c r="F82" s="1038"/>
      <c r="G82" s="1036"/>
      <c r="H82" s="1036"/>
      <c r="I82" s="1037"/>
    </row>
    <row r="83" spans="1:9" ht="20.25">
      <c r="A83" s="1064"/>
      <c r="B83" s="1020" t="s">
        <v>4371</v>
      </c>
      <c r="C83" s="1033">
        <v>1</v>
      </c>
      <c r="D83" s="1033">
        <v>31</v>
      </c>
      <c r="E83" s="1038"/>
      <c r="F83" s="1038"/>
      <c r="G83" s="1038"/>
      <c r="H83" s="1024">
        <f>C83*D83</f>
        <v>31</v>
      </c>
      <c r="I83" s="1037"/>
    </row>
    <row r="84" spans="1:9" ht="20.25">
      <c r="A84" s="1064"/>
      <c r="B84" s="1020"/>
      <c r="C84" s="1033"/>
      <c r="D84" s="1033"/>
      <c r="E84" s="1038"/>
      <c r="F84" s="1038"/>
      <c r="G84" s="1036" t="s">
        <v>2332</v>
      </c>
      <c r="H84" s="1036">
        <f>H83</f>
        <v>31</v>
      </c>
      <c r="I84" s="1037" t="s">
        <v>1492</v>
      </c>
    </row>
    <row r="85" spans="1:9" ht="20.25">
      <c r="A85" s="1064"/>
      <c r="B85" s="1020"/>
      <c r="C85" s="1033"/>
      <c r="D85" s="1033"/>
      <c r="E85" s="1038"/>
      <c r="F85" s="1038"/>
      <c r="G85" s="1036"/>
      <c r="H85" s="1036"/>
      <c r="I85" s="1037"/>
    </row>
    <row r="86" spans="1:9" ht="20.25">
      <c r="A86" s="1064"/>
      <c r="B86" s="1020" t="s">
        <v>4379</v>
      </c>
      <c r="C86" s="1033"/>
      <c r="D86" s="1033"/>
      <c r="E86" s="1038"/>
      <c r="F86" s="1038"/>
      <c r="G86" s="1036"/>
      <c r="H86" s="1036"/>
      <c r="I86" s="1037"/>
    </row>
    <row r="87" spans="1:9" ht="20.25">
      <c r="A87" s="1064"/>
      <c r="B87" s="1020"/>
      <c r="C87" s="1033">
        <v>1</v>
      </c>
      <c r="D87" s="1033">
        <v>14</v>
      </c>
      <c r="E87" s="1038"/>
      <c r="F87" s="1038"/>
      <c r="G87" s="1038"/>
      <c r="H87" s="1024">
        <f>C87*D87</f>
        <v>14</v>
      </c>
      <c r="I87" s="1037"/>
    </row>
    <row r="88" spans="1:9" ht="20.25">
      <c r="A88" s="1064"/>
      <c r="B88" s="1020"/>
      <c r="C88" s="1033"/>
      <c r="D88" s="1033"/>
      <c r="E88" s="1038"/>
      <c r="F88" s="1038"/>
      <c r="G88" s="1036" t="s">
        <v>2332</v>
      </c>
      <c r="H88" s="1036">
        <f>H87</f>
        <v>14</v>
      </c>
      <c r="I88" s="1037" t="s">
        <v>1492</v>
      </c>
    </row>
    <row r="89" spans="1:9" ht="20.25">
      <c r="A89" s="1064"/>
      <c r="B89" s="1020"/>
      <c r="C89" s="1033"/>
      <c r="D89" s="1033"/>
      <c r="E89" s="1038"/>
      <c r="F89" s="1038"/>
      <c r="G89" s="1036"/>
      <c r="H89" s="1036"/>
      <c r="I89" s="1037"/>
    </row>
    <row r="90" spans="1:9" ht="81">
      <c r="A90" s="1064">
        <v>12</v>
      </c>
      <c r="B90" s="1020" t="s">
        <v>4372</v>
      </c>
      <c r="C90" s="1033"/>
      <c r="D90" s="1033"/>
      <c r="E90" s="1038"/>
      <c r="F90" s="1038"/>
      <c r="G90" s="1036"/>
      <c r="H90" s="1036"/>
      <c r="I90" s="1037"/>
    </row>
    <row r="91" spans="1:9" s="1050" customFormat="1" ht="29.25" customHeight="1">
      <c r="A91" s="1064"/>
      <c r="B91" s="1032" t="s">
        <v>4373</v>
      </c>
      <c r="C91" s="1022">
        <v>1</v>
      </c>
      <c r="D91" s="1022">
        <v>15</v>
      </c>
      <c r="E91" s="1016"/>
      <c r="F91" s="1016"/>
      <c r="G91" s="1016"/>
      <c r="H91" s="1028">
        <f>ROUND(PRODUCT(C91:G91),2)</f>
        <v>15</v>
      </c>
      <c r="I91" s="1029" t="s">
        <v>1492</v>
      </c>
    </row>
    <row r="92" spans="1:9" ht="20.25">
      <c r="A92" s="1031"/>
      <c r="B92" s="1020"/>
      <c r="C92" s="1033"/>
      <c r="D92" s="1033"/>
      <c r="E92" s="1038"/>
      <c r="F92" s="1038"/>
      <c r="G92" s="1036"/>
      <c r="H92" s="1036"/>
      <c r="I92" s="1037"/>
    </row>
    <row r="93" spans="1:9" ht="25.5" customHeight="1">
      <c r="A93" s="1031"/>
      <c r="B93" s="1020" t="s">
        <v>4332</v>
      </c>
      <c r="C93" s="1033"/>
      <c r="D93" s="1033"/>
      <c r="E93" s="1038" t="s">
        <v>448</v>
      </c>
      <c r="F93" s="1038"/>
      <c r="G93" s="1036"/>
      <c r="H93" s="1036"/>
      <c r="I93" s="1037"/>
    </row>
    <row r="94" spans="1:9" ht="25.5" customHeight="1">
      <c r="A94" s="1069"/>
      <c r="B94" s="1020" t="s">
        <v>4333</v>
      </c>
      <c r="C94" s="1069"/>
      <c r="D94" s="1069"/>
      <c r="E94" s="1038" t="s">
        <v>448</v>
      </c>
      <c r="F94" s="1069"/>
      <c r="G94" s="1069"/>
      <c r="H94" s="1069"/>
      <c r="I94" s="1069"/>
    </row>
    <row r="95" spans="1:9" ht="25.5" customHeight="1">
      <c r="A95" s="1069"/>
      <c r="B95" s="1020" t="s">
        <v>4334</v>
      </c>
      <c r="C95" s="1069"/>
      <c r="D95" s="1069"/>
      <c r="E95" s="1038" t="s">
        <v>448</v>
      </c>
      <c r="F95" s="1069"/>
      <c r="G95" s="1069"/>
      <c r="H95" s="1069"/>
      <c r="I95" s="1069"/>
    </row>
    <row r="96" spans="1:9">
      <c r="A96" s="1069"/>
      <c r="B96" s="1069"/>
      <c r="C96" s="1069"/>
      <c r="D96" s="1069"/>
      <c r="E96" s="1069"/>
      <c r="F96" s="1069"/>
      <c r="G96" s="1069"/>
      <c r="H96" s="1069"/>
      <c r="I96" s="1069"/>
    </row>
    <row r="97" spans="1:9">
      <c r="A97" s="1069"/>
      <c r="B97" s="1069"/>
      <c r="C97" s="1069"/>
      <c r="D97" s="1069"/>
      <c r="E97" s="1069"/>
      <c r="F97" s="1069"/>
      <c r="G97" s="1069"/>
      <c r="H97" s="1069"/>
      <c r="I97" s="1069"/>
    </row>
  </sheetData>
  <mergeCells count="9">
    <mergeCell ref="A1:I1"/>
    <mergeCell ref="A2:I2"/>
    <mergeCell ref="A3:I3"/>
    <mergeCell ref="A4:I4"/>
    <mergeCell ref="A5:A6"/>
    <mergeCell ref="B5:B6"/>
    <mergeCell ref="C5:D6"/>
    <mergeCell ref="E5:G5"/>
    <mergeCell ref="H5:I6"/>
  </mergeCells>
  <printOptions horizontalCentered="1"/>
  <pageMargins left="0.75" right="0.2" top="0.75" bottom="0.5" header="0.3" footer="0.3"/>
  <pageSetup paperSize="9" scale="80" orientation="portrait" r:id="rId1"/>
  <drawing r:id="rId2"/>
</worksheet>
</file>

<file path=xl/worksheets/sheet51.xml><?xml version="1.0" encoding="utf-8"?>
<worksheet xmlns="http://schemas.openxmlformats.org/spreadsheetml/2006/main" xmlns:r="http://schemas.openxmlformats.org/officeDocument/2006/relationships">
  <dimension ref="A1:F22"/>
  <sheetViews>
    <sheetView view="pageBreakPreview" topLeftCell="A10" zoomScaleSheetLayoutView="100" workbookViewId="0">
      <selection activeCell="D23" sqref="D23"/>
    </sheetView>
  </sheetViews>
  <sheetFormatPr defaultRowHeight="15.75"/>
  <cols>
    <col min="1" max="1" width="5" customWidth="1"/>
    <col min="2" max="2" width="8" customWidth="1"/>
    <col min="3" max="3" width="37.5546875" customWidth="1"/>
    <col min="4" max="4" width="7.77734375" customWidth="1"/>
    <col min="5" max="5" width="6.88671875" customWidth="1"/>
    <col min="6" max="6" width="9.44140625" customWidth="1"/>
  </cols>
  <sheetData>
    <row r="1" spans="1:6" ht="51.75" customHeight="1">
      <c r="A1" s="1262" t="s">
        <v>4193</v>
      </c>
      <c r="B1" s="1263"/>
      <c r="C1" s="1263"/>
      <c r="D1" s="1263"/>
      <c r="E1" s="1263"/>
      <c r="F1" s="1264"/>
    </row>
    <row r="2" spans="1:6" ht="24.75" customHeight="1">
      <c r="A2" s="1205" t="s">
        <v>4190</v>
      </c>
      <c r="B2" s="1205"/>
      <c r="C2" s="1205"/>
      <c r="D2" s="1205"/>
      <c r="E2" s="1205"/>
      <c r="F2" s="1205"/>
    </row>
    <row r="3" spans="1:6">
      <c r="A3" s="878" t="s">
        <v>3747</v>
      </c>
      <c r="B3" s="879" t="s">
        <v>1070</v>
      </c>
      <c r="C3" s="879" t="s">
        <v>3748</v>
      </c>
      <c r="D3" s="879" t="s">
        <v>100</v>
      </c>
      <c r="E3" s="879" t="s">
        <v>3764</v>
      </c>
      <c r="F3" s="879" t="s">
        <v>994</v>
      </c>
    </row>
    <row r="4" spans="1:6" ht="60">
      <c r="A4" s="822">
        <v>1</v>
      </c>
      <c r="B4" s="870"/>
      <c r="C4" s="862" t="s">
        <v>4177</v>
      </c>
      <c r="D4" s="870"/>
      <c r="E4" s="844"/>
      <c r="F4" s="844"/>
    </row>
    <row r="5" spans="1:6">
      <c r="A5" s="822"/>
      <c r="B5" s="870">
        <f>'Sullage Detailed'!H9</f>
        <v>13.3</v>
      </c>
      <c r="C5" s="862" t="s">
        <v>4093</v>
      </c>
      <c r="D5" s="870">
        <f>[1]Data!$K$132</f>
        <v>75.900000000000006</v>
      </c>
      <c r="E5" s="844" t="s">
        <v>3902</v>
      </c>
      <c r="F5" s="844">
        <f>B5*D5</f>
        <v>1009.47</v>
      </c>
    </row>
    <row r="6" spans="1:6">
      <c r="A6" s="822"/>
      <c r="B6" s="870"/>
      <c r="C6" s="862"/>
      <c r="D6" s="870"/>
      <c r="E6" s="844"/>
      <c r="F6" s="844"/>
    </row>
    <row r="7" spans="1:6" ht="60">
      <c r="A7" s="822">
        <v>2</v>
      </c>
      <c r="B7" s="870">
        <f>'Sullage Detailed'!H15</f>
        <v>6.7</v>
      </c>
      <c r="C7" s="850" t="s">
        <v>4094</v>
      </c>
      <c r="D7" s="870">
        <f>[1]Data!$K$203</f>
        <v>3073.98</v>
      </c>
      <c r="E7" s="844" t="s">
        <v>3902</v>
      </c>
      <c r="F7" s="844">
        <f t="shared" ref="F7:F20" si="0">B7*D7</f>
        <v>20595.669999999998</v>
      </c>
    </row>
    <row r="8" spans="1:6" ht="18.75">
      <c r="A8" s="822"/>
      <c r="B8" s="870"/>
      <c r="C8" s="862"/>
      <c r="D8" s="883"/>
      <c r="E8" s="844"/>
      <c r="F8" s="844"/>
    </row>
    <row r="9" spans="1:6" ht="45">
      <c r="A9" s="822">
        <v>3</v>
      </c>
      <c r="B9" s="870">
        <f>'Sullage Detailed'!H21</f>
        <v>1.85</v>
      </c>
      <c r="C9" s="850" t="s">
        <v>4092</v>
      </c>
      <c r="D9" s="870">
        <v>4446.42</v>
      </c>
      <c r="E9" s="844" t="s">
        <v>3902</v>
      </c>
      <c r="F9" s="844">
        <f t="shared" si="0"/>
        <v>8225.8799999999992</v>
      </c>
    </row>
    <row r="10" spans="1:6">
      <c r="A10" s="822"/>
      <c r="B10" s="870"/>
      <c r="C10" s="862"/>
      <c r="D10" s="870"/>
      <c r="E10" s="844"/>
      <c r="F10" s="844"/>
    </row>
    <row r="11" spans="1:6" ht="30">
      <c r="A11" s="822">
        <v>4</v>
      </c>
      <c r="B11" s="870"/>
      <c r="C11" s="850" t="s">
        <v>4096</v>
      </c>
      <c r="D11" s="870"/>
      <c r="E11" s="844"/>
      <c r="F11" s="844"/>
    </row>
    <row r="12" spans="1:6">
      <c r="A12" s="822"/>
      <c r="B12" s="870">
        <f>'Sullage Detailed'!H29</f>
        <v>39</v>
      </c>
      <c r="C12" s="850" t="s">
        <v>4179</v>
      </c>
      <c r="D12" s="870">
        <v>537.65</v>
      </c>
      <c r="E12" s="844" t="s">
        <v>4121</v>
      </c>
      <c r="F12" s="844">
        <f t="shared" si="0"/>
        <v>20968.349999999999</v>
      </c>
    </row>
    <row r="13" spans="1:6">
      <c r="A13" s="822"/>
      <c r="B13" s="870"/>
      <c r="C13" s="862"/>
      <c r="D13" s="870"/>
      <c r="E13" s="844"/>
      <c r="F13" s="844"/>
    </row>
    <row r="14" spans="1:6" ht="30">
      <c r="A14" s="822">
        <v>5</v>
      </c>
      <c r="B14" s="870">
        <f>'Sullage Detailed'!H35</f>
        <v>10.1</v>
      </c>
      <c r="C14" s="862" t="s">
        <v>4182</v>
      </c>
      <c r="D14" s="870">
        <f>[1]Data!$K$1160</f>
        <v>265.72000000000003</v>
      </c>
      <c r="E14" s="871" t="s">
        <v>4121</v>
      </c>
      <c r="F14" s="844">
        <f t="shared" si="0"/>
        <v>2683.77</v>
      </c>
    </row>
    <row r="15" spans="1:6">
      <c r="A15" s="822"/>
      <c r="B15" s="870"/>
      <c r="C15" s="862"/>
      <c r="D15" s="870"/>
      <c r="E15" s="871"/>
      <c r="F15" s="844"/>
    </row>
    <row r="16" spans="1:6" ht="45">
      <c r="A16" s="822">
        <v>6</v>
      </c>
      <c r="B16" s="870">
        <f>'Sullage Detailed'!H41</f>
        <v>33.6</v>
      </c>
      <c r="C16" s="819" t="s">
        <v>3950</v>
      </c>
      <c r="D16" s="870">
        <f>[1]Data!$K$1343</f>
        <v>136.82</v>
      </c>
      <c r="E16" s="871" t="s">
        <v>4121</v>
      </c>
      <c r="F16" s="844">
        <f t="shared" si="0"/>
        <v>4597.1499999999996</v>
      </c>
    </row>
    <row r="17" spans="1:6">
      <c r="A17" s="822"/>
      <c r="B17" s="870"/>
      <c r="C17" s="862"/>
      <c r="D17" s="870"/>
      <c r="E17" s="844"/>
      <c r="F17" s="844"/>
    </row>
    <row r="18" spans="1:6" ht="30">
      <c r="A18" s="822">
        <v>7</v>
      </c>
      <c r="B18" s="870">
        <f>'Sullage Detailed'!H47</f>
        <v>1.1000000000000001</v>
      </c>
      <c r="C18" s="819" t="s">
        <v>4185</v>
      </c>
      <c r="D18" s="870">
        <f>[1]Data!$K$233</f>
        <v>2567.67</v>
      </c>
      <c r="E18" s="844" t="s">
        <v>3902</v>
      </c>
      <c r="F18" s="844">
        <f t="shared" si="0"/>
        <v>2824.44</v>
      </c>
    </row>
    <row r="19" spans="1:6">
      <c r="A19" s="822"/>
      <c r="B19" s="870"/>
      <c r="C19" s="862"/>
      <c r="D19" s="870"/>
      <c r="E19" s="844"/>
      <c r="F19" s="844"/>
    </row>
    <row r="20" spans="1:6" ht="45">
      <c r="A20" s="822">
        <v>8</v>
      </c>
      <c r="B20" s="870">
        <f>'Sullage Detailed'!H55</f>
        <v>31.4</v>
      </c>
      <c r="C20" s="819" t="s">
        <v>3903</v>
      </c>
      <c r="D20" s="870">
        <f>[1]Data!$K$1329</f>
        <v>130.37</v>
      </c>
      <c r="E20" s="844" t="s">
        <v>4121</v>
      </c>
      <c r="F20" s="844">
        <f t="shared" si="0"/>
        <v>4093.62</v>
      </c>
    </row>
    <row r="21" spans="1:6">
      <c r="A21" s="822"/>
      <c r="B21" s="870"/>
      <c r="C21" s="819"/>
      <c r="D21" s="870"/>
      <c r="E21" s="844"/>
      <c r="F21" s="844"/>
    </row>
    <row r="22" spans="1:6" ht="26.25" customHeight="1">
      <c r="A22" s="822"/>
      <c r="B22" s="870"/>
      <c r="C22" s="875" t="s">
        <v>2332</v>
      </c>
      <c r="D22" s="870"/>
      <c r="E22" s="844"/>
      <c r="F22" s="820">
        <f>SUM(F5:F20)</f>
        <v>64998.35</v>
      </c>
    </row>
  </sheetData>
  <mergeCells count="2">
    <mergeCell ref="A1:F1"/>
    <mergeCell ref="A2:F2"/>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dimension ref="A1:I110"/>
  <sheetViews>
    <sheetView view="pageBreakPreview" topLeftCell="A51" zoomScale="106" zoomScaleSheetLayoutView="106" workbookViewId="0">
      <selection activeCell="H63" sqref="H63"/>
    </sheetView>
  </sheetViews>
  <sheetFormatPr defaultRowHeight="15.75"/>
  <cols>
    <col min="1" max="1" width="3.88671875" customWidth="1"/>
    <col min="2" max="2" width="37.88671875" style="813" customWidth="1"/>
    <col min="3" max="3" width="3.109375" customWidth="1"/>
    <col min="4" max="4" width="5.88671875" customWidth="1"/>
    <col min="5" max="5" width="7.5546875" customWidth="1"/>
    <col min="6" max="6" width="7.77734375" customWidth="1"/>
    <col min="7" max="7" width="7.5546875" customWidth="1"/>
    <col min="8" max="8" width="8.109375" customWidth="1"/>
    <col min="10" max="11" width="9" bestFit="1" customWidth="1"/>
  </cols>
  <sheetData>
    <row r="1" spans="1:8" ht="54.75" customHeight="1">
      <c r="A1" s="1205" t="s">
        <v>4193</v>
      </c>
      <c r="B1" s="1205"/>
      <c r="C1" s="1205"/>
      <c r="D1" s="1205"/>
      <c r="E1" s="1205"/>
      <c r="F1" s="1205"/>
      <c r="G1" s="1205"/>
      <c r="H1" s="1205"/>
    </row>
    <row r="2" spans="1:8" ht="27.75" customHeight="1">
      <c r="A2" s="1262" t="s">
        <v>4151</v>
      </c>
      <c r="B2" s="1263"/>
      <c r="C2" s="1263"/>
      <c r="D2" s="1263"/>
      <c r="E2" s="1263"/>
      <c r="F2" s="1263"/>
      <c r="G2" s="1263"/>
      <c r="H2" s="1264"/>
    </row>
    <row r="3" spans="1:8" ht="31.5">
      <c r="A3" s="889" t="s">
        <v>3747</v>
      </c>
      <c r="B3" s="888" t="s">
        <v>3748</v>
      </c>
      <c r="C3" s="1277" t="s">
        <v>1454</v>
      </c>
      <c r="D3" s="1277"/>
      <c r="E3" s="888" t="s">
        <v>3751</v>
      </c>
      <c r="F3" s="888" t="s">
        <v>3752</v>
      </c>
      <c r="G3" s="888" t="s">
        <v>3753</v>
      </c>
      <c r="H3" s="888" t="s">
        <v>1669</v>
      </c>
    </row>
    <row r="4" spans="1:8" ht="60">
      <c r="A4" s="863">
        <v>1</v>
      </c>
      <c r="B4" s="862" t="s">
        <v>4142</v>
      </c>
      <c r="C4" s="864"/>
      <c r="D4" s="865"/>
      <c r="E4" s="866"/>
      <c r="F4" s="866"/>
      <c r="G4" s="866"/>
      <c r="H4" s="866"/>
    </row>
    <row r="5" spans="1:8">
      <c r="A5" s="863"/>
      <c r="B5" s="862" t="s">
        <v>4093</v>
      </c>
      <c r="C5" s="867"/>
      <c r="D5" s="867"/>
      <c r="E5" s="862"/>
      <c r="F5" s="862"/>
      <c r="G5" s="862"/>
      <c r="H5" s="866"/>
    </row>
    <row r="6" spans="1:8">
      <c r="A6" s="863"/>
      <c r="B6" s="862" t="s">
        <v>4152</v>
      </c>
      <c r="C6" s="867">
        <v>1</v>
      </c>
      <c r="D6" s="897">
        <v>0.78500000000000003</v>
      </c>
      <c r="E6" s="862">
        <v>3.36</v>
      </c>
      <c r="F6" s="862">
        <v>3.36</v>
      </c>
      <c r="G6" s="862">
        <v>1.8</v>
      </c>
      <c r="H6" s="866">
        <f>ROUND(PRODUCT(C6:G6),2)</f>
        <v>15.95</v>
      </c>
    </row>
    <row r="7" spans="1:8">
      <c r="A7" s="863"/>
      <c r="B7" s="862"/>
      <c r="C7" s="867"/>
      <c r="D7" s="867"/>
      <c r="E7" s="862"/>
      <c r="F7" s="862"/>
      <c r="G7" s="866" t="s">
        <v>2332</v>
      </c>
      <c r="H7" s="868">
        <f>SUM(H5:H6)</f>
        <v>15.95</v>
      </c>
    </row>
    <row r="8" spans="1:8">
      <c r="A8" s="863"/>
      <c r="B8" s="862"/>
      <c r="C8" s="867"/>
      <c r="D8" s="867"/>
      <c r="E8" s="862"/>
      <c r="F8" s="862"/>
      <c r="G8" s="866"/>
      <c r="H8" s="868">
        <v>0.05</v>
      </c>
    </row>
    <row r="9" spans="1:8">
      <c r="A9" s="863"/>
      <c r="B9" s="862"/>
      <c r="C9" s="867"/>
      <c r="D9" s="867"/>
      <c r="E9" s="862"/>
      <c r="F9" s="862"/>
      <c r="G9" s="866" t="s">
        <v>3907</v>
      </c>
      <c r="H9" s="869">
        <f>SUM(H7:H8)</f>
        <v>16</v>
      </c>
    </row>
    <row r="10" spans="1:8">
      <c r="A10" s="863"/>
      <c r="B10" s="862"/>
      <c r="C10" s="867"/>
      <c r="D10" s="867"/>
      <c r="E10" s="862"/>
      <c r="F10" s="862"/>
      <c r="G10" s="862"/>
      <c r="H10" s="866"/>
    </row>
    <row r="11" spans="1:8" ht="30">
      <c r="A11" s="863">
        <v>2</v>
      </c>
      <c r="B11" s="862" t="s">
        <v>4153</v>
      </c>
      <c r="C11" s="867"/>
      <c r="D11" s="867"/>
      <c r="E11" s="862"/>
      <c r="F11" s="862"/>
      <c r="G11" s="862"/>
      <c r="H11" s="866"/>
    </row>
    <row r="12" spans="1:8">
      <c r="A12" s="863"/>
      <c r="B12" s="862" t="s">
        <v>4154</v>
      </c>
      <c r="C12" s="867"/>
      <c r="D12" s="867"/>
      <c r="E12" s="862"/>
      <c r="F12" s="862"/>
      <c r="G12" s="862"/>
      <c r="H12" s="866"/>
    </row>
    <row r="13" spans="1:8">
      <c r="A13" s="863"/>
      <c r="B13" s="862" t="s">
        <v>4152</v>
      </c>
      <c r="C13" s="867">
        <v>1</v>
      </c>
      <c r="D13" s="897">
        <v>0.78500000000000003</v>
      </c>
      <c r="E13" s="862">
        <v>3.36</v>
      </c>
      <c r="F13" s="862">
        <v>3.36</v>
      </c>
      <c r="G13" s="862">
        <v>0.4</v>
      </c>
      <c r="H13" s="866">
        <f>ROUND(PRODUCT(C13:G13),2)</f>
        <v>3.54</v>
      </c>
    </row>
    <row r="14" spans="1:8">
      <c r="A14" s="863"/>
      <c r="B14" s="862"/>
      <c r="C14" s="867"/>
      <c r="D14" s="867"/>
      <c r="E14" s="862"/>
      <c r="F14" s="862"/>
      <c r="G14" s="866" t="s">
        <v>2332</v>
      </c>
      <c r="H14" s="868">
        <f>SUM(H12:H13)</f>
        <v>3.54</v>
      </c>
    </row>
    <row r="15" spans="1:8">
      <c r="A15" s="863"/>
      <c r="B15" s="862"/>
      <c r="C15" s="867"/>
      <c r="D15" s="867"/>
      <c r="E15" s="862"/>
      <c r="F15" s="862"/>
      <c r="G15" s="866"/>
      <c r="H15" s="868">
        <v>0.06</v>
      </c>
    </row>
    <row r="16" spans="1:8">
      <c r="A16" s="863"/>
      <c r="B16" s="862"/>
      <c r="C16" s="867"/>
      <c r="D16" s="867"/>
      <c r="E16" s="862"/>
      <c r="F16" s="862"/>
      <c r="G16" s="866" t="s">
        <v>3907</v>
      </c>
      <c r="H16" s="869">
        <f>SUM(H14:H15)</f>
        <v>3.6</v>
      </c>
    </row>
    <row r="17" spans="1:8">
      <c r="A17" s="863"/>
      <c r="B17" s="862"/>
      <c r="C17" s="867"/>
      <c r="D17" s="867"/>
      <c r="E17" s="862"/>
      <c r="F17" s="862"/>
      <c r="G17" s="862"/>
      <c r="H17" s="866"/>
    </row>
    <row r="18" spans="1:8" ht="60">
      <c r="A18" s="863">
        <v>3</v>
      </c>
      <c r="B18" s="850" t="s">
        <v>4094</v>
      </c>
      <c r="C18" s="867"/>
      <c r="D18" s="865"/>
      <c r="E18" s="866"/>
      <c r="F18" s="866"/>
      <c r="G18" s="866"/>
      <c r="H18" s="866"/>
    </row>
    <row r="19" spans="1:8">
      <c r="A19" s="863"/>
      <c r="B19" s="862" t="s">
        <v>4152</v>
      </c>
      <c r="C19" s="867">
        <v>1</v>
      </c>
      <c r="D19" s="897">
        <v>0.78500000000000003</v>
      </c>
      <c r="E19" s="866">
        <v>3.36</v>
      </c>
      <c r="F19" s="866">
        <v>3.36</v>
      </c>
      <c r="G19" s="866">
        <v>0.15</v>
      </c>
      <c r="H19" s="866">
        <f>ROUND(PRODUCT(C19:G19),2)</f>
        <v>1.33</v>
      </c>
    </row>
    <row r="20" spans="1:8">
      <c r="A20" s="863"/>
      <c r="B20" s="862"/>
      <c r="C20" s="867"/>
      <c r="D20" s="865"/>
      <c r="E20" s="866"/>
      <c r="F20" s="866"/>
      <c r="G20" s="866" t="s">
        <v>2332</v>
      </c>
      <c r="H20" s="868">
        <f>SUM(H19:H19)</f>
        <v>1.33</v>
      </c>
    </row>
    <row r="21" spans="1:8">
      <c r="A21" s="863"/>
      <c r="B21" s="862"/>
      <c r="C21" s="867"/>
      <c r="D21" s="865"/>
      <c r="E21" s="866"/>
      <c r="F21" s="866"/>
      <c r="G21" s="866"/>
      <c r="H21" s="868">
        <v>7.0000000000000007E-2</v>
      </c>
    </row>
    <row r="22" spans="1:8">
      <c r="A22" s="863"/>
      <c r="B22" s="862"/>
      <c r="C22" s="867"/>
      <c r="D22" s="865"/>
      <c r="E22" s="866"/>
      <c r="F22" s="866"/>
      <c r="G22" s="866" t="s">
        <v>3907</v>
      </c>
      <c r="H22" s="869">
        <f>SUM(H20:H21)</f>
        <v>1.4</v>
      </c>
    </row>
    <row r="23" spans="1:8">
      <c r="A23" s="863"/>
      <c r="B23" s="862"/>
      <c r="C23" s="867"/>
      <c r="D23" s="865"/>
      <c r="E23" s="866"/>
      <c r="F23" s="866"/>
      <c r="G23" s="866"/>
      <c r="H23" s="866"/>
    </row>
    <row r="24" spans="1:8" ht="30">
      <c r="A24" s="863">
        <v>4</v>
      </c>
      <c r="B24" s="862" t="s">
        <v>4155</v>
      </c>
      <c r="C24" s="867"/>
      <c r="D24" s="865"/>
      <c r="E24" s="866"/>
      <c r="F24" s="866"/>
      <c r="G24" s="866"/>
      <c r="H24" s="866"/>
    </row>
    <row r="25" spans="1:8">
      <c r="A25" s="863"/>
      <c r="B25" s="862" t="s">
        <v>4152</v>
      </c>
      <c r="C25" s="867">
        <v>1</v>
      </c>
      <c r="D25" s="897">
        <v>0.78500000000000003</v>
      </c>
      <c r="E25" s="866">
        <v>3.16</v>
      </c>
      <c r="F25" s="866">
        <v>3.16</v>
      </c>
      <c r="G25" s="866">
        <v>0.23</v>
      </c>
      <c r="H25" s="866">
        <f>ROUND(PRODUCT(C25:G25),2)</f>
        <v>1.8</v>
      </c>
    </row>
    <row r="26" spans="1:8">
      <c r="A26" s="863"/>
      <c r="B26" s="862" t="s">
        <v>4156</v>
      </c>
      <c r="C26" s="867">
        <v>1</v>
      </c>
      <c r="D26" s="898">
        <v>3.14</v>
      </c>
      <c r="E26" s="866">
        <v>2.1800000000000002</v>
      </c>
      <c r="F26" s="866">
        <v>0.15</v>
      </c>
      <c r="G26" s="866">
        <v>2.2000000000000002</v>
      </c>
      <c r="H26" s="866">
        <f>ROUND(PRODUCT(C26:G26),2)</f>
        <v>2.2599999999999998</v>
      </c>
    </row>
    <row r="27" spans="1:8">
      <c r="A27" s="863"/>
      <c r="B27" s="862"/>
      <c r="C27" s="867"/>
      <c r="D27" s="865"/>
      <c r="E27" s="866"/>
      <c r="F27" s="866"/>
      <c r="G27" s="866" t="s">
        <v>2332</v>
      </c>
      <c r="H27" s="868">
        <f>SUM(H25:H26)</f>
        <v>4.0599999999999996</v>
      </c>
    </row>
    <row r="28" spans="1:8">
      <c r="A28" s="863"/>
      <c r="B28" s="862"/>
      <c r="C28" s="867"/>
      <c r="D28" s="865"/>
      <c r="E28" s="866"/>
      <c r="F28" s="866"/>
      <c r="G28" s="866"/>
      <c r="H28" s="868">
        <v>0.04</v>
      </c>
    </row>
    <row r="29" spans="1:8">
      <c r="A29" s="863"/>
      <c r="B29" s="862"/>
      <c r="C29" s="867"/>
      <c r="D29" s="865"/>
      <c r="E29" s="866"/>
      <c r="F29" s="866"/>
      <c r="G29" s="866" t="s">
        <v>3907</v>
      </c>
      <c r="H29" s="869">
        <f>SUM(H27:H28)</f>
        <v>4.0999999999999996</v>
      </c>
    </row>
    <row r="30" spans="1:8">
      <c r="A30" s="863"/>
      <c r="B30" s="862"/>
      <c r="C30" s="867"/>
      <c r="D30" s="865"/>
      <c r="E30" s="866"/>
      <c r="F30" s="866"/>
      <c r="G30" s="866"/>
      <c r="H30" s="866"/>
    </row>
    <row r="31" spans="1:8" ht="45">
      <c r="A31" s="863">
        <v>5</v>
      </c>
      <c r="B31" s="850" t="s">
        <v>4095</v>
      </c>
      <c r="C31" s="867"/>
      <c r="D31" s="865"/>
      <c r="E31" s="866"/>
      <c r="F31" s="866"/>
      <c r="G31" s="866"/>
      <c r="H31" s="866"/>
    </row>
    <row r="32" spans="1:8">
      <c r="A32" s="863"/>
      <c r="B32" s="850" t="s">
        <v>4157</v>
      </c>
      <c r="C32" s="867">
        <v>1</v>
      </c>
      <c r="D32" s="897">
        <v>0.78500000000000003</v>
      </c>
      <c r="E32" s="866">
        <v>2.56</v>
      </c>
      <c r="F32" s="866">
        <v>2.56</v>
      </c>
      <c r="G32" s="866">
        <v>0.1</v>
      </c>
      <c r="H32" s="866">
        <f>ROUND(PRODUCT(C32:G32),2)</f>
        <v>0.51</v>
      </c>
    </row>
    <row r="33" spans="1:8">
      <c r="A33" s="863"/>
      <c r="B33" s="850" t="s">
        <v>4158</v>
      </c>
      <c r="C33" s="867">
        <v>1</v>
      </c>
      <c r="D33" s="897">
        <v>2</v>
      </c>
      <c r="E33" s="866">
        <v>0.6</v>
      </c>
      <c r="F33" s="866">
        <v>0.6</v>
      </c>
      <c r="G33" s="866">
        <v>0.1</v>
      </c>
      <c r="H33" s="866">
        <f>ROUND(-PRODUCT(C33:G33),2)</f>
        <v>-7.0000000000000007E-2</v>
      </c>
    </row>
    <row r="34" spans="1:8">
      <c r="A34" s="863"/>
      <c r="B34" s="862"/>
      <c r="C34" s="867"/>
      <c r="D34" s="865"/>
      <c r="E34" s="866"/>
      <c r="F34" s="866"/>
      <c r="G34" s="866" t="s">
        <v>2332</v>
      </c>
      <c r="H34" s="868">
        <f>SUM(H32:H33)</f>
        <v>0.44</v>
      </c>
    </row>
    <row r="35" spans="1:8">
      <c r="A35" s="863"/>
      <c r="B35" s="862"/>
      <c r="C35" s="867"/>
      <c r="D35" s="865"/>
      <c r="E35" s="866"/>
      <c r="F35" s="866"/>
      <c r="G35" s="866"/>
      <c r="H35" s="868">
        <v>0.06</v>
      </c>
    </row>
    <row r="36" spans="1:8">
      <c r="A36" s="863"/>
      <c r="B36" s="862"/>
      <c r="C36" s="867"/>
      <c r="D36" s="865"/>
      <c r="E36" s="866"/>
      <c r="F36" s="866"/>
      <c r="G36" s="866" t="s">
        <v>3907</v>
      </c>
      <c r="H36" s="869">
        <f>SUM(H34:H35)</f>
        <v>0.5</v>
      </c>
    </row>
    <row r="37" spans="1:8">
      <c r="A37" s="863"/>
      <c r="B37" s="862"/>
      <c r="C37" s="867"/>
      <c r="D37" s="865"/>
      <c r="E37" s="866"/>
      <c r="F37" s="866"/>
      <c r="G37" s="866"/>
      <c r="H37" s="866"/>
    </row>
    <row r="38" spans="1:8" ht="30">
      <c r="A38" s="863">
        <v>6</v>
      </c>
      <c r="B38" s="862" t="s">
        <v>4120</v>
      </c>
      <c r="C38" s="867"/>
      <c r="D38" s="865"/>
      <c r="E38" s="866"/>
      <c r="F38" s="866"/>
      <c r="G38" s="866"/>
      <c r="H38" s="866"/>
    </row>
    <row r="39" spans="1:8" ht="30">
      <c r="A39" s="863"/>
      <c r="B39" s="862" t="s">
        <v>4160</v>
      </c>
      <c r="C39" s="867"/>
      <c r="D39" s="865"/>
      <c r="E39" s="866"/>
      <c r="F39" s="866"/>
      <c r="G39" s="866"/>
      <c r="H39" s="866"/>
    </row>
    <row r="40" spans="1:8">
      <c r="A40" s="863"/>
      <c r="B40" s="862" t="s">
        <v>4161</v>
      </c>
      <c r="C40" s="867">
        <v>1</v>
      </c>
      <c r="D40" s="865">
        <v>1</v>
      </c>
      <c r="E40" s="866">
        <v>3.14</v>
      </c>
      <c r="F40" s="866">
        <v>3.16</v>
      </c>
      <c r="G40" s="866">
        <v>0.23</v>
      </c>
      <c r="H40" s="866">
        <f>ROUND(PRODUCT(C40:G40),2)</f>
        <v>2.2799999999999998</v>
      </c>
    </row>
    <row r="41" spans="1:8">
      <c r="A41" s="863"/>
      <c r="B41" s="862" t="s">
        <v>4162</v>
      </c>
      <c r="C41" s="867">
        <v>1</v>
      </c>
      <c r="D41" s="865">
        <v>1</v>
      </c>
      <c r="E41" s="866">
        <v>3.14</v>
      </c>
      <c r="F41" s="866">
        <v>2.56</v>
      </c>
      <c r="G41" s="866">
        <v>0.1</v>
      </c>
      <c r="H41" s="866">
        <f>ROUND(PRODUCT(C41:G41),2)</f>
        <v>0.8</v>
      </c>
    </row>
    <row r="42" spans="1:8">
      <c r="A42" s="863"/>
      <c r="B42" s="862" t="s">
        <v>4163</v>
      </c>
      <c r="C42" s="867">
        <v>1</v>
      </c>
      <c r="D42" s="865">
        <v>2</v>
      </c>
      <c r="E42" s="866">
        <v>2.4</v>
      </c>
      <c r="F42" s="866"/>
      <c r="G42" s="866">
        <v>0.1</v>
      </c>
      <c r="H42" s="866">
        <f>ROUND(PRODUCT(C42:G42),2)</f>
        <v>0.48</v>
      </c>
    </row>
    <row r="43" spans="1:8">
      <c r="A43" s="863"/>
      <c r="B43" s="862"/>
      <c r="C43" s="867"/>
      <c r="D43" s="865"/>
      <c r="E43" s="866"/>
      <c r="F43" s="866"/>
      <c r="G43" s="866" t="s">
        <v>2332</v>
      </c>
      <c r="H43" s="868">
        <f>SUM(H40:H42)</f>
        <v>3.56</v>
      </c>
    </row>
    <row r="44" spans="1:8">
      <c r="A44" s="863"/>
      <c r="B44" s="862"/>
      <c r="C44" s="867"/>
      <c r="D44" s="865"/>
      <c r="E44" s="866"/>
      <c r="F44" s="866"/>
      <c r="G44" s="866"/>
      <c r="H44" s="868">
        <v>0.04</v>
      </c>
    </row>
    <row r="45" spans="1:8">
      <c r="A45" s="863"/>
      <c r="B45" s="862"/>
      <c r="C45" s="867"/>
      <c r="D45" s="865"/>
      <c r="E45" s="866"/>
      <c r="F45" s="866"/>
      <c r="G45" s="866" t="s">
        <v>3907</v>
      </c>
      <c r="H45" s="869">
        <f>SUM(H43:H44)</f>
        <v>3.6</v>
      </c>
    </row>
    <row r="46" spans="1:8">
      <c r="A46" s="863"/>
      <c r="B46" s="862"/>
      <c r="C46" s="867"/>
      <c r="D46" s="865"/>
      <c r="E46" s="866"/>
      <c r="F46" s="866"/>
      <c r="G46" s="866"/>
      <c r="H46" s="866"/>
    </row>
    <row r="47" spans="1:8" ht="30">
      <c r="A47" s="863"/>
      <c r="B47" s="862" t="s">
        <v>4159</v>
      </c>
      <c r="C47" s="867"/>
      <c r="D47" s="865"/>
      <c r="E47" s="866"/>
      <c r="F47" s="866"/>
      <c r="G47" s="876"/>
      <c r="H47" s="866"/>
    </row>
    <row r="48" spans="1:8">
      <c r="A48" s="863"/>
      <c r="B48" s="862" t="s">
        <v>4164</v>
      </c>
      <c r="C48" s="867">
        <v>1</v>
      </c>
      <c r="D48" s="899">
        <v>0.78500000000000003</v>
      </c>
      <c r="E48" s="866">
        <v>1.8</v>
      </c>
      <c r="F48" s="866">
        <v>1.8</v>
      </c>
      <c r="G48" s="882"/>
      <c r="H48" s="866">
        <f>ROUND(PRODUCT(C48:G48),2)</f>
        <v>2.54</v>
      </c>
    </row>
    <row r="49" spans="1:8">
      <c r="A49" s="863"/>
      <c r="B49" s="862" t="s">
        <v>4158</v>
      </c>
      <c r="C49" s="867">
        <v>1</v>
      </c>
      <c r="D49" s="865">
        <v>2</v>
      </c>
      <c r="E49" s="866">
        <v>0.6</v>
      </c>
      <c r="F49" s="866">
        <v>0.6</v>
      </c>
      <c r="G49" s="882"/>
      <c r="H49" s="866">
        <f>ROUND(-PRODUCT(C49:G49),2)</f>
        <v>-0.72</v>
      </c>
    </row>
    <row r="50" spans="1:8">
      <c r="A50" s="863"/>
      <c r="B50" s="862"/>
      <c r="C50" s="867"/>
      <c r="D50" s="865"/>
      <c r="E50" s="866"/>
      <c r="F50" s="866"/>
      <c r="G50" s="866" t="s">
        <v>2332</v>
      </c>
      <c r="H50" s="868">
        <f>SUM(H48:H49)</f>
        <v>1.82</v>
      </c>
    </row>
    <row r="51" spans="1:8">
      <c r="A51" s="863"/>
      <c r="B51" s="862"/>
      <c r="C51" s="867"/>
      <c r="D51" s="865"/>
      <c r="E51" s="866"/>
      <c r="F51" s="866"/>
      <c r="G51" s="866"/>
      <c r="H51" s="868">
        <v>0.08</v>
      </c>
    </row>
    <row r="52" spans="1:8">
      <c r="A52" s="863"/>
      <c r="B52" s="862"/>
      <c r="C52" s="867"/>
      <c r="D52" s="865"/>
      <c r="E52" s="866"/>
      <c r="F52" s="866"/>
      <c r="G52" s="866" t="s">
        <v>3907</v>
      </c>
      <c r="H52" s="869">
        <f>SUM(H50:H51)</f>
        <v>1.9</v>
      </c>
    </row>
    <row r="53" spans="1:8" ht="15" customHeight="1">
      <c r="A53" s="863"/>
      <c r="B53" s="862"/>
      <c r="C53" s="867"/>
      <c r="D53" s="865"/>
      <c r="E53" s="866"/>
      <c r="F53" s="866"/>
      <c r="G53" s="851"/>
      <c r="H53" s="851"/>
    </row>
    <row r="54" spans="1:8" s="907" customFormat="1" ht="30">
      <c r="A54" s="902">
        <v>7</v>
      </c>
      <c r="B54" s="903" t="s">
        <v>4096</v>
      </c>
      <c r="C54" s="904"/>
      <c r="D54" s="905"/>
      <c r="E54" s="906"/>
      <c r="F54" s="906"/>
      <c r="G54" s="906"/>
      <c r="H54" s="906"/>
    </row>
    <row r="55" spans="1:8" s="907" customFormat="1" ht="15" customHeight="1">
      <c r="A55" s="902"/>
      <c r="B55" s="903" t="s">
        <v>4165</v>
      </c>
      <c r="C55" s="904"/>
      <c r="D55" s="905"/>
      <c r="E55" s="906"/>
      <c r="F55" s="906"/>
      <c r="G55" s="908"/>
      <c r="H55" s="906"/>
    </row>
    <row r="56" spans="1:8" s="907" customFormat="1">
      <c r="A56" s="902"/>
      <c r="B56" s="909" t="s">
        <v>4166</v>
      </c>
      <c r="C56" s="904">
        <v>1</v>
      </c>
      <c r="D56" s="913">
        <v>3.14</v>
      </c>
      <c r="E56" s="908">
        <v>1.915</v>
      </c>
      <c r="F56" s="906"/>
      <c r="G56" s="908">
        <v>2.2000000000000002</v>
      </c>
      <c r="H56" s="906">
        <f>ROUND(PRODUCT(C56:G56),2)</f>
        <v>13.23</v>
      </c>
    </row>
    <row r="57" spans="1:8" s="907" customFormat="1">
      <c r="A57" s="902"/>
      <c r="B57" s="909" t="s">
        <v>4167</v>
      </c>
      <c r="C57" s="904">
        <v>1</v>
      </c>
      <c r="D57" s="913">
        <v>3.14</v>
      </c>
      <c r="E57" s="908">
        <v>2.4449999999999998</v>
      </c>
      <c r="F57" s="906"/>
      <c r="G57" s="908">
        <v>2.2000000000000002</v>
      </c>
      <c r="H57" s="906">
        <f>ROUND(PRODUCT(C57:G57),2)</f>
        <v>16.89</v>
      </c>
    </row>
    <row r="58" spans="1:8" s="907" customFormat="1">
      <c r="A58" s="902"/>
      <c r="B58" s="909"/>
      <c r="C58" s="904"/>
      <c r="D58" s="913"/>
      <c r="E58" s="908"/>
      <c r="F58" s="906"/>
      <c r="G58" s="866" t="s">
        <v>2332</v>
      </c>
      <c r="H58" s="868">
        <f>SUM(H56:H57)</f>
        <v>30.12</v>
      </c>
    </row>
    <row r="59" spans="1:8" s="907" customFormat="1">
      <c r="A59" s="902"/>
      <c r="B59" s="909"/>
      <c r="C59" s="904"/>
      <c r="D59" s="913"/>
      <c r="E59" s="908"/>
      <c r="F59" s="906"/>
      <c r="G59" s="866"/>
      <c r="H59" s="868">
        <v>0.08</v>
      </c>
    </row>
    <row r="60" spans="1:8" s="907" customFormat="1">
      <c r="A60" s="902"/>
      <c r="B60" s="909"/>
      <c r="C60" s="904"/>
      <c r="D60" s="905"/>
      <c r="E60" s="906"/>
      <c r="F60" s="906"/>
      <c r="G60" s="866" t="s">
        <v>3907</v>
      </c>
      <c r="H60" s="869">
        <f>SUM(H58:H59)</f>
        <v>30.2</v>
      </c>
    </row>
    <row r="61" spans="1:8" s="907" customFormat="1">
      <c r="A61" s="902"/>
      <c r="B61" s="909"/>
      <c r="C61" s="904"/>
      <c r="D61" s="905"/>
      <c r="E61" s="906"/>
      <c r="F61" s="906"/>
      <c r="G61" s="866"/>
      <c r="H61" s="866"/>
    </row>
    <row r="62" spans="1:8" s="907" customFormat="1" ht="45">
      <c r="A62" s="902">
        <v>8</v>
      </c>
      <c r="B62" s="877" t="s">
        <v>3950</v>
      </c>
      <c r="C62" s="904"/>
      <c r="D62" s="905"/>
      <c r="E62" s="906"/>
      <c r="F62" s="906"/>
      <c r="G62" s="906"/>
      <c r="H62" s="906"/>
    </row>
    <row r="63" spans="1:8" s="907" customFormat="1">
      <c r="A63" s="902"/>
      <c r="B63" s="909" t="s">
        <v>4168</v>
      </c>
      <c r="C63" s="904">
        <v>1</v>
      </c>
      <c r="D63" s="905">
        <v>1</v>
      </c>
      <c r="E63" s="906">
        <v>3.14</v>
      </c>
      <c r="F63" s="906">
        <v>1.8</v>
      </c>
      <c r="G63" s="906">
        <v>2.2000000000000002</v>
      </c>
      <c r="H63" s="906">
        <f>ROUND(PRODUCT(C63:G63),2)</f>
        <v>12.43</v>
      </c>
    </row>
    <row r="64" spans="1:8" s="907" customFormat="1">
      <c r="A64" s="902"/>
      <c r="B64" s="909"/>
      <c r="C64" s="904"/>
      <c r="D64" s="905"/>
      <c r="E64" s="906"/>
      <c r="F64" s="906"/>
      <c r="G64" s="906" t="s">
        <v>2332</v>
      </c>
      <c r="H64" s="912">
        <f>SUM(H63:H63)</f>
        <v>12.43</v>
      </c>
    </row>
    <row r="65" spans="1:9" s="907" customFormat="1">
      <c r="A65" s="902"/>
      <c r="B65" s="909"/>
      <c r="C65" s="904"/>
      <c r="D65" s="905"/>
      <c r="E65" s="906"/>
      <c r="F65" s="906"/>
      <c r="G65" s="906"/>
      <c r="H65" s="912">
        <v>7.0000000000000007E-2</v>
      </c>
    </row>
    <row r="66" spans="1:9" s="907" customFormat="1">
      <c r="A66" s="902"/>
      <c r="B66" s="909"/>
      <c r="C66" s="904"/>
      <c r="D66" s="905"/>
      <c r="E66" s="906"/>
      <c r="F66" s="906"/>
      <c r="G66" s="906" t="s">
        <v>3907</v>
      </c>
      <c r="H66" s="911">
        <f>SUM(H64:H65)</f>
        <v>12.5</v>
      </c>
    </row>
    <row r="67" spans="1:9" s="907" customFormat="1">
      <c r="A67" s="902"/>
      <c r="B67" s="909"/>
      <c r="C67" s="904"/>
      <c r="D67" s="905"/>
      <c r="E67" s="906"/>
      <c r="F67" s="906"/>
      <c r="G67" s="906"/>
      <c r="H67" s="906"/>
    </row>
    <row r="68" spans="1:9" s="907" customFormat="1" ht="30">
      <c r="A68" s="902">
        <v>9</v>
      </c>
      <c r="B68" s="877" t="s">
        <v>4169</v>
      </c>
      <c r="C68" s="904"/>
      <c r="D68" s="905"/>
      <c r="E68" s="906"/>
      <c r="F68" s="906"/>
      <c r="G68" s="906"/>
      <c r="H68" s="906"/>
      <c r="I68" s="629"/>
    </row>
    <row r="69" spans="1:9" s="907" customFormat="1">
      <c r="A69" s="902"/>
      <c r="B69" s="909" t="s">
        <v>4170</v>
      </c>
      <c r="C69" s="904"/>
      <c r="D69" s="905"/>
      <c r="E69" s="906"/>
      <c r="F69" s="906"/>
      <c r="G69" s="906"/>
      <c r="H69" s="906">
        <f>H29</f>
        <v>4.0999999999999996</v>
      </c>
      <c r="I69" s="629"/>
    </row>
    <row r="70" spans="1:9" s="907" customFormat="1" ht="15.75" customHeight="1">
      <c r="A70" s="902"/>
      <c r="B70" s="909" t="s">
        <v>4170</v>
      </c>
      <c r="C70" s="904"/>
      <c r="D70" s="905"/>
      <c r="E70" s="906"/>
      <c r="F70" s="906"/>
      <c r="G70" s="906"/>
      <c r="H70" s="906">
        <f>H36</f>
        <v>0.5</v>
      </c>
      <c r="I70" s="629"/>
    </row>
    <row r="71" spans="1:9" s="907" customFormat="1">
      <c r="A71" s="902"/>
      <c r="B71" s="909"/>
      <c r="C71" s="904"/>
      <c r="D71" s="905"/>
      <c r="E71" s="906"/>
      <c r="F71" s="906"/>
      <c r="G71" s="906" t="s">
        <v>2332</v>
      </c>
      <c r="H71" s="912">
        <f>SUM(H69:H70)</f>
        <v>4.5999999999999996</v>
      </c>
      <c r="I71" s="629"/>
    </row>
    <row r="72" spans="1:9" s="907" customFormat="1">
      <c r="A72" s="902"/>
      <c r="B72" s="909"/>
      <c r="C72" s="904"/>
      <c r="D72" s="866" t="s">
        <v>4171</v>
      </c>
      <c r="E72" s="906"/>
      <c r="F72" s="906"/>
      <c r="G72" s="906"/>
      <c r="H72" s="912">
        <f>H71*100</f>
        <v>460</v>
      </c>
      <c r="I72" s="629"/>
    </row>
    <row r="73" spans="1:9" s="907" customFormat="1">
      <c r="A73" s="902"/>
      <c r="B73" s="909"/>
      <c r="C73" s="904"/>
      <c r="D73" s="905"/>
      <c r="E73" s="906"/>
      <c r="F73" s="906"/>
      <c r="G73" s="906" t="s">
        <v>3907</v>
      </c>
      <c r="H73" s="914">
        <f>H72/1000</f>
        <v>0.46</v>
      </c>
      <c r="I73" s="629"/>
    </row>
    <row r="74" spans="1:9" s="907" customFormat="1">
      <c r="A74" s="902"/>
      <c r="B74" s="909"/>
      <c r="C74" s="904"/>
      <c r="D74" s="905"/>
      <c r="E74" s="906"/>
      <c r="F74" s="906"/>
      <c r="G74" s="906"/>
      <c r="H74" s="906"/>
      <c r="I74" s="629"/>
    </row>
    <row r="75" spans="1:9" s="907" customFormat="1" ht="30">
      <c r="A75" s="902">
        <v>10</v>
      </c>
      <c r="B75" s="909" t="s">
        <v>4172</v>
      </c>
      <c r="C75" s="904"/>
      <c r="D75" s="905"/>
      <c r="E75" s="906"/>
      <c r="F75" s="906"/>
      <c r="G75" s="906"/>
      <c r="H75" s="906"/>
      <c r="I75" s="629"/>
    </row>
    <row r="76" spans="1:9" s="907" customFormat="1">
      <c r="A76" s="902"/>
      <c r="B76" s="909" t="s">
        <v>4173</v>
      </c>
      <c r="C76" s="904">
        <v>1</v>
      </c>
      <c r="D76" s="905">
        <v>2</v>
      </c>
      <c r="E76" s="906"/>
      <c r="F76" s="906"/>
      <c r="G76" s="906"/>
      <c r="H76" s="910">
        <f>ROUND(PRODUCT(C76:G76),2)</f>
        <v>2</v>
      </c>
      <c r="I76" s="629"/>
    </row>
    <row r="77" spans="1:9" s="907" customFormat="1">
      <c r="A77" s="902"/>
      <c r="B77" s="909"/>
      <c r="C77" s="904"/>
      <c r="D77" s="905"/>
      <c r="E77" s="906"/>
      <c r="F77" s="906"/>
      <c r="G77" s="906"/>
      <c r="H77" s="906"/>
      <c r="I77" s="629"/>
    </row>
    <row r="78" spans="1:9" s="907" customFormat="1">
      <c r="A78" s="902">
        <v>11</v>
      </c>
      <c r="B78" s="909" t="s">
        <v>4174</v>
      </c>
      <c r="C78" s="904"/>
      <c r="D78" s="905"/>
      <c r="E78" s="906"/>
      <c r="F78" s="906"/>
      <c r="G78" s="906"/>
      <c r="H78" s="906"/>
      <c r="I78" s="629"/>
    </row>
    <row r="79" spans="1:9" s="907" customFormat="1">
      <c r="A79" s="902"/>
      <c r="B79" s="909" t="s">
        <v>4175</v>
      </c>
      <c r="C79" s="904">
        <v>1</v>
      </c>
      <c r="D79" s="905">
        <v>8</v>
      </c>
      <c r="E79" s="906"/>
      <c r="F79" s="906"/>
      <c r="G79" s="906"/>
      <c r="H79" s="910">
        <f>ROUND(PRODUCT(C79:G79),2)</f>
        <v>8</v>
      </c>
      <c r="I79" s="629"/>
    </row>
    <row r="80" spans="1:9" s="907" customFormat="1">
      <c r="A80" s="902"/>
      <c r="B80" s="909"/>
      <c r="C80" s="904"/>
      <c r="D80" s="905"/>
      <c r="E80" s="906"/>
      <c r="F80" s="906"/>
      <c r="G80" s="906"/>
      <c r="H80" s="910"/>
      <c r="I80" s="629"/>
    </row>
    <row r="81" spans="1:9" s="907" customFormat="1">
      <c r="A81" s="902">
        <v>12</v>
      </c>
      <c r="B81" s="909" t="s">
        <v>4191</v>
      </c>
      <c r="C81" s="904"/>
      <c r="D81" s="905"/>
      <c r="E81" s="906"/>
      <c r="F81" s="906"/>
      <c r="G81" s="906"/>
      <c r="H81" s="910"/>
      <c r="I81" s="629"/>
    </row>
    <row r="82" spans="1:9" s="907" customFormat="1">
      <c r="A82" s="902"/>
      <c r="B82" s="909" t="s">
        <v>4192</v>
      </c>
      <c r="C82" s="904">
        <v>1</v>
      </c>
      <c r="D82" s="913">
        <v>3.14</v>
      </c>
      <c r="E82" s="906">
        <v>2.96</v>
      </c>
      <c r="F82" s="906">
        <v>0.4</v>
      </c>
      <c r="G82" s="906">
        <v>1.82</v>
      </c>
      <c r="H82" s="906">
        <f>ROUND(PRODUCT(C82:G82),2)</f>
        <v>6.77</v>
      </c>
      <c r="I82" s="629"/>
    </row>
    <row r="83" spans="1:9" s="907" customFormat="1">
      <c r="A83" s="902"/>
      <c r="B83" s="909"/>
      <c r="C83" s="904"/>
      <c r="D83" s="913"/>
      <c r="E83" s="906"/>
      <c r="F83" s="906"/>
      <c r="G83" s="906" t="s">
        <v>2332</v>
      </c>
      <c r="H83" s="912">
        <f>SUM(H81:H82)</f>
        <v>6.77</v>
      </c>
      <c r="I83" s="629"/>
    </row>
    <row r="84" spans="1:9" s="907" customFormat="1">
      <c r="A84" s="902"/>
      <c r="B84" s="909"/>
      <c r="C84" s="904"/>
      <c r="D84" s="913"/>
      <c r="E84" s="906"/>
      <c r="F84" s="906"/>
      <c r="G84" s="906"/>
      <c r="H84" s="912">
        <v>0.03</v>
      </c>
      <c r="I84" s="629"/>
    </row>
    <row r="85" spans="1:9" s="907" customFormat="1">
      <c r="A85" s="902"/>
      <c r="B85" s="909"/>
      <c r="C85" s="904"/>
      <c r="D85" s="913"/>
      <c r="E85" s="906"/>
      <c r="F85" s="906"/>
      <c r="G85" s="906" t="s">
        <v>3907</v>
      </c>
      <c r="H85" s="911">
        <f>SUM(H83:H84)</f>
        <v>6.8</v>
      </c>
      <c r="I85" s="629"/>
    </row>
    <row r="86" spans="1:9" s="907" customFormat="1">
      <c r="A86" s="902"/>
      <c r="B86" s="909"/>
      <c r="C86" s="904"/>
      <c r="D86" s="913"/>
      <c r="E86" s="906"/>
      <c r="F86" s="906"/>
      <c r="G86" s="906"/>
      <c r="H86" s="911"/>
      <c r="I86" s="629"/>
    </row>
    <row r="87" spans="1:9" s="907" customFormat="1" ht="45">
      <c r="A87" s="902">
        <v>13</v>
      </c>
      <c r="B87" s="909" t="s">
        <v>4219</v>
      </c>
      <c r="C87" s="904"/>
      <c r="D87" s="913"/>
      <c r="E87" s="906"/>
      <c r="F87" s="906"/>
      <c r="G87" s="906"/>
      <c r="H87" s="911"/>
      <c r="I87" s="629"/>
    </row>
    <row r="88" spans="1:9" s="907" customFormat="1">
      <c r="A88" s="902"/>
      <c r="B88" s="909" t="s">
        <v>4220</v>
      </c>
      <c r="C88" s="904">
        <v>1</v>
      </c>
      <c r="D88" s="905">
        <v>4</v>
      </c>
      <c r="E88" s="906">
        <v>0.9</v>
      </c>
      <c r="F88" s="906"/>
      <c r="G88" s="906">
        <v>2</v>
      </c>
      <c r="H88" s="906">
        <f>ROUND(PRODUCT(C88:G88),2)</f>
        <v>7.2</v>
      </c>
      <c r="I88" s="629"/>
    </row>
    <row r="89" spans="1:9" s="907" customFormat="1">
      <c r="A89" s="902"/>
      <c r="B89" s="909"/>
      <c r="C89" s="904"/>
      <c r="D89" s="905"/>
      <c r="E89" s="906"/>
      <c r="F89" s="906"/>
      <c r="G89" s="906" t="s">
        <v>2332</v>
      </c>
      <c r="H89" s="912">
        <f>SUM(H88:H88)</f>
        <v>7.2</v>
      </c>
      <c r="I89" s="629"/>
    </row>
    <row r="90" spans="1:9" s="907" customFormat="1">
      <c r="A90" s="902"/>
      <c r="B90" s="909"/>
      <c r="C90" s="904"/>
      <c r="D90" s="905"/>
      <c r="E90" s="906"/>
      <c r="F90" s="906"/>
      <c r="G90" s="906"/>
      <c r="H90" s="912">
        <v>0</v>
      </c>
      <c r="I90" s="629"/>
    </row>
    <row r="91" spans="1:9" s="907" customFormat="1">
      <c r="A91" s="902"/>
      <c r="B91" s="909"/>
      <c r="C91" s="904"/>
      <c r="D91" s="905"/>
      <c r="E91" s="906"/>
      <c r="F91" s="906"/>
      <c r="G91" s="906" t="s">
        <v>3907</v>
      </c>
      <c r="H91" s="911">
        <f>SUM(H89:H90)</f>
        <v>7.2</v>
      </c>
      <c r="I91" s="629"/>
    </row>
    <row r="92" spans="1:9" s="907" customFormat="1">
      <c r="A92" s="902"/>
      <c r="B92" s="909"/>
      <c r="C92" s="904"/>
      <c r="D92" s="905"/>
      <c r="E92" s="906"/>
      <c r="F92" s="906"/>
      <c r="G92" s="906"/>
      <c r="H92" s="911"/>
      <c r="I92" s="629"/>
    </row>
    <row r="93" spans="1:9" s="907" customFormat="1" ht="45">
      <c r="A93" s="902">
        <v>14</v>
      </c>
      <c r="B93" s="909" t="s">
        <v>4066</v>
      </c>
      <c r="C93" s="904"/>
      <c r="D93" s="905"/>
      <c r="E93" s="906"/>
      <c r="F93" s="906"/>
      <c r="G93" s="906"/>
      <c r="H93" s="911"/>
      <c r="I93" s="629"/>
    </row>
    <row r="94" spans="1:9" s="907" customFormat="1">
      <c r="A94" s="902"/>
      <c r="B94" s="909" t="s">
        <v>4221</v>
      </c>
      <c r="C94" s="904">
        <v>1</v>
      </c>
      <c r="D94" s="905">
        <v>2</v>
      </c>
      <c r="E94" s="906">
        <v>2.8</v>
      </c>
      <c r="F94" s="906"/>
      <c r="G94" s="906">
        <v>2.1800000000000002</v>
      </c>
      <c r="H94" s="906">
        <f>ROUND(PRODUCT(C94:G94),2)</f>
        <v>12.21</v>
      </c>
      <c r="I94" s="629"/>
    </row>
    <row r="95" spans="1:9" s="907" customFormat="1">
      <c r="A95" s="902"/>
      <c r="B95" s="909"/>
      <c r="C95" s="904"/>
      <c r="D95" s="905"/>
      <c r="E95" s="906"/>
      <c r="F95" s="906"/>
      <c r="G95" s="906" t="s">
        <v>2332</v>
      </c>
      <c r="H95" s="912">
        <f>SUM(H93:H94)</f>
        <v>12.21</v>
      </c>
      <c r="I95" s="629"/>
    </row>
    <row r="96" spans="1:9" s="907" customFormat="1">
      <c r="A96" s="902"/>
      <c r="B96" s="909"/>
      <c r="C96" s="904"/>
      <c r="D96" s="905"/>
      <c r="E96" s="906"/>
      <c r="F96" s="906"/>
      <c r="G96" s="906"/>
      <c r="H96" s="912">
        <v>0.09</v>
      </c>
      <c r="I96" s="629"/>
    </row>
    <row r="97" spans="1:9" s="907" customFormat="1">
      <c r="A97" s="902"/>
      <c r="B97" s="909"/>
      <c r="C97" s="904"/>
      <c r="D97" s="905"/>
      <c r="E97" s="906"/>
      <c r="F97" s="906"/>
      <c r="G97" s="906" t="s">
        <v>3907</v>
      </c>
      <c r="H97" s="911">
        <f>SUM(H95:H96)</f>
        <v>12.3</v>
      </c>
      <c r="I97" s="629"/>
    </row>
    <row r="98" spans="1:9" s="907" customFormat="1">
      <c r="A98" s="902"/>
      <c r="B98" s="909"/>
      <c r="C98" s="904"/>
      <c r="D98" s="905"/>
      <c r="E98" s="906"/>
      <c r="F98" s="906"/>
      <c r="G98" s="906"/>
      <c r="H98" s="911"/>
      <c r="I98" s="629"/>
    </row>
    <row r="99" spans="1:9" s="907" customFormat="1" ht="45">
      <c r="A99" s="902">
        <v>15</v>
      </c>
      <c r="B99" s="909" t="s">
        <v>4194</v>
      </c>
      <c r="C99" s="904"/>
      <c r="D99" s="913"/>
      <c r="E99" s="906"/>
      <c r="F99" s="906"/>
      <c r="G99" s="906"/>
      <c r="H99" s="911"/>
      <c r="I99" s="629"/>
    </row>
    <row r="100" spans="1:9" s="907" customFormat="1">
      <c r="A100" s="902"/>
      <c r="B100" s="909" t="s">
        <v>4195</v>
      </c>
      <c r="C100" s="904"/>
      <c r="D100" s="913"/>
      <c r="E100" s="906"/>
      <c r="F100" s="906"/>
      <c r="G100" s="906"/>
      <c r="H100" s="911"/>
      <c r="I100" s="629"/>
    </row>
    <row r="101" spans="1:9" s="907" customFormat="1">
      <c r="A101" s="902"/>
      <c r="B101" s="909" t="s">
        <v>4197</v>
      </c>
      <c r="C101" s="904">
        <v>1</v>
      </c>
      <c r="D101" s="913">
        <v>12</v>
      </c>
      <c r="E101" s="906"/>
      <c r="F101" s="906"/>
      <c r="G101" s="906"/>
      <c r="H101" s="910">
        <f>ROUND(PRODUCT(C101:G101),2)</f>
        <v>12</v>
      </c>
      <c r="I101" s="629"/>
    </row>
    <row r="102" spans="1:9" s="907" customFormat="1">
      <c r="A102" s="902"/>
      <c r="B102" s="909"/>
      <c r="C102" s="904"/>
      <c r="D102" s="913"/>
      <c r="E102" s="906"/>
      <c r="F102" s="906"/>
      <c r="G102" s="906"/>
      <c r="H102" s="906"/>
      <c r="I102" s="629"/>
    </row>
    <row r="103" spans="1:9" s="907" customFormat="1">
      <c r="A103" s="902"/>
      <c r="B103" s="909" t="s">
        <v>4196</v>
      </c>
      <c r="C103" s="904"/>
      <c r="D103" s="913"/>
      <c r="E103" s="906"/>
      <c r="F103" s="906"/>
      <c r="G103" s="906"/>
      <c r="H103" s="906"/>
      <c r="I103" s="629"/>
    </row>
    <row r="104" spans="1:9" s="907" customFormat="1">
      <c r="A104" s="902"/>
      <c r="B104" s="909" t="s">
        <v>4198</v>
      </c>
      <c r="C104" s="904">
        <v>1</v>
      </c>
      <c r="D104" s="913">
        <v>7</v>
      </c>
      <c r="E104" s="906"/>
      <c r="F104" s="906"/>
      <c r="G104" s="906"/>
      <c r="H104" s="906">
        <f>ROUND(PRODUCT(C104:G104),2)</f>
        <v>7</v>
      </c>
      <c r="I104" s="629"/>
    </row>
    <row r="105" spans="1:9" s="907" customFormat="1">
      <c r="A105" s="902"/>
      <c r="B105" s="909" t="s">
        <v>4199</v>
      </c>
      <c r="C105" s="904">
        <v>1</v>
      </c>
      <c r="D105" s="913">
        <v>10</v>
      </c>
      <c r="E105" s="906"/>
      <c r="F105" s="906"/>
      <c r="G105" s="906"/>
      <c r="H105" s="906">
        <f>ROUND(PRODUCT(C105:G105),2)</f>
        <v>10</v>
      </c>
      <c r="I105" s="629"/>
    </row>
    <row r="106" spans="1:9" s="907" customFormat="1">
      <c r="A106" s="902"/>
      <c r="B106" s="909"/>
      <c r="C106" s="904"/>
      <c r="D106" s="913"/>
      <c r="E106" s="906"/>
      <c r="F106" s="906"/>
      <c r="G106" s="906" t="s">
        <v>2332</v>
      </c>
      <c r="H106" s="911">
        <f>SUM(H104:H105)</f>
        <v>17</v>
      </c>
      <c r="I106" s="629"/>
    </row>
    <row r="107" spans="1:9" s="907" customFormat="1">
      <c r="A107" s="902"/>
      <c r="B107" s="909"/>
      <c r="C107" s="904"/>
      <c r="D107" s="913"/>
      <c r="E107" s="906"/>
      <c r="F107" s="906"/>
      <c r="G107" s="906"/>
      <c r="H107" s="911"/>
      <c r="I107" s="629"/>
    </row>
    <row r="108" spans="1:9" s="907" customFormat="1">
      <c r="A108" s="902"/>
      <c r="B108" s="909"/>
      <c r="C108" s="904"/>
      <c r="D108" s="913"/>
      <c r="E108" s="906"/>
      <c r="F108" s="906"/>
      <c r="G108" s="906"/>
      <c r="H108" s="911"/>
      <c r="I108" s="629"/>
    </row>
    <row r="109" spans="1:9" s="907" customFormat="1">
      <c r="A109" s="902"/>
      <c r="B109" s="909"/>
      <c r="C109" s="904"/>
      <c r="D109" s="905"/>
      <c r="E109" s="906"/>
      <c r="F109" s="906"/>
      <c r="G109" s="906"/>
      <c r="H109" s="906"/>
      <c r="I109" s="629"/>
    </row>
    <row r="110" spans="1:9" s="900" customFormat="1">
      <c r="B110" s="901"/>
    </row>
  </sheetData>
  <mergeCells count="3">
    <mergeCell ref="A1:H1"/>
    <mergeCell ref="A2:H2"/>
    <mergeCell ref="C3:D3"/>
  </mergeCells>
  <pageMargins left="0.7" right="0.15" top="0.5" bottom="0.25" header="0.3" footer="0.3"/>
  <pageSetup paperSize="9" scale="95" orientation="portrait" horizontalDpi="300" verticalDpi="300" r:id="rId1"/>
  <colBreaks count="1" manualBreakCount="1">
    <brk id="8" max="802" man="1"/>
  </colBreaks>
  <ignoredErrors>
    <ignoredError sqref="H72" formula="1"/>
  </ignoredErrors>
</worksheet>
</file>

<file path=xl/worksheets/sheet53.xml><?xml version="1.0" encoding="utf-8"?>
<worksheet xmlns="http://schemas.openxmlformats.org/spreadsheetml/2006/main" xmlns:r="http://schemas.openxmlformats.org/officeDocument/2006/relationships">
  <dimension ref="A1:I56"/>
  <sheetViews>
    <sheetView view="pageBreakPreview" zoomScale="106" zoomScaleSheetLayoutView="106" workbookViewId="0">
      <selection activeCell="B4" sqref="B4"/>
    </sheetView>
  </sheetViews>
  <sheetFormatPr defaultRowHeight="15.75"/>
  <cols>
    <col min="1" max="1" width="3.88671875" customWidth="1"/>
    <col min="2" max="2" width="37.88671875" style="813" customWidth="1"/>
    <col min="3" max="3" width="3.21875" customWidth="1"/>
    <col min="4" max="4" width="2.88671875" bestFit="1" customWidth="1"/>
    <col min="5" max="5" width="7.5546875" customWidth="1"/>
    <col min="6" max="6" width="7.77734375" customWidth="1"/>
    <col min="7" max="7" width="7.5546875" customWidth="1"/>
    <col min="8" max="8" width="8.109375" customWidth="1"/>
    <col min="10" max="11" width="9" bestFit="1" customWidth="1"/>
  </cols>
  <sheetData>
    <row r="1" spans="1:8" ht="54.75" customHeight="1">
      <c r="A1" s="1205" t="s">
        <v>4193</v>
      </c>
      <c r="B1" s="1205"/>
      <c r="C1" s="1205"/>
      <c r="D1" s="1205"/>
      <c r="E1" s="1205"/>
      <c r="F1" s="1205"/>
      <c r="G1" s="1205"/>
      <c r="H1" s="1205"/>
    </row>
    <row r="2" spans="1:8" ht="27.75" customHeight="1">
      <c r="A2" s="1262" t="s">
        <v>4176</v>
      </c>
      <c r="B2" s="1263"/>
      <c r="C2" s="1263"/>
      <c r="D2" s="1263"/>
      <c r="E2" s="1263"/>
      <c r="F2" s="1263"/>
      <c r="G2" s="1263"/>
      <c r="H2" s="1264"/>
    </row>
    <row r="3" spans="1:8" ht="31.5">
      <c r="A3" s="889" t="s">
        <v>3747</v>
      </c>
      <c r="B3" s="888" t="s">
        <v>3748</v>
      </c>
      <c r="C3" s="1277" t="s">
        <v>1454</v>
      </c>
      <c r="D3" s="1277"/>
      <c r="E3" s="888" t="s">
        <v>3751</v>
      </c>
      <c r="F3" s="888" t="s">
        <v>3752</v>
      </c>
      <c r="G3" s="888" t="s">
        <v>3753</v>
      </c>
      <c r="H3" s="888" t="s">
        <v>1669</v>
      </c>
    </row>
    <row r="4" spans="1:8" ht="60">
      <c r="A4" s="863">
        <v>1</v>
      </c>
      <c r="B4" s="862" t="s">
        <v>4177</v>
      </c>
      <c r="C4" s="864"/>
      <c r="D4" s="865"/>
      <c r="E4" s="866"/>
      <c r="F4" s="866"/>
      <c r="G4" s="866"/>
      <c r="H4" s="866"/>
    </row>
    <row r="5" spans="1:8">
      <c r="A5" s="863"/>
      <c r="B5" s="862" t="s">
        <v>4093</v>
      </c>
      <c r="C5" s="867"/>
      <c r="D5" s="867"/>
      <c r="E5" s="862"/>
      <c r="F5" s="862"/>
      <c r="G5" s="862"/>
      <c r="H5" s="866"/>
    </row>
    <row r="6" spans="1:8">
      <c r="A6" s="863"/>
      <c r="B6" s="862" t="s">
        <v>4178</v>
      </c>
      <c r="C6" s="867">
        <v>1</v>
      </c>
      <c r="D6" s="867">
        <v>1</v>
      </c>
      <c r="E6" s="862">
        <v>56</v>
      </c>
      <c r="F6" s="862">
        <v>0.79</v>
      </c>
      <c r="G6" s="862">
        <v>0.3</v>
      </c>
      <c r="H6" s="866">
        <f>ROUND(PRODUCT(C6:G6),2)</f>
        <v>13.27</v>
      </c>
    </row>
    <row r="7" spans="1:8">
      <c r="A7" s="863"/>
      <c r="B7" s="862"/>
      <c r="C7" s="867"/>
      <c r="D7" s="867"/>
      <c r="E7" s="862"/>
      <c r="F7" s="862"/>
      <c r="G7" s="866" t="s">
        <v>2332</v>
      </c>
      <c r="H7" s="868">
        <f>SUM(H5:H6)</f>
        <v>13.27</v>
      </c>
    </row>
    <row r="8" spans="1:8">
      <c r="A8" s="863"/>
      <c r="B8" s="862"/>
      <c r="C8" s="867"/>
      <c r="D8" s="867"/>
      <c r="E8" s="862"/>
      <c r="F8" s="862"/>
      <c r="G8" s="866"/>
      <c r="H8" s="868">
        <v>0.03</v>
      </c>
    </row>
    <row r="9" spans="1:8">
      <c r="A9" s="863"/>
      <c r="B9" s="862"/>
      <c r="C9" s="867"/>
      <c r="D9" s="867"/>
      <c r="E9" s="862"/>
      <c r="F9" s="862"/>
      <c r="G9" s="866" t="s">
        <v>3907</v>
      </c>
      <c r="H9" s="869">
        <f>SUM(H7:H8)</f>
        <v>13.3</v>
      </c>
    </row>
    <row r="10" spans="1:8">
      <c r="A10" s="863"/>
      <c r="B10" s="862"/>
      <c r="C10" s="867"/>
      <c r="D10" s="867"/>
      <c r="E10" s="862"/>
      <c r="F10" s="862"/>
      <c r="G10" s="862"/>
      <c r="H10" s="866"/>
    </row>
    <row r="11" spans="1:8" ht="60">
      <c r="A11" s="863">
        <v>2</v>
      </c>
      <c r="B11" s="850" t="s">
        <v>4094</v>
      </c>
      <c r="C11" s="867"/>
      <c r="D11" s="865"/>
      <c r="E11" s="866"/>
      <c r="F11" s="866"/>
      <c r="G11" s="866"/>
      <c r="H11" s="866"/>
    </row>
    <row r="12" spans="1:8">
      <c r="A12" s="863"/>
      <c r="B12" s="862" t="s">
        <v>4178</v>
      </c>
      <c r="C12" s="867">
        <v>1</v>
      </c>
      <c r="D12" s="865">
        <v>1</v>
      </c>
      <c r="E12" s="866">
        <v>56</v>
      </c>
      <c r="F12" s="866">
        <v>0.79</v>
      </c>
      <c r="G12" s="866">
        <v>0.15</v>
      </c>
      <c r="H12" s="866">
        <f>ROUND(PRODUCT(C12:G12),2)</f>
        <v>6.64</v>
      </c>
    </row>
    <row r="13" spans="1:8">
      <c r="A13" s="863"/>
      <c r="B13" s="862"/>
      <c r="C13" s="867"/>
      <c r="D13" s="865"/>
      <c r="E13" s="866"/>
      <c r="F13" s="866"/>
      <c r="G13" s="866" t="s">
        <v>2332</v>
      </c>
      <c r="H13" s="868">
        <f>SUM(H12:H12)</f>
        <v>6.64</v>
      </c>
    </row>
    <row r="14" spans="1:8">
      <c r="A14" s="863"/>
      <c r="B14" s="862"/>
      <c r="C14" s="867"/>
      <c r="D14" s="865"/>
      <c r="E14" s="866"/>
      <c r="F14" s="866"/>
      <c r="G14" s="866"/>
      <c r="H14" s="868">
        <v>0.06</v>
      </c>
    </row>
    <row r="15" spans="1:8">
      <c r="A15" s="863"/>
      <c r="B15" s="862"/>
      <c r="C15" s="867"/>
      <c r="D15" s="865"/>
      <c r="E15" s="866"/>
      <c r="F15" s="866"/>
      <c r="G15" s="866" t="s">
        <v>3907</v>
      </c>
      <c r="H15" s="869">
        <f>SUM(H13:H14)</f>
        <v>6.7</v>
      </c>
    </row>
    <row r="16" spans="1:8">
      <c r="A16" s="863"/>
      <c r="B16" s="862"/>
      <c r="C16" s="867"/>
      <c r="D16" s="865"/>
      <c r="E16" s="866"/>
      <c r="F16" s="866"/>
      <c r="G16" s="866"/>
      <c r="H16" s="866"/>
    </row>
    <row r="17" spans="1:8" ht="47.25" customHeight="1">
      <c r="A17" s="863">
        <v>3</v>
      </c>
      <c r="B17" s="850" t="s">
        <v>4092</v>
      </c>
      <c r="C17" s="867"/>
      <c r="D17" s="865"/>
      <c r="E17" s="866"/>
      <c r="F17" s="866"/>
      <c r="G17" s="866"/>
      <c r="H17" s="866"/>
    </row>
    <row r="18" spans="1:8" ht="18" customHeight="1">
      <c r="A18" s="863"/>
      <c r="B18" s="862" t="s">
        <v>4180</v>
      </c>
      <c r="C18" s="867">
        <v>2</v>
      </c>
      <c r="D18" s="865">
        <v>32</v>
      </c>
      <c r="E18" s="866">
        <v>0.23</v>
      </c>
      <c r="F18" s="866">
        <v>0.23</v>
      </c>
      <c r="G18" s="866">
        <v>0.4</v>
      </c>
      <c r="H18" s="866">
        <f>ROUND(PRODUCT(C18:G18),2)</f>
        <v>1.35</v>
      </c>
    </row>
    <row r="19" spans="1:8" ht="18" customHeight="1">
      <c r="A19" s="863"/>
      <c r="B19" s="862"/>
      <c r="C19" s="867"/>
      <c r="D19" s="865"/>
      <c r="E19" s="866"/>
      <c r="F19" s="866"/>
      <c r="G19" s="866" t="s">
        <v>2332</v>
      </c>
      <c r="H19" s="868">
        <f>SUM(H18:H18)</f>
        <v>1.35</v>
      </c>
    </row>
    <row r="20" spans="1:8" ht="18" customHeight="1">
      <c r="A20" s="863"/>
      <c r="B20" s="862"/>
      <c r="C20" s="867"/>
      <c r="D20" s="865"/>
      <c r="E20" s="866"/>
      <c r="F20" s="866"/>
      <c r="G20" s="866"/>
      <c r="H20" s="868">
        <v>0.5</v>
      </c>
    </row>
    <row r="21" spans="1:8">
      <c r="A21" s="863"/>
      <c r="B21" s="862"/>
      <c r="C21" s="867"/>
      <c r="D21" s="865"/>
      <c r="E21" s="866"/>
      <c r="F21" s="866"/>
      <c r="G21" s="866" t="s">
        <v>3907</v>
      </c>
      <c r="H21" s="869">
        <f>SUM(H19:H20)</f>
        <v>1.85</v>
      </c>
    </row>
    <row r="22" spans="1:8">
      <c r="A22" s="863"/>
      <c r="B22" s="862"/>
      <c r="C22" s="867"/>
      <c r="D22" s="865"/>
      <c r="E22" s="866"/>
      <c r="F22" s="866"/>
      <c r="G22" s="866"/>
      <c r="H22" s="866"/>
    </row>
    <row r="23" spans="1:8" ht="30">
      <c r="A23" s="863">
        <v>4</v>
      </c>
      <c r="B23" s="850" t="s">
        <v>4096</v>
      </c>
      <c r="C23" s="867"/>
      <c r="D23" s="865"/>
      <c r="E23" s="866"/>
      <c r="F23" s="866"/>
      <c r="G23" s="866"/>
      <c r="H23" s="866"/>
    </row>
    <row r="24" spans="1:8">
      <c r="A24" s="863"/>
      <c r="B24" s="850" t="s">
        <v>4179</v>
      </c>
      <c r="C24" s="867"/>
      <c r="D24" s="865"/>
      <c r="E24" s="866"/>
      <c r="F24" s="866"/>
      <c r="G24" s="866"/>
      <c r="H24" s="866"/>
    </row>
    <row r="25" spans="1:8">
      <c r="A25" s="863"/>
      <c r="B25" s="850" t="s">
        <v>4178</v>
      </c>
      <c r="C25" s="867">
        <v>1</v>
      </c>
      <c r="D25" s="865">
        <v>2</v>
      </c>
      <c r="E25" s="866">
        <v>56</v>
      </c>
      <c r="F25" s="866"/>
      <c r="G25" s="866">
        <v>0.4</v>
      </c>
      <c r="H25" s="866">
        <f>ROUND(PRODUCT(C25:G25),2)</f>
        <v>44.8</v>
      </c>
    </row>
    <row r="26" spans="1:8">
      <c r="A26" s="863"/>
      <c r="B26" s="850" t="s">
        <v>4181</v>
      </c>
      <c r="C26" s="867">
        <v>2</v>
      </c>
      <c r="D26" s="865">
        <v>32</v>
      </c>
      <c r="E26" s="866">
        <v>0.23</v>
      </c>
      <c r="F26" s="866"/>
      <c r="G26" s="866">
        <v>0.4</v>
      </c>
      <c r="H26" s="866">
        <f>ROUND(-PRODUCT(C26:G26),2)</f>
        <v>-5.89</v>
      </c>
    </row>
    <row r="27" spans="1:8">
      <c r="A27" s="863"/>
      <c r="B27" s="862"/>
      <c r="C27" s="867"/>
      <c r="D27" s="865"/>
      <c r="E27" s="866"/>
      <c r="F27" s="866"/>
      <c r="G27" s="866" t="s">
        <v>2332</v>
      </c>
      <c r="H27" s="868">
        <f>SUM(H25:H26)</f>
        <v>38.909999999999997</v>
      </c>
    </row>
    <row r="28" spans="1:8">
      <c r="A28" s="863"/>
      <c r="B28" s="862"/>
      <c r="C28" s="867"/>
      <c r="D28" s="865"/>
      <c r="E28" s="866"/>
      <c r="F28" s="866"/>
      <c r="G28" s="866"/>
      <c r="H28" s="868">
        <v>0.09</v>
      </c>
    </row>
    <row r="29" spans="1:8">
      <c r="A29" s="863"/>
      <c r="B29" s="862"/>
      <c r="C29" s="867"/>
      <c r="D29" s="865"/>
      <c r="E29" s="866"/>
      <c r="F29" s="866"/>
      <c r="G29" s="866" t="s">
        <v>3907</v>
      </c>
      <c r="H29" s="869">
        <f>SUM(H27:H28)</f>
        <v>39</v>
      </c>
    </row>
    <row r="30" spans="1:8">
      <c r="A30" s="863"/>
      <c r="B30" s="862"/>
      <c r="C30" s="867"/>
      <c r="D30" s="865"/>
      <c r="E30" s="866"/>
      <c r="F30" s="866"/>
      <c r="G30" s="866"/>
      <c r="H30" s="866"/>
    </row>
    <row r="31" spans="1:8" ht="37.5" customHeight="1">
      <c r="A31" s="863">
        <v>5</v>
      </c>
      <c r="B31" s="862" t="s">
        <v>4182</v>
      </c>
      <c r="C31" s="867"/>
      <c r="D31" s="865"/>
      <c r="E31" s="866"/>
      <c r="F31" s="866"/>
      <c r="G31" s="866"/>
      <c r="H31" s="866"/>
    </row>
    <row r="32" spans="1:8">
      <c r="A32" s="863"/>
      <c r="B32" s="862" t="s">
        <v>4183</v>
      </c>
      <c r="C32" s="867">
        <v>1</v>
      </c>
      <c r="D32" s="865">
        <v>1</v>
      </c>
      <c r="E32" s="866">
        <v>56</v>
      </c>
      <c r="F32" s="866"/>
      <c r="G32" s="882">
        <v>0.18</v>
      </c>
      <c r="H32" s="866">
        <f>ROUND(PRODUCT(C32:G32),2)</f>
        <v>10.08</v>
      </c>
    </row>
    <row r="33" spans="1:9">
      <c r="A33" s="863"/>
      <c r="B33" s="862"/>
      <c r="C33" s="867"/>
      <c r="D33" s="865"/>
      <c r="E33" s="866"/>
      <c r="F33" s="866"/>
      <c r="G33" s="866" t="s">
        <v>2332</v>
      </c>
      <c r="H33" s="868">
        <f>SUM(H31:H32)</f>
        <v>10.08</v>
      </c>
    </row>
    <row r="34" spans="1:9">
      <c r="A34" s="863"/>
      <c r="B34" s="862"/>
      <c r="C34" s="867"/>
      <c r="D34" s="865"/>
      <c r="E34" s="866"/>
      <c r="F34" s="866"/>
      <c r="G34" s="866"/>
      <c r="H34" s="868">
        <v>0.02</v>
      </c>
    </row>
    <row r="35" spans="1:9">
      <c r="A35" s="863"/>
      <c r="B35" s="862"/>
      <c r="C35" s="867"/>
      <c r="D35" s="865"/>
      <c r="E35" s="866"/>
      <c r="F35" s="866"/>
      <c r="G35" s="866" t="s">
        <v>3907</v>
      </c>
      <c r="H35" s="869">
        <f>SUM(H33:H34)</f>
        <v>10.1</v>
      </c>
    </row>
    <row r="36" spans="1:9" ht="15" customHeight="1">
      <c r="A36" s="863"/>
      <c r="B36" s="862"/>
      <c r="C36" s="867"/>
      <c r="D36" s="865"/>
      <c r="E36" s="866"/>
      <c r="F36" s="866"/>
      <c r="G36" s="851"/>
      <c r="H36" s="851"/>
    </row>
    <row r="37" spans="1:9" ht="45">
      <c r="A37" s="863">
        <v>6</v>
      </c>
      <c r="B37" s="819" t="s">
        <v>3950</v>
      </c>
      <c r="C37" s="867"/>
      <c r="D37" s="865"/>
      <c r="E37" s="866"/>
      <c r="F37" s="866"/>
      <c r="G37" s="866"/>
      <c r="H37" s="866"/>
    </row>
    <row r="38" spans="1:9">
      <c r="A38" s="863"/>
      <c r="B38" s="862" t="s">
        <v>4184</v>
      </c>
      <c r="C38" s="867">
        <v>1</v>
      </c>
      <c r="D38" s="865">
        <v>2</v>
      </c>
      <c r="E38" s="866">
        <v>56</v>
      </c>
      <c r="F38" s="866"/>
      <c r="G38" s="866">
        <v>0.3</v>
      </c>
      <c r="H38" s="866">
        <f>ROUND(PRODUCT(C38:G38),2)</f>
        <v>33.6</v>
      </c>
    </row>
    <row r="39" spans="1:9">
      <c r="A39" s="863"/>
      <c r="B39" s="862"/>
      <c r="C39" s="867"/>
      <c r="D39" s="865"/>
      <c r="E39" s="866"/>
      <c r="F39" s="866"/>
      <c r="G39" s="866" t="s">
        <v>2332</v>
      </c>
      <c r="H39" s="868">
        <f>SUM(H38:H38)</f>
        <v>33.6</v>
      </c>
    </row>
    <row r="40" spans="1:9">
      <c r="A40" s="863"/>
      <c r="B40" s="862"/>
      <c r="C40" s="867"/>
      <c r="D40" s="865"/>
      <c r="E40" s="866"/>
      <c r="F40" s="866"/>
      <c r="G40" s="866"/>
      <c r="H40" s="868">
        <v>0</v>
      </c>
    </row>
    <row r="41" spans="1:9">
      <c r="A41" s="863"/>
      <c r="B41" s="862"/>
      <c r="C41" s="867"/>
      <c r="D41" s="865"/>
      <c r="E41" s="866"/>
      <c r="F41" s="866"/>
      <c r="G41" s="866" t="s">
        <v>3907</v>
      </c>
      <c r="H41" s="869">
        <f>SUM(H39:H40)</f>
        <v>33.6</v>
      </c>
    </row>
    <row r="42" spans="1:9">
      <c r="A42" s="863"/>
      <c r="B42" s="862"/>
      <c r="C42" s="867"/>
      <c r="D42" s="865"/>
      <c r="E42" s="866"/>
      <c r="F42" s="866"/>
      <c r="G42" s="866"/>
      <c r="H42" s="866"/>
    </row>
    <row r="43" spans="1:9" ht="30">
      <c r="A43" s="863">
        <v>7</v>
      </c>
      <c r="B43" s="819" t="s">
        <v>4185</v>
      </c>
      <c r="C43" s="867"/>
      <c r="D43" s="865"/>
      <c r="E43" s="866"/>
      <c r="F43" s="866"/>
      <c r="G43" s="866"/>
      <c r="H43" s="866"/>
      <c r="I43" s="245"/>
    </row>
    <row r="44" spans="1:9">
      <c r="A44" s="863"/>
      <c r="B44" s="862" t="s">
        <v>4183</v>
      </c>
      <c r="C44" s="867">
        <v>1</v>
      </c>
      <c r="D44" s="865">
        <v>1</v>
      </c>
      <c r="E44" s="866">
        <v>56</v>
      </c>
      <c r="F44" s="866">
        <v>0.18</v>
      </c>
      <c r="G44" s="866">
        <v>0.1</v>
      </c>
      <c r="H44" s="866">
        <f>ROUND(PRODUCT(C44:G44),2)</f>
        <v>1.01</v>
      </c>
      <c r="I44" s="245"/>
    </row>
    <row r="45" spans="1:9">
      <c r="A45" s="863"/>
      <c r="B45" s="862"/>
      <c r="C45" s="867"/>
      <c r="D45" s="865"/>
      <c r="E45" s="866"/>
      <c r="F45" s="866"/>
      <c r="G45" s="866" t="s">
        <v>2332</v>
      </c>
      <c r="H45" s="868">
        <f>SUM(H44:H44)</f>
        <v>1.01</v>
      </c>
      <c r="I45" s="245"/>
    </row>
    <row r="46" spans="1:9">
      <c r="A46" s="863"/>
      <c r="B46" s="862"/>
      <c r="C46" s="867"/>
      <c r="D46" s="865"/>
      <c r="E46" s="866"/>
      <c r="F46" s="866"/>
      <c r="G46" s="866"/>
      <c r="H46" s="868">
        <v>0.09</v>
      </c>
      <c r="I46" s="245"/>
    </row>
    <row r="47" spans="1:9">
      <c r="A47" s="863"/>
      <c r="B47" s="862"/>
      <c r="C47" s="867"/>
      <c r="D47" s="865"/>
      <c r="E47" s="866"/>
      <c r="F47" s="866"/>
      <c r="G47" s="866" t="s">
        <v>3907</v>
      </c>
      <c r="H47" s="869">
        <f>SUM(H45:H46)</f>
        <v>1.1000000000000001</v>
      </c>
      <c r="I47" s="245"/>
    </row>
    <row r="48" spans="1:9">
      <c r="A48" s="863"/>
      <c r="B48" s="862"/>
      <c r="C48" s="867"/>
      <c r="D48" s="865"/>
      <c r="E48" s="866"/>
      <c r="F48" s="866"/>
      <c r="G48" s="866"/>
      <c r="H48" s="866"/>
      <c r="I48" s="245"/>
    </row>
    <row r="49" spans="1:9" ht="45">
      <c r="A49" s="863">
        <v>8</v>
      </c>
      <c r="B49" s="819" t="s">
        <v>3903</v>
      </c>
      <c r="C49" s="867"/>
      <c r="D49" s="865"/>
      <c r="E49" s="866"/>
      <c r="F49" s="866"/>
      <c r="G49" s="866"/>
      <c r="H49" s="866"/>
      <c r="I49" s="245"/>
    </row>
    <row r="50" spans="1:9">
      <c r="A50" s="863"/>
      <c r="B50" s="819" t="s">
        <v>4186</v>
      </c>
      <c r="C50" s="867">
        <v>1</v>
      </c>
      <c r="D50" s="865">
        <v>2</v>
      </c>
      <c r="E50" s="866">
        <v>56</v>
      </c>
      <c r="F50" s="866"/>
      <c r="G50" s="866">
        <v>0.15</v>
      </c>
      <c r="H50" s="866">
        <f>ROUND(PRODUCT(C50:G50),2)</f>
        <v>16.8</v>
      </c>
      <c r="I50" s="245"/>
    </row>
    <row r="51" spans="1:9">
      <c r="A51" s="863"/>
      <c r="B51" s="819" t="s">
        <v>4187</v>
      </c>
      <c r="C51" s="867">
        <v>1</v>
      </c>
      <c r="D51" s="865">
        <v>2</v>
      </c>
      <c r="E51" s="866">
        <v>56</v>
      </c>
      <c r="F51" s="876">
        <v>0.115</v>
      </c>
      <c r="G51" s="866"/>
      <c r="H51" s="866">
        <f>ROUND(PRODUCT(C51:G51),2)</f>
        <v>12.88</v>
      </c>
      <c r="I51" s="245"/>
    </row>
    <row r="52" spans="1:9">
      <c r="A52" s="863"/>
      <c r="B52" s="819" t="s">
        <v>4188</v>
      </c>
      <c r="C52" s="867">
        <v>2</v>
      </c>
      <c r="D52" s="865">
        <v>32</v>
      </c>
      <c r="E52" s="866">
        <v>0.23</v>
      </c>
      <c r="F52" s="876">
        <v>0.115</v>
      </c>
      <c r="G52" s="866"/>
      <c r="H52" s="866">
        <f>ROUND(PRODUCT(C52:G52),2)</f>
        <v>1.69</v>
      </c>
      <c r="I52" s="245"/>
    </row>
    <row r="53" spans="1:9">
      <c r="A53" s="863"/>
      <c r="B53" s="819"/>
      <c r="C53" s="867"/>
      <c r="D53" s="865"/>
      <c r="E53" s="866"/>
      <c r="F53" s="876"/>
      <c r="G53" s="866" t="s">
        <v>2332</v>
      </c>
      <c r="H53" s="868">
        <f>SUM(H50:H52)</f>
        <v>31.37</v>
      </c>
      <c r="I53" s="245"/>
    </row>
    <row r="54" spans="1:9">
      <c r="A54" s="863"/>
      <c r="B54" s="819"/>
      <c r="C54" s="867"/>
      <c r="D54" s="865"/>
      <c r="E54" s="866"/>
      <c r="F54" s="876"/>
      <c r="G54" s="866"/>
      <c r="H54" s="868">
        <v>0.03</v>
      </c>
      <c r="I54" s="245"/>
    </row>
    <row r="55" spans="1:9">
      <c r="A55" s="863"/>
      <c r="B55" s="862"/>
      <c r="C55" s="867"/>
      <c r="D55" s="865"/>
      <c r="E55" s="866"/>
      <c r="F55" s="866"/>
      <c r="G55" s="866" t="s">
        <v>3907</v>
      </c>
      <c r="H55" s="869">
        <f>SUM(H53:H54)</f>
        <v>31.4</v>
      </c>
      <c r="I55" s="245"/>
    </row>
    <row r="56" spans="1:9">
      <c r="A56" s="863"/>
      <c r="B56" s="862"/>
      <c r="C56" s="867"/>
      <c r="D56" s="865"/>
      <c r="E56" s="866"/>
      <c r="F56" s="866"/>
      <c r="G56" s="866"/>
      <c r="H56" s="866"/>
      <c r="I56" s="245"/>
    </row>
  </sheetData>
  <mergeCells count="3">
    <mergeCell ref="C3:D3"/>
    <mergeCell ref="A1:H1"/>
    <mergeCell ref="A2:H2"/>
  </mergeCells>
  <pageMargins left="0.7" right="0.15" top="0.5" bottom="0.25" header="0.3" footer="0.3"/>
  <pageSetup paperSize="9" scale="95" orientation="portrait" horizontalDpi="300" verticalDpi="300" r:id="rId1"/>
  <colBreaks count="1" manualBreakCount="1">
    <brk id="8" max="802" man="1"/>
  </colBreaks>
</worksheet>
</file>

<file path=xl/worksheets/sheet54.xml><?xml version="1.0" encoding="utf-8"?>
<worksheet xmlns="http://schemas.openxmlformats.org/spreadsheetml/2006/main" xmlns:r="http://schemas.openxmlformats.org/officeDocument/2006/relationships">
  <dimension ref="A1:I39"/>
  <sheetViews>
    <sheetView view="pageBreakPreview" topLeftCell="A5" zoomScale="106" zoomScaleSheetLayoutView="106" workbookViewId="0">
      <selection activeCell="B12" sqref="B12:H13"/>
    </sheetView>
  </sheetViews>
  <sheetFormatPr defaultRowHeight="15.75"/>
  <cols>
    <col min="1" max="1" width="3.88671875" customWidth="1"/>
    <col min="2" max="2" width="37.88671875" style="813" customWidth="1"/>
    <col min="3" max="3" width="3.109375" customWidth="1"/>
    <col min="4" max="4" width="4.88671875" style="918" customWidth="1"/>
    <col min="5" max="5" width="7.5546875" customWidth="1"/>
    <col min="6" max="6" width="7.77734375" customWidth="1"/>
    <col min="7" max="7" width="7.5546875" customWidth="1"/>
    <col min="8" max="8" width="8.109375" customWidth="1"/>
    <col min="10" max="11" width="9" bestFit="1" customWidth="1"/>
  </cols>
  <sheetData>
    <row r="1" spans="1:8" ht="54.75" customHeight="1">
      <c r="A1" s="1205" t="s">
        <v>4193</v>
      </c>
      <c r="B1" s="1205"/>
      <c r="C1" s="1205"/>
      <c r="D1" s="1205"/>
      <c r="E1" s="1205"/>
      <c r="F1" s="1205"/>
      <c r="G1" s="1205"/>
      <c r="H1" s="1205"/>
    </row>
    <row r="2" spans="1:8" ht="27.75" customHeight="1">
      <c r="A2" s="1262" t="s">
        <v>4151</v>
      </c>
      <c r="B2" s="1263"/>
      <c r="C2" s="1263"/>
      <c r="D2" s="1263"/>
      <c r="E2" s="1263"/>
      <c r="F2" s="1263"/>
      <c r="G2" s="1263"/>
      <c r="H2" s="1264"/>
    </row>
    <row r="3" spans="1:8" ht="31.5">
      <c r="A3" s="889" t="s">
        <v>3747</v>
      </c>
      <c r="B3" s="888" t="s">
        <v>3748</v>
      </c>
      <c r="C3" s="1277" t="s">
        <v>1454</v>
      </c>
      <c r="D3" s="1277"/>
      <c r="E3" s="888" t="s">
        <v>3751</v>
      </c>
      <c r="F3" s="888" t="s">
        <v>3752</v>
      </c>
      <c r="G3" s="888" t="s">
        <v>3753</v>
      </c>
      <c r="H3" s="888" t="s">
        <v>1669</v>
      </c>
    </row>
    <row r="4" spans="1:8" ht="60">
      <c r="A4" s="863">
        <v>1</v>
      </c>
      <c r="B4" s="862" t="s">
        <v>4142</v>
      </c>
      <c r="C4" s="864"/>
      <c r="D4" s="865"/>
      <c r="E4" s="866"/>
      <c r="F4" s="866"/>
      <c r="G4" s="866"/>
      <c r="H4" s="866"/>
    </row>
    <row r="5" spans="1:8">
      <c r="A5" s="863"/>
      <c r="B5" s="862" t="s">
        <v>4093</v>
      </c>
      <c r="C5" s="867"/>
      <c r="D5" s="865"/>
      <c r="E5" s="862"/>
      <c r="F5" s="862"/>
      <c r="G5" s="862"/>
      <c r="H5" s="866"/>
    </row>
    <row r="6" spans="1:8">
      <c r="A6" s="863"/>
      <c r="B6" s="862" t="s">
        <v>4216</v>
      </c>
      <c r="C6" s="867">
        <v>1</v>
      </c>
      <c r="D6" s="865">
        <v>1</v>
      </c>
      <c r="E6" s="862">
        <v>6</v>
      </c>
      <c r="F6" s="862">
        <v>1</v>
      </c>
      <c r="G6" s="862">
        <v>1.5</v>
      </c>
      <c r="H6" s="866">
        <f>ROUND(PRODUCT(C6:G6),2)</f>
        <v>9</v>
      </c>
    </row>
    <row r="7" spans="1:8">
      <c r="A7" s="863"/>
      <c r="B7" s="862"/>
      <c r="C7" s="867"/>
      <c r="D7" s="865"/>
      <c r="E7" s="862"/>
      <c r="F7" s="862"/>
      <c r="G7" s="866" t="s">
        <v>2332</v>
      </c>
      <c r="H7" s="868">
        <f>SUM(H5:H6)</f>
        <v>9</v>
      </c>
    </row>
    <row r="8" spans="1:8">
      <c r="A8" s="863"/>
      <c r="B8" s="862"/>
      <c r="C8" s="867"/>
      <c r="D8" s="865"/>
      <c r="E8" s="862"/>
      <c r="F8" s="862"/>
      <c r="G8" s="866"/>
      <c r="H8" s="868">
        <v>0</v>
      </c>
    </row>
    <row r="9" spans="1:8">
      <c r="A9" s="863"/>
      <c r="B9" s="862"/>
      <c r="C9" s="867"/>
      <c r="D9" s="865"/>
      <c r="E9" s="862"/>
      <c r="F9" s="862"/>
      <c r="G9" s="866" t="s">
        <v>3907</v>
      </c>
      <c r="H9" s="869">
        <f>SUM(H7:H8)</f>
        <v>9</v>
      </c>
    </row>
    <row r="10" spans="1:8">
      <c r="A10" s="863"/>
      <c r="B10" s="862"/>
      <c r="C10" s="867"/>
      <c r="D10" s="865"/>
      <c r="E10" s="862"/>
      <c r="F10" s="862"/>
      <c r="G10" s="862"/>
      <c r="H10" s="866"/>
    </row>
    <row r="11" spans="1:8" ht="45">
      <c r="A11" s="863">
        <v>2</v>
      </c>
      <c r="B11" s="862" t="s">
        <v>4206</v>
      </c>
      <c r="C11" s="915"/>
      <c r="D11" s="915"/>
      <c r="E11" s="866"/>
      <c r="F11" s="866"/>
      <c r="G11" s="866"/>
      <c r="H11" s="866"/>
    </row>
    <row r="12" spans="1:8">
      <c r="A12" s="863"/>
      <c r="B12" s="862" t="s">
        <v>4216</v>
      </c>
      <c r="C12" s="915">
        <v>1</v>
      </c>
      <c r="D12" s="915">
        <v>1</v>
      </c>
      <c r="E12" s="866">
        <v>6</v>
      </c>
      <c r="F12" s="866">
        <v>1</v>
      </c>
      <c r="G12" s="866">
        <v>0.3</v>
      </c>
      <c r="H12" s="866">
        <f>PRODUCT(C12:G12)</f>
        <v>1.8</v>
      </c>
    </row>
    <row r="13" spans="1:8">
      <c r="A13" s="863"/>
      <c r="B13" s="862"/>
      <c r="C13" s="915"/>
      <c r="D13" s="915"/>
      <c r="E13" s="866"/>
      <c r="F13" s="866"/>
      <c r="G13" s="866" t="s">
        <v>2332</v>
      </c>
      <c r="H13" s="866">
        <f>SUM(H12)</f>
        <v>1.8</v>
      </c>
    </row>
    <row r="14" spans="1:8">
      <c r="A14" s="863"/>
      <c r="B14" s="862"/>
      <c r="C14" s="915"/>
      <c r="D14" s="915"/>
      <c r="E14" s="866"/>
      <c r="F14" s="866"/>
      <c r="G14" s="866"/>
      <c r="H14" s="866">
        <v>0</v>
      </c>
    </row>
    <row r="15" spans="1:8">
      <c r="A15" s="863"/>
      <c r="B15" s="862"/>
      <c r="C15" s="915"/>
      <c r="D15" s="915"/>
      <c r="E15" s="866"/>
      <c r="F15" s="866"/>
      <c r="G15" s="866" t="s">
        <v>3754</v>
      </c>
      <c r="H15" s="851">
        <f>SUM(H13:H14)</f>
        <v>1.8</v>
      </c>
    </row>
    <row r="16" spans="1:8">
      <c r="A16" s="863"/>
      <c r="B16" s="862"/>
      <c r="C16" s="915"/>
      <c r="D16" s="915"/>
      <c r="E16" s="866"/>
      <c r="F16" s="866"/>
      <c r="G16" s="866"/>
      <c r="H16" s="866"/>
    </row>
    <row r="17" spans="1:8" ht="30">
      <c r="A17" s="863">
        <v>3</v>
      </c>
      <c r="B17" s="862" t="s">
        <v>4208</v>
      </c>
      <c r="C17" s="915"/>
      <c r="D17" s="915"/>
      <c r="E17" s="866"/>
      <c r="F17" s="866"/>
      <c r="G17" s="866"/>
      <c r="H17" s="866"/>
    </row>
    <row r="18" spans="1:8">
      <c r="A18" s="863"/>
      <c r="B18" s="862" t="s">
        <v>4216</v>
      </c>
      <c r="C18" s="915">
        <v>1</v>
      </c>
      <c r="D18" s="915">
        <v>1</v>
      </c>
      <c r="E18" s="866">
        <v>6</v>
      </c>
      <c r="F18" s="866">
        <v>1</v>
      </c>
      <c r="G18" s="866">
        <v>0.6</v>
      </c>
      <c r="H18" s="866">
        <f>PRODUCT(C18:G18)</f>
        <v>3.6</v>
      </c>
    </row>
    <row r="19" spans="1:8">
      <c r="A19" s="863"/>
      <c r="B19" s="862"/>
      <c r="C19" s="915"/>
      <c r="D19" s="915"/>
      <c r="E19" s="866"/>
      <c r="F19" s="866"/>
      <c r="G19" s="866" t="s">
        <v>2332</v>
      </c>
      <c r="H19" s="866">
        <f>SUM(H18)</f>
        <v>3.6</v>
      </c>
    </row>
    <row r="20" spans="1:8">
      <c r="A20" s="863"/>
      <c r="B20" s="862"/>
      <c r="C20" s="915"/>
      <c r="D20" s="915"/>
      <c r="E20" s="866"/>
      <c r="F20" s="866"/>
      <c r="G20" s="866"/>
      <c r="H20" s="866">
        <v>0</v>
      </c>
    </row>
    <row r="21" spans="1:8">
      <c r="A21" s="863"/>
      <c r="B21" s="862"/>
      <c r="C21" s="915"/>
      <c r="D21" s="915"/>
      <c r="E21" s="866"/>
      <c r="F21" s="866"/>
      <c r="G21" s="866" t="s">
        <v>3754</v>
      </c>
      <c r="H21" s="851">
        <f>SUM(H19:H20)</f>
        <v>3.6</v>
      </c>
    </row>
    <row r="22" spans="1:8">
      <c r="A22" s="863"/>
      <c r="B22" s="862"/>
      <c r="C22" s="915"/>
      <c r="D22" s="915"/>
      <c r="E22" s="866"/>
      <c r="F22" s="866"/>
      <c r="G22" s="866"/>
      <c r="H22" s="866"/>
    </row>
    <row r="23" spans="1:8" ht="30">
      <c r="A23" s="863">
        <v>4</v>
      </c>
      <c r="B23" s="862" t="s">
        <v>4209</v>
      </c>
      <c r="C23" s="915"/>
      <c r="D23" s="915"/>
      <c r="E23" s="866"/>
      <c r="F23" s="866"/>
      <c r="G23" s="866"/>
      <c r="H23" s="866"/>
    </row>
    <row r="24" spans="1:8">
      <c r="A24" s="863"/>
      <c r="B24" s="862" t="s">
        <v>4216</v>
      </c>
      <c r="C24" s="915">
        <v>1</v>
      </c>
      <c r="D24" s="915">
        <v>1</v>
      </c>
      <c r="E24" s="866">
        <v>6</v>
      </c>
      <c r="F24" s="866">
        <v>1</v>
      </c>
      <c r="G24" s="866">
        <v>0.65</v>
      </c>
      <c r="H24" s="866">
        <f>PRODUCT(C24:G24)</f>
        <v>3.9</v>
      </c>
    </row>
    <row r="25" spans="1:8">
      <c r="A25" s="863"/>
      <c r="B25" s="862"/>
      <c r="C25" s="915"/>
      <c r="D25" s="915"/>
      <c r="E25" s="866"/>
      <c r="F25" s="866"/>
      <c r="G25" s="866" t="s">
        <v>2332</v>
      </c>
      <c r="H25" s="866">
        <f>SUM(H24)</f>
        <v>3.9</v>
      </c>
    </row>
    <row r="26" spans="1:8">
      <c r="A26" s="863"/>
      <c r="B26" s="862"/>
      <c r="C26" s="915"/>
      <c r="D26" s="915"/>
      <c r="E26" s="866"/>
      <c r="F26" s="866"/>
      <c r="G26" s="866"/>
      <c r="H26" s="866">
        <v>0</v>
      </c>
    </row>
    <row r="27" spans="1:8">
      <c r="A27" s="863"/>
      <c r="B27" s="862"/>
      <c r="C27" s="915"/>
      <c r="D27" s="915"/>
      <c r="E27" s="866"/>
      <c r="F27" s="866"/>
      <c r="G27" s="866" t="s">
        <v>3754</v>
      </c>
      <c r="H27" s="851">
        <f>SUM(H25:H26)</f>
        <v>3.9</v>
      </c>
    </row>
    <row r="28" spans="1:8">
      <c r="A28" s="863"/>
      <c r="B28" s="862"/>
      <c r="C28" s="867"/>
      <c r="D28" s="865"/>
      <c r="E28" s="866"/>
      <c r="F28" s="866"/>
      <c r="G28" s="866"/>
      <c r="H28" s="866"/>
    </row>
    <row r="29" spans="1:8" ht="27" customHeight="1">
      <c r="A29" s="863">
        <v>5</v>
      </c>
      <c r="B29" s="909" t="s">
        <v>4191</v>
      </c>
      <c r="C29" s="867"/>
      <c r="D29" s="865"/>
      <c r="E29" s="866"/>
      <c r="F29" s="866"/>
      <c r="G29" s="866"/>
      <c r="H29" s="866"/>
    </row>
    <row r="30" spans="1:8">
      <c r="A30" s="863"/>
      <c r="B30" s="862" t="s">
        <v>4216</v>
      </c>
      <c r="C30" s="867">
        <v>1</v>
      </c>
      <c r="D30" s="865">
        <v>1</v>
      </c>
      <c r="E30" s="866">
        <v>6</v>
      </c>
      <c r="F30" s="866">
        <v>1</v>
      </c>
      <c r="G30" s="866">
        <v>0.25</v>
      </c>
      <c r="H30" s="866">
        <f>ROUND(PRODUCT(C30:G30),2)</f>
        <v>1.5</v>
      </c>
    </row>
    <row r="31" spans="1:8">
      <c r="A31" s="863"/>
      <c r="B31" s="862"/>
      <c r="C31" s="867"/>
      <c r="D31" s="865"/>
      <c r="E31" s="866"/>
      <c r="F31" s="866"/>
      <c r="G31" s="866" t="s">
        <v>2332</v>
      </c>
      <c r="H31" s="868">
        <f>SUM(H30:H30)</f>
        <v>1.5</v>
      </c>
    </row>
    <row r="32" spans="1:8">
      <c r="A32" s="863"/>
      <c r="B32" s="862"/>
      <c r="C32" s="867"/>
      <c r="D32" s="865"/>
      <c r="E32" s="866"/>
      <c r="F32" s="866"/>
      <c r="G32" s="866"/>
      <c r="H32" s="868">
        <v>0</v>
      </c>
    </row>
    <row r="33" spans="1:9">
      <c r="A33" s="863"/>
      <c r="B33" s="862"/>
      <c r="C33" s="867"/>
      <c r="D33" s="865"/>
      <c r="E33" s="866"/>
      <c r="F33" s="866"/>
      <c r="G33" s="866" t="s">
        <v>3907</v>
      </c>
      <c r="H33" s="869">
        <f>SUM(H31:H32)</f>
        <v>1.5</v>
      </c>
    </row>
    <row r="34" spans="1:9">
      <c r="A34" s="863"/>
      <c r="B34" s="862"/>
      <c r="C34" s="867"/>
      <c r="D34" s="865"/>
      <c r="E34" s="866"/>
      <c r="F34" s="866"/>
      <c r="G34" s="866"/>
      <c r="H34" s="866"/>
    </row>
    <row r="35" spans="1:9" s="907" customFormat="1" ht="36" customHeight="1">
      <c r="A35" s="902">
        <v>6</v>
      </c>
      <c r="B35" s="903" t="s">
        <v>4217</v>
      </c>
      <c r="C35" s="904"/>
      <c r="D35" s="905"/>
      <c r="E35" s="906"/>
      <c r="F35" s="906"/>
      <c r="G35" s="906"/>
      <c r="H35" s="906"/>
    </row>
    <row r="36" spans="1:9" s="907" customFormat="1">
      <c r="A36" s="902"/>
      <c r="B36" s="862" t="s">
        <v>4216</v>
      </c>
      <c r="C36" s="904">
        <v>1</v>
      </c>
      <c r="D36" s="905">
        <v>1</v>
      </c>
      <c r="E36" s="919">
        <v>6</v>
      </c>
      <c r="F36" s="906"/>
      <c r="G36" s="908"/>
      <c r="H36" s="910">
        <f>ROUND(PRODUCT(C36:G36),2)</f>
        <v>6</v>
      </c>
    </row>
    <row r="37" spans="1:9" s="907" customFormat="1">
      <c r="A37" s="902"/>
      <c r="B37" s="909"/>
      <c r="C37" s="904"/>
      <c r="D37" s="905"/>
      <c r="E37" s="906"/>
      <c r="F37" s="906"/>
      <c r="G37" s="866"/>
      <c r="H37" s="866"/>
    </row>
    <row r="38" spans="1:9" s="907" customFormat="1">
      <c r="A38" s="902"/>
      <c r="B38" s="909"/>
      <c r="C38" s="904"/>
      <c r="D38" s="905"/>
      <c r="E38" s="906"/>
      <c r="F38" s="906"/>
      <c r="G38" s="906"/>
      <c r="H38" s="906"/>
      <c r="I38" s="629"/>
    </row>
    <row r="39" spans="1:9" s="900" customFormat="1">
      <c r="B39" s="901"/>
      <c r="D39" s="917"/>
    </row>
  </sheetData>
  <mergeCells count="3">
    <mergeCell ref="A1:H1"/>
    <mergeCell ref="A2:H2"/>
    <mergeCell ref="C3:D3"/>
  </mergeCells>
  <pageMargins left="0.7" right="0.15" top="0.5" bottom="0.25" header="0.3" footer="0.3"/>
  <pageSetup paperSize="9" scale="95" orientation="portrait" horizontalDpi="300" verticalDpi="300" r:id="rId1"/>
  <colBreaks count="1" manualBreakCount="1">
    <brk id="8" max="802" man="1"/>
  </colBreaks>
</worksheet>
</file>

<file path=xl/worksheets/sheet55.xml><?xml version="1.0" encoding="utf-8"?>
<worksheet xmlns="http://schemas.openxmlformats.org/spreadsheetml/2006/main" xmlns:r="http://schemas.openxmlformats.org/officeDocument/2006/relationships">
  <dimension ref="A1:F6"/>
  <sheetViews>
    <sheetView view="pageBreakPreview" zoomScaleSheetLayoutView="100" workbookViewId="0">
      <selection activeCell="C5" sqref="C5"/>
    </sheetView>
  </sheetViews>
  <sheetFormatPr defaultRowHeight="15.75"/>
  <cols>
    <col min="1" max="1" width="4.21875" customWidth="1"/>
    <col min="2" max="2" width="22.21875" customWidth="1"/>
    <col min="3" max="3" width="14.5546875" customWidth="1"/>
    <col min="4" max="4" width="13" customWidth="1"/>
    <col min="5" max="5" width="24.88671875" customWidth="1"/>
    <col min="6" max="6" width="23.6640625" customWidth="1"/>
  </cols>
  <sheetData>
    <row r="1" spans="1:6" ht="48" customHeight="1">
      <c r="A1" s="1321" t="s">
        <v>4133</v>
      </c>
      <c r="B1" s="1322"/>
      <c r="C1" s="1322"/>
      <c r="D1" s="1322"/>
      <c r="E1" s="1322"/>
      <c r="F1" s="1322"/>
    </row>
    <row r="3" spans="1:6" ht="16.5">
      <c r="A3" s="1273" t="s">
        <v>4122</v>
      </c>
      <c r="B3" s="1273"/>
      <c r="C3" s="1273"/>
      <c r="D3" s="1273"/>
      <c r="E3" s="1273"/>
      <c r="F3" s="1273"/>
    </row>
    <row r="4" spans="1:6" ht="31.5">
      <c r="A4" s="881" t="s">
        <v>4123</v>
      </c>
      <c r="B4" s="881" t="s">
        <v>3906</v>
      </c>
      <c r="C4" s="886" t="s">
        <v>4128</v>
      </c>
      <c r="D4" s="881" t="s">
        <v>4125</v>
      </c>
      <c r="E4" s="881" t="s">
        <v>4126</v>
      </c>
      <c r="F4" s="881" t="s">
        <v>4127</v>
      </c>
    </row>
    <row r="5" spans="1:6" ht="157.5">
      <c r="A5" s="822">
        <v>1</v>
      </c>
      <c r="B5" s="885" t="s">
        <v>4124</v>
      </c>
      <c r="C5" s="844" t="s">
        <v>4129</v>
      </c>
      <c r="D5" s="844" t="s">
        <v>4130</v>
      </c>
      <c r="E5" s="885" t="s">
        <v>4132</v>
      </c>
      <c r="F5" s="887" t="s">
        <v>4131</v>
      </c>
    </row>
    <row r="6" spans="1:6">
      <c r="A6" s="884"/>
      <c r="B6" s="885"/>
      <c r="C6" s="884"/>
      <c r="D6" s="884"/>
      <c r="E6" s="884"/>
      <c r="F6" s="884"/>
    </row>
  </sheetData>
  <mergeCells count="2">
    <mergeCell ref="A3:F3"/>
    <mergeCell ref="A1:F1"/>
  </mergeCells>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50</vt:i4>
      </vt:variant>
    </vt:vector>
  </HeadingPairs>
  <TitlesOfParts>
    <vt:vector size="105" baseType="lpstr">
      <vt:lpstr>lead  charge</vt:lpstr>
      <vt:lpstr>Data</vt:lpstr>
      <vt:lpstr>Elec.Data</vt:lpstr>
      <vt:lpstr>Elec.abs</vt:lpstr>
      <vt:lpstr>G. Abstract</vt:lpstr>
      <vt:lpstr>Abstract</vt:lpstr>
      <vt:lpstr>Sheet1</vt:lpstr>
      <vt:lpstr>G. Abstract (2)</vt:lpstr>
      <vt:lpstr>COMP D</vt:lpstr>
      <vt:lpstr>COMP A</vt:lpstr>
      <vt:lpstr>EW D</vt:lpstr>
      <vt:lpstr>EW A</vt:lpstr>
      <vt:lpstr>cycle shed D</vt:lpstr>
      <vt:lpstr>cycle shed A</vt:lpstr>
      <vt:lpstr>G.abstract</vt:lpstr>
      <vt:lpstr>Road Abs</vt:lpstr>
      <vt:lpstr>Ex.Water Abs</vt:lpstr>
      <vt:lpstr>Bldg+Dev</vt:lpstr>
      <vt:lpstr>D.W. Detailed for Septic Tank</vt:lpstr>
      <vt:lpstr>D.W.Detailed for CC road</vt:lpstr>
      <vt:lpstr>DW.Detailed for Drain</vt:lpstr>
      <vt:lpstr>Civil Abs </vt:lpstr>
      <vt:lpstr>Civil Det</vt:lpstr>
      <vt:lpstr>Electrical Abs</vt:lpstr>
      <vt:lpstr>Electrical Det</vt:lpstr>
      <vt:lpstr>Plumbing Abs </vt:lpstr>
      <vt:lpstr>Plumbing Det</vt:lpstr>
      <vt:lpstr>CCTV Abs</vt:lpstr>
      <vt:lpstr>CCTV Det</vt:lpstr>
      <vt:lpstr>Fire Abs</vt:lpstr>
      <vt:lpstr>Fire Det</vt:lpstr>
      <vt:lpstr>Inverter Abs</vt:lpstr>
      <vt:lpstr>Inverter Det</vt:lpstr>
      <vt:lpstr>Computer Abs</vt:lpstr>
      <vt:lpstr>Computer Det</vt:lpstr>
      <vt:lpstr>Furniture Abs</vt:lpstr>
      <vt:lpstr>Furniture Det</vt:lpstr>
      <vt:lpstr>RWH Abs</vt:lpstr>
      <vt:lpstr>RWH Detailed</vt:lpstr>
      <vt:lpstr> 2 wheeler Abs</vt:lpstr>
      <vt:lpstr> 2 wheeler det</vt:lpstr>
      <vt:lpstr>DATA1</vt:lpstr>
      <vt:lpstr>lead</vt:lpstr>
      <vt:lpstr>DATA2</vt:lpstr>
      <vt:lpstr>EX. WS Abs</vt:lpstr>
      <vt:lpstr>Septic tank Abs</vt:lpstr>
      <vt:lpstr>Sump Steel</vt:lpstr>
      <vt:lpstr>Septic Tank Det</vt:lpstr>
      <vt:lpstr>Road.Detailed</vt:lpstr>
      <vt:lpstr>Ex. WS Det.</vt:lpstr>
      <vt:lpstr>Sullage Abs</vt:lpstr>
      <vt:lpstr>Sump Detailed </vt:lpstr>
      <vt:lpstr>Sullage Detailed</vt:lpstr>
      <vt:lpstr>Dis.trench Detailed </vt:lpstr>
      <vt:lpstr>Com. Statement</vt:lpstr>
      <vt:lpstr>' 2 wheeler Abs'!Print_Area</vt:lpstr>
      <vt:lpstr>Abstract!Print_Area</vt:lpstr>
      <vt:lpstr>'Bldg+Dev'!Print_Area</vt:lpstr>
      <vt:lpstr>'CCTV Abs'!Print_Area</vt:lpstr>
      <vt:lpstr>'CCTV Det'!Print_Area</vt:lpstr>
      <vt:lpstr>'Civil Det'!Print_Area</vt:lpstr>
      <vt:lpstr>'COMP A'!Print_Area</vt:lpstr>
      <vt:lpstr>'COMP D'!Print_Area</vt:lpstr>
      <vt:lpstr>'Computer Abs'!Print_Area</vt:lpstr>
      <vt:lpstr>'Computer Det'!Print_Area</vt:lpstr>
      <vt:lpstr>'cycle shed D'!Print_Area</vt:lpstr>
      <vt:lpstr>Data!Print_Area</vt:lpstr>
      <vt:lpstr>DATA1!Print_Area</vt:lpstr>
      <vt:lpstr>DATA2!Print_Area</vt:lpstr>
      <vt:lpstr>'Dis.trench Detailed '!Print_Area</vt:lpstr>
      <vt:lpstr>Elec.abs!Print_Area</vt:lpstr>
      <vt:lpstr>Elec.Data!Print_Area</vt:lpstr>
      <vt:lpstr>'Electrical Det'!Print_Area</vt:lpstr>
      <vt:lpstr>'EX. WS Abs'!Print_Area</vt:lpstr>
      <vt:lpstr>'Ex. WS Det.'!Print_Area</vt:lpstr>
      <vt:lpstr>'Ex.Water Abs'!Print_Area</vt:lpstr>
      <vt:lpstr>'Fire Abs'!Print_Area</vt:lpstr>
      <vt:lpstr>'Fire Det'!Print_Area</vt:lpstr>
      <vt:lpstr>'Furniture Abs'!Print_Area</vt:lpstr>
      <vt:lpstr>'Furniture Det'!Print_Area</vt:lpstr>
      <vt:lpstr>'G. Abstract'!Print_Area</vt:lpstr>
      <vt:lpstr>'G. Abstract (2)'!Print_Area</vt:lpstr>
      <vt:lpstr>G.abstract!Print_Area</vt:lpstr>
      <vt:lpstr>'Inverter Abs'!Print_Area</vt:lpstr>
      <vt:lpstr>'Inverter Det'!Print_Area</vt:lpstr>
      <vt:lpstr>'Plumbing Abs '!Print_Area</vt:lpstr>
      <vt:lpstr>'Plumbing Det'!Print_Area</vt:lpstr>
      <vt:lpstr>'Road Abs'!Print_Area</vt:lpstr>
      <vt:lpstr>Road.Detailed!Print_Area</vt:lpstr>
      <vt:lpstr>'RWH Abs'!Print_Area</vt:lpstr>
      <vt:lpstr>'RWH Detailed'!Print_Area</vt:lpstr>
      <vt:lpstr>'Septic tank Abs'!Print_Area</vt:lpstr>
      <vt:lpstr>'Septic Tank Det'!Print_Area</vt:lpstr>
      <vt:lpstr>Sheet1!Print_Area</vt:lpstr>
      <vt:lpstr>'Sullage Detailed'!Print_Area</vt:lpstr>
      <vt:lpstr>'Sump Detailed '!Print_Area</vt:lpstr>
      <vt:lpstr>'Sump Steel'!Print_Area</vt:lpstr>
      <vt:lpstr>Data!Print_Area_MI</vt:lpstr>
      <vt:lpstr>Elec.abs!Print_Area_MI</vt:lpstr>
      <vt:lpstr>Elec.Data!Print_Area_MI</vt:lpstr>
      <vt:lpstr>Abstract!Print_Titles</vt:lpstr>
      <vt:lpstr>'Bldg+Dev'!Print_Titles</vt:lpstr>
      <vt:lpstr>Data!PRINT_TITLES_MI</vt:lpstr>
      <vt:lpstr>Elec.abs!PRINT_TITLES_MI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2021-12-02T15:50:15Z</cp:lastPrinted>
  <dcterms:created xsi:type="dcterms:W3CDTF">2003-09-02T05:17:23Z</dcterms:created>
  <dcterms:modified xsi:type="dcterms:W3CDTF">2023-01-18T07:45:22Z</dcterms:modified>
</cp:coreProperties>
</file>